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029"/>
  <workbookPr codeName="ThisWorkbook"/>
  <bookViews>
    <workbookView xWindow="-120" yWindow="-120" windowWidth="29040" windowHeight="17520" tabRatio="674" activeTab="0"/>
  </bookViews>
  <sheets>
    <sheet name="Attachment H-28A MAIT " sheetId="1" r:id="rId3"/>
    <sheet name="Attachment 1 - Sched 1A" sheetId="2" r:id="rId4"/>
    <sheet name="Attachment 2 - Incentive ROE" sheetId="3" r:id="rId5"/>
    <sheet name="Attachment 3 - Gross Plant" sheetId="4" r:id="rId6"/>
    <sheet name="Attachment 4 - Accum Depr" sheetId="5" r:id="rId7"/>
    <sheet name="Attachment 5 - ADIT" sheetId="6" r:id="rId8"/>
    <sheet name="Attch 5a - ADIT Normalization" sheetId="7" r:id="rId9"/>
    <sheet name="WP03-A ADIT Summary" sheetId="8" state="hidden" r:id="rId10"/>
    <sheet name="WP03-B ADIT Detail" sheetId="9" state="hidden" r:id="rId11"/>
    <sheet name="Attach 5a - ADIT Norm JC-T" sheetId="10" state="hidden" r:id="rId12"/>
    <sheet name="Attachment 5b - ADIT Detail" sheetId="11" r:id="rId13"/>
    <sheet name="Attachment 6 - PBOP" sheetId="12" r:id="rId14"/>
    <sheet name="Attachment 7 - Taxes Other " sheetId="13" r:id="rId15"/>
    <sheet name="Attachment 8 - Cap Structure" sheetId="14" r:id="rId16"/>
    <sheet name="Attach 9 - Stated-value Inputs" sheetId="15" r:id="rId17"/>
    <sheet name="Attachment 10 - Debt Cost" sheetId="16" r:id="rId18"/>
    <sheet name="Attachment 11 - TEC" sheetId="17" r:id="rId19"/>
    <sheet name="Attach 11a - TEC Cost Support" sheetId="18" r:id="rId20"/>
    <sheet name="Attachment 12 - TEC True-up" sheetId="19" r:id="rId21"/>
    <sheet name="Attachment 13 - Rev Req True-up" sheetId="20" r:id="rId22"/>
    <sheet name="Attach 13a-TEC Rev Req True up" sheetId="21" r:id="rId23"/>
    <sheet name="Attachment 14 - Other Rate Base" sheetId="22" r:id="rId24"/>
    <sheet name="Attachment 15 - Income Tax Adj" sheetId="23" r:id="rId25"/>
    <sheet name="Attachment 15a- Exc_Def ADIT WS" sheetId="36" r:id="rId26"/>
    <sheet name="Attachment 15b - Exc_Def WP" sheetId="37" r:id="rId27"/>
    <sheet name="Attach 16a Reg Asset-Storms" sheetId="24" r:id="rId28"/>
    <sheet name="Attach 16b Reg Asset-Veg Mgmt" sheetId="25" r:id="rId29"/>
    <sheet name="Attach 16c Reg Asset-start Cost" sheetId="26" r:id="rId30"/>
    <sheet name="Attachment 17 - Abandoned Plant" sheetId="27" r:id="rId31"/>
    <sheet name="Attachment 18 - CWIP" sheetId="28" r:id="rId32"/>
    <sheet name="Attachment 19 - Tax Rates" sheetId="29" r:id="rId33"/>
    <sheet name="Attachment 20 - O&amp;M and A&amp;G" sheetId="30" r:id="rId34"/>
    <sheet name="Attachment 21 - Revenue Credits" sheetId="31" r:id="rId35"/>
  </sheets>
  <definedNames>
    <definedName name="___OFF2" localSheetId="31">#REF!</definedName>
    <definedName name="___OFF2" localSheetId="32">#REF!</definedName>
    <definedName name="___OFF2">#REF!</definedName>
    <definedName name="___PPP1" localSheetId="31">#REF!</definedName>
    <definedName name="___PPP1" localSheetId="32">#REF!</definedName>
    <definedName name="___PPP1">#REF!</definedName>
    <definedName name="__123Graph_A" localSheetId="20" hidden="1">#REF!</definedName>
    <definedName name="__123Graph_A" localSheetId="31" hidden="1">#REF!</definedName>
    <definedName name="__123Graph_A" localSheetId="32" hidden="1">#REF!</definedName>
    <definedName name="__123Graph_A" localSheetId="6" hidden="1">#REF!</definedName>
    <definedName name="__123Graph_A" hidden="1">#REF!</definedName>
    <definedName name="__123Graph_B" localSheetId="20" hidden="1">#REF!</definedName>
    <definedName name="__123Graph_B" localSheetId="31" hidden="1">#REF!</definedName>
    <definedName name="__123Graph_B" localSheetId="6" hidden="1">#REF!</definedName>
    <definedName name="__123Graph_B" hidden="1">#REF!</definedName>
    <definedName name="__123Graph_C" localSheetId="20" hidden="1">#REF!</definedName>
    <definedName name="__123Graph_C" localSheetId="31" hidden="1">#REF!</definedName>
    <definedName name="__123Graph_C" localSheetId="6" hidden="1">#REF!</definedName>
    <definedName name="__123Graph_C" hidden="1">#REF!</definedName>
    <definedName name="__123Graph_D" localSheetId="20" hidden="1">#REF!</definedName>
    <definedName name="__123Graph_D" localSheetId="31" hidden="1">#REF!</definedName>
    <definedName name="__123Graph_D" localSheetId="6" hidden="1">#REF!</definedName>
    <definedName name="__123Graph_D" hidden="1">#REF!</definedName>
    <definedName name="__123Graph_E" localSheetId="20" hidden="1">#REF!</definedName>
    <definedName name="__123Graph_E" localSheetId="6" hidden="1">#REF!</definedName>
    <definedName name="__123Graph_E" hidden="1">#REF!</definedName>
    <definedName name="__123Graph_F" localSheetId="20" hidden="1">#REF!</definedName>
    <definedName name="__123Graph_F" localSheetId="6" hidden="1">#REF!</definedName>
    <definedName name="__123Graph_F" hidden="1">#REF!</definedName>
    <definedName name="__123Graph_X" localSheetId="20" hidden="1">#REF!</definedName>
    <definedName name="__123Graph_X" localSheetId="6" hidden="1">#REF!</definedName>
    <definedName name="__123Graph_X" hidden="1">#REF!</definedName>
    <definedName name="_Key1" localSheetId="20" hidden="1">#REF!</definedName>
    <definedName name="_Key1" localSheetId="31" hidden="1">#REF!</definedName>
    <definedName name="_Key1" localSheetId="32" hidden="1">#REF!</definedName>
    <definedName name="_Key1" localSheetId="6" hidden="1">#REF!</definedName>
    <definedName name="_Key1" hidden="1">#REF!</definedName>
    <definedName name="_OFF2" localSheetId="31">#REF!</definedName>
    <definedName name="_OFF2" localSheetId="32">#REF!</definedName>
    <definedName name="_OFF2">#REF!</definedName>
    <definedName name="_Order1" hidden="1">255</definedName>
    <definedName name="_p.choice" localSheetId="20">#REF!</definedName>
    <definedName name="_p.choice" localSheetId="26">#REF!</definedName>
    <definedName name="_p.choice" localSheetId="27">#REF!</definedName>
    <definedName name="_p.choice" localSheetId="14">#REF!</definedName>
    <definedName name="_p.choice" localSheetId="15">#REF!</definedName>
    <definedName name="_p.choice" localSheetId="19">#REF!</definedName>
    <definedName name="_p.choice" localSheetId="30">#REF!</definedName>
    <definedName name="_p.choice" localSheetId="2">#REF!</definedName>
    <definedName name="_p.choice" localSheetId="31">#REF!</definedName>
    <definedName name="_p.choice" localSheetId="32">#REF!</definedName>
    <definedName name="_p.choice" localSheetId="6">#REF!</definedName>
    <definedName name="_p.choice" localSheetId="7">#REF!</definedName>
    <definedName name="_p.choice" localSheetId="8">#REF!</definedName>
    <definedName name="_p.choice">#REF!</definedName>
    <definedName name="_PPP1" localSheetId="31">#REF!</definedName>
    <definedName name="_PPP1" localSheetId="32">#REF!</definedName>
    <definedName name="_PPP1">#REF!</definedName>
    <definedName name="_Sort" localSheetId="20" hidden="1">#REF!</definedName>
    <definedName name="_Sort" localSheetId="31" hidden="1">#REF!</definedName>
    <definedName name="_Sort" localSheetId="32" hidden="1">#REF!</definedName>
    <definedName name="_Sort" localSheetId="6" hidden="1">#REF!</definedName>
    <definedName name="_Sort" hidden="1">#REF!</definedName>
    <definedName name="AA.print" localSheetId="20">#REF!</definedName>
    <definedName name="AA.print" localSheetId="26">#REF!</definedName>
    <definedName name="AA.print" localSheetId="27">#REF!</definedName>
    <definedName name="AA.print" localSheetId="14">#REF!</definedName>
    <definedName name="AA.print" localSheetId="15">#REF!</definedName>
    <definedName name="AA.print" localSheetId="19">#REF!</definedName>
    <definedName name="AA.print" localSheetId="30">#REF!</definedName>
    <definedName name="AA.print" localSheetId="2">#REF!</definedName>
    <definedName name="AA.print" localSheetId="32">#REF!</definedName>
    <definedName name="AA.print" localSheetId="6">#REF!</definedName>
    <definedName name="AA.print" localSheetId="7">#REF!</definedName>
    <definedName name="AA.print" localSheetId="8">#REF!</definedName>
    <definedName name="AA.print">#REF!</definedName>
    <definedName name="AB.print" localSheetId="20">#REF!</definedName>
    <definedName name="AB.print" localSheetId="26">#REF!</definedName>
    <definedName name="AB.print" localSheetId="27">#REF!</definedName>
    <definedName name="AB.print" localSheetId="15">#REF!</definedName>
    <definedName name="AB.print" localSheetId="19">#REF!</definedName>
    <definedName name="AB.print" localSheetId="30">#REF!</definedName>
    <definedName name="AB.print" localSheetId="2">#REF!</definedName>
    <definedName name="AB.print" localSheetId="32">#REF!</definedName>
    <definedName name="AB.print" localSheetId="6">#REF!</definedName>
    <definedName name="AB.print" localSheetId="7">#REF!</definedName>
    <definedName name="AB.print" localSheetId="8">#REF!</definedName>
    <definedName name="AB.print">#REF!</definedName>
    <definedName name="above">OFFSET(!A1,-1,0)</definedName>
    <definedName name="Allocator.gross.plant">#REF!</definedName>
    <definedName name="Allocator.net.plant">#REF!</definedName>
    <definedName name="Allocator.wages.salary">#REF!</definedName>
    <definedName name="AMHERST" localSheetId="20">#REF!</definedName>
    <definedName name="AMHERST" localSheetId="26">#REF!</definedName>
    <definedName name="AMHERST" localSheetId="27">#REF!</definedName>
    <definedName name="AMHERST" localSheetId="19">#REF!</definedName>
    <definedName name="AMHERST" localSheetId="30">#REF!</definedName>
    <definedName name="AMHERST" localSheetId="2">#REF!</definedName>
    <definedName name="AMHERST" localSheetId="31">#REF!</definedName>
    <definedName name="AMHERST" localSheetId="32">#REF!</definedName>
    <definedName name="AMHERST" localSheetId="6">#REF!</definedName>
    <definedName name="AMHERST" localSheetId="7">#REF!</definedName>
    <definedName name="AMHERST">#REF!</definedName>
    <definedName name="AO.print" localSheetId="20">#REF!</definedName>
    <definedName name="AO.print" localSheetId="26">#REF!</definedName>
    <definedName name="AO.print" localSheetId="27">#REF!</definedName>
    <definedName name="AO.print" localSheetId="15">#REF!</definedName>
    <definedName name="AO.print" localSheetId="19">#REF!</definedName>
    <definedName name="AO.print" localSheetId="30">#REF!</definedName>
    <definedName name="AO.print" localSheetId="2">#REF!</definedName>
    <definedName name="AO.print" localSheetId="32">#REF!</definedName>
    <definedName name="AO.print" localSheetId="6">#REF!</definedName>
    <definedName name="AO.print" localSheetId="7">#REF!</definedName>
    <definedName name="AO.print" localSheetId="8">#REF!</definedName>
    <definedName name="AO.print">#REF!</definedName>
    <definedName name="AV.FM.1..adjusted..print" localSheetId="20">#REF!</definedName>
    <definedName name="AV.FM.1..adjusted..print" localSheetId="26">#REF!</definedName>
    <definedName name="AV.FM.1..adjusted..print" localSheetId="27">#REF!</definedName>
    <definedName name="AV.FM.1..adjusted..print" localSheetId="15">#REF!</definedName>
    <definedName name="AV.FM.1..adjusted..print" localSheetId="19">#REF!</definedName>
    <definedName name="AV.FM.1..adjusted..print" localSheetId="30">#REF!</definedName>
    <definedName name="AV.FM.1..adjusted..print" localSheetId="2">#REF!</definedName>
    <definedName name="AV.FM.1..adjusted..print" localSheetId="32">#REF!</definedName>
    <definedName name="AV.FM.1..adjusted..print" localSheetId="6">#REF!</definedName>
    <definedName name="AV.FM.1..adjusted..print" localSheetId="7">#REF!</definedName>
    <definedName name="AV.FM.1..adjusted..print" localSheetId="8">#REF!</definedName>
    <definedName name="AV.FM.1..adjusted..print">#REF!</definedName>
    <definedName name="AV.FM.1.print" localSheetId="20">#REF!</definedName>
    <definedName name="AV.FM.1.print" localSheetId="26">#REF!</definedName>
    <definedName name="AV.FM.1.print" localSheetId="27">#REF!</definedName>
    <definedName name="AV.FM.1.print" localSheetId="15">#REF!</definedName>
    <definedName name="AV.FM.1.print" localSheetId="19">#REF!</definedName>
    <definedName name="AV.FM.1.print" localSheetId="30">#REF!</definedName>
    <definedName name="AV.FM.1.print" localSheetId="2">#REF!</definedName>
    <definedName name="AV.FM.1.print" localSheetId="32">#REF!</definedName>
    <definedName name="AV.FM.1.print" localSheetId="6">#REF!</definedName>
    <definedName name="AV.FM.1.print" localSheetId="7">#REF!</definedName>
    <definedName name="AV.FM.1.print" localSheetId="8">#REF!</definedName>
    <definedName name="AV.FM.1.print">#REF!</definedName>
    <definedName name="BA.print" localSheetId="20">#REF!</definedName>
    <definedName name="BA.print" localSheetId="26">#REF!</definedName>
    <definedName name="BA.print" localSheetId="27">#REF!</definedName>
    <definedName name="BA.print" localSheetId="15">#REF!</definedName>
    <definedName name="BA.print" localSheetId="19">#REF!</definedName>
    <definedName name="BA.print" localSheetId="30">#REF!</definedName>
    <definedName name="BA.print" localSheetId="2">#REF!</definedName>
    <definedName name="BA.print" localSheetId="32">#REF!</definedName>
    <definedName name="BA.print" localSheetId="6">#REF!</definedName>
    <definedName name="BA.print" localSheetId="7">#REF!</definedName>
    <definedName name="BA.print" localSheetId="8">#REF!</definedName>
    <definedName name="BA.print">#REF!</definedName>
    <definedName name="BB.print" localSheetId="20">#REF!</definedName>
    <definedName name="BB.print" localSheetId="26">#REF!</definedName>
    <definedName name="BB.print" localSheetId="27">#REF!</definedName>
    <definedName name="BB.print" localSheetId="15">#REF!</definedName>
    <definedName name="BB.print" localSheetId="19">#REF!</definedName>
    <definedName name="BB.print" localSheetId="30">#REF!</definedName>
    <definedName name="BB.print" localSheetId="2">#REF!</definedName>
    <definedName name="BB.print" localSheetId="32">#REF!</definedName>
    <definedName name="BB.print" localSheetId="6">#REF!</definedName>
    <definedName name="BB.print" localSheetId="7">#REF!</definedName>
    <definedName name="BB.print" localSheetId="8">#REF!</definedName>
    <definedName name="BB.print">#REF!</definedName>
    <definedName name="BEACH_CITY" localSheetId="20">#REF!</definedName>
    <definedName name="BEACH_CITY" localSheetId="26">#REF!</definedName>
    <definedName name="BEACH_CITY" localSheetId="27">#REF!</definedName>
    <definedName name="BEACH_CITY" localSheetId="19">#REF!</definedName>
    <definedName name="BEACH_CITY" localSheetId="30">#REF!</definedName>
    <definedName name="BEACH_CITY" localSheetId="2">#REF!</definedName>
    <definedName name="BEACH_CITY" localSheetId="32">#REF!</definedName>
    <definedName name="BEACH_CITY" localSheetId="6">#REF!</definedName>
    <definedName name="BEACH_CITY" localSheetId="7">#REF!</definedName>
    <definedName name="BEACH_CITY">#REF!</definedName>
    <definedName name="below">OFFSET(!A1,1,0)</definedName>
    <definedName name="BG.print" localSheetId="20">#REF!</definedName>
    <definedName name="BG.print" localSheetId="26">#REF!</definedName>
    <definedName name="BG.print" localSheetId="27">#REF!</definedName>
    <definedName name="BG.print" localSheetId="15">#REF!</definedName>
    <definedName name="BG.print" localSheetId="19">#REF!</definedName>
    <definedName name="BG.print" localSheetId="30">#REF!</definedName>
    <definedName name="BG.print" localSheetId="2">#REF!</definedName>
    <definedName name="BG.print" localSheetId="31">#REF!</definedName>
    <definedName name="BG.print" localSheetId="32">#REF!</definedName>
    <definedName name="BG.print" localSheetId="6">#REF!</definedName>
    <definedName name="BG.print" localSheetId="7">#REF!</definedName>
    <definedName name="BG.print" localSheetId="8">#REF!</definedName>
    <definedName name="BG.print">#REF!</definedName>
    <definedName name="BILLCO" localSheetId="14">#REF!</definedName>
    <definedName name="BILLCO" localSheetId="30">#REF!</definedName>
    <definedName name="BILLCO" localSheetId="31">#REF!</definedName>
    <definedName name="BILLCO" localSheetId="32">#REF!</definedName>
    <definedName name="BILLCO">#REF!</definedName>
    <definedName name="BK..FM1.Adjusted..print" localSheetId="20">#REF!</definedName>
    <definedName name="BK..FM1.Adjusted..print" localSheetId="26">#REF!</definedName>
    <definedName name="BK..FM1.Adjusted..print" localSheetId="27">#REF!</definedName>
    <definedName name="BK..FM1.Adjusted..print" localSheetId="14">#REF!</definedName>
    <definedName name="BK..FM1.Adjusted..print" localSheetId="15">#REF!</definedName>
    <definedName name="BK..FM1.Adjusted..print" localSheetId="19">#REF!</definedName>
    <definedName name="BK..FM1.Adjusted..print" localSheetId="30">#REF!</definedName>
    <definedName name="BK..FM1.Adjusted..print" localSheetId="2">#REF!</definedName>
    <definedName name="BK..FM1.Adjusted..print" localSheetId="31">#REF!</definedName>
    <definedName name="BK..FM1.Adjusted..print" localSheetId="32">#REF!</definedName>
    <definedName name="BK..FM1.Adjusted..print" localSheetId="6">#REF!</definedName>
    <definedName name="BK..FM1.Adjusted..print" localSheetId="7">#REF!</definedName>
    <definedName name="BK..FM1.Adjusted..print" localSheetId="8">#REF!</definedName>
    <definedName name="BK..FM1.Adjusted..print">#REF!</definedName>
    <definedName name="BK..FM1.ROR..print" localSheetId="20">#REF!</definedName>
    <definedName name="BK..FM1.ROR..print" localSheetId="26">#REF!</definedName>
    <definedName name="BK..FM1.ROR..print" localSheetId="27">#REF!</definedName>
    <definedName name="BK..FM1.ROR..print" localSheetId="15">#REF!</definedName>
    <definedName name="BK..FM1.ROR..print" localSheetId="19">#REF!</definedName>
    <definedName name="BK..FM1.ROR..print" localSheetId="30">#REF!</definedName>
    <definedName name="BK..FM1.ROR..print" localSheetId="2">#REF!</definedName>
    <definedName name="BK..FM1.ROR..print" localSheetId="32">#REF!</definedName>
    <definedName name="BK..FM1.ROR..print" localSheetId="6">#REF!</definedName>
    <definedName name="BK..FM1.ROR..print" localSheetId="7">#REF!</definedName>
    <definedName name="BK..FM1.ROR..print" localSheetId="8">#REF!</definedName>
    <definedName name="BK..FM1.ROR..print">#REF!</definedName>
    <definedName name="BowlingGreen" localSheetId="20">#REF!</definedName>
    <definedName name="BowlingGreen" localSheetId="26">#REF!</definedName>
    <definedName name="BowlingGreen" localSheetId="27">#REF!</definedName>
    <definedName name="BowlingGreen" localSheetId="19">#REF!</definedName>
    <definedName name="BowlingGreen" localSheetId="30">#REF!</definedName>
    <definedName name="BowlingGreen" localSheetId="2">#REF!</definedName>
    <definedName name="BowlingGreen" localSheetId="32">#REF!</definedName>
    <definedName name="BowlingGreen" localSheetId="6">#REF!</definedName>
    <definedName name="BowlingGreen" localSheetId="7">#REF!</definedName>
    <definedName name="BowlingGreen">#REF!</definedName>
    <definedName name="BowlingGreenWater" localSheetId="20">#REF!</definedName>
    <definedName name="BowlingGreenWater" localSheetId="26">#REF!</definedName>
    <definedName name="BowlingGreenWater" localSheetId="27">#REF!</definedName>
    <definedName name="BowlingGreenWater" localSheetId="19">#REF!</definedName>
    <definedName name="BowlingGreenWater" localSheetId="30">#REF!</definedName>
    <definedName name="BowlingGreenWater" localSheetId="2">#REF!</definedName>
    <definedName name="BowlingGreenWater" localSheetId="32">#REF!</definedName>
    <definedName name="BowlingGreenWater" localSheetId="6">#REF!</definedName>
    <definedName name="BowlingGreenWater" localSheetId="7">#REF!</definedName>
    <definedName name="BowlingGreenWater">#REF!</definedName>
    <definedName name="Bradner" localSheetId="20">#REF!</definedName>
    <definedName name="Bradner" localSheetId="26">#REF!</definedName>
    <definedName name="Bradner" localSheetId="27">#REF!</definedName>
    <definedName name="Bradner" localSheetId="19">#REF!</definedName>
    <definedName name="Bradner" localSheetId="30">#REF!</definedName>
    <definedName name="Bradner" localSheetId="2">#REF!</definedName>
    <definedName name="Bradner" localSheetId="32">#REF!</definedName>
    <definedName name="Bradner" localSheetId="6">#REF!</definedName>
    <definedName name="Bradner" localSheetId="7">#REF!</definedName>
    <definedName name="Bradner">#REF!</definedName>
    <definedName name="BREWSTER" localSheetId="20">#REF!</definedName>
    <definedName name="BREWSTER" localSheetId="26">#REF!</definedName>
    <definedName name="BREWSTER" localSheetId="27">#REF!</definedName>
    <definedName name="BREWSTER" localSheetId="19">#REF!</definedName>
    <definedName name="BREWSTER" localSheetId="30">#REF!</definedName>
    <definedName name="BREWSTER" localSheetId="2">#REF!</definedName>
    <definedName name="BREWSTER" localSheetId="32">#REF!</definedName>
    <definedName name="BREWSTER" localSheetId="6">#REF!</definedName>
    <definedName name="BREWSTER" localSheetId="7">#REF!</definedName>
    <definedName name="BREWSTER">#REF!</definedName>
    <definedName name="cell.above">!A1048576</definedName>
    <definedName name="cell.below">!A2</definedName>
    <definedName name="cell.left">!XFD1</definedName>
    <definedName name="cell.right">!B1</definedName>
    <definedName name="CH_COS" localSheetId="20">#REF!</definedName>
    <definedName name="CH_COS" localSheetId="26">#REF!</definedName>
    <definedName name="CH_COS" localSheetId="27">#REF!</definedName>
    <definedName name="CH_COS" localSheetId="19">#REF!</definedName>
    <definedName name="CH_COS" localSheetId="30">#REF!</definedName>
    <definedName name="CH_COS" localSheetId="2">#REF!</definedName>
    <definedName name="CH_COS" localSheetId="31">#REF!</definedName>
    <definedName name="CH_COS" localSheetId="32">#REF!</definedName>
    <definedName name="CH_COS" localSheetId="6">#REF!</definedName>
    <definedName name="CH_COS" localSheetId="7">#REF!</definedName>
    <definedName name="CH_COS">#REF!</definedName>
    <definedName name="CUSTAR" localSheetId="20">#REF!</definedName>
    <definedName name="CUSTAR" localSheetId="26">#REF!</definedName>
    <definedName name="CUSTAR" localSheetId="27">#REF!</definedName>
    <definedName name="CUSTAR" localSheetId="19">#REF!</definedName>
    <definedName name="CUSTAR" localSheetId="30">#REF!</definedName>
    <definedName name="CUSTAR" localSheetId="2">#REF!</definedName>
    <definedName name="CUSTAR" localSheetId="32">#REF!</definedName>
    <definedName name="CUSTAR" localSheetId="6">#REF!</definedName>
    <definedName name="CUSTAR" localSheetId="7">#REF!</definedName>
    <definedName name="CUSTAR">#REF!</definedName>
    <definedName name="CUYAHOGA_FALLS" localSheetId="20">#REF!</definedName>
    <definedName name="CUYAHOGA_FALLS" localSheetId="26">#REF!</definedName>
    <definedName name="CUYAHOGA_FALLS" localSheetId="27">#REF!</definedName>
    <definedName name="CUYAHOGA_FALLS" localSheetId="19">#REF!</definedName>
    <definedName name="CUYAHOGA_FALLS" localSheetId="30">#REF!</definedName>
    <definedName name="CUYAHOGA_FALLS" localSheetId="2">#REF!</definedName>
    <definedName name="CUYAHOGA_FALLS" localSheetId="32">#REF!</definedName>
    <definedName name="CUYAHOGA_FALLS" localSheetId="6">#REF!</definedName>
    <definedName name="CUYAHOGA_FALLS" localSheetId="7">#REF!</definedName>
    <definedName name="CUYAHOGA_FALLS">#REF!</definedName>
    <definedName name="data_year">#REF!</definedName>
    <definedName name="DATA1" localSheetId="20">#REF!</definedName>
    <definedName name="DATA1" localSheetId="31">#REF!</definedName>
    <definedName name="DATA1" localSheetId="32">#REF!</definedName>
    <definedName name="DATA1" localSheetId="6">#REF!</definedName>
    <definedName name="DATA1">#REF!</definedName>
    <definedName name="DATA10" localSheetId="20">#REF!</definedName>
    <definedName name="DATA10" localSheetId="31">#REF!</definedName>
    <definedName name="DATA10" localSheetId="32">#REF!</definedName>
    <definedName name="DATA10" localSheetId="6">#REF!</definedName>
    <definedName name="DATA10">#REF!</definedName>
    <definedName name="DATA11" localSheetId="20">#REF!</definedName>
    <definedName name="DATA11" localSheetId="31">#REF!</definedName>
    <definedName name="DATA11" localSheetId="32">#REF!</definedName>
    <definedName name="DATA11" localSheetId="6">#REF!</definedName>
    <definedName name="DATA11">#REF!</definedName>
    <definedName name="DATA12" localSheetId="20">#REF!</definedName>
    <definedName name="DATA12" localSheetId="32">#REF!</definedName>
    <definedName name="DATA12" localSheetId="6">#REF!</definedName>
    <definedName name="DATA12">#REF!</definedName>
    <definedName name="DATA13" localSheetId="20">#REF!</definedName>
    <definedName name="DATA13" localSheetId="32">#REF!</definedName>
    <definedName name="DATA13" localSheetId="6">#REF!</definedName>
    <definedName name="DATA13">#REF!</definedName>
    <definedName name="DATA14" localSheetId="20">#REF!</definedName>
    <definedName name="DATA14" localSheetId="32">#REF!</definedName>
    <definedName name="DATA14" localSheetId="6">#REF!</definedName>
    <definedName name="DATA14">#REF!</definedName>
    <definedName name="DATA15" localSheetId="20">#REF!</definedName>
    <definedName name="DATA15" localSheetId="32">#REF!</definedName>
    <definedName name="DATA15" localSheetId="6">#REF!</definedName>
    <definedName name="DATA15">#REF!</definedName>
    <definedName name="DATA16" localSheetId="20">#REF!</definedName>
    <definedName name="DATA16" localSheetId="32">#REF!</definedName>
    <definedName name="DATA16" localSheetId="6">#REF!</definedName>
    <definedName name="DATA16">#REF!</definedName>
    <definedName name="DATA17" localSheetId="20">#REF!</definedName>
    <definedName name="DATA17" localSheetId="32">#REF!</definedName>
    <definedName name="DATA17" localSheetId="6">#REF!</definedName>
    <definedName name="DATA17">#REF!</definedName>
    <definedName name="DATA18" localSheetId="20">#REF!</definedName>
    <definedName name="DATA18" localSheetId="32">#REF!</definedName>
    <definedName name="DATA18" localSheetId="6">#REF!</definedName>
    <definedName name="DATA18">#REF!</definedName>
    <definedName name="DATA19" localSheetId="20">#REF!</definedName>
    <definedName name="DATA19" localSheetId="32">#REF!</definedName>
    <definedName name="DATA19" localSheetId="6">#REF!</definedName>
    <definedName name="DATA19">#REF!</definedName>
    <definedName name="DATA2" localSheetId="20">#REF!</definedName>
    <definedName name="DATA2" localSheetId="32">#REF!</definedName>
    <definedName name="DATA2" localSheetId="6">#REF!</definedName>
    <definedName name="DATA2">#REF!</definedName>
    <definedName name="DATA20" localSheetId="20">#REF!</definedName>
    <definedName name="DATA20" localSheetId="32">#REF!</definedName>
    <definedName name="DATA20" localSheetId="6">#REF!</definedName>
    <definedName name="DATA20">#REF!</definedName>
    <definedName name="DATA21" localSheetId="20">#REF!</definedName>
    <definedName name="DATA21" localSheetId="32">#REF!</definedName>
    <definedName name="DATA21" localSheetId="6">#REF!</definedName>
    <definedName name="DATA21">#REF!</definedName>
    <definedName name="DATA22" localSheetId="20">#REF!</definedName>
    <definedName name="DATA22" localSheetId="32">#REF!</definedName>
    <definedName name="DATA22" localSheetId="6">#REF!</definedName>
    <definedName name="DATA22">#REF!</definedName>
    <definedName name="DATA3" localSheetId="20">#REF!</definedName>
    <definedName name="DATA3" localSheetId="32">#REF!</definedName>
    <definedName name="DATA3" localSheetId="6">#REF!</definedName>
    <definedName name="DATA3">#REF!</definedName>
    <definedName name="DATA4" localSheetId="20">#REF!</definedName>
    <definedName name="DATA4" localSheetId="32">#REF!</definedName>
    <definedName name="DATA4" localSheetId="6">#REF!</definedName>
    <definedName name="DATA4">#REF!</definedName>
    <definedName name="DATA5" localSheetId="20">#REF!</definedName>
    <definedName name="DATA5" localSheetId="32">#REF!</definedName>
    <definedName name="DATA5" localSheetId="6">#REF!</definedName>
    <definedName name="DATA5">#REF!</definedName>
    <definedName name="DATA6" localSheetId="20">#REF!</definedName>
    <definedName name="DATA6" localSheetId="32">#REF!</definedName>
    <definedName name="DATA6" localSheetId="6">#REF!</definedName>
    <definedName name="DATA6">#REF!</definedName>
    <definedName name="DATA7" localSheetId="20">#REF!</definedName>
    <definedName name="DATA7" localSheetId="32">#REF!</definedName>
    <definedName name="DATA7" localSheetId="6">#REF!</definedName>
    <definedName name="DATA7">#REF!</definedName>
    <definedName name="DATA8" localSheetId="20">#REF!</definedName>
    <definedName name="DATA8" localSheetId="32">#REF!</definedName>
    <definedName name="DATA8" localSheetId="6">#REF!</definedName>
    <definedName name="DATA8">#REF!</definedName>
    <definedName name="DATA9" localSheetId="20">#REF!</definedName>
    <definedName name="DATA9" localSheetId="32">#REF!</definedName>
    <definedName name="DATA9" localSheetId="6">#REF!</definedName>
    <definedName name="DATA9">#REF!</definedName>
    <definedName name="DUEDATE" localSheetId="14">#REF!</definedName>
    <definedName name="DUEDATE" localSheetId="30">#REF!</definedName>
    <definedName name="DUEDATE" localSheetId="31">#REF!</definedName>
    <definedName name="DUEDATE" localSheetId="32">#REF!</definedName>
    <definedName name="DUEDATE">#REF!</definedName>
    <definedName name="EDGERTON" localSheetId="20">#REF!</definedName>
    <definedName name="EDGERTON" localSheetId="26">#REF!</definedName>
    <definedName name="EDGERTON" localSheetId="27">#REF!</definedName>
    <definedName name="EDGERTON" localSheetId="19">#REF!</definedName>
    <definedName name="EDGERTON" localSheetId="30">#REF!</definedName>
    <definedName name="EDGERTON" localSheetId="2">#REF!</definedName>
    <definedName name="EDGERTON" localSheetId="31">#REF!</definedName>
    <definedName name="EDGERTON" localSheetId="32">#REF!</definedName>
    <definedName name="EDGERTON" localSheetId="6">#REF!</definedName>
    <definedName name="EDGERTON" localSheetId="7">#REF!</definedName>
    <definedName name="EDGERTON">#REF!</definedName>
    <definedName name="Ellwood_City" localSheetId="20">#REF!</definedName>
    <definedName name="Ellwood_City" localSheetId="26">#REF!</definedName>
    <definedName name="Ellwood_City" localSheetId="27">#REF!</definedName>
    <definedName name="Ellwood_City" localSheetId="19">#REF!</definedName>
    <definedName name="Ellwood_City" localSheetId="30">#REF!</definedName>
    <definedName name="Ellwood_City" localSheetId="2">#REF!</definedName>
    <definedName name="Ellwood_City" localSheetId="32">#REF!</definedName>
    <definedName name="Ellwood_City" localSheetId="6">#REF!</definedName>
    <definedName name="Ellwood_City" localSheetId="7">#REF!</definedName>
    <definedName name="Ellwood_City">#REF!</definedName>
    <definedName name="ELMORE" localSheetId="20">#REF!</definedName>
    <definedName name="ELMORE" localSheetId="26">#REF!</definedName>
    <definedName name="ELMORE" localSheetId="27">#REF!</definedName>
    <definedName name="ELMORE" localSheetId="19">#REF!</definedName>
    <definedName name="ELMORE" localSheetId="30">#REF!</definedName>
    <definedName name="ELMORE" localSheetId="2">#REF!</definedName>
    <definedName name="ELMORE" localSheetId="32">#REF!</definedName>
    <definedName name="ELMORE" localSheetId="6">#REF!</definedName>
    <definedName name="ELMORE" localSheetId="7">#REF!</definedName>
    <definedName name="ELMORE">#REF!</definedName>
    <definedName name="FF1_INPUT">#REF!</definedName>
    <definedName name="FF1_INPUT_columns">#REF!</definedName>
    <definedName name="GALION" localSheetId="20">#REF!</definedName>
    <definedName name="GALION" localSheetId="26">#REF!</definedName>
    <definedName name="GALION" localSheetId="27">#REF!</definedName>
    <definedName name="GALION" localSheetId="19">#REF!</definedName>
    <definedName name="GALION" localSheetId="30">#REF!</definedName>
    <definedName name="GALION" localSheetId="2">#REF!</definedName>
    <definedName name="GALION" localSheetId="31">#REF!</definedName>
    <definedName name="GALION" localSheetId="32">#REF!</definedName>
    <definedName name="GALION" localSheetId="6">#REF!</definedName>
    <definedName name="GALION" localSheetId="7">#REF!</definedName>
    <definedName name="GALION">#REF!</definedName>
    <definedName name="GENOA" localSheetId="20">#REF!</definedName>
    <definedName name="GENOA" localSheetId="26">#REF!</definedName>
    <definedName name="GENOA" localSheetId="27">#REF!</definedName>
    <definedName name="GENOA" localSheetId="19">#REF!</definedName>
    <definedName name="GENOA" localSheetId="30">#REF!</definedName>
    <definedName name="GENOA" localSheetId="2">#REF!</definedName>
    <definedName name="GENOA" localSheetId="32">#REF!</definedName>
    <definedName name="GENOA" localSheetId="6">#REF!</definedName>
    <definedName name="GENOA" localSheetId="7">#REF!</definedName>
    <definedName name="GENOA">#REF!</definedName>
    <definedName name="GENOA_NORTH" localSheetId="20">#REF!</definedName>
    <definedName name="GENOA_NORTH" localSheetId="26">#REF!</definedName>
    <definedName name="GENOA_NORTH" localSheetId="27">#REF!</definedName>
    <definedName name="GENOA_NORTH" localSheetId="19">#REF!</definedName>
    <definedName name="GENOA_NORTH" localSheetId="30">#REF!</definedName>
    <definedName name="GENOA_NORTH" localSheetId="2">#REF!</definedName>
    <definedName name="GENOA_NORTH" localSheetId="32">#REF!</definedName>
    <definedName name="GENOA_NORTH" localSheetId="6">#REF!</definedName>
    <definedName name="GENOA_NORTH" localSheetId="7">#REF!</definedName>
    <definedName name="GENOA_NORTH">#REF!</definedName>
    <definedName name="GENOA_SOUTH" localSheetId="20">#REF!</definedName>
    <definedName name="GENOA_SOUTH" localSheetId="26">#REF!</definedName>
    <definedName name="GENOA_SOUTH" localSheetId="27">#REF!</definedName>
    <definedName name="GENOA_SOUTH" localSheetId="19">#REF!</definedName>
    <definedName name="GENOA_SOUTH" localSheetId="30">#REF!</definedName>
    <definedName name="GENOA_SOUTH" localSheetId="2">#REF!</definedName>
    <definedName name="GENOA_SOUTH" localSheetId="32">#REF!</definedName>
    <definedName name="GENOA_SOUTH" localSheetId="6">#REF!</definedName>
    <definedName name="GENOA_SOUTH" localSheetId="7">#REF!</definedName>
    <definedName name="GENOA_SOUTH">#REF!</definedName>
    <definedName name="GRAFTON" localSheetId="20">#REF!</definedName>
    <definedName name="GRAFTON" localSheetId="26">#REF!</definedName>
    <definedName name="GRAFTON" localSheetId="27">#REF!</definedName>
    <definedName name="GRAFTON" localSheetId="19">#REF!</definedName>
    <definedName name="GRAFTON" localSheetId="30">#REF!</definedName>
    <definedName name="GRAFTON" localSheetId="2">#REF!</definedName>
    <definedName name="GRAFTON" localSheetId="32">#REF!</definedName>
    <definedName name="GRAFTON" localSheetId="6">#REF!</definedName>
    <definedName name="GRAFTON" localSheetId="7">#REF!</definedName>
    <definedName name="GRAFTON">#REF!</definedName>
    <definedName name="Grove_City" localSheetId="20">#REF!</definedName>
    <definedName name="Grove_City" localSheetId="26">#REF!</definedName>
    <definedName name="Grove_City" localSheetId="27">#REF!</definedName>
    <definedName name="Grove_City" localSheetId="19">#REF!</definedName>
    <definedName name="Grove_City" localSheetId="30">#REF!</definedName>
    <definedName name="Grove_City" localSheetId="2">#REF!</definedName>
    <definedName name="Grove_City" localSheetId="32">#REF!</definedName>
    <definedName name="Grove_City" localSheetId="6">#REF!</definedName>
    <definedName name="Grove_City" localSheetId="7">#REF!</definedName>
    <definedName name="Grove_City">#REF!</definedName>
    <definedName name="HASKINS" localSheetId="20">#REF!</definedName>
    <definedName name="HASKINS" localSheetId="26">#REF!</definedName>
    <definedName name="HASKINS" localSheetId="27">#REF!</definedName>
    <definedName name="HASKINS" localSheetId="19">#REF!</definedName>
    <definedName name="HASKINS" localSheetId="30">#REF!</definedName>
    <definedName name="HASKINS" localSheetId="2">#REF!</definedName>
    <definedName name="HASKINS" localSheetId="32">#REF!</definedName>
    <definedName name="HASKINS" localSheetId="6">#REF!</definedName>
    <definedName name="HASKINS" localSheetId="7">#REF!</definedName>
    <definedName name="HASKINS">#REF!</definedName>
    <definedName name="hourending" localSheetId="20">#REF!</definedName>
    <definedName name="hourending" localSheetId="26">#REF!</definedName>
    <definedName name="hourending" localSheetId="27">#REF!</definedName>
    <definedName name="hourending" localSheetId="19">#REF!</definedName>
    <definedName name="hourending" localSheetId="30">#REF!</definedName>
    <definedName name="hourending" localSheetId="2">#REF!</definedName>
    <definedName name="hourending" localSheetId="32">#REF!</definedName>
    <definedName name="hourending" localSheetId="6">#REF!</definedName>
    <definedName name="hourending" localSheetId="7">#REF!</definedName>
    <definedName name="hourending">#REF!</definedName>
    <definedName name="HUBBARD" localSheetId="20">#REF!</definedName>
    <definedName name="HUBBARD" localSheetId="26">#REF!</definedName>
    <definedName name="HUBBARD" localSheetId="27">#REF!</definedName>
    <definedName name="HUBBARD" localSheetId="19">#REF!</definedName>
    <definedName name="HUBBARD" localSheetId="30">#REF!</definedName>
    <definedName name="HUBBARD" localSheetId="2">#REF!</definedName>
    <definedName name="HUBBARD" localSheetId="32">#REF!</definedName>
    <definedName name="HUBBARD" localSheetId="6">#REF!</definedName>
    <definedName name="HUBBARD" localSheetId="7">#REF!</definedName>
    <definedName name="HUBBARD">#REF!</definedName>
    <definedName name="Inputs_EndYrBal">#REF!</definedName>
    <definedName name="Inputs_EndYrBal_prior">#REF!</definedName>
    <definedName name="Inputs_FF1_Map">#REF!</definedName>
    <definedName name="Keep" localSheetId="31" hidden="1">{"PRINT",#N/A,TRUE,"APPA";"PRINT",#N/A,TRUE,"APS";"PRINT",#N/A,TRUE,"BHPL";"PRINT",#N/A,TRUE,"BHPL2";"PRINT",#N/A,TRUE,"CDWR";"PRINT",#N/A,TRUE,"EWEB";"PRINT",#N/A,TRUE,"LADWP";"PRINT",#N/A,TRUE,"NEVBASE"}</definedName>
    <definedName name="Keep" localSheetId="32"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1" hidden="1">{"PRINT",#N/A,TRUE,"APPA";"PRINT",#N/A,TRUE,"APS";"PRINT",#N/A,TRUE,"BHPL";"PRINT",#N/A,TRUE,"BHPL2";"PRINT",#N/A,TRUE,"CDWR";"PRINT",#N/A,TRUE,"EWEB";"PRINT",#N/A,TRUE,"LADWP";"PRINT",#N/A,TRUE,"NEVBASE"}</definedName>
    <definedName name="keep2" localSheetId="32"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left">OFFSET(!A1,0,-1)</definedName>
    <definedName name="Levelized..FM1.ROR..print" localSheetId="20">#REF!</definedName>
    <definedName name="Levelized..FM1.ROR..print" localSheetId="26">#REF!</definedName>
    <definedName name="Levelized..FM1.ROR..print" localSheetId="27">#REF!</definedName>
    <definedName name="Levelized..FM1.ROR..print" localSheetId="15">#REF!</definedName>
    <definedName name="Levelized..FM1.ROR..print" localSheetId="19">#REF!</definedName>
    <definedName name="Levelized..FM1.ROR..print" localSheetId="30">#REF!</definedName>
    <definedName name="Levelized..FM1.ROR..print" localSheetId="2">#REF!</definedName>
    <definedName name="Levelized..FM1.ROR..print" localSheetId="31">#REF!</definedName>
    <definedName name="Levelized..FM1.ROR..print" localSheetId="32">#REF!</definedName>
    <definedName name="Levelized..FM1.ROR..print" localSheetId="6">#REF!</definedName>
    <definedName name="Levelized..FM1.ROR..print" localSheetId="7">#REF!</definedName>
    <definedName name="Levelized..FM1.ROR..print" localSheetId="8">#REF!</definedName>
    <definedName name="Levelized..FM1.ROR..print">#REF!</definedName>
    <definedName name="LODI" localSheetId="20">#REF!</definedName>
    <definedName name="LODI" localSheetId="26">#REF!</definedName>
    <definedName name="LODI" localSheetId="27">#REF!</definedName>
    <definedName name="LODI" localSheetId="19">#REF!</definedName>
    <definedName name="LODI" localSheetId="30">#REF!</definedName>
    <definedName name="LODI" localSheetId="2">#REF!</definedName>
    <definedName name="LODI" localSheetId="32">#REF!</definedName>
    <definedName name="LODI" localSheetId="6">#REF!</definedName>
    <definedName name="LODI" localSheetId="7">#REF!</definedName>
    <definedName name="LODI">#REF!</definedName>
    <definedName name="LUCAS" localSheetId="20">#REF!</definedName>
    <definedName name="LUCAS" localSheetId="26">#REF!</definedName>
    <definedName name="LUCAS" localSheetId="27">#REF!</definedName>
    <definedName name="LUCAS" localSheetId="19">#REF!</definedName>
    <definedName name="LUCAS" localSheetId="30">#REF!</definedName>
    <definedName name="LUCAS" localSheetId="2">#REF!</definedName>
    <definedName name="LUCAS" localSheetId="32">#REF!</definedName>
    <definedName name="LUCAS" localSheetId="6">#REF!</definedName>
    <definedName name="LUCAS" localSheetId="7">#REF!</definedName>
    <definedName name="LUCAS">#REF!</definedName>
    <definedName name="M21Laurie" localSheetId="14">'Attach 9 - Stated-value Inputs'!M21Laurie</definedName>
    <definedName name="M21Laurie" localSheetId="30">'Attachment 19 - Tax Rates'!M21Laurie</definedName>
    <definedName name="M21Laurie" localSheetId="2">#N/A</definedName>
    <definedName name="M21Laurie" localSheetId="31">'Attachment 20 - O&amp;M and A&amp;G'!M21Laurie</definedName>
    <definedName name="M21Laurie" localSheetId="32">'Attachment 21 - Revenue Credits'!M21Laurie</definedName>
    <definedName name="M21Laurie">'Attach 9 - Stated-value Inputs'!M21Laurie</definedName>
    <definedName name="MILAN" localSheetId="20">#REF!</definedName>
    <definedName name="MILAN" localSheetId="26">#REF!</definedName>
    <definedName name="MILAN" localSheetId="27">#REF!</definedName>
    <definedName name="MILAN" localSheetId="19">#REF!</definedName>
    <definedName name="MILAN" localSheetId="30">#REF!</definedName>
    <definedName name="MILAN" localSheetId="2">#REF!</definedName>
    <definedName name="MILAN" localSheetId="31">#REF!</definedName>
    <definedName name="MILAN" localSheetId="32">#REF!</definedName>
    <definedName name="MILAN" localSheetId="6">#REF!</definedName>
    <definedName name="MILAN" localSheetId="7">#REF!</definedName>
    <definedName name="MILAN">#REF!</definedName>
    <definedName name="MONROEVILLE" localSheetId="20">#REF!</definedName>
    <definedName name="MONROEVILLE" localSheetId="26">#REF!</definedName>
    <definedName name="MONROEVILLE" localSheetId="27">#REF!</definedName>
    <definedName name="MONROEVILLE" localSheetId="19">#REF!</definedName>
    <definedName name="MONROEVILLE" localSheetId="30">#REF!</definedName>
    <definedName name="MONROEVILLE" localSheetId="2">#REF!</definedName>
    <definedName name="MONROEVILLE" localSheetId="32">#REF!</definedName>
    <definedName name="MONROEVILLE" localSheetId="6">#REF!</definedName>
    <definedName name="MONROEVILLE" localSheetId="7">#REF!</definedName>
    <definedName name="MONROEVILLE">#REF!</definedName>
    <definedName name="NAPOLEON" localSheetId="20">#REF!</definedName>
    <definedName name="NAPOLEON" localSheetId="26">#REF!</definedName>
    <definedName name="NAPOLEON" localSheetId="27">#REF!</definedName>
    <definedName name="NAPOLEON" localSheetId="19">#REF!</definedName>
    <definedName name="NAPOLEON" localSheetId="30">#REF!</definedName>
    <definedName name="NAPOLEON" localSheetId="2">#REF!</definedName>
    <definedName name="NAPOLEON" localSheetId="32">#REF!</definedName>
    <definedName name="NAPOLEON" localSheetId="6">#REF!</definedName>
    <definedName name="NAPOLEON" localSheetId="7">#REF!</definedName>
    <definedName name="NAPOLEON">#REF!</definedName>
    <definedName name="NEASG" localSheetId="20">#REF!</definedName>
    <definedName name="NEASG" localSheetId="26">#REF!</definedName>
    <definedName name="NEASG" localSheetId="27">#REF!</definedName>
    <definedName name="NEASG" localSheetId="19">#REF!</definedName>
    <definedName name="NEASG" localSheetId="30">#REF!</definedName>
    <definedName name="NEASG" localSheetId="2">#REF!</definedName>
    <definedName name="NEASG" localSheetId="32">#REF!</definedName>
    <definedName name="NEASG" localSheetId="6">#REF!</definedName>
    <definedName name="NEASG" localSheetId="7">#REF!</definedName>
    <definedName name="NEASG">#REF!</definedName>
    <definedName name="New_Wilmington" localSheetId="20">#REF!</definedName>
    <definedName name="New_Wilmington" localSheetId="26">#REF!</definedName>
    <definedName name="New_Wilmington" localSheetId="27">#REF!</definedName>
    <definedName name="New_Wilmington" localSheetId="19">#REF!</definedName>
    <definedName name="New_Wilmington" localSheetId="30">#REF!</definedName>
    <definedName name="New_Wilmington" localSheetId="2">#REF!</definedName>
    <definedName name="New_Wilmington" localSheetId="32">#REF!</definedName>
    <definedName name="New_Wilmington" localSheetId="6">#REF!</definedName>
    <definedName name="New_Wilmington" localSheetId="7">#REF!</definedName>
    <definedName name="New_Wilmington">#REF!</definedName>
    <definedName name="NEWTON_FALLS" localSheetId="20">#REF!</definedName>
    <definedName name="NEWTON_FALLS" localSheetId="26">#REF!</definedName>
    <definedName name="NEWTON_FALLS" localSheetId="27">#REF!</definedName>
    <definedName name="NEWTON_FALLS" localSheetId="19">#REF!</definedName>
    <definedName name="NEWTON_FALLS" localSheetId="30">#REF!</definedName>
    <definedName name="NEWTON_FALLS" localSheetId="2">#REF!</definedName>
    <definedName name="NEWTON_FALLS" localSheetId="32">#REF!</definedName>
    <definedName name="NEWTON_FALLS" localSheetId="6">#REF!</definedName>
    <definedName name="NEWTON_FALLS" localSheetId="7">#REF!</definedName>
    <definedName name="NEWTON_FALLS">#REF!</definedName>
    <definedName name="NILES" localSheetId="20">#REF!</definedName>
    <definedName name="NILES" localSheetId="26">#REF!</definedName>
    <definedName name="NILES" localSheetId="27">#REF!</definedName>
    <definedName name="NILES" localSheetId="19">#REF!</definedName>
    <definedName name="NILES" localSheetId="30">#REF!</definedName>
    <definedName name="NILES" localSheetId="2">#REF!</definedName>
    <definedName name="NILES" localSheetId="32">#REF!</definedName>
    <definedName name="NILES" localSheetId="6">#REF!</definedName>
    <definedName name="NILES" localSheetId="7">#REF!</definedName>
    <definedName name="NILES">#REF!</definedName>
    <definedName name="NSP_COS" localSheetId="20">#REF!</definedName>
    <definedName name="NSP_COS" localSheetId="26">#REF!</definedName>
    <definedName name="NSP_COS" localSheetId="27">#REF!</definedName>
    <definedName name="NSP_COS" localSheetId="19">#REF!</definedName>
    <definedName name="NSP_COS" localSheetId="30">#REF!</definedName>
    <definedName name="NSP_COS" localSheetId="2">#REF!</definedName>
    <definedName name="NSP_COS" localSheetId="32">#REF!</definedName>
    <definedName name="NSP_COS" localSheetId="6">#REF!</definedName>
    <definedName name="NSP_COS" localSheetId="7">#REF!</definedName>
    <definedName name="NSP_COS">#REF!</definedName>
    <definedName name="NWASG" localSheetId="20">#REF!</definedName>
    <definedName name="NWASG" localSheetId="26">#REF!</definedName>
    <definedName name="NWASG" localSheetId="27">#REF!</definedName>
    <definedName name="NWASG" localSheetId="19">#REF!</definedName>
    <definedName name="NWASG" localSheetId="30">#REF!</definedName>
    <definedName name="NWASG" localSheetId="2">#REF!</definedName>
    <definedName name="NWASG" localSheetId="32">#REF!</definedName>
    <definedName name="NWASG" localSheetId="6">#REF!</definedName>
    <definedName name="NWASG" localSheetId="7">#REF!</definedName>
    <definedName name="NWASG">#REF!</definedName>
    <definedName name="OAK_HARBOR" localSheetId="20">#REF!</definedName>
    <definedName name="OAK_HARBOR" localSheetId="26">#REF!</definedName>
    <definedName name="OAK_HARBOR" localSheetId="27">#REF!</definedName>
    <definedName name="OAK_HARBOR" localSheetId="19">#REF!</definedName>
    <definedName name="OAK_HARBOR" localSheetId="30">#REF!</definedName>
    <definedName name="OAK_HARBOR" localSheetId="2">#REF!</definedName>
    <definedName name="OAK_HARBOR" localSheetId="32">#REF!</definedName>
    <definedName name="OAK_HARBOR" localSheetId="6">#REF!</definedName>
    <definedName name="OAK_HARBOR" localSheetId="7">#REF!</definedName>
    <definedName name="OAK_HARBOR">#REF!</definedName>
    <definedName name="OBERLIN" localSheetId="20">#REF!</definedName>
    <definedName name="OBERLIN" localSheetId="26">#REF!</definedName>
    <definedName name="OBERLIN" localSheetId="27">#REF!</definedName>
    <definedName name="OBERLIN" localSheetId="19">#REF!</definedName>
    <definedName name="OBERLIN" localSheetId="30">#REF!</definedName>
    <definedName name="OBERLIN" localSheetId="2">#REF!</definedName>
    <definedName name="OBERLIN" localSheetId="32">#REF!</definedName>
    <definedName name="OBERLIN" localSheetId="6">#REF!</definedName>
    <definedName name="OBERLIN" localSheetId="7">#REF!</definedName>
    <definedName name="OBERLIN">#REF!</definedName>
    <definedName name="OFF" localSheetId="31">#REF!</definedName>
    <definedName name="OFF" localSheetId="32">#REF!</definedName>
    <definedName name="OFF">#REF!</definedName>
    <definedName name="ON" localSheetId="31">#REF!</definedName>
    <definedName name="ON" localSheetId="32">#REF!</definedName>
    <definedName name="ON">#REF!</definedName>
    <definedName name="PEMBERVILLE" localSheetId="20">#REF!</definedName>
    <definedName name="PEMBERVILLE" localSheetId="26">#REF!</definedName>
    <definedName name="PEMBERVILLE" localSheetId="27">#REF!</definedName>
    <definedName name="PEMBERVILLE" localSheetId="19">#REF!</definedName>
    <definedName name="PEMBERVILLE" localSheetId="30">#REF!</definedName>
    <definedName name="PEMBERVILLE" localSheetId="2">#REF!</definedName>
    <definedName name="PEMBERVILLE" localSheetId="31">#REF!</definedName>
    <definedName name="PEMBERVILLE" localSheetId="32">#REF!</definedName>
    <definedName name="PEMBERVILLE" localSheetId="6">#REF!</definedName>
    <definedName name="PEMBERVILLE" localSheetId="7">#REF!</definedName>
    <definedName name="PEMBERVILLE">#REF!</definedName>
    <definedName name="PIONEER" localSheetId="20">#REF!</definedName>
    <definedName name="PIONEER" localSheetId="26">#REF!</definedName>
    <definedName name="PIONEER" localSheetId="27">#REF!</definedName>
    <definedName name="PIONEER" localSheetId="19">#REF!</definedName>
    <definedName name="PIONEER" localSheetId="30">#REF!</definedName>
    <definedName name="PIONEER" localSheetId="2">#REF!</definedName>
    <definedName name="PIONEER" localSheetId="32">#REF!</definedName>
    <definedName name="PIONEER" localSheetId="6">#REF!</definedName>
    <definedName name="PIONEER" localSheetId="7">#REF!</definedName>
    <definedName name="PIONEER">#REF!</definedName>
    <definedName name="pPRINT" localSheetId="31">#REF!</definedName>
    <definedName name="pPRINT" localSheetId="32">#REF!</definedName>
    <definedName name="pPRINT">#REF!</definedName>
    <definedName name="PRINT" localSheetId="31">#REF!</definedName>
    <definedName name="PRINT" localSheetId="32">#REF!</definedName>
    <definedName name="PRINT">#REF!</definedName>
    <definedName name="Print.selection.print" localSheetId="20">#REF!</definedName>
    <definedName name="Print.selection.print" localSheetId="26">#REF!</definedName>
    <definedName name="Print.selection.print" localSheetId="27">#REF!</definedName>
    <definedName name="Print.selection.print" localSheetId="14">#REF!</definedName>
    <definedName name="Print.selection.print" localSheetId="15">#REF!</definedName>
    <definedName name="Print.selection.print" localSheetId="19">#REF!</definedName>
    <definedName name="Print.selection.print" localSheetId="30">#REF!</definedName>
    <definedName name="Print.selection.print" localSheetId="2">#REF!</definedName>
    <definedName name="Print.selection.print" localSheetId="31">#REF!</definedName>
    <definedName name="Print.selection.print" localSheetId="32">#REF!</definedName>
    <definedName name="Print.selection.print" localSheetId="6">#REF!</definedName>
    <definedName name="Print.selection.print" localSheetId="7">#REF!</definedName>
    <definedName name="Print.selection.print" localSheetId="8">#REF!</definedName>
    <definedName name="Print.selection.print">#REF!</definedName>
    <definedName name="_xlnm.Print_Area" localSheetId="17">'Attach 11a - TEC Cost Support'!$A$1:$AI$42</definedName>
    <definedName name="_xlnm.Print_Area" localSheetId="20">'Attach 13a-TEC Rev Req True up'!$A$1:$J$55</definedName>
    <definedName name="_xlnm.Print_Area" localSheetId="25">'Attach 16a Reg Asset-Storms'!$A$1:$I$24</definedName>
    <definedName name="_xlnm.Print_Area" localSheetId="26">'Attach 16b Reg Asset-Veg Mgmt'!$A$1:$I$24</definedName>
    <definedName name="_xlnm.Print_Area" localSheetId="27">'Attach 16c Reg Asset-start Cost'!$A$1:$I$24</definedName>
    <definedName name="_xlnm.Print_Area" localSheetId="9">'Attach 5a - ADIT Norm JC-T'!$A$1:$S$29</definedName>
    <definedName name="_xlnm.Print_Area" localSheetId="14">'Attach 9 - Stated-value Inputs'!$A$1:$I$48</definedName>
    <definedName name="_xlnm.Print_Area" localSheetId="1">'Attachment 1 - Sched 1A'!$A$1:$J$18</definedName>
    <definedName name="_xlnm.Print_Area" localSheetId="15">'Attachment 10 - Debt Cost'!$A$1:$AA$59</definedName>
    <definedName name="_xlnm.Print_Area" localSheetId="16">'Attachment 11 - TEC'!$A$1:$S$103</definedName>
    <definedName name="_xlnm.Print_Area" localSheetId="18">'Attachment 12 - TEC True-up'!$A$1:$M$66</definedName>
    <definedName name="_xlnm.Print_Area" localSheetId="19">'Attachment 13 - Rev Req True-up'!$A$1:$J$55</definedName>
    <definedName name="_xlnm.Print_Area" localSheetId="21">'Attachment 14 - Other Rate Base'!$A$1:$I$72</definedName>
    <definedName name="_xlnm.Print_Area" localSheetId="22">'Attachment 15 - Income Tax Adj'!$A$1:$F$23</definedName>
    <definedName name="_xlnm.Print_Area" localSheetId="23">'Attachment 15a- Exc_Def ADIT WS'!$A$1:$N$241</definedName>
    <definedName name="_xlnm.Print_Area" localSheetId="28">'Attachment 17 - Abandoned Plant'!$A$1:$J$24</definedName>
    <definedName name="_xlnm.Print_Area" localSheetId="30">'Attachment 19 - Tax Rates'!$A$1:$I$32</definedName>
    <definedName name="_xlnm.Print_Area" localSheetId="2">'Attachment 2 - Incentive ROE'!$A$1:$K$78</definedName>
    <definedName name="_xlnm.Print_Area" localSheetId="31">'Attachment 20 - O&amp;M and A&amp;G'!$A$1:$F$77</definedName>
    <definedName name="_xlnm.Print_Area" localSheetId="32">'Attachment 21 - Revenue Credits'!$A$1:$K$29</definedName>
    <definedName name="_xlnm.Print_Area" localSheetId="4">'Attachment 4 - Accum Depr'!$A$1:$L$67</definedName>
    <definedName name="_xlnm.Print_Area" localSheetId="5">'Attachment 5 - ADIT'!$A$1:$O$49</definedName>
    <definedName name="_xlnm.Print_Area" localSheetId="10">'Attachment 5b - ADIT Detail'!$A$1:$E$71</definedName>
    <definedName name="_xlnm.Print_Area" localSheetId="0">'Attachment H-28A MAIT '!$A$1:$K$330</definedName>
    <definedName name="_xlnm.Print_Area" localSheetId="6">'Attch 5a - ADIT Normalization'!$A$1:$T$37</definedName>
    <definedName name="_xlnm.Print_Area" localSheetId="8">'WP03-B ADIT Detail'!$A$1:$M$359</definedName>
    <definedName name="_xlnm.Print_Titles" localSheetId="16">'Attachment 11 - TEC'!$C:$D</definedName>
    <definedName name="_xlnm.Print_Titles" localSheetId="18">'Attachment 12 - TEC True-up'!$C:$D</definedName>
    <definedName name="Print1" localSheetId="20">#REF!</definedName>
    <definedName name="Print1" localSheetId="26">#REF!</definedName>
    <definedName name="Print1" localSheetId="27">#REF!</definedName>
    <definedName name="Print1" localSheetId="19">#REF!</definedName>
    <definedName name="Print1" localSheetId="30">#REF!</definedName>
    <definedName name="Print1" localSheetId="2">#REF!</definedName>
    <definedName name="Print1" localSheetId="31">#REF!</definedName>
    <definedName name="Print1" localSheetId="32">#REF!</definedName>
    <definedName name="Print1" localSheetId="6">#REF!</definedName>
    <definedName name="Print1" localSheetId="7">#REF!</definedName>
    <definedName name="Print1">#REF!</definedName>
    <definedName name="Print3" localSheetId="20">#REF!</definedName>
    <definedName name="Print3" localSheetId="26">#REF!</definedName>
    <definedName name="Print3" localSheetId="27">#REF!</definedName>
    <definedName name="Print3" localSheetId="19">#REF!</definedName>
    <definedName name="Print3" localSheetId="30">#REF!</definedName>
    <definedName name="Print3" localSheetId="2">#REF!</definedName>
    <definedName name="Print3" localSheetId="32">#REF!</definedName>
    <definedName name="Print3" localSheetId="6">#REF!</definedName>
    <definedName name="Print3" localSheetId="7">#REF!</definedName>
    <definedName name="Print3">#REF!</definedName>
    <definedName name="Print4" localSheetId="20">#REF!</definedName>
    <definedName name="Print4" localSheetId="26">#REF!</definedName>
    <definedName name="Print4" localSheetId="27">#REF!</definedName>
    <definedName name="Print4" localSheetId="19">#REF!</definedName>
    <definedName name="Print4" localSheetId="30">#REF!</definedName>
    <definedName name="Print4" localSheetId="2">#REF!</definedName>
    <definedName name="Print4" localSheetId="32">#REF!</definedName>
    <definedName name="Print4" localSheetId="6">#REF!</definedName>
    <definedName name="Print4" localSheetId="7">#REF!</definedName>
    <definedName name="Print4">#REF!</definedName>
    <definedName name="Print5" localSheetId="20">#REF!</definedName>
    <definedName name="Print5" localSheetId="26">#REF!</definedName>
    <definedName name="Print5" localSheetId="27">#REF!</definedName>
    <definedName name="Print5" localSheetId="19">#REF!</definedName>
    <definedName name="Print5" localSheetId="30">#REF!</definedName>
    <definedName name="Print5" localSheetId="2">#REF!</definedName>
    <definedName name="Print5" localSheetId="32">#REF!</definedName>
    <definedName name="Print5" localSheetId="6">#REF!</definedName>
    <definedName name="Print5" localSheetId="7">#REF!</definedName>
    <definedName name="Print5">#REF!</definedName>
    <definedName name="Proj_PIS">#REF!</definedName>
    <definedName name="Projection">"Projection"</definedName>
    <definedName name="ProjIDList" localSheetId="20">#REF!</definedName>
    <definedName name="ProjIDList" localSheetId="26">#REF!</definedName>
    <definedName name="ProjIDList" localSheetId="27">#REF!</definedName>
    <definedName name="ProjIDList" localSheetId="19">#REF!</definedName>
    <definedName name="ProjIDList" localSheetId="30">#REF!</definedName>
    <definedName name="ProjIDList" localSheetId="2">#REF!</definedName>
    <definedName name="ProjIDList" localSheetId="31">#REF!</definedName>
    <definedName name="ProjIDList" localSheetId="32">#REF!</definedName>
    <definedName name="ProjIDList" localSheetId="6">#REF!</definedName>
    <definedName name="ProjIDList" localSheetId="7">#REF!</definedName>
    <definedName name="ProjIDList">#REF!</definedName>
    <definedName name="PROSPECT" localSheetId="20">#REF!</definedName>
    <definedName name="PROSPECT" localSheetId="26">#REF!</definedName>
    <definedName name="PROSPECT" localSheetId="27">#REF!</definedName>
    <definedName name="PROSPECT" localSheetId="19">#REF!</definedName>
    <definedName name="PROSPECT" localSheetId="30">#REF!</definedName>
    <definedName name="PROSPECT" localSheetId="2">#REF!</definedName>
    <definedName name="PROSPECT" localSheetId="32">#REF!</definedName>
    <definedName name="PROSPECT" localSheetId="6">#REF!</definedName>
    <definedName name="PROSPECT" localSheetId="7">#REF!</definedName>
    <definedName name="PROSPECT">#REF!</definedName>
    <definedName name="PSCo_COS" localSheetId="20">#REF!</definedName>
    <definedName name="PSCo_COS" localSheetId="26">#REF!</definedName>
    <definedName name="PSCo_COS" localSheetId="27">#REF!</definedName>
    <definedName name="PSCo_COS" localSheetId="19">#REF!</definedName>
    <definedName name="PSCo_COS" localSheetId="30">#REF!</definedName>
    <definedName name="PSCo_COS" localSheetId="2">#REF!</definedName>
    <definedName name="PSCo_COS" localSheetId="32">#REF!</definedName>
    <definedName name="PSCo_COS" localSheetId="6">#REF!</definedName>
    <definedName name="PSCo_COS" localSheetId="7">#REF!</definedName>
    <definedName name="PSCo_COS">#REF!</definedName>
    <definedName name="q_MTEP06_App_AB_Facility" localSheetId="20">#REF!</definedName>
    <definedName name="q_MTEP06_App_AB_Facility" localSheetId="26">#REF!</definedName>
    <definedName name="q_MTEP06_App_AB_Facility" localSheetId="27">#REF!</definedName>
    <definedName name="q_MTEP06_App_AB_Facility" localSheetId="19">#REF!</definedName>
    <definedName name="q_MTEP06_App_AB_Facility" localSheetId="30">#REF!</definedName>
    <definedName name="q_MTEP06_App_AB_Facility" localSheetId="2">#REF!</definedName>
    <definedName name="q_MTEP06_App_AB_Facility" localSheetId="32">#REF!</definedName>
    <definedName name="q_MTEP06_App_AB_Facility" localSheetId="6">#REF!</definedName>
    <definedName name="q_MTEP06_App_AB_Facility" localSheetId="7">#REF!</definedName>
    <definedName name="q_MTEP06_App_AB_Facility">#REF!</definedName>
    <definedName name="q_MTEP06_App_AB_Projects" localSheetId="20">#REF!</definedName>
    <definedName name="q_MTEP06_App_AB_Projects" localSheetId="26">#REF!</definedName>
    <definedName name="q_MTEP06_App_AB_Projects" localSheetId="27">#REF!</definedName>
    <definedName name="q_MTEP06_App_AB_Projects" localSheetId="19">#REF!</definedName>
    <definedName name="q_MTEP06_App_AB_Projects" localSheetId="30">#REF!</definedName>
    <definedName name="q_MTEP06_App_AB_Projects" localSheetId="2">#REF!</definedName>
    <definedName name="q_MTEP06_App_AB_Projects" localSheetId="32">#REF!</definedName>
    <definedName name="q_MTEP06_App_AB_Projects" localSheetId="6">#REF!</definedName>
    <definedName name="q_MTEP06_App_AB_Projects" localSheetId="7">#REF!</definedName>
    <definedName name="q_MTEP06_App_AB_Projects">#REF!</definedName>
    <definedName name="retail" localSheetId="31" hidden="1">{#N/A,#N/A,FALSE,"Loans";#N/A,#N/A,FALSE,"Program Costs";#N/A,#N/A,FALSE,"Measures";#N/A,#N/A,FALSE,"Net Lost Rev";#N/A,#N/A,FALSE,"Incentive"}</definedName>
    <definedName name="retail" localSheetId="32"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1" hidden="1">{#N/A,#N/A,FALSE,"Loans";#N/A,#N/A,FALSE,"Program Costs";#N/A,#N/A,FALSE,"Measures";#N/A,#N/A,FALSE,"Net Lost Rev";#N/A,#N/A,FALSE,"Incentive"}</definedName>
    <definedName name="retail_CC" localSheetId="32"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1" hidden="1">{#N/A,#N/A,FALSE,"Loans";#N/A,#N/A,FALSE,"Program Costs";#N/A,#N/A,FALSE,"Measures";#N/A,#N/A,FALSE,"Net Lost Rev";#N/A,#N/A,FALSE,"Incentive"}</definedName>
    <definedName name="retail_CC1" localSheetId="32" hidden="1">{#N/A,#N/A,FALSE,"Loans";#N/A,#N/A,FALSE,"Program Costs";#N/A,#N/A,FALSE,"Measures";#N/A,#N/A,FALSE,"Net Lost Rev";#N/A,#N/A,FALSE,"Incentive"}</definedName>
    <definedName name="retail_CC1" hidden="1">{#N/A,#N/A,FALSE,"Loans";#N/A,#N/A,FALSE,"Program Costs";#N/A,#N/A,FALSE,"Measures";#N/A,#N/A,FALSE,"Net Lost Rev";#N/A,#N/A,FALSE,"Incentive"}</definedName>
    <definedName name="revreq" localSheetId="20">#REF!</definedName>
    <definedName name="revreq" localSheetId="26">#REF!</definedName>
    <definedName name="revreq" localSheetId="27">#REF!</definedName>
    <definedName name="revreq" localSheetId="19">#REF!</definedName>
    <definedName name="revreq" localSheetId="30">#REF!</definedName>
    <definedName name="revreq" localSheetId="2">#REF!</definedName>
    <definedName name="revreq" localSheetId="31">#REF!</definedName>
    <definedName name="revreq" localSheetId="32">#REF!</definedName>
    <definedName name="revreq" localSheetId="6">#REF!</definedName>
    <definedName name="revreq" localSheetId="7">#REF!</definedName>
    <definedName name="revreq">#REF!</definedName>
    <definedName name="right">OFFSET(!A1,0,1)</definedName>
    <definedName name="SAPBEXrevision" hidden="1">1</definedName>
    <definedName name="SAPBEXsysID" hidden="1">"BWP"</definedName>
    <definedName name="SAPBEXwbID" hidden="1">"45EQYSCWE9WJMGB34OOD1BOQZ"</definedName>
    <definedName name="SEVILLE" localSheetId="20">#REF!</definedName>
    <definedName name="SEVILLE" localSheetId="26">#REF!</definedName>
    <definedName name="SEVILLE" localSheetId="27">#REF!</definedName>
    <definedName name="SEVILLE" localSheetId="19">#REF!</definedName>
    <definedName name="SEVILLE" localSheetId="30">#REF!</definedName>
    <definedName name="SEVILLE" localSheetId="2">#REF!</definedName>
    <definedName name="SEVILLE" localSheetId="31">#REF!</definedName>
    <definedName name="SEVILLE" localSheetId="32">#REF!</definedName>
    <definedName name="SEVILLE" localSheetId="6">#REF!</definedName>
    <definedName name="SEVILLE" localSheetId="7">#REF!</definedName>
    <definedName name="SEVILLE">#REF!</definedName>
    <definedName name="shit" localSheetId="31" hidden="1">{"PRINT",#N/A,TRUE,"APPA";"PRINT",#N/A,TRUE,"APS";"PRINT",#N/A,TRUE,"BHPL";"PRINT",#N/A,TRUE,"BHPL2";"PRINT",#N/A,TRUE,"CDWR";"PRINT",#N/A,TRUE,"EWEB";"PRINT",#N/A,TRUE,"LADWP";"PRINT",#N/A,TRUE,"NEVBASE"}</definedName>
    <definedName name="shit" localSheetId="32"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OUTH_VIENNA" localSheetId="20">#REF!</definedName>
    <definedName name="SOUTH_VIENNA" localSheetId="26">#REF!</definedName>
    <definedName name="SOUTH_VIENNA" localSheetId="27">#REF!</definedName>
    <definedName name="SOUTH_VIENNA" localSheetId="19">#REF!</definedName>
    <definedName name="SOUTH_VIENNA" localSheetId="30">#REF!</definedName>
    <definedName name="SOUTH_VIENNA" localSheetId="2">#REF!</definedName>
    <definedName name="SOUTH_VIENNA" localSheetId="31">#REF!</definedName>
    <definedName name="SOUTH_VIENNA" localSheetId="32">#REF!</definedName>
    <definedName name="SOUTH_VIENNA" localSheetId="6">#REF!</definedName>
    <definedName name="SOUTH_VIENNA" localSheetId="7">#REF!</definedName>
    <definedName name="SOUTH_VIENNA">#REF!</definedName>
    <definedName name="SPS_COS" localSheetId="20">#REF!</definedName>
    <definedName name="SPS_COS" localSheetId="26">#REF!</definedName>
    <definedName name="SPS_COS" localSheetId="27">#REF!</definedName>
    <definedName name="SPS_COS" localSheetId="19">#REF!</definedName>
    <definedName name="SPS_COS" localSheetId="30">#REF!</definedName>
    <definedName name="SPS_COS" localSheetId="2">#REF!</definedName>
    <definedName name="SPS_COS" localSheetId="32">#REF!</definedName>
    <definedName name="SPS_COS" localSheetId="6">#REF!</definedName>
    <definedName name="SPS_COS" localSheetId="7">#REF!</definedName>
    <definedName name="SPS_COS">#REF!</definedName>
    <definedName name="TEST0" localSheetId="20">#REF!</definedName>
    <definedName name="TEST0" localSheetId="32">#REF!</definedName>
    <definedName name="TEST0" localSheetId="6">#REF!</definedName>
    <definedName name="TEST0">#REF!</definedName>
    <definedName name="TESTHKEY" localSheetId="20">#REF!</definedName>
    <definedName name="TESTHKEY" localSheetId="32">#REF!</definedName>
    <definedName name="TESTHKEY" localSheetId="6">#REF!</definedName>
    <definedName name="TESTHKEY">#REF!</definedName>
    <definedName name="TESTKEYS" localSheetId="20">#REF!</definedName>
    <definedName name="TESTKEYS" localSheetId="32">#REF!</definedName>
    <definedName name="TESTKEYS" localSheetId="6">#REF!</definedName>
    <definedName name="TESTKEYS">#REF!</definedName>
    <definedName name="TESTVKEY" localSheetId="20">#REF!</definedName>
    <definedName name="TESTVKEY" localSheetId="32">#REF!</definedName>
    <definedName name="TESTVKEY" localSheetId="6">#REF!</definedName>
    <definedName name="TESTVKEY">#REF!</definedName>
    <definedName name="Toggle" localSheetId="31">Projection</definedName>
    <definedName name="Toggle" localSheetId="32">Projection</definedName>
    <definedName name="Toggle">Projection</definedName>
    <definedName name="Toggle.list">#REF!</definedName>
    <definedName name="TOTAL_COLUMBIANA" localSheetId="20">#REF!</definedName>
    <definedName name="TOTAL_COLUMBIANA" localSheetId="26">#REF!</definedName>
    <definedName name="TOTAL_COLUMBIANA" localSheetId="27">#REF!</definedName>
    <definedName name="TOTAL_COLUMBIANA" localSheetId="19">#REF!</definedName>
    <definedName name="TOTAL_COLUMBIANA" localSheetId="30">#REF!</definedName>
    <definedName name="TOTAL_COLUMBIANA" localSheetId="2">#REF!</definedName>
    <definedName name="TOTAL_COLUMBIANA" localSheetId="31">#REF!</definedName>
    <definedName name="TOTAL_COLUMBIANA" localSheetId="32">#REF!</definedName>
    <definedName name="TOTAL_COLUMBIANA" localSheetId="6">#REF!</definedName>
    <definedName name="TOTAL_COLUMBIANA" localSheetId="7">#REF!</definedName>
    <definedName name="TOTAL_COLUMBIANA">#REF!</definedName>
    <definedName name="Total_Grove_City" localSheetId="20">#REF!</definedName>
    <definedName name="Total_Grove_City" localSheetId="26">#REF!</definedName>
    <definedName name="Total_Grove_City" localSheetId="27">#REF!</definedName>
    <definedName name="Total_Grove_City" localSheetId="19">#REF!</definedName>
    <definedName name="Total_Grove_City" localSheetId="30">#REF!</definedName>
    <definedName name="Total_Grove_City" localSheetId="2">#REF!</definedName>
    <definedName name="Total_Grove_City" localSheetId="32">#REF!</definedName>
    <definedName name="Total_Grove_City" localSheetId="6">#REF!</definedName>
    <definedName name="Total_Grove_City" localSheetId="7">#REF!</definedName>
    <definedName name="Total_Grove_City">#REF!</definedName>
    <definedName name="TOTAL_HUDSON" localSheetId="20">#REF!</definedName>
    <definedName name="TOTAL_HUDSON" localSheetId="26">#REF!</definedName>
    <definedName name="TOTAL_HUDSON" localSheetId="27">#REF!</definedName>
    <definedName name="TOTAL_HUDSON" localSheetId="19">#REF!</definedName>
    <definedName name="TOTAL_HUDSON" localSheetId="30">#REF!</definedName>
    <definedName name="TOTAL_HUDSON" localSheetId="2">#REF!</definedName>
    <definedName name="TOTAL_HUDSON" localSheetId="32">#REF!</definedName>
    <definedName name="TOTAL_HUDSON" localSheetId="6">#REF!</definedName>
    <definedName name="TOTAL_HUDSON" localSheetId="7">#REF!</definedName>
    <definedName name="TOTAL_HUDSON">#REF!</definedName>
    <definedName name="TOTAL_MONTPELIER" localSheetId="20">#REF!</definedName>
    <definedName name="TOTAL_MONTPELIER" localSheetId="26">#REF!</definedName>
    <definedName name="TOTAL_MONTPELIER" localSheetId="27">#REF!</definedName>
    <definedName name="TOTAL_MONTPELIER" localSheetId="19">#REF!</definedName>
    <definedName name="TOTAL_MONTPELIER" localSheetId="30">#REF!</definedName>
    <definedName name="TOTAL_MONTPELIER" localSheetId="2">#REF!</definedName>
    <definedName name="TOTAL_MONTPELIER" localSheetId="32">#REF!</definedName>
    <definedName name="TOTAL_MONTPELIER" localSheetId="6">#REF!</definedName>
    <definedName name="TOTAL_MONTPELIER" localSheetId="7">#REF!</definedName>
    <definedName name="TOTAL_MONTPELIER">#REF!</definedName>
    <definedName name="TOTAL_WOODVILLE" localSheetId="20">#REF!</definedName>
    <definedName name="TOTAL_WOODVILLE" localSheetId="26">#REF!</definedName>
    <definedName name="TOTAL_WOODVILLE" localSheetId="27">#REF!</definedName>
    <definedName name="TOTAL_WOODVILLE" localSheetId="19">#REF!</definedName>
    <definedName name="TOTAL_WOODVILLE" localSheetId="30">#REF!</definedName>
    <definedName name="TOTAL_WOODVILLE" localSheetId="2">#REF!</definedName>
    <definedName name="TOTAL_WOODVILLE" localSheetId="32">#REF!</definedName>
    <definedName name="TOTAL_WOODVILLE" localSheetId="6">#REF!</definedName>
    <definedName name="TOTAL_WOODVILLE" localSheetId="7">#REF!</definedName>
    <definedName name="TOTAL_WOODVILLE">#REF!</definedName>
    <definedName name="transmission.fixed.charge.rate">0.1525</definedName>
    <definedName name="True_up">#REF!</definedName>
    <definedName name="WADSWORTH" localSheetId="20">#REF!</definedName>
    <definedName name="WADSWORTH" localSheetId="26">#REF!</definedName>
    <definedName name="WADSWORTH" localSheetId="27">#REF!</definedName>
    <definedName name="WADSWORTH" localSheetId="19">#REF!</definedName>
    <definedName name="WADSWORTH" localSheetId="30">#REF!</definedName>
    <definedName name="WADSWORTH" localSheetId="2">#REF!</definedName>
    <definedName name="WADSWORTH" localSheetId="31">#REF!</definedName>
    <definedName name="WADSWORTH" localSheetId="32">#REF!</definedName>
    <definedName name="WADSWORTH" localSheetId="6">#REF!</definedName>
    <definedName name="WADSWORTH" localSheetId="7">#REF!</definedName>
    <definedName name="WADSWORTH">#REF!</definedName>
    <definedName name="WELLINGTON" localSheetId="20">#REF!</definedName>
    <definedName name="WELLINGTON" localSheetId="26">#REF!</definedName>
    <definedName name="WELLINGTON" localSheetId="27">#REF!</definedName>
    <definedName name="WELLINGTON" localSheetId="19">#REF!</definedName>
    <definedName name="WELLINGTON" localSheetId="30">#REF!</definedName>
    <definedName name="WELLINGTON" localSheetId="2">#REF!</definedName>
    <definedName name="WELLINGTON" localSheetId="32">#REF!</definedName>
    <definedName name="WELLINGTON" localSheetId="6">#REF!</definedName>
    <definedName name="WELLINGTON" localSheetId="7">#REF!</definedName>
    <definedName name="WELLINGTON">#REF!</definedName>
    <definedName name="wrn.All._.Pages." localSheetId="31" hidden="1">{#N/A,#N/A,FALSE,"Cover";#N/A,#N/A,FALSE,"Lead Sheet";#N/A,#N/A,FALSE,"T-Accounts";#N/A,#N/A,FALSE,"Ins &amp; Prem ActualEstimates"}</definedName>
    <definedName name="wrn.All._.Pages." localSheetId="32" hidden="1">{#N/A,#N/A,FALSE,"Cover";#N/A,#N/A,FALSE,"Lead Sheet";#N/A,#N/A,FALSE,"T-Accounts";#N/A,#N/A,FALSE,"Ins &amp; Prem ActualEstimates"}</definedName>
    <definedName name="wrn.All._.Pages." hidden="1">{#N/A,#N/A,FALSE,"Cover";#N/A,#N/A,FALSE,"Lead Sheet";#N/A,#N/A,FALSE,"T-Accounts";#N/A,#N/A,FALSE,"Ins &amp; Prem ActualEstimates"}</definedName>
    <definedName name="wrn.Factors._.Tab._.10." localSheetId="31" hidden="1">{"Factors Pages 1-2",#N/A,FALSE,"Factors";"Factors Page 3",#N/A,FALSE,"Factors";"Factors Page 4",#N/A,FALSE,"Factors";"Factors Page 5",#N/A,FALSE,"Factors";"Factors Pages 8-27",#N/A,FALSE,"Factors"}</definedName>
    <definedName name="wrn.Factors._.Tab._.10." localSheetId="32"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OR._.Carrying._.Charge._.JV." localSheetId="31" hidden="1">{#N/A,#N/A,FALSE,"Loans";#N/A,#N/A,FALSE,"Program Costs";#N/A,#N/A,FALSE,"Measures";#N/A,#N/A,FALSE,"Net Lost Rev";#N/A,#N/A,FALSE,"Incentive"}</definedName>
    <definedName name="wrn.OR._.Carrying._.Charge._.JV." localSheetId="32"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1" hidden="1">{#N/A,#N/A,FALSE,"Loans";#N/A,#N/A,FALSE,"Program Costs";#N/A,#N/A,FALSE,"Measures";#N/A,#N/A,FALSE,"Net Lost Rev";#N/A,#N/A,FALSE,"Incentive"}</definedName>
    <definedName name="wrn.OR._.Carrying._.Charge._.JV.1" localSheetId="32"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SALES._.VAR._.95._.BUDGET." localSheetId="31" hidden="1">{"PRINT",#N/A,TRUE,"APPA";"PRINT",#N/A,TRUE,"APS";"PRINT",#N/A,TRUE,"BHPL";"PRINT",#N/A,TRUE,"BHPL2";"PRINT",#N/A,TRUE,"CDWR";"PRINT",#N/A,TRUE,"EWEB";"PRINT",#N/A,TRUE,"LADWP";"PRINT",#N/A,TRUE,"NEVBASE"}</definedName>
    <definedName name="wrn.SALES._.VAR._.95._.BUDGET." localSheetId="32"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YearEnd." localSheetId="31" hidden="1">{"Factors Pages 1-2",#N/A,FALSE,"Variables";"Factors Page 3",#N/A,FALSE,"Variables";"Factors Page 4",#N/A,FALSE,"Variables";"Factors Page 5",#N/A,FALSE,"Variables";"YE Pages 7-26",#N/A,FALSE,"Variables"}</definedName>
    <definedName name="wrn.YearEnd." localSheetId="32"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Xcel" localSheetId="20">#REF!</definedName>
    <definedName name="Xcel" localSheetId="26">#REF!</definedName>
    <definedName name="Xcel" localSheetId="27">#REF!</definedName>
    <definedName name="Xcel" localSheetId="14">#REF!</definedName>
    <definedName name="Xcel" localSheetId="18">#REF!</definedName>
    <definedName name="Xcel" localSheetId="19">#REF!</definedName>
    <definedName name="Xcel" localSheetId="30">#REF!</definedName>
    <definedName name="Xcel" localSheetId="31">#REF!</definedName>
    <definedName name="Xcel" localSheetId="32">#REF!</definedName>
    <definedName name="Xcel" localSheetId="4">#REF!</definedName>
    <definedName name="Xcel" localSheetId="5">#REF!</definedName>
    <definedName name="Xcel" localSheetId="12">#REF!</definedName>
    <definedName name="Xcel" localSheetId="13">#REF!</definedName>
    <definedName name="Xcel" localSheetId="6">#REF!</definedName>
    <definedName name="Xcel" localSheetId="7">#REF!</definedName>
    <definedName name="Xcel">#REF!</definedName>
    <definedName name="Xcel_COS" localSheetId="20">#REF!</definedName>
    <definedName name="Xcel_COS" localSheetId="26">#REF!</definedName>
    <definedName name="Xcel_COS" localSheetId="27">#REF!</definedName>
    <definedName name="Xcel_COS" localSheetId="19">#REF!</definedName>
    <definedName name="Xcel_COS" localSheetId="30">#REF!</definedName>
    <definedName name="Xcel_COS" localSheetId="2">#REF!</definedName>
    <definedName name="Xcel_COS" localSheetId="31">#REF!</definedName>
    <definedName name="Xcel_COS" localSheetId="32">#REF!</definedName>
    <definedName name="Xcel_COS" localSheetId="6">#REF!</definedName>
    <definedName name="Xcel_COS" localSheetId="7">#REF!</definedName>
    <definedName name="Xcel_COS">#REF!</definedName>
    <definedName name="Z_28948E05_8F34_4F1E_96FB_A80A6A844600_.wvu.Cols" localSheetId="16" hidden="1">'Attachment 11 - TEC'!#REF!</definedName>
    <definedName name="Z_28948E05_8F34_4F1E_96FB_A80A6A844600_.wvu.Cols" localSheetId="18" hidden="1">'Attachment 12 - TEC True-up'!#REF!</definedName>
    <definedName name="Z_28948E05_8F34_4F1E_96FB_A80A6A844600_.wvu.Cols" localSheetId="8" hidden="1">'WP03-B ADIT Detail'!$G:$G</definedName>
    <definedName name="Z_28948E05_8F34_4F1E_96FB_A80A6A844600_.wvu.PrintArea" localSheetId="8" hidden="1">'WP03-B ADIT Detail'!$B$1:$K$135</definedName>
    <definedName name="Z_28948E05_8F34_4F1E_96FB_A80A6A844600_.wvu.PrintTitles" localSheetId="16" hidden="1">'Attachment 11 - TEC'!$C:$D</definedName>
    <definedName name="Z_28948E05_8F34_4F1E_96FB_A80A6A844600_.wvu.PrintTitles" localSheetId="18" hidden="1">'Attachment 12 - TEC True-up'!$C:$D</definedName>
    <definedName name="Z_28948E05_8F34_4F1E_96FB_A80A6A844600_.wvu.Rows" localSheetId="2" hidden="1">'Attachment 2 - Incentive ROE'!#REF!,'Attachment 2 - Incentive ROE'!#REF!</definedName>
    <definedName name="Z_33E6FFDF_CB42_4A87_B460_A01A45F9A9A1_.wvu.PrintArea" localSheetId="17" hidden="1">'Attach 11a - TEC Cost Support'!$A$1:$AI$42</definedName>
    <definedName name="Z_33E6FFDF_CB42_4A87_B460_A01A45F9A9A1_.wvu.PrintArea" localSheetId="20" hidden="1">'Attach 13a-TEC Rev Req True up'!$A$1:$J$55</definedName>
    <definedName name="Z_33E6FFDF_CB42_4A87_B460_A01A45F9A9A1_.wvu.PrintArea" localSheetId="25" hidden="1">'Attach 16a Reg Asset-Storms'!$A$1:$I$24</definedName>
    <definedName name="Z_33E6FFDF_CB42_4A87_B460_A01A45F9A9A1_.wvu.PrintArea" localSheetId="26" hidden="1">'Attach 16b Reg Asset-Veg Mgmt'!$A$1:$I$24</definedName>
    <definedName name="Z_33E6FFDF_CB42_4A87_B460_A01A45F9A9A1_.wvu.PrintArea" localSheetId="27" hidden="1">'Attach 16c Reg Asset-start Cost'!$A$1:$I$24</definedName>
    <definedName name="Z_33E6FFDF_CB42_4A87_B460_A01A45F9A9A1_.wvu.PrintArea" localSheetId="9" hidden="1">'Attach 5a - ADIT Norm JC-T'!$A$1:$S$29</definedName>
    <definedName name="Z_33E6FFDF_CB42_4A87_B460_A01A45F9A9A1_.wvu.PrintArea" localSheetId="14" hidden="1">'Attach 9 - Stated-value Inputs'!$A$1:$I$48</definedName>
    <definedName name="Z_33E6FFDF_CB42_4A87_B460_A01A45F9A9A1_.wvu.PrintArea" localSheetId="1" hidden="1">'Attachment 1 - Sched 1A'!$A$1:$J$18</definedName>
    <definedName name="Z_33E6FFDF_CB42_4A87_B460_A01A45F9A9A1_.wvu.PrintArea" localSheetId="15" hidden="1">'Attachment 10 - Debt Cost'!$A$1:$AA$59</definedName>
    <definedName name="Z_33E6FFDF_CB42_4A87_B460_A01A45F9A9A1_.wvu.PrintArea" localSheetId="16" hidden="1">'Attachment 11 - TEC'!$A$1:$S$103</definedName>
    <definedName name="Z_33E6FFDF_CB42_4A87_B460_A01A45F9A9A1_.wvu.PrintArea" localSheetId="18" hidden="1">'Attachment 12 - TEC True-up'!$A$1:$M$66</definedName>
    <definedName name="Z_33E6FFDF_CB42_4A87_B460_A01A45F9A9A1_.wvu.PrintArea" localSheetId="19" hidden="1">'Attachment 13 - Rev Req True-up'!$A$1:$J$55</definedName>
    <definedName name="Z_33E6FFDF_CB42_4A87_B460_A01A45F9A9A1_.wvu.PrintArea" localSheetId="21" hidden="1">'Attachment 14 - Other Rate Base'!$A$1:$I$72</definedName>
    <definedName name="Z_33E6FFDF_CB42_4A87_B460_A01A45F9A9A1_.wvu.PrintArea" localSheetId="22" hidden="1">'Attachment 15 - Income Tax Adj'!$A$1:$F$23</definedName>
    <definedName name="Z_33E6FFDF_CB42_4A87_B460_A01A45F9A9A1_.wvu.PrintArea" localSheetId="28" hidden="1">'Attachment 17 - Abandoned Plant'!$A$1:$J$24</definedName>
    <definedName name="Z_33E6FFDF_CB42_4A87_B460_A01A45F9A9A1_.wvu.PrintArea" localSheetId="30" hidden="1">'Attachment 19 - Tax Rates'!$A$1:$I$32</definedName>
    <definedName name="Z_33E6FFDF_CB42_4A87_B460_A01A45F9A9A1_.wvu.PrintArea" localSheetId="2" hidden="1">'Attachment 2 - Incentive ROE'!$A$1:$K$78</definedName>
    <definedName name="Z_33E6FFDF_CB42_4A87_B460_A01A45F9A9A1_.wvu.PrintArea" localSheetId="31" hidden="1">'Attachment 20 - O&amp;M and A&amp;G'!$A$1:$G$77</definedName>
    <definedName name="Z_33E6FFDF_CB42_4A87_B460_A01A45F9A9A1_.wvu.PrintArea" localSheetId="32" hidden="1">'Attachment 21 - Revenue Credits'!$A$1:$K$29</definedName>
    <definedName name="Z_33E6FFDF_CB42_4A87_B460_A01A45F9A9A1_.wvu.PrintArea" localSheetId="3" hidden="1">'Attachment 3 - Gross Plant'!$A$1:$L$68</definedName>
    <definedName name="Z_33E6FFDF_CB42_4A87_B460_A01A45F9A9A1_.wvu.PrintArea" localSheetId="4" hidden="1">'Attachment 4 - Accum Depr'!$A$1:$L$67</definedName>
    <definedName name="Z_33E6FFDF_CB42_4A87_B460_A01A45F9A9A1_.wvu.PrintArea" localSheetId="5" hidden="1">'Attachment 5 - ADIT'!$A$1:$O$49</definedName>
    <definedName name="Z_33E6FFDF_CB42_4A87_B460_A01A45F9A9A1_.wvu.PrintArea" localSheetId="10" hidden="1">'Attachment 5b - ADIT Detail'!$A$1:$E$30</definedName>
    <definedName name="Z_33E6FFDF_CB42_4A87_B460_A01A45F9A9A1_.wvu.PrintArea" localSheetId="0" hidden="1">'Attachment H-28A MAIT '!$A$1:$K$330</definedName>
    <definedName name="Z_33E6FFDF_CB42_4A87_B460_A01A45F9A9A1_.wvu.PrintArea" localSheetId="6" hidden="1">'Attch 5a - ADIT Normalization'!$A$1:$T$37</definedName>
    <definedName name="Z_33E6FFDF_CB42_4A87_B460_A01A45F9A9A1_.wvu.PrintArea" localSheetId="8" hidden="1">'WP03-B ADIT Detail'!$A$1:$M$359</definedName>
    <definedName name="Z_33E6FFDF_CB42_4A87_B460_A01A45F9A9A1_.wvu.PrintTitles" localSheetId="16" hidden="1">'Attachment 11 - TEC'!$C:$D</definedName>
    <definedName name="Z_33E6FFDF_CB42_4A87_B460_A01A45F9A9A1_.wvu.PrintTitles" localSheetId="18" hidden="1">'Attachment 12 - TEC True-up'!$C:$D</definedName>
    <definedName name="Z_33E6FFDF_CB42_4A87_B460_A01A45F9A9A1_.wvu.Rows" localSheetId="9" hidden="1">'Attach 5a - ADIT Norm JC-T'!$21:$28</definedName>
    <definedName name="Z_33E6FFDF_CB42_4A87_B460_A01A45F9A9A1_.wvu.Rows" localSheetId="15" hidden="1">'Attachment 10 - Debt Cost'!$28:$28</definedName>
    <definedName name="Z_33E6FFDF_CB42_4A87_B460_A01A45F9A9A1_.wvu.Rows" localSheetId="6" hidden="1">'Attch 5a - ADIT Normalization'!$29:$36</definedName>
    <definedName name="Z_394295C0_A883_44EC_B980_C2FACD4B6EBA_.wvu.PrintArea" localSheetId="17" hidden="1">'Attach 11a - TEC Cost Support'!$A$1:$AI$42</definedName>
    <definedName name="Z_394295C0_A883_44EC_B980_C2FACD4B6EBA_.wvu.PrintArea" localSheetId="20" hidden="1">'Attach 13a-TEC Rev Req True up'!$A$1:$J$55</definedName>
    <definedName name="Z_394295C0_A883_44EC_B980_C2FACD4B6EBA_.wvu.PrintArea" localSheetId="25" hidden="1">'Attach 16a Reg Asset-Storms'!$A$1:$I$24</definedName>
    <definedName name="Z_394295C0_A883_44EC_B980_C2FACD4B6EBA_.wvu.PrintArea" localSheetId="26" hidden="1">'Attach 16b Reg Asset-Veg Mgmt'!$A$1:$I$24</definedName>
    <definedName name="Z_394295C0_A883_44EC_B980_C2FACD4B6EBA_.wvu.PrintArea" localSheetId="27" hidden="1">'Attach 16c Reg Asset-start Cost'!$A$1:$I$24</definedName>
    <definedName name="Z_394295C0_A883_44EC_B980_C2FACD4B6EBA_.wvu.PrintArea" localSheetId="9" hidden="1">'Attach 5a - ADIT Norm JC-T'!$A$1:$S$29</definedName>
    <definedName name="Z_394295C0_A883_44EC_B980_C2FACD4B6EBA_.wvu.PrintArea" localSheetId="14" hidden="1">'Attach 9 - Stated-value Inputs'!$A$1:$I$48</definedName>
    <definedName name="Z_394295C0_A883_44EC_B980_C2FACD4B6EBA_.wvu.PrintArea" localSheetId="1" hidden="1">'Attachment 1 - Sched 1A'!$A$1:$J$18</definedName>
    <definedName name="Z_394295C0_A883_44EC_B980_C2FACD4B6EBA_.wvu.PrintArea" localSheetId="15" hidden="1">'Attachment 10 - Debt Cost'!$A$1:$AA$59</definedName>
    <definedName name="Z_394295C0_A883_44EC_B980_C2FACD4B6EBA_.wvu.PrintArea" localSheetId="16" hidden="1">'Attachment 11 - TEC'!$A$1:$S$103</definedName>
    <definedName name="Z_394295C0_A883_44EC_B980_C2FACD4B6EBA_.wvu.PrintArea" localSheetId="18" hidden="1">'Attachment 12 - TEC True-up'!$A$1:$M$66</definedName>
    <definedName name="Z_394295C0_A883_44EC_B980_C2FACD4B6EBA_.wvu.PrintArea" localSheetId="19" hidden="1">'Attachment 13 - Rev Req True-up'!$A$1:$J$55</definedName>
    <definedName name="Z_394295C0_A883_44EC_B980_C2FACD4B6EBA_.wvu.PrintArea" localSheetId="21" hidden="1">'Attachment 14 - Other Rate Base'!$A$1:$I$72</definedName>
    <definedName name="Z_394295C0_A883_44EC_B980_C2FACD4B6EBA_.wvu.PrintArea" localSheetId="22" hidden="1">'Attachment 15 - Income Tax Adj'!$A$1:$F$23</definedName>
    <definedName name="Z_394295C0_A883_44EC_B980_C2FACD4B6EBA_.wvu.PrintArea" localSheetId="28" hidden="1">'Attachment 17 - Abandoned Plant'!$A$1:$J$24</definedName>
    <definedName name="Z_394295C0_A883_44EC_B980_C2FACD4B6EBA_.wvu.PrintArea" localSheetId="30" hidden="1">'Attachment 19 - Tax Rates'!$A$1:$I$32</definedName>
    <definedName name="Z_394295C0_A883_44EC_B980_C2FACD4B6EBA_.wvu.PrintArea" localSheetId="2" hidden="1">'Attachment 2 - Incentive ROE'!$A$1:$K$78</definedName>
    <definedName name="Z_394295C0_A883_44EC_B980_C2FACD4B6EBA_.wvu.PrintArea" localSheetId="31" hidden="1">'Attachment 20 - O&amp;M and A&amp;G'!$A$1:$G$77</definedName>
    <definedName name="Z_394295C0_A883_44EC_B980_C2FACD4B6EBA_.wvu.PrintArea" localSheetId="32" hidden="1">'Attachment 21 - Revenue Credits'!$A$1:$K$29</definedName>
    <definedName name="Z_394295C0_A883_44EC_B980_C2FACD4B6EBA_.wvu.PrintArea" localSheetId="3" hidden="1">'Attachment 3 - Gross Plant'!$A$1:$L$68</definedName>
    <definedName name="Z_394295C0_A883_44EC_B980_C2FACD4B6EBA_.wvu.PrintArea" localSheetId="4" hidden="1">'Attachment 4 - Accum Depr'!$A$1:$L$67</definedName>
    <definedName name="Z_394295C0_A883_44EC_B980_C2FACD4B6EBA_.wvu.PrintArea" localSheetId="5" hidden="1">'Attachment 5 - ADIT'!$A$1:$O$49</definedName>
    <definedName name="Z_394295C0_A883_44EC_B980_C2FACD4B6EBA_.wvu.PrintArea" localSheetId="10" hidden="1">'Attachment 5b - ADIT Detail'!$A$1:$E$30</definedName>
    <definedName name="Z_394295C0_A883_44EC_B980_C2FACD4B6EBA_.wvu.PrintArea" localSheetId="0" hidden="1">'Attachment H-28A MAIT '!$A$1:$K$330</definedName>
    <definedName name="Z_394295C0_A883_44EC_B980_C2FACD4B6EBA_.wvu.PrintArea" localSheetId="6" hidden="1">'Attch 5a - ADIT Normalization'!$A$1:$T$37</definedName>
    <definedName name="Z_394295C0_A883_44EC_B980_C2FACD4B6EBA_.wvu.PrintArea" localSheetId="8" hidden="1">'WP03-B ADIT Detail'!$A$1:$M$359</definedName>
    <definedName name="Z_394295C0_A883_44EC_B980_C2FACD4B6EBA_.wvu.PrintTitles" localSheetId="16" hidden="1">'Attachment 11 - TEC'!$C:$D</definedName>
    <definedName name="Z_394295C0_A883_44EC_B980_C2FACD4B6EBA_.wvu.PrintTitles" localSheetId="18" hidden="1">'Attachment 12 - TEC True-up'!$C:$D</definedName>
    <definedName name="Z_394295C0_A883_44EC_B980_C2FACD4B6EBA_.wvu.Rows" localSheetId="9" hidden="1">'Attach 5a - ADIT Norm JC-T'!$21:$28</definedName>
    <definedName name="Z_394295C0_A883_44EC_B980_C2FACD4B6EBA_.wvu.Rows" localSheetId="15" hidden="1">'Attachment 10 - Debt Cost'!$28:$28</definedName>
    <definedName name="Z_394295C0_A883_44EC_B980_C2FACD4B6EBA_.wvu.Rows" localSheetId="6" hidden="1">'Attch 5a - ADIT Normalization'!$29:$36</definedName>
    <definedName name="Z_3A38DF7A_C35E_4DD3_9893_26310A3EF836_.wvu.Cols" localSheetId="16" hidden="1">'Attachment 11 - TEC'!#REF!</definedName>
    <definedName name="Z_3A38DF7A_C35E_4DD3_9893_26310A3EF836_.wvu.Cols" localSheetId="18" hidden="1">'Attachment 12 - TEC True-up'!#REF!</definedName>
    <definedName name="Z_3A38DF7A_C35E_4DD3_9893_26310A3EF836_.wvu.PrintTitles" localSheetId="16" hidden="1">'Attachment 11 - TEC'!$C:$D</definedName>
    <definedName name="Z_3A38DF7A_C35E_4DD3_9893_26310A3EF836_.wvu.PrintTitles" localSheetId="18" hidden="1">'Attachment 12 - TEC True-up'!$C:$D</definedName>
    <definedName name="Z_3A38DF7A_C35E_4DD3_9893_26310A3EF836_.wvu.Rows" localSheetId="2" hidden="1">'Attachment 2 - Incentive ROE'!#REF!</definedName>
    <definedName name="Z_4C7C2344_134C_465A_ADEB_A5E96AAE2308_.wvu.Cols" localSheetId="16" hidden="1">'Attachment 11 - TEC'!#REF!</definedName>
    <definedName name="Z_4C7C2344_134C_465A_ADEB_A5E96AAE2308_.wvu.Cols" localSheetId="18" hidden="1">'Attachment 12 - TEC True-up'!#REF!</definedName>
    <definedName name="Z_4C7C2344_134C_465A_ADEB_A5E96AAE2308_.wvu.PrintTitles" localSheetId="16" hidden="1">'Attachment 11 - TEC'!$C:$D</definedName>
    <definedName name="Z_4C7C2344_134C_465A_ADEB_A5E96AAE2308_.wvu.PrintTitles" localSheetId="18" hidden="1">'Attachment 12 - TEC True-up'!$C:$D</definedName>
    <definedName name="Z_4C7C2344_134C_465A_ADEB_A5E96AAE2308_.wvu.Rows" localSheetId="2" hidden="1">'Attachment 2 - Incentive ROE'!#REF!</definedName>
    <definedName name="Z_63011E91_4609_4523_98FE_FD252E915668_.wvu.Cols" localSheetId="8" hidden="1">'WP03-B ADIT Detail'!$G:$G</definedName>
    <definedName name="Z_63011E91_4609_4523_98FE_FD252E915668_.wvu.PrintArea" localSheetId="8" hidden="1">'WP03-B ADIT Detail'!$B$1:$K$135</definedName>
    <definedName name="Z_6928E596_79BD_4CEC_9F0D_07E62D69B2A5_.wvu.Cols" localSheetId="8" hidden="1">'WP03-B ADIT Detail'!$G:$G</definedName>
    <definedName name="Z_6928E596_79BD_4CEC_9F0D_07E62D69B2A5_.wvu.PrintArea" localSheetId="8" hidden="1">'WP03-B ADIT Detail'!$B$1:$K$135</definedName>
    <definedName name="Z_71B42B22_A376_44B5_B0C1_23FC1AA3DBA2_.wvu.Cols" localSheetId="16" hidden="1">'Attachment 11 - TEC'!#REF!</definedName>
    <definedName name="Z_71B42B22_A376_44B5_B0C1_23FC1AA3DBA2_.wvu.Cols" localSheetId="18" hidden="1">'Attachment 12 - TEC True-up'!#REF!</definedName>
    <definedName name="Z_71B42B22_A376_44B5_B0C1_23FC1AA3DBA2_.wvu.Cols" localSheetId="8" hidden="1">'WP03-B ADIT Detail'!$G:$G</definedName>
    <definedName name="Z_71B42B22_A376_44B5_B0C1_23FC1AA3DBA2_.wvu.PrintArea" localSheetId="8" hidden="1">'WP03-B ADIT Detail'!$B$1:$K$135</definedName>
    <definedName name="Z_71B42B22_A376_44B5_B0C1_23FC1AA3DBA2_.wvu.PrintTitles" localSheetId="16" hidden="1">'Attachment 11 - TEC'!$C:$D</definedName>
    <definedName name="Z_71B42B22_A376_44B5_B0C1_23FC1AA3DBA2_.wvu.PrintTitles" localSheetId="18" hidden="1">'Attachment 12 - TEC True-up'!$C:$D</definedName>
    <definedName name="Z_71B42B22_A376_44B5_B0C1_23FC1AA3DBA2_.wvu.Rows" localSheetId="2" hidden="1">'Attachment 2 - Incentive ROE'!#REF!,'Attachment 2 - Incentive ROE'!#REF!</definedName>
    <definedName name="Z_8FBB4DC9_2D51_4AB9_80D8_F8474B404C29_.wvu.Cols" localSheetId="8" hidden="1">'WP03-B ADIT Detail'!$G:$G</definedName>
    <definedName name="Z_8FBB4DC9_2D51_4AB9_80D8_F8474B404C29_.wvu.PrintArea" localSheetId="8" hidden="1">'WP03-B ADIT Detail'!$B$1:$K$135</definedName>
    <definedName name="Z_B647CB7F_C846_4278_B6B1_1EF7F3C004F5_.wvu.Cols" localSheetId="8" hidden="1">'WP03-B ADIT Detail'!$G:$G</definedName>
    <definedName name="Z_B647CB7F_C846_4278_B6B1_1EF7F3C004F5_.wvu.PrintArea" localSheetId="8" hidden="1">'WP03-B ADIT Detail'!$B$1:$K$135</definedName>
    <definedName name="Z_DA967730_B71F_4038_B1B7_9D4790729C5D_.wvu.Cols" localSheetId="16" hidden="1">'Attachment 11 - TEC'!#REF!</definedName>
    <definedName name="Z_DA967730_B71F_4038_B1B7_9D4790729C5D_.wvu.Cols" localSheetId="18" hidden="1">'Attachment 12 - TEC True-up'!#REF!</definedName>
    <definedName name="Z_DA967730_B71F_4038_B1B7_9D4790729C5D_.wvu.PrintTitles" localSheetId="16" hidden="1">'Attachment 11 - TEC'!$C:$D</definedName>
    <definedName name="Z_DA967730_B71F_4038_B1B7_9D4790729C5D_.wvu.PrintTitles" localSheetId="18" hidden="1">'Attachment 12 - TEC True-up'!$C:$D</definedName>
    <definedName name="Z_DA967730_B71F_4038_B1B7_9D4790729C5D_.wvu.Rows" localSheetId="2" hidden="1">'Attachment 2 - Incentive ROE'!#REF!</definedName>
    <definedName name="Z_DC91DEF3_837B_4BB9_A81E_3B78C5914E6C_.wvu.Cols" localSheetId="16" hidden="1">'Attachment 11 - TEC'!#REF!</definedName>
    <definedName name="Z_DC91DEF3_837B_4BB9_A81E_3B78C5914E6C_.wvu.Cols" localSheetId="18" hidden="1">'Attachment 12 - TEC True-up'!#REF!</definedName>
    <definedName name="Z_DC91DEF3_837B_4BB9_A81E_3B78C5914E6C_.wvu.Cols" localSheetId="8" hidden="1">'WP03-B ADIT Detail'!$G:$G</definedName>
    <definedName name="Z_DC91DEF3_837B_4BB9_A81E_3B78C5914E6C_.wvu.PrintArea" localSheetId="8" hidden="1">'WP03-B ADIT Detail'!$B$1:$K$135</definedName>
    <definedName name="Z_DC91DEF3_837B_4BB9_A81E_3B78C5914E6C_.wvu.PrintTitles" localSheetId="16" hidden="1">'Attachment 11 - TEC'!$C:$D</definedName>
    <definedName name="Z_DC91DEF3_837B_4BB9_A81E_3B78C5914E6C_.wvu.PrintTitles" localSheetId="18" hidden="1">'Attachment 12 - TEC True-up'!$C:$D</definedName>
    <definedName name="Z_DC91DEF3_837B_4BB9_A81E_3B78C5914E6C_.wvu.Rows" localSheetId="2" hidden="1">'Attachment 2 - Incentive ROE'!#REF!</definedName>
    <definedName name="Z_E1861F40_EBD5_44AE_868B_FDE0ED504D72_.wvu.PrintArea" localSheetId="1" hidden="1">'Attachment 1 - Sched 1A'!$B$1:$I$18</definedName>
    <definedName name="Z_E1861F40_EBD5_44AE_868B_FDE0ED504D72_.wvu.PrintArea" localSheetId="16" hidden="1">'Attachment 11 - TEC'!$A$1:$N$100</definedName>
    <definedName name="Z_E1861F40_EBD5_44AE_868B_FDE0ED504D72_.wvu.PrintArea" localSheetId="18" hidden="1">'Attachment 12 - TEC True-up'!$A$1:$L$66</definedName>
    <definedName name="Z_E1861F40_EBD5_44AE_868B_FDE0ED504D72_.wvu.PrintArea" localSheetId="0" hidden="1">'Attachment H-28A MAIT '!$A$1:$K$330</definedName>
    <definedName name="Z_E1861F40_EBD5_44AE_868B_FDE0ED504D72_.wvu.PrintTitles" localSheetId="16" hidden="1">'Attachment 11 - TEC'!$C:$D</definedName>
    <definedName name="Z_E1861F40_EBD5_44AE_868B_FDE0ED504D72_.wvu.PrintTitles" localSheetId="18" hidden="1">'Attachment 12 - TEC True-up'!$C:$D</definedName>
    <definedName name="Z_F96D6087_3330_4A81_95EC_26BA83722A49_.wvu.Cols" localSheetId="16" hidden="1">'Attachment 11 - TEC'!#REF!</definedName>
    <definedName name="Z_F96D6087_3330_4A81_95EC_26BA83722A49_.wvu.Cols" localSheetId="18" hidden="1">'Attachment 12 - TEC True-up'!#REF!</definedName>
    <definedName name="Z_F96D6087_3330_4A81_95EC_26BA83722A49_.wvu.PrintTitles" localSheetId="16" hidden="1">'Attachment 11 - TEC'!$C:$D</definedName>
    <definedName name="Z_F96D6087_3330_4A81_95EC_26BA83722A49_.wvu.PrintTitles" localSheetId="18" hidden="1">'Attachment 12 - TEC True-up'!$C:$D</definedName>
    <definedName name="Z_F96D6087_3330_4A81_95EC_26BA83722A49_.wvu.Rows" localSheetId="2" hidden="1">'Attachment 2 - Incentive ROE'!#REF!</definedName>
    <definedName name="Z_FAAD9AAC_1337_43AB_BF1F_CCF9DFCF5B78_.wvu.Cols" localSheetId="16" hidden="1">'Attachment 11 - TEC'!#REF!</definedName>
    <definedName name="Z_FAAD9AAC_1337_43AB_BF1F_CCF9DFCF5B78_.wvu.Cols" localSheetId="18" hidden="1">'Attachment 12 - TEC True-up'!#REF!</definedName>
    <definedName name="Z_FAAD9AAC_1337_43AB_BF1F_CCF9DFCF5B78_.wvu.Cols" localSheetId="8" hidden="1">'WP03-B ADIT Detail'!$G:$G</definedName>
    <definedName name="Z_FAAD9AAC_1337_43AB_BF1F_CCF9DFCF5B78_.wvu.PrintArea" localSheetId="8" hidden="1">'WP03-B ADIT Detail'!$B$1:$K$135</definedName>
    <definedName name="Z_FAAD9AAC_1337_43AB_BF1F_CCF9DFCF5B78_.wvu.PrintTitles" localSheetId="16" hidden="1">'Attachment 11 - TEC'!$C:$D</definedName>
    <definedName name="Z_FAAD9AAC_1337_43AB_BF1F_CCF9DFCF5B78_.wvu.PrintTitles" localSheetId="18" hidden="1">'Attachment 12 - TEC True-up'!$C:$D</definedName>
    <definedName name="Z_FAAD9AAC_1337_43AB_BF1F_CCF9DFCF5B78_.wvu.Rows" localSheetId="2" hidden="1">'Attachment 2 - Incentive ROE'!#REF!</definedName>
  </definedNames>
  <calcPr calcId="191029"/>
  <customWorkbookViews>
    <customWorkbookView name="Blarr, Diane D - Personal View" guid="{33e6ffdf-cb42-4a87-b460-a01a45f9a9a1}" activeSheetId="20" xWindow="0" yWindow="-8" windowWidth="1696" windowHeight="1026" mergeInterval="0" personalView="1" maximized="1" tabRatio="674"/>
    <customWorkbookView name="Schock, Michael C - Personal View" guid="{e1861f40-ebd5-44ae-868b-fde0ed504d72}" activeSheetId="1" xWindow="0" yWindow="-8" windowWidth="1696" windowHeight="1026" mergeInterval="0" personalView="1" maximized="1" tabRatio="928"/>
    <customWorkbookView name="Sreenivasan, Preethi - Personal View" guid="{394295c0-a883-44ec-b980-c2facd4b6eba}" activeSheetId="1" xWindow="1912" yWindow="-123" windowWidth="2576" windowHeight="1416" mergeInterval="0" personalView="1" maximized="1" tabRatio="67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28" l="1"/>
</calcChain>
</file>

<file path=xl/sharedStrings.xml><?xml version="1.0" encoding="utf-8"?>
<sst xmlns="http://schemas.openxmlformats.org/spreadsheetml/2006/main" count="3643" uniqueCount="1508">
  <si>
    <t>page 1 of 5</t>
  </si>
  <si>
    <t xml:space="preserve">Formula Rate - Non-Levelized </t>
  </si>
  <si>
    <t xml:space="preserve">     Rate Formula Template</t>
  </si>
  <si>
    <t xml:space="preserve"> </t>
  </si>
  <si>
    <t xml:space="preserve"> Utilizing FERC Form 1 Data</t>
  </si>
  <si>
    <t>Line</t>
  </si>
  <si>
    <t>Allocated</t>
  </si>
  <si>
    <t>No.</t>
  </si>
  <si>
    <t>Amount</t>
  </si>
  <si>
    <t>(Note T)</t>
  </si>
  <si>
    <t>Total</t>
  </si>
  <si>
    <t>Allocator</t>
  </si>
  <si>
    <t xml:space="preserve">  Account No. 454</t>
  </si>
  <si>
    <t>TP</t>
  </si>
  <si>
    <t xml:space="preserve">  Revenues from Grandfathered Interzonal Transactions</t>
  </si>
  <si>
    <t xml:space="preserve">  Revenues from service provided by the ISO at a discount</t>
  </si>
  <si>
    <t xml:space="preserve">DIVISOR </t>
  </si>
  <si>
    <t>(Note A)</t>
  </si>
  <si>
    <t>(Note B)</t>
  </si>
  <si>
    <t>(Note C)</t>
  </si>
  <si>
    <t>(Note D)</t>
  </si>
  <si>
    <t>page 2 of 5</t>
  </si>
  <si>
    <t>(1)</t>
  </si>
  <si>
    <t>(2)</t>
  </si>
  <si>
    <t>(3)</t>
  </si>
  <si>
    <t>(4)</t>
  </si>
  <si>
    <t>(5)</t>
  </si>
  <si>
    <t>(6)</t>
  </si>
  <si>
    <t>Transmission</t>
  </si>
  <si>
    <t>Company Total</t>
  </si>
  <si>
    <t xml:space="preserve">                  Allocator</t>
  </si>
  <si>
    <t>(Col 3 times Col 4)</t>
  </si>
  <si>
    <t>RATE BASE:</t>
  </si>
  <si>
    <t>GROSS PLANT IN SERVICE</t>
  </si>
  <si>
    <t xml:space="preserve">  Production</t>
  </si>
  <si>
    <t>NA</t>
  </si>
  <si>
    <t xml:space="preserve">  Transmission</t>
  </si>
  <si>
    <t xml:space="preserve">  Distribution</t>
  </si>
  <si>
    <t xml:space="preserve">  General &amp; Intangible</t>
  </si>
  <si>
    <t>W/S</t>
  </si>
  <si>
    <t xml:space="preserve">  Common</t>
  </si>
  <si>
    <t>CE</t>
  </si>
  <si>
    <t>TOTAL GROSS PLANT (sum lines 1-5)</t>
  </si>
  <si>
    <t>GP=</t>
  </si>
  <si>
    <t>ACCUMULATED DEPRECIATION</t>
  </si>
  <si>
    <t>219.20-24.c</t>
  </si>
  <si>
    <t>219.26.c</t>
  </si>
  <si>
    <t>NET PLANT IN SERVICE</t>
  </si>
  <si>
    <t>TOTAL NET PLANT (sum lines 13-17)</t>
  </si>
  <si>
    <t>NP=</t>
  </si>
  <si>
    <t xml:space="preserve">  Account No. 281 (enter negative)</t>
  </si>
  <si>
    <t>273.8.k</t>
  </si>
  <si>
    <t xml:space="preserve">  Account No. 282 (enter negative)</t>
  </si>
  <si>
    <t>NP</t>
  </si>
  <si>
    <t xml:space="preserve">  Account No. 283 (enter negative)</t>
  </si>
  <si>
    <t xml:space="preserve">  Account No. 190 </t>
  </si>
  <si>
    <t xml:space="preserve">  Account No. 255 (enter negative)</t>
  </si>
  <si>
    <t xml:space="preserve">LAND HELD FOR FUTURE USE </t>
  </si>
  <si>
    <t>TE</t>
  </si>
  <si>
    <t xml:space="preserve">  Prepayments (Account 165)</t>
  </si>
  <si>
    <t>GP</t>
  </si>
  <si>
    <t xml:space="preserve">  Transmission </t>
  </si>
  <si>
    <t xml:space="preserve">     Less Account 565</t>
  </si>
  <si>
    <t xml:space="preserve">  A&amp;G</t>
  </si>
  <si>
    <t xml:space="preserve">     Less FERC Annual Fees</t>
  </si>
  <si>
    <t xml:space="preserve">  LABOR RELATED</t>
  </si>
  <si>
    <t xml:space="preserve">          Payroll</t>
  </si>
  <si>
    <t>263.i</t>
  </si>
  <si>
    <t xml:space="preserve">          Highway and vehicle</t>
  </si>
  <si>
    <t xml:space="preserve">  PLANT RELATED</t>
  </si>
  <si>
    <t xml:space="preserve">         Property</t>
  </si>
  <si>
    <t xml:space="preserve">         Gross Receipts</t>
  </si>
  <si>
    <t xml:space="preserve">         Other</t>
  </si>
  <si>
    <t xml:space="preserve">         Payments in lieu of taxes</t>
  </si>
  <si>
    <t xml:space="preserve">INCOME TAXES          </t>
  </si>
  <si>
    <t xml:space="preserve">     T=1 - {[(1 - SIT) * (1 - FIT)] / (1 - SIT * FIT * p)} =</t>
  </si>
  <si>
    <t xml:space="preserve">     CIT=(T/1-T) * (1-(WCLTD/R)) =</t>
  </si>
  <si>
    <t xml:space="preserve">       and FIT, SIT &amp; p are as given in footnote K.</t>
  </si>
  <si>
    <t>Total Income Taxes</t>
  </si>
  <si>
    <t xml:space="preserve">RETURN </t>
  </si>
  <si>
    <t xml:space="preserve">                SUPPORTING CALCULATIONS AND NOTES</t>
  </si>
  <si>
    <t>TRANSMISSION PLANT INCLUDED IN ISO RATES</t>
  </si>
  <si>
    <t>Transmission plant included in ISO rates  (line 1 less lines 2 &amp; 3)</t>
  </si>
  <si>
    <t>TP=</t>
  </si>
  <si>
    <t xml:space="preserve">TRANSMISSION EXPENSES </t>
  </si>
  <si>
    <t>TE=</t>
  </si>
  <si>
    <t>WAGES &amp; SALARY ALLOCATOR   (W&amp;S)</t>
  </si>
  <si>
    <t>Form 1 Reference</t>
  </si>
  <si>
    <t>$</t>
  </si>
  <si>
    <t>Allocation</t>
  </si>
  <si>
    <t>W&amp;S Allocator</t>
  </si>
  <si>
    <t xml:space="preserve">  Other</t>
  </si>
  <si>
    <t>($ / Allocation)</t>
  </si>
  <si>
    <t xml:space="preserve">  Total  (sum lines 12-15)</t>
  </si>
  <si>
    <t>=</t>
  </si>
  <si>
    <t>% Electric</t>
  </si>
  <si>
    <t xml:space="preserve">  Electric</t>
  </si>
  <si>
    <t>200.3.c</t>
  </si>
  <si>
    <t>(line 17 / line 20)</t>
  </si>
  <si>
    <t>(line 16)</t>
  </si>
  <si>
    <t xml:space="preserve">  Gas</t>
  </si>
  <si>
    <t>201.3.d</t>
  </si>
  <si>
    <t>*</t>
  </si>
  <si>
    <t xml:space="preserve">  Water</t>
  </si>
  <si>
    <t>201.3.e</t>
  </si>
  <si>
    <t xml:space="preserve">  Total  (sum lines 17 - 19)</t>
  </si>
  <si>
    <t>RETURN (R)</t>
  </si>
  <si>
    <t>Common Stock</t>
  </si>
  <si>
    <t>Cost</t>
  </si>
  <si>
    <t>%</t>
  </si>
  <si>
    <t>(Note P)</t>
  </si>
  <si>
    <t>Weighted</t>
  </si>
  <si>
    <t>=WCLTD</t>
  </si>
  <si>
    <t>=R</t>
  </si>
  <si>
    <t>REVENUE CREDITS</t>
  </si>
  <si>
    <t>ACCOUNT 447 (SALES FOR RESALE)</t>
  </si>
  <si>
    <t>(310-311)</t>
  </si>
  <si>
    <t>(Note Q)</t>
  </si>
  <si>
    <t xml:space="preserve">  Total of (a)-(b)</t>
  </si>
  <si>
    <t>page 5 of 5</t>
  </si>
  <si>
    <t>General Note:  References to pages in this formulary rate are indicated as:  (page#, line#, col.#)</t>
  </si>
  <si>
    <t>Note</t>
  </si>
  <si>
    <t>Letter</t>
  </si>
  <si>
    <t>A</t>
  </si>
  <si>
    <t>B</t>
  </si>
  <si>
    <t>C</t>
  </si>
  <si>
    <t>D</t>
  </si>
  <si>
    <t>E</t>
  </si>
  <si>
    <t>F</t>
  </si>
  <si>
    <t>G</t>
  </si>
  <si>
    <t>Identified in Form 1 as being only transmission related.</t>
  </si>
  <si>
    <t>H</t>
  </si>
  <si>
    <t>I</t>
  </si>
  <si>
    <t>J</t>
  </si>
  <si>
    <t>K</t>
  </si>
  <si>
    <t>FIT =</t>
  </si>
  <si>
    <t>SIT=</t>
  </si>
  <si>
    <t>p =</t>
  </si>
  <si>
    <t>L</t>
  </si>
  <si>
    <t>M</t>
  </si>
  <si>
    <t>N</t>
  </si>
  <si>
    <t>O</t>
  </si>
  <si>
    <t>Enter dollar amounts</t>
  </si>
  <si>
    <t>P</t>
  </si>
  <si>
    <t>Q</t>
  </si>
  <si>
    <t>R</t>
  </si>
  <si>
    <t>Includes income related only to transmission facilities, such as pole attachments, rentals and special use.</t>
  </si>
  <si>
    <t>S</t>
  </si>
  <si>
    <t>T</t>
  </si>
  <si>
    <t>U</t>
  </si>
  <si>
    <t>V</t>
  </si>
  <si>
    <t>W</t>
  </si>
  <si>
    <t>205.46.g</t>
  </si>
  <si>
    <t>321.96.b</t>
  </si>
  <si>
    <t>354.20.b</t>
  </si>
  <si>
    <t>354.21.b</t>
  </si>
  <si>
    <t>354.23.b</t>
  </si>
  <si>
    <t>354.24,25,26.b</t>
  </si>
  <si>
    <t>X</t>
  </si>
  <si>
    <t>Y</t>
  </si>
  <si>
    <t>page 3 of 5</t>
  </si>
  <si>
    <t>page 4 of 5</t>
  </si>
  <si>
    <t>Account Nos. 561.4, 561.8, and 575.7 consist of RTO expenses billed to load-serving entities and are not included in Transmission Owner revenue requirements.</t>
  </si>
  <si>
    <t>(Note E)</t>
  </si>
  <si>
    <t>(Note K)</t>
  </si>
  <si>
    <t>References to data from FERC Form 1 are indicated as:   #.y.x  (page, line, column)</t>
  </si>
  <si>
    <t>(line 1- line 7)</t>
  </si>
  <si>
    <t>(line 2- line 8)</t>
  </si>
  <si>
    <t>(line 3 - line 9)</t>
  </si>
  <si>
    <t>(line 4 - line 10)</t>
  </si>
  <si>
    <t>(line 5 - line 11)</t>
  </si>
  <si>
    <t>WORKING CAPITAL  (Note H)</t>
  </si>
  <si>
    <t xml:space="preserve">  Materials &amp; Supplies  (Note G)</t>
  </si>
  <si>
    <t>TAXES OTHER THAN INCOME TAXES  (Note J)</t>
  </si>
  <si>
    <t>COMMON PLANT ALLOCATOR  (CE)  (Note O)</t>
  </si>
  <si>
    <t>Included transmission expenses  (line 6 less line 7)</t>
  </si>
  <si>
    <t>Percentage of transmission expenses after adjustment  (line 8 divided by line 6)</t>
  </si>
  <si>
    <t>Percentage of transmission plant included in ISO Rates  (line 5)</t>
  </si>
  <si>
    <t>Percentage of transmission expenses included in ISO Rates  (line 9 times line 10)</t>
  </si>
  <si>
    <t>Total transmission plant  (page 2, line 2, column 3)</t>
  </si>
  <si>
    <t>Total transmission expenses  (page 3, line 1, column 3)</t>
  </si>
  <si>
    <t>TOTAL ACCUM. DEPRECIATION  (sum lines 7-11)</t>
  </si>
  <si>
    <t>= WS</t>
  </si>
  <si>
    <t>Percentage of transmission plant included in ISO Rates  (line 4 divided by line 1)</t>
  </si>
  <si>
    <t>Preferred Dividends  (118.29c) (positive number)</t>
  </si>
  <si>
    <t>Inputs Required:</t>
  </si>
  <si>
    <t>Includes only FICA, unemployment, highway, property, gross receipts, and other assessments charged in the current year.  Taxes related to income are excluded.  Gross receipts taxes are not included in transmission revenue requirement in the Rate Formula Template, since they are recovered elsewhere.</t>
  </si>
  <si>
    <t>Revenue Credits for Sched 1A  - Note A</t>
  </si>
  <si>
    <t>Net Schedule 1A Expenses (Line 1 - Line 2)</t>
  </si>
  <si>
    <t>Note:</t>
  </si>
  <si>
    <t>Gross Transmission Plant - Total</t>
  </si>
  <si>
    <t>Net Transmission Plant - Total</t>
  </si>
  <si>
    <t>O&amp;M EXPENSE</t>
  </si>
  <si>
    <t>Total O&amp;M Allocated to Transmission</t>
  </si>
  <si>
    <t>Annual Allocation Factor for O&amp;M</t>
  </si>
  <si>
    <t>TAXES OTHER THAN INCOME TAXES</t>
  </si>
  <si>
    <t>5</t>
  </si>
  <si>
    <t>Total Other Taxes</t>
  </si>
  <si>
    <t>Annual Allocation Factor for Other Taxes</t>
  </si>
  <si>
    <t>7</t>
  </si>
  <si>
    <t>Annual Allocation Factor for Expense</t>
  </si>
  <si>
    <t>INCOME TAXES</t>
  </si>
  <si>
    <t>8</t>
  </si>
  <si>
    <t>9</t>
  </si>
  <si>
    <t>Annual Allocation Factor for Income Taxes</t>
  </si>
  <si>
    <t>10</t>
  </si>
  <si>
    <t>Return on Rate Base</t>
  </si>
  <si>
    <t>11</t>
  </si>
  <si>
    <t>Annual Allocation Factor for Return on Rate Base</t>
  </si>
  <si>
    <t>12</t>
  </si>
  <si>
    <t>Annual Allocation Factor for Return</t>
  </si>
  <si>
    <t>Line No.</t>
  </si>
  <si>
    <t>Project Name</t>
  </si>
  <si>
    <t>Annual Expense Charge</t>
  </si>
  <si>
    <t xml:space="preserve">Project Net Plant </t>
  </si>
  <si>
    <t>Annual Return Charge</t>
  </si>
  <si>
    <t>Project Depreciation Expense</t>
  </si>
  <si>
    <t>(Col. 3 * Col. 4)</t>
  </si>
  <si>
    <t>(Col. 6 * Col. 7)</t>
  </si>
  <si>
    <t>Project Net Plant is the Project Gross Plant Identified in Column 3 less the associated Accumulated Depreciation.</t>
  </si>
  <si>
    <t>page 1 of 1</t>
  </si>
  <si>
    <t>Schedule 1A Rate Calculation</t>
  </si>
  <si>
    <t>Reference</t>
  </si>
  <si>
    <t>page 1 of 2</t>
  </si>
  <si>
    <t>(line 3 divided by line 1, col. 3)</t>
  </si>
  <si>
    <t>(line 5 divided by line 1, col. 3)</t>
  </si>
  <si>
    <t>page 2 of 2</t>
  </si>
  <si>
    <t>1 Coincident Peak (CP) (MW)</t>
  </si>
  <si>
    <t>RTEP Project Number</t>
  </si>
  <si>
    <t>Notes</t>
  </si>
  <si>
    <t>Schedule 1A rate $/MWh (Line 3/ Line 4)</t>
  </si>
  <si>
    <t>Project Gross Plant is the total capital investment for the project calculated in the same method as the gross plant value in line 1 above.  This value includes subsequent capital investments required to maintain the project in-service.</t>
  </si>
  <si>
    <t xml:space="preserve">DEPRECIATION AND AMORTIZATION EXPENSE </t>
  </si>
  <si>
    <t>December</t>
  </si>
  <si>
    <t>January</t>
  </si>
  <si>
    <t>February</t>
  </si>
  <si>
    <t>March</t>
  </si>
  <si>
    <t>April</t>
  </si>
  <si>
    <t>May</t>
  </si>
  <si>
    <t>July</t>
  </si>
  <si>
    <t>August</t>
  </si>
  <si>
    <t>September</t>
  </si>
  <si>
    <t>November</t>
  </si>
  <si>
    <t>October</t>
  </si>
  <si>
    <t>3</t>
  </si>
  <si>
    <t>4</t>
  </si>
  <si>
    <t>13</t>
  </si>
  <si>
    <t>14</t>
  </si>
  <si>
    <t>15</t>
  </si>
  <si>
    <t>June</t>
  </si>
  <si>
    <t>Production</t>
  </si>
  <si>
    <t>Distribution</t>
  </si>
  <si>
    <t>General</t>
  </si>
  <si>
    <t>Intangible</t>
  </si>
  <si>
    <t>Common</t>
  </si>
  <si>
    <t>13-month Average</t>
  </si>
  <si>
    <t>[A]</t>
  </si>
  <si>
    <t>Notes:</t>
  </si>
  <si>
    <t>Reference for December balances as would be reported in FERC Form 1.</t>
  </si>
  <si>
    <t>219.25.c</t>
  </si>
  <si>
    <t>200.21.c</t>
  </si>
  <si>
    <t>219.28.c</t>
  </si>
  <si>
    <t>Acct. No. 281</t>
  </si>
  <si>
    <t>Acct. No. 282</t>
  </si>
  <si>
    <t>Acct. No. 283</t>
  </si>
  <si>
    <t>Acct. No. 190</t>
  </si>
  <si>
    <t>Acct. No. 255</t>
  </si>
  <si>
    <t>Begin/End Average</t>
  </si>
  <si>
    <t>December 31</t>
  </si>
  <si>
    <t>(enter negative)</t>
  </si>
  <si>
    <t>[B]</t>
  </si>
  <si>
    <t>Based on prior elections and IRS rulings, the 3% Investment Tax Credit ("ITC") and the 4% ITC may be used to reduce rate base as well as utilizing amortization of the tax credits against taxable income.
As a result, only the 3% and 4% values in FERC Form 1 column (h) on page 267 should be reported under Acct. No. 255.</t>
  </si>
  <si>
    <t>Property Taxes</t>
  </si>
  <si>
    <t>Gross Receipts Tax</t>
  </si>
  <si>
    <t>Highway and Vehicle Taxes</t>
  </si>
  <si>
    <t>Payroll Taxes</t>
  </si>
  <si>
    <t>Other Taxes</t>
  </si>
  <si>
    <t>Payroll Taxes Total</t>
  </si>
  <si>
    <t>Payments in lieu of taxes</t>
  </si>
  <si>
    <t>Proprietary</t>
  </si>
  <si>
    <t>Capital</t>
  </si>
  <si>
    <t>Preferred Stock</t>
  </si>
  <si>
    <t>Account 216.1</t>
  </si>
  <si>
    <t>Long Term Debt</t>
  </si>
  <si>
    <t>112.16.c</t>
  </si>
  <si>
    <t>112.3.d</t>
  </si>
  <si>
    <t>112.12.c</t>
  </si>
  <si>
    <t>207.57.g</t>
  </si>
  <si>
    <t>Company Records</t>
  </si>
  <si>
    <t>Reserve for Depreciation of Asset Retirement Costs</t>
  </si>
  <si>
    <t>Projected Annual Revenue Requirement</t>
  </si>
  <si>
    <t>Actual Annual Revenue Requirement</t>
  </si>
  <si>
    <t>Subtotal</t>
  </si>
  <si>
    <t>(a)</t>
  </si>
  <si>
    <t>(b)</t>
  </si>
  <si>
    <t xml:space="preserve">(c) </t>
  </si>
  <si>
    <t>(d)</t>
  </si>
  <si>
    <t>(e)</t>
  </si>
  <si>
    <t>(f)</t>
  </si>
  <si>
    <t>(g)</t>
  </si>
  <si>
    <t>(h)</t>
  </si>
  <si>
    <t>(i)</t>
  </si>
  <si>
    <t>(j)</t>
  </si>
  <si>
    <t>NOTE</t>
  </si>
  <si>
    <t xml:space="preserve">     Less LSE Expenses Included in Transmission O&amp;M Accounts  (Note W)</t>
  </si>
  <si>
    <t xml:space="preserve">     Less EPRI &amp; Reg. Comm. Exp. &amp; Non-safety  Ad.  (Note I)</t>
  </si>
  <si>
    <t xml:space="preserve">     Plus Transmission Related Reg. Comm.  Exp.  (Note I)</t>
  </si>
  <si>
    <t>Amortized Investment Tax Credit (266.8.f) (enter negative)</t>
  </si>
  <si>
    <t>Less transmission plant excluded from ISO rates  (Note M)</t>
  </si>
  <si>
    <t>Less transmission plant included in OATT Ancillary Services  (Note N )</t>
  </si>
  <si>
    <t>Less transmission expenses included in OATT Ancillary Services  (Note L)</t>
  </si>
  <si>
    <t xml:space="preserve">  a. Bundled Non-RQ Sales for Resale (311.x.h)</t>
  </si>
  <si>
    <t xml:space="preserve">  b. Bundled Sales for Resale included in Divisor on page 1</t>
  </si>
  <si>
    <t>ACCOUNT 454 (RENT FROM ELECTRIC PROPERTY)  (Note R)</t>
  </si>
  <si>
    <t>(State Income Tax Rate or Composite SIT)</t>
  </si>
  <si>
    <t>(percent of federal income tax deductible for state purposes)</t>
  </si>
  <si>
    <t>Plant in Service, Accumulated Depreciation, and Depreciation Expense amounts exclude Asset Retirement Obligation amounts unless authorized by FERC.</t>
  </si>
  <si>
    <t>Calculate using a 13 month average balance.</t>
  </si>
  <si>
    <t>Calculate using average of beginning and end of year balance.</t>
  </si>
  <si>
    <t>True-up Adjustment - Over (Under) Recovery</t>
  </si>
  <si>
    <t>Over (Under) Recovery Plus Interest</t>
  </si>
  <si>
    <t>Average Monthly Interest Rate</t>
  </si>
  <si>
    <t>Months</t>
  </si>
  <si>
    <t>Calculated Interest</t>
  </si>
  <si>
    <t>Amortization</t>
  </si>
  <si>
    <t>Surcharge (Refund) Owed</t>
  </si>
  <si>
    <t>Calculation of Interest</t>
  </si>
  <si>
    <t>Monthly</t>
  </si>
  <si>
    <t>Annual</t>
  </si>
  <si>
    <t>January  through December</t>
  </si>
  <si>
    <t>Over (Under) Recovery Plus Interest Amortized and Recovered Over 12 Months</t>
  </si>
  <si>
    <t>Less Over (Under) Recovery</t>
  </si>
  <si>
    <t>Total Interest</t>
  </si>
  <si>
    <t>True-Up with Interest</t>
  </si>
  <si>
    <t>Project Gross Plant</t>
  </si>
  <si>
    <t>336.7.b (Note U)</t>
  </si>
  <si>
    <t>336.1.f &amp; 336.10.f (Note U)</t>
  </si>
  <si>
    <t>336.11.b (Note U)</t>
  </si>
  <si>
    <t>Removes dollar amount of transmission plant included in the development of OATT ancillary services rates and generation step-up facilities, which are deemed included in OATT ancillary services.  For these purposes, generation step-up facilities are those facilities at a generator substation on which there is no through-flow when the generator is shut down.</t>
  </si>
  <si>
    <t>[C]</t>
  </si>
  <si>
    <t>Formula Rate Protocols</t>
  </si>
  <si>
    <t>1. Rate of Return on Common Equity ("ROE")</t>
  </si>
  <si>
    <t>2. Postretirement Benefits Other Than Pension ("PBOP")</t>
  </si>
  <si>
    <t>*sometimes referred to as Other Post Employment Benefits, or "OPEB"</t>
  </si>
  <si>
    <t>3. Depreciation Rates</t>
  </si>
  <si>
    <t>FERC Account</t>
  </si>
  <si>
    <t>Depr %</t>
  </si>
  <si>
    <t>ACCOUNT 451 (MISCELLANEOUS SERVICE REVENUE) (Note S)</t>
  </si>
  <si>
    <t>Excludes revenues unrelated to transmission services.</t>
  </si>
  <si>
    <t>FAS 143 - ARO</t>
  </si>
  <si>
    <t>FAS 106</t>
  </si>
  <si>
    <t>FAS 109</t>
  </si>
  <si>
    <t>FERC Account No. 283  is adjusted for the following items.</t>
  </si>
  <si>
    <t>[D]</t>
  </si>
  <si>
    <t>FERC Account No. 190 is adjusted for the following items:</t>
  </si>
  <si>
    <t>[E]</t>
  </si>
  <si>
    <t>FERC Account No. 282 is adjusted for the following items.</t>
  </si>
  <si>
    <t>Section VIII.A</t>
  </si>
  <si>
    <t>Nominal Federal Income Tax Rate</t>
  </si>
  <si>
    <t>Nominal State Income Tax Rate</t>
  </si>
  <si>
    <t>Times Apportionment Percentage</t>
  </si>
  <si>
    <t>Combined State Income Tax Rate</t>
  </si>
  <si>
    <t>Pennsylvania</t>
  </si>
  <si>
    <t>State Income Tax Rate</t>
  </si>
  <si>
    <t>Federal Income Tax Rate</t>
  </si>
  <si>
    <t>Combined Rate</t>
  </si>
  <si>
    <t>Return Calculation</t>
  </si>
  <si>
    <t>Source  Reference</t>
  </si>
  <si>
    <t>Income Tax Rates</t>
  </si>
  <si>
    <t>Source</t>
  </si>
  <si>
    <t xml:space="preserve">  CWIP</t>
  </si>
  <si>
    <t xml:space="preserve">  Unamortized Regulatory Asset</t>
  </si>
  <si>
    <t xml:space="preserve">  Unamortized Abandoned Plant</t>
  </si>
  <si>
    <t>TOTAL ADJUSTMENTS  (sum lines 19-28 )</t>
  </si>
  <si>
    <t>TOTAL WORKING CAPITAL  (sum lines 32 - 34)</t>
  </si>
  <si>
    <t>RATE BASE  (sum lines 18, 29, 30, &amp; 35)</t>
  </si>
  <si>
    <t xml:space="preserve">  Amortization of Abandoned Plant</t>
  </si>
  <si>
    <t>Tax Effect of Permanent Differences and AFUDC Equity</t>
  </si>
  <si>
    <t xml:space="preserve">       Less Preferred Stock </t>
  </si>
  <si>
    <t xml:space="preserve">       Less Accumulated Other Comprehensive Income Account 219</t>
  </si>
  <si>
    <t>Income Taxes</t>
  </si>
  <si>
    <t>Income Tax Calculation</t>
  </si>
  <si>
    <t xml:space="preserve">ITC adjustment </t>
  </si>
  <si>
    <t xml:space="preserve">Permanent Differences and AFUDC Equity Tax Adjustment </t>
  </si>
  <si>
    <t>(Excess)/Deficient Deferred Income Taxes</t>
  </si>
  <si>
    <t xml:space="preserve">(Excess)/Deficient Deferred Income Tax Adjustment </t>
  </si>
  <si>
    <t>Calculated</t>
  </si>
  <si>
    <t xml:space="preserve">      1 / (1 - T)  = (from line 23)</t>
  </si>
  <si>
    <t>(line 25 * line 26)</t>
  </si>
  <si>
    <t>275.2.k</t>
  </si>
  <si>
    <t xml:space="preserve">277.9.k </t>
  </si>
  <si>
    <t xml:space="preserve">234.8.c </t>
  </si>
  <si>
    <t xml:space="preserve">267.h </t>
  </si>
  <si>
    <t>[F]</t>
  </si>
  <si>
    <t>CWIP</t>
  </si>
  <si>
    <t>Includes only CWIP authorized by the Commission for inclusion in rate base.</t>
  </si>
  <si>
    <t>216.b</t>
  </si>
  <si>
    <t>Recovery of abandoned plant is limited to any abandoned plant recovery authorized by FERC and will be zero until the Commission accepts or approves recovery of the cost of abandoned plant</t>
  </si>
  <si>
    <t>Calculation of PBOP Expenses</t>
  </si>
  <si>
    <t>Increased Return and Taxes</t>
  </si>
  <si>
    <t>labor (labor not capitalized) current year</t>
  </si>
  <si>
    <t>GENERAL, INTANGIBLE, AND COMMON (G,I, &amp; C) DEPRECIATION EXPENSE</t>
  </si>
  <si>
    <t>Total G, I, &amp; C depreciation expense</t>
  </si>
  <si>
    <t>Annual allocation factor for G, I, &amp; C depreciation expense</t>
  </si>
  <si>
    <t>(line 7 divided by line 1, col. 3)</t>
  </si>
  <si>
    <t xml:space="preserve">Annual Revenue Requirement </t>
  </si>
  <si>
    <t>(Sum Col. 5, 8, &amp; 9)</t>
  </si>
  <si>
    <t xml:space="preserve">Amortized Deficient Deferred Taxes </t>
  </si>
  <si>
    <t>Amortized Excess Deferred Taxes (enter negative)</t>
  </si>
  <si>
    <t>AFUDC equity component is the gross cumulative annual amount based upon tax records of capitalized AFUDC equity embedded in the gross plant attributable to the transmission function.</t>
  </si>
  <si>
    <t xml:space="preserve">     PBOP Expense Adjustment in Year</t>
  </si>
  <si>
    <t>DA</t>
  </si>
  <si>
    <t>Monthly Balance</t>
  </si>
  <si>
    <t>Months Remaining In Amortization Period</t>
  </si>
  <si>
    <t>BegInning Balance</t>
  </si>
  <si>
    <t>Amortization Expense                               ( p114.10.c)</t>
  </si>
  <si>
    <t>Additions   (Deductions)</t>
  </si>
  <si>
    <t>Ending Balance</t>
  </si>
  <si>
    <t>p111.71.d (and Notes)</t>
  </si>
  <si>
    <t>January                                                                                                                         2017</t>
  </si>
  <si>
    <t>company records</t>
  </si>
  <si>
    <t xml:space="preserve">June </t>
  </si>
  <si>
    <t xml:space="preserve">October </t>
  </si>
  <si>
    <t>p111.71.c (and Notes) Detail on p230b</t>
  </si>
  <si>
    <t>(Line 12 * Line 15)</t>
  </si>
  <si>
    <t>(Line 13 * Line 16)</t>
  </si>
  <si>
    <t>(Line 14 * Line 17)</t>
  </si>
  <si>
    <t>Sum lines 29 to 32</t>
  </si>
  <si>
    <t>(line 22 * line 24)</t>
  </si>
  <si>
    <t>(Line 22 + Line 33)</t>
  </si>
  <si>
    <t>Line 34</t>
  </si>
  <si>
    <t>Return without incentive adder</t>
  </si>
  <si>
    <t>Income Tax without incentive adder</t>
  </si>
  <si>
    <t>Line 1</t>
  </si>
  <si>
    <t xml:space="preserve">Rate Base </t>
  </si>
  <si>
    <t>(Note G)</t>
  </si>
  <si>
    <t>Beginning/Ending Average with removal of FAS143, FAS106, and FAS109 to populate Appendix H, page 2, lines 19-23, col. 3 for accounts 281, 282, 283, 190, and 255, respectively</t>
  </si>
  <si>
    <t>B1</t>
  </si>
  <si>
    <t>B2</t>
  </si>
  <si>
    <t>B3</t>
  </si>
  <si>
    <t>Beg of Year</t>
  </si>
  <si>
    <t>End of Year Est. for Final</t>
  </si>
  <si>
    <t>Retail</t>
  </si>
  <si>
    <t xml:space="preserve">Plant </t>
  </si>
  <si>
    <t>Labor</t>
  </si>
  <si>
    <t>Related</t>
  </si>
  <si>
    <t>ADIT</t>
  </si>
  <si>
    <t>ADIT- 282  From Account Total Below</t>
  </si>
  <si>
    <t>ADIT-283 From Account Total Below</t>
  </si>
  <si>
    <t>ADIT-190 From Account Total Below</t>
  </si>
  <si>
    <t>In filling out this attachment, a full and complete description of each item and justification for the allocation to Columns C-F and each separate ADIT item will be listed,</t>
  </si>
  <si>
    <t>Dissimilar items with amounts exceeding $100,000 will be listed separately.</t>
  </si>
  <si>
    <t>ADIT-190</t>
  </si>
  <si>
    <t xml:space="preserve">End of Year  </t>
  </si>
  <si>
    <t>Gas, Prod</t>
  </si>
  <si>
    <t>Only</t>
  </si>
  <si>
    <t>Balance</t>
  </si>
  <si>
    <t>Or Other</t>
  </si>
  <si>
    <t>p234.18.b</t>
  </si>
  <si>
    <t>p234.18.c</t>
  </si>
  <si>
    <t>JUSTIFICATION</t>
  </si>
  <si>
    <t>Instructions for Account 190:</t>
  </si>
  <si>
    <t xml:space="preserve"> 1.  ADIT items related only to Retail Related Operations are directly assigned to Column C.</t>
  </si>
  <si>
    <t xml:space="preserve"> 2.  ADIT items related only to Non-Electric Operations (e.g., Gas, Water, Sewer) or Production are directly assigned to Column D.</t>
  </si>
  <si>
    <t>3.  ADIT items related only to Transmission are directly assigned to Column E.</t>
  </si>
  <si>
    <t>4.  ADIT items related to Plant and not in Columns C, D &amp; E are directly assigned to Column F.</t>
  </si>
  <si>
    <t>5.  ADIT items related to labor and not in Columns C, D, E &amp; F are directly assigned to Column G.</t>
  </si>
  <si>
    <t xml:space="preserve"> 6. Deferred income taxes arise when items are included in taxable income in different periods than they are included in rates.  Therefore, if the item giving rise to the ADIT is not included in the formula, the associated ADIT amount shall be excluded.</t>
  </si>
  <si>
    <t>PJM TRANSMISSION OWNER</t>
  </si>
  <si>
    <t>p274.9.b</t>
  </si>
  <si>
    <t>p275.9.k</t>
  </si>
  <si>
    <t>Instructions for Account 282:</t>
  </si>
  <si>
    <t>ADIT-283</t>
  </si>
  <si>
    <t>p276.19.b</t>
  </si>
  <si>
    <t>p277.19.k</t>
  </si>
  <si>
    <t>Instructions for Account 283:</t>
  </si>
  <si>
    <t>Jersey Central Power &amp; Light</t>
  </si>
  <si>
    <t>ADIT-281</t>
  </si>
  <si>
    <t>p272.8.b</t>
  </si>
  <si>
    <t>p273.8.k</t>
  </si>
  <si>
    <t>ADIT-281 From Account Total Below</t>
  </si>
  <si>
    <t>ADIT-255 From Account Total Below</t>
  </si>
  <si>
    <t>Instructions for Account 281:</t>
  </si>
  <si>
    <t>ADIT-255</t>
  </si>
  <si>
    <t>Instructions for Account 255:</t>
  </si>
  <si>
    <t>p266.b</t>
  </si>
  <si>
    <t>p267.h</t>
  </si>
  <si>
    <t>Net Plant Detail</t>
  </si>
  <si>
    <t>Project Gross Plant is the total capital investment for the project, including subsequent capital investments required to maintain the project in-service.  Utilizing a 13-month average.</t>
  </si>
  <si>
    <t>Based on a 13-month average</t>
  </si>
  <si>
    <t>12b</t>
  </si>
  <si>
    <t>13b</t>
  </si>
  <si>
    <t>14b</t>
  </si>
  <si>
    <t>(7)</t>
  </si>
  <si>
    <t>(8)</t>
  </si>
  <si>
    <t>(9)</t>
  </si>
  <si>
    <t xml:space="preserve">Transmission </t>
  </si>
  <si>
    <t>(line 12 divided by line 2, col. 3)</t>
  </si>
  <si>
    <t>(line 12b divided by line 2, col. 3)</t>
  </si>
  <si>
    <t>Line 35 + Line 36</t>
  </si>
  <si>
    <t>Line 38 - Line 37</t>
  </si>
  <si>
    <t>Line 39 / Line 40</t>
  </si>
  <si>
    <t>Normalization</t>
  </si>
  <si>
    <t xml:space="preserve">Gross Plant </t>
  </si>
  <si>
    <t>Plant &amp; Labor</t>
  </si>
  <si>
    <t>Wages &amp; Salary</t>
  </si>
  <si>
    <t>Refers to Attachment H, page 2, line 6, col. 4</t>
  </si>
  <si>
    <t>Refers to Attachment H, page 4, line 16, col.6</t>
  </si>
  <si>
    <t>Plant &amp; Labor Related ADIT allocated to Transmission</t>
  </si>
  <si>
    <t>p232 (and Notes)</t>
  </si>
  <si>
    <t xml:space="preserve">p232 (and Notes) </t>
  </si>
  <si>
    <t>Amortization Expense                             (Company Records)</t>
  </si>
  <si>
    <t xml:space="preserve">TABLE 1:  Summary Cost of Long Term Debt  </t>
  </si>
  <si>
    <t>CALCULATION OF COST OF DEBT</t>
  </si>
  <si>
    <t>YEAR ENDED</t>
  </si>
  <si>
    <t>(c)</t>
  </si>
  <si>
    <t>Net</t>
  </si>
  <si>
    <t>Average Net</t>
  </si>
  <si>
    <t>Outstanding</t>
  </si>
  <si>
    <t>Effective</t>
  </si>
  <si>
    <t>Debt Cost</t>
  </si>
  <si>
    <t>ORIGINAL</t>
  </si>
  <si>
    <t>Net Proceeds</t>
  </si>
  <si>
    <t>in Year*</t>
  </si>
  <si>
    <t>Cost Rate</t>
  </si>
  <si>
    <t>at t = N</t>
  </si>
  <si>
    <t>t=N</t>
  </si>
  <si>
    <t>Issue Date</t>
  </si>
  <si>
    <t>Maturity Date</t>
  </si>
  <si>
    <t>ISSUANCE</t>
  </si>
  <si>
    <t>At Issuance</t>
  </si>
  <si>
    <t>at t=N</t>
  </si>
  <si>
    <t>z*</t>
  </si>
  <si>
    <t>Ratios</t>
  </si>
  <si>
    <t>(h) * (i)</t>
  </si>
  <si>
    <t>Long Term Debt Cost at Year Ended:</t>
  </si>
  <si>
    <t>First Mortgage Bonds:</t>
  </si>
  <si>
    <t>**</t>
  </si>
  <si>
    <t>Check with FERC Form 1 B/S pgs 110-113</t>
  </si>
  <si>
    <t>t = time</t>
  </si>
  <si>
    <t>The current portion of long term debt is included in the Net Amount Outstanding at t = N in these calculations.</t>
  </si>
  <si>
    <t>The outstanding amount (column (e)) for debt retired during the year is the outstanding amount at the last month it was outstanding.</t>
  </si>
  <si>
    <t>*  z = Average of monthly balances for months outstanding during the year (averge of the balances for the 12 months of the year, with zero in months that the issuance is not outstanding in a month.).</t>
  </si>
  <si>
    <t>Interim (individual debenture) debt cost calculations shall be taken to four decimals in percentages (7.2300%, 5.2582%); Final Total Weighted Average Debt Cost for the Formula Rate shall be rounded to two decimals of a percent (7.03%).</t>
  </si>
  <si>
    <t>TABLE 2:  Effective Cost Rates For Traditional Front-Loaded Debt Issuances:</t>
  </si>
  <si>
    <t>(aa)</t>
  </si>
  <si>
    <t>(bb)</t>
  </si>
  <si>
    <t>(cc)</t>
  </si>
  <si>
    <t>(dd)</t>
  </si>
  <si>
    <t>(ee)</t>
  </si>
  <si>
    <t>(ff)</t>
  </si>
  <si>
    <t>(gg)</t>
  </si>
  <si>
    <t>(hh)</t>
  </si>
  <si>
    <t>(ii)</t>
  </si>
  <si>
    <t>(jj)</t>
  </si>
  <si>
    <t>(kk)</t>
  </si>
  <si>
    <t>(ll)</t>
  </si>
  <si>
    <t>(Discount)</t>
  </si>
  <si>
    <t xml:space="preserve">Loss/Gain on </t>
  </si>
  <si>
    <t>Less Related</t>
  </si>
  <si>
    <t>Effective Cost Rate*</t>
  </si>
  <si>
    <t>Issue</t>
  </si>
  <si>
    <t>Maturity</t>
  </si>
  <si>
    <t>Premium</t>
  </si>
  <si>
    <t>Issuance</t>
  </si>
  <si>
    <t>Reacquired</t>
  </si>
  <si>
    <t>Proceeds</t>
  </si>
  <si>
    <t>Coupon</t>
  </si>
  <si>
    <t xml:space="preserve">Annual </t>
  </si>
  <si>
    <t>(Yield to Maturity</t>
  </si>
  <si>
    <t xml:space="preserve">Long Term Debt Issuances </t>
  </si>
  <si>
    <t>Affiliate</t>
  </si>
  <si>
    <t>Date</t>
  </si>
  <si>
    <t>Issued</t>
  </si>
  <si>
    <t>at Issuance</t>
  </si>
  <si>
    <t>Expense</t>
  </si>
  <si>
    <t>Debt</t>
  </si>
  <si>
    <t>Ratio</t>
  </si>
  <si>
    <t>Rate</t>
  </si>
  <si>
    <t>Interest</t>
  </si>
  <si>
    <t>at Issuance, t = 0)</t>
  </si>
  <si>
    <t>xxx</t>
  </si>
  <si>
    <t>TOTALS</t>
  </si>
  <si>
    <t>* YTM at issuance calculated from an acceptable bond table or from YTM = Internal Rate of Return (IRR) calculation</t>
  </si>
  <si>
    <r>
      <t>Effective Cost Rate of Individual Debenture (YTM at issuance):  the t=0 Cashflow C</t>
    </r>
    <r>
      <rPr>
        <vertAlign val="subscript"/>
        <sz val="9"/>
        <rFont val="Arial"/>
        <family val="2"/>
      </rPr>
      <t xml:space="preserve">o </t>
    </r>
    <r>
      <rPr>
        <sz val="9"/>
        <rFont val="Arial"/>
        <family val="2"/>
      </rPr>
      <t>equals Net Proceeds column (gg); Semi-annual (or other) interest cashflows (C</t>
    </r>
    <r>
      <rPr>
        <vertAlign val="subscript"/>
        <sz val="9"/>
        <rFont val="Arial"/>
        <family val="2"/>
      </rPr>
      <t>t=1</t>
    </r>
    <r>
      <rPr>
        <sz val="9"/>
        <rFont val="Arial"/>
        <family val="2"/>
      </rPr>
      <t>, C</t>
    </r>
    <r>
      <rPr>
        <vertAlign val="subscript"/>
        <sz val="9"/>
        <rFont val="Arial"/>
        <family val="2"/>
      </rPr>
      <t>t=2</t>
    </r>
    <r>
      <rPr>
        <sz val="9"/>
        <rFont val="Arial"/>
        <family val="2"/>
      </rPr>
      <t>, etc.).</t>
    </r>
  </si>
  <si>
    <t>112.15.c</t>
  </si>
  <si>
    <t>Account 219</t>
  </si>
  <si>
    <t xml:space="preserve">The balances in Accounts 190, 281, 282 and 283, should exclude all FASB 106 or 109 related amounts.  For example, any and all amounts in contra accounts identified as regulatory assets or liabilities related to FASB 106 or 109 should be excluded.  The balance of Account 255 is reduced by prior flow throughs and excluded if the utility chose to utilize amortization of tax credits against taxable income as discussed in Note K.  Account 281 is not allocated. </t>
  </si>
  <si>
    <t>(Table 2, Col. ll)</t>
  </si>
  <si>
    <t>ADIT Transmission Total (including Plant &amp; Labor Related Transmission ADITs and applicable transmission adjustments)</t>
  </si>
  <si>
    <t xml:space="preserve">  Account No. 451</t>
  </si>
  <si>
    <t xml:space="preserve">     Less Account 566</t>
  </si>
  <si>
    <t>321.97.b</t>
  </si>
  <si>
    <t xml:space="preserve">DA </t>
  </si>
  <si>
    <t>Total Annual Revenue Requirement</t>
  </si>
  <si>
    <t>Net Revenue Requirement
with True-up</t>
  </si>
  <si>
    <t>(Sum Col. 10 &amp; 11)</t>
  </si>
  <si>
    <t>Additional Annual Allocation Factor for Return</t>
  </si>
  <si>
    <t>2017 Quarterly Activity and Balances</t>
  </si>
  <si>
    <t>Ending 2016</t>
  </si>
  <si>
    <t>Ending Q1 2017</t>
  </si>
  <si>
    <t>Ending Q2 2017</t>
  </si>
  <si>
    <t>Ending Q3 2017</t>
  </si>
  <si>
    <t>Ending Q4 2017</t>
  </si>
  <si>
    <t>Ending 2017</t>
  </si>
  <si>
    <t>Pro-rated Q1</t>
  </si>
  <si>
    <t>Pro-rated Q2</t>
  </si>
  <si>
    <t>Pro-rated Q3</t>
  </si>
  <si>
    <t>Pro-rated Q4</t>
  </si>
  <si>
    <t>Pro-rated Total</t>
  </si>
  <si>
    <t>Beginning 2017  190</t>
  </si>
  <si>
    <t>Beginning 2017  282</t>
  </si>
  <si>
    <t>Beginning 2017  283</t>
  </si>
  <si>
    <t>Beginning 2017 Total ADIT</t>
  </si>
  <si>
    <t>Pro-rated Ending 2017  190</t>
  </si>
  <si>
    <t>Pro-rated Ending 2017  282</t>
  </si>
  <si>
    <t>Pro-rated Ending 2017  283</t>
  </si>
  <si>
    <t>Pro-rated Ending 2017</t>
  </si>
  <si>
    <t>Beginning 2017</t>
  </si>
  <si>
    <t>Average 2017</t>
  </si>
  <si>
    <t>Q1 2017 Activity</t>
  </si>
  <si>
    <t>Q2 2017 Activity</t>
  </si>
  <si>
    <t>Q3 2017 Activity</t>
  </si>
  <si>
    <t>Q4 2017 Activity</t>
  </si>
  <si>
    <t>2017 Activity</t>
  </si>
  <si>
    <t>Prorated year-end less FERC Form 1 Year-end</t>
  </si>
  <si>
    <t>Amount included in revenues reported on pages 328-330 of FERC Form 1.</t>
  </si>
  <si>
    <t>% of Total Revenue Requirement</t>
  </si>
  <si>
    <t>Revenue Received</t>
  </si>
  <si>
    <t>Col c, line 1 * Col e</t>
  </si>
  <si>
    <t>Col. f - Col. G</t>
  </si>
  <si>
    <t>2a</t>
  </si>
  <si>
    <t>2b</t>
  </si>
  <si>
    <t>ADDITIONAL INCENTIVE REVENUE</t>
  </si>
  <si>
    <t>GROSS REV. REQUIREMENT (WITHOUT INCENTIVE)</t>
  </si>
  <si>
    <t>TOTAL REVENUE CREDITS  (sum lines 2-7)</t>
  </si>
  <si>
    <t>NET REVENUE REQUIREMENT</t>
  </si>
  <si>
    <t>True-up Adjustment with Interest</t>
  </si>
  <si>
    <t>Actual RTEP Credit Revenues for true-up year</t>
  </si>
  <si>
    <t>Actual Revenues for Appendix D</t>
  </si>
  <si>
    <t>4a</t>
  </si>
  <si>
    <t xml:space="preserve">Col. h + Col. i </t>
  </si>
  <si>
    <t>Sum of line 4, 6, &amp; 8</t>
  </si>
  <si>
    <t>10b</t>
  </si>
  <si>
    <t>11b</t>
  </si>
  <si>
    <t>(line 10b divided by line 2, col. 3)</t>
  </si>
  <si>
    <t>Sum of line 11b and 13b</t>
  </si>
  <si>
    <t>Line 14 b, col. 9 less line 14, col. 4</t>
  </si>
  <si>
    <t>Sum of line 11 and 13</t>
  </si>
  <si>
    <t>(Note B &amp; C)</t>
  </si>
  <si>
    <t>(line 10 / line 11)</t>
  </si>
  <si>
    <t xml:space="preserve">  TEC Revenue </t>
  </si>
  <si>
    <t>(Line 1 - Line 8 + Line 9)</t>
  </si>
  <si>
    <t>Goodwill</t>
  </si>
  <si>
    <t>233.5.f</t>
  </si>
  <si>
    <t>(1) - (2) - (3) - (4) - (5)</t>
  </si>
  <si>
    <t>(page 4, line 29)</t>
  </si>
  <si>
    <t>(page 4, line 30)</t>
  </si>
  <si>
    <t>(page 4, line 31)</t>
  </si>
  <si>
    <t xml:space="preserve">       where WCLTD=(page 4, line 22) and R= (page 4, line 25)</t>
  </si>
  <si>
    <t>Total  (sum lines 22-24)</t>
  </si>
  <si>
    <t>(Page 1, line 9)</t>
  </si>
  <si>
    <t>Page 1, line 14</t>
  </si>
  <si>
    <t>(Note C &amp; H)</t>
  </si>
  <si>
    <t>(Note D &amp; H)</t>
  </si>
  <si>
    <t xml:space="preserve">(Sum Col. 12 &amp; 13) </t>
  </si>
  <si>
    <t>Any actual ROE incentive must be approved by the Commission</t>
  </si>
  <si>
    <t>Additional Incentive Annual Allocation Factor for Return (Note F)</t>
  </si>
  <si>
    <t>Line 28 must equal zero since all short-term power sales must be unbundled and the transmission component reflected in Account No. 456.1 and all other uses are to be included in the divisor.</t>
  </si>
  <si>
    <t>The revenues credited on page 1, lines 2-6 shall include only the amounts received directly (in the case of grandfathered agreements) or from the ISO (for service under this tariff) reflecting the Transmission Owner's integrated transmission facilities.  They do not include revenues associated with FERC annual charges, gross receipts taxes, ancillary services, or facilities not included in this template (e.g., direct assignment facilities and GSUs) which are not recovered under this Rate Formula Template.  The revenue on line 7 is supported by it own reference.</t>
  </si>
  <si>
    <t>ADIT-190 TOTAL Beg/End Avg</t>
  </si>
  <si>
    <t>Only Transmission</t>
  </si>
  <si>
    <t>Beg/End Avg</t>
  </si>
  <si>
    <t>ADIT- 282 TOTAL Beg/End Avg</t>
  </si>
  <si>
    <t xml:space="preserve">ADIT- 282 </t>
  </si>
  <si>
    <t>ADIT-283 TOTAL Beg/End Avg</t>
  </si>
  <si>
    <t>ADIT-281 TOTAL Beg/End Avg</t>
  </si>
  <si>
    <t>ADIT-255 TOTAL Beg/End Avg</t>
  </si>
  <si>
    <t>G2</t>
  </si>
  <si>
    <t>G1</t>
  </si>
  <si>
    <t>F2</t>
  </si>
  <si>
    <t>F1</t>
  </si>
  <si>
    <t xml:space="preserve"> Beg Plant </t>
  </si>
  <si>
    <t>End Plant</t>
  </si>
  <si>
    <t>Beg Labor</t>
  </si>
  <si>
    <t>End Labor</t>
  </si>
  <si>
    <t>Col. F1 + Col. F2 + Col. G1 + Col. G2</t>
  </si>
  <si>
    <t xml:space="preserve">Beg Plant &amp; Labor Related </t>
  </si>
  <si>
    <t xml:space="preserve">End Plant &amp; Labor Related </t>
  </si>
  <si>
    <t>(Col. F1 * Col. I) + (Col. F2 * Col. J) [Note E]</t>
  </si>
  <si>
    <t>Beg/End Avg Plant &amp; Labor</t>
  </si>
  <si>
    <t>From column F (page 2-6)</t>
  </si>
  <si>
    <t>From column G (page 2-6)</t>
  </si>
  <si>
    <t>Columns K-L, lines 1-3 linked to 'WP03 ADIT Summary' Notes section</t>
  </si>
  <si>
    <t xml:space="preserve">(Col. K + Col. L) / 2
</t>
  </si>
  <si>
    <t>(Col. F2 * Col. I) + (Col. G2 * Col. J) [Note E]</t>
  </si>
  <si>
    <t>Calculation of Plant &amp; Labor Related ADIT allocated to Transmission</t>
  </si>
  <si>
    <t>Transmission-only (including plant and labor related ADIT allocated to transmission) FERC Form 1 - Year-End 2017</t>
  </si>
  <si>
    <t>Sum of other adjustments from WP03-A ADIT Summary</t>
  </si>
  <si>
    <t>Total Normalization to WP03-A ADIT Summary</t>
  </si>
  <si>
    <t>Transmission-related only (not including plant &amp; labor related ADIT allocated to transmission)</t>
  </si>
  <si>
    <t xml:space="preserve">O&amp;M </t>
  </si>
  <si>
    <t xml:space="preserve">  Account No. 456</t>
  </si>
  <si>
    <t>ACCOUNT 456 (OTHER ELECTRIC REVENUE)  (Note V)</t>
  </si>
  <si>
    <t>Tax adjustment for Permanent Differences &amp; AFUDC Equity</t>
  </si>
  <si>
    <t>Attachment 11, Page 2, Line 3, Col. 12</t>
  </si>
  <si>
    <t>Attachment 13, Line 28</t>
  </si>
  <si>
    <t>[1]</t>
  </si>
  <si>
    <t>[2]</t>
  </si>
  <si>
    <t>[3]</t>
  </si>
  <si>
    <t>[4]</t>
  </si>
  <si>
    <t>[5]</t>
  </si>
  <si>
    <t>[6]</t>
  </si>
  <si>
    <t>[7]</t>
  </si>
  <si>
    <t>Attachment 3, Line 14, Col. 1 (Notes U &amp; X)</t>
  </si>
  <si>
    <t>Attachment 3, Line 14, Col. 2 (Notes U &amp; X)</t>
  </si>
  <si>
    <t>Attachment 3, Line 14, Col. 3 (Notes U &amp; X)</t>
  </si>
  <si>
    <t>Attachment 3, Line 14, Col. 4 &amp; 5 (Notes U &amp; X)</t>
  </si>
  <si>
    <t>Attachment 4, Line 14, Col. 1 (Notes U &amp; X)</t>
  </si>
  <si>
    <t>Attachment 4, Line 14, Col. 2 (Notes U &amp; X)</t>
  </si>
  <si>
    <t>Attachment 4, Line 14, Col. 3 (Notes U &amp; X)</t>
  </si>
  <si>
    <t>Attachment 4, Line 14, Col. 4 &amp; 5 (Notes U &amp; X)</t>
  </si>
  <si>
    <t>Attachment  H-28A</t>
  </si>
  <si>
    <t>Attachment 6, Line 9</t>
  </si>
  <si>
    <t xml:space="preserve">Line 7 - EPRI Annual Membership Dues listed in Form 1 at 353.f, all Regulatory Commission Expenses itemized at 351.h, and non-safety related advertising included in Account 930.1.  Line 8 - Regulatory Commission Expenses directly related to transmission service, ISO filings, or transmission siting itemized at 351.h. </t>
  </si>
  <si>
    <t>1a</t>
  </si>
  <si>
    <t>1b</t>
  </si>
  <si>
    <t>1c</t>
  </si>
  <si>
    <t>2</t>
  </si>
  <si>
    <t>3b</t>
  </si>
  <si>
    <t>3c</t>
  </si>
  <si>
    <t>5a</t>
  </si>
  <si>
    <t>5b</t>
  </si>
  <si>
    <t>5c</t>
  </si>
  <si>
    <t>1z</t>
  </si>
  <si>
    <t>2z</t>
  </si>
  <si>
    <t>3z</t>
  </si>
  <si>
    <t>4z</t>
  </si>
  <si>
    <t>5z</t>
  </si>
  <si>
    <t>6z</t>
  </si>
  <si>
    <t>Total other than income taxes (sum lines 1z, 2z, 3z, 4z, 5z, 6z) 
[tie to 114.14c]</t>
  </si>
  <si>
    <t>Attachment 7, line 6z</t>
  </si>
  <si>
    <t>Unamortized Abandoned Plant and Amortization of Abandoned Plant will be zero until the Commission accepts or approves recovery of the cost of abandoned plant.  Utility must submit a Section 205 filing to recover the cost of abandoned plant.</t>
  </si>
  <si>
    <t>Z</t>
  </si>
  <si>
    <t xml:space="preserve">Includes only CWIP authorized by the Commission for inclusion in rate base.  </t>
  </si>
  <si>
    <t>AA</t>
  </si>
  <si>
    <t>BB</t>
  </si>
  <si>
    <t>Any actual ROE incentive must be approved by the Commission; therefore, line will remain zero until a project(s) is granted an ROE incentive adder.</t>
  </si>
  <si>
    <t xml:space="preserve">  Unfunded Reserve Plant-related (enter negative) </t>
  </si>
  <si>
    <t xml:space="preserve">  Unfunded Reserve Labor-related (enter negative) </t>
  </si>
  <si>
    <t>263.i (Attachment 7, line 1z)</t>
  </si>
  <si>
    <t>263.i (Attachment 7, line 2z)</t>
  </si>
  <si>
    <t>263.i (Attachment 7, line 3z)</t>
  </si>
  <si>
    <t>263.i (Attachment 7, line 4z)</t>
  </si>
  <si>
    <t>263.i (Attachment 7, line 5z)</t>
  </si>
  <si>
    <t>Rate Base</t>
  </si>
  <si>
    <t>Preferred Dividends</t>
  </si>
  <si>
    <t xml:space="preserve"> enter positive</t>
  </si>
  <si>
    <t>Proprietary Capital</t>
  </si>
  <si>
    <t>Capitalization</t>
  </si>
  <si>
    <t>Total  Capitalization</t>
  </si>
  <si>
    <t>Debt %</t>
  </si>
  <si>
    <t>Total Long Term Debt</t>
  </si>
  <si>
    <t>Preferred %</t>
  </si>
  <si>
    <t>Common %</t>
  </si>
  <si>
    <t>Preferred Cost</t>
  </si>
  <si>
    <t>Common Cost</t>
  </si>
  <si>
    <t>Weighted Cost of Debt</t>
  </si>
  <si>
    <t>Total Long Term Debt (WCLTD)</t>
  </si>
  <si>
    <t>Weighted Cost of Preferred</t>
  </si>
  <si>
    <t>Weighted Cost of Common</t>
  </si>
  <si>
    <t>Rate of Return on Rate Base ( ROR )</t>
  </si>
  <si>
    <t>Investment Return = Rate Base * Rate of Return</t>
  </si>
  <si>
    <t>Attachment  H-28A, Attachment 1</t>
  </si>
  <si>
    <t>Attachment  H-28A, Attachment 2</t>
  </si>
  <si>
    <t>Attachment  H-28A, Attachment 3</t>
  </si>
  <si>
    <t>Incentive ROE Calculation</t>
  </si>
  <si>
    <t>Gross Plant Calculation</t>
  </si>
  <si>
    <t>Attachment  H-28A, Attachment 4</t>
  </si>
  <si>
    <t>Accumulated Depreciation Calculation</t>
  </si>
  <si>
    <t>Attachment  H-28A, Attachment 5</t>
  </si>
  <si>
    <t>ADIT Calculation</t>
  </si>
  <si>
    <t>Attachment  H-28A, Attachment 5a</t>
  </si>
  <si>
    <t>ADIT Normalization Calculation</t>
  </si>
  <si>
    <t>Attachment  H-28A, Attachment 6</t>
  </si>
  <si>
    <t>Attachment  H-28A, Attachment 7</t>
  </si>
  <si>
    <t>Taxes Other than Income Calculation</t>
  </si>
  <si>
    <t>Attachment  H-28A, Attachment 8</t>
  </si>
  <si>
    <t>Capital Structure Calculation</t>
  </si>
  <si>
    <t>Attachment  H-28A, Attachment 9</t>
  </si>
  <si>
    <t>Stated Value Inputs</t>
  </si>
  <si>
    <t>Debt Cost Calculation</t>
  </si>
  <si>
    <t>Attachment  H-28A, Attachment 10</t>
  </si>
  <si>
    <t>Attachment  H-28A, Attachment 11</t>
  </si>
  <si>
    <t>Transmission Enhancement Credit taken to Attachment H-28A Page 1, Line 7</t>
  </si>
  <si>
    <t xml:space="preserve">Gross Transmission Plant is that identified on page 2 line 2 of Attachment H-28A. </t>
  </si>
  <si>
    <t>Net Transmission Plant is that identified on page 2 line 14 of Attachment H-28A.</t>
  </si>
  <si>
    <t>To be completed in conjunction with Attachment H-28A</t>
  </si>
  <si>
    <t>Columns 5-9 (page 1) only applies with incentive ROE project(s) (Note F)</t>
  </si>
  <si>
    <t>Attachment  H-28A, Attachment 11a</t>
  </si>
  <si>
    <t>Attachment  H-28A, Attachment 12</t>
  </si>
  <si>
    <t>To be completed after Attachment 11 for the True-up Year is updated using actual data</t>
  </si>
  <si>
    <t>Utilizing a 13-month average.              [C] Taken to Attachment 11, Page 2, Col. 6</t>
  </si>
  <si>
    <t>Attachment H-28A, Attachment 13</t>
  </si>
  <si>
    <t>Attachment H-28A, Attachment 14</t>
  </si>
  <si>
    <t>Other Rate Base Items</t>
  </si>
  <si>
    <t>Attachment H-28A, page 2, Line 27</t>
  </si>
  <si>
    <t>Attachment H-28A, page 2, Line 28</t>
  </si>
  <si>
    <t>Attachment H-28A, Attachment 15</t>
  </si>
  <si>
    <t>Income Tax Adjustments</t>
  </si>
  <si>
    <t xml:space="preserve">       Less Account 216.1 &amp; Goodwill</t>
  </si>
  <si>
    <t>Attachment 8, Line 14, Col. 1</t>
  </si>
  <si>
    <t>Attachment 8, Line 14, Col. 2</t>
  </si>
  <si>
    <t>Attachment 8, Line 14, Col. 6</t>
  </si>
  <si>
    <t>Attachment 8, Line 14, Col. 3 &amp; 5</t>
  </si>
  <si>
    <t>Attachment 8, Line 14, Col. 4</t>
  </si>
  <si>
    <t>Attachment H-28A, page 4, Line 22, Col. 3</t>
  </si>
  <si>
    <t>Attachment H-28A, page 4, Line 23, Col. 3</t>
  </si>
  <si>
    <t>Attachment H-28A, page 4, Line 24, Col. 3</t>
  </si>
  <si>
    <t>Attachment H-28A, page 4, Line 25, Col. 3</t>
  </si>
  <si>
    <t>Attachment H-28A, page 4, Line 22, Col. 4</t>
  </si>
  <si>
    <t>Attachment H-28A, page 4, Line 23, Col. 4</t>
  </si>
  <si>
    <t>Attachment H-28A, page 4, Line 24, Col. 4</t>
  </si>
  <si>
    <t>Attachment H-28A, page 3, Line 33, Col. 3</t>
  </si>
  <si>
    <t>Attachment H-28A, page 3, Line 34, Col. 3</t>
  </si>
  <si>
    <t>Attachment H-28A, page 3, Line 38, Col. 3</t>
  </si>
  <si>
    <t>Attachment H-28A, Page 3, Line 40, Col. 5</t>
  </si>
  <si>
    <t>Attachment H-28A, page 2, Line 36, Col. 5</t>
  </si>
  <si>
    <t>Attachment H-28A, page 4, Line 21, Col. 6</t>
  </si>
  <si>
    <t>3a</t>
  </si>
  <si>
    <t>Net Revenue Requirement True-up with Interest</t>
  </si>
  <si>
    <t>Actual
Attachment 11
p 2 of 2, col. 14</t>
  </si>
  <si>
    <t>Attach. H-28A, p. 2, line 2, col. 5 (Note A)</t>
  </si>
  <si>
    <t>Attach. H-28A, p. 2, line 14, col. 5 (Note B)</t>
  </si>
  <si>
    <t>Attach. H-28A, p. 3, line 40, col. 5</t>
  </si>
  <si>
    <t>Attachment 2, line 33</t>
  </si>
  <si>
    <t>Attachment 2, line 22</t>
  </si>
  <si>
    <t>(line 41 + line 42)</t>
  </si>
  <si>
    <t>sum lines 35 through 38</t>
  </si>
  <si>
    <t>(Excess)/Deficient Deferred Income Tax Adjustment (line 31 * line 34)</t>
  </si>
  <si>
    <t>Permanent Differences and AFUDC Equity Tax Adjustment (line 31 * line 33)</t>
  </si>
  <si>
    <t>ITC adjustment (line 31 * line 32)</t>
  </si>
  <si>
    <t>Income Tax Calculation = line 30 * line 40</t>
  </si>
  <si>
    <t>TOTAL DEPRECIATION  (sum lines 16 -19)</t>
  </si>
  <si>
    <t>TOTAL OTHER TAXES  (sum lines 21 - 27)</t>
  </si>
  <si>
    <t>Attachment H-28A, page 3, Line 29, Col. 3</t>
  </si>
  <si>
    <t>Attachment H-28A, page 3, Line 32, Col. 3</t>
  </si>
  <si>
    <t>Attachment H-28A, page 3, Line 37, Col. 3</t>
  </si>
  <si>
    <t>Attachment H-28A, Page 3, Line 39, Col. 5</t>
  </si>
  <si>
    <t>Attach. H-28A, p. 3, line 15, col. 5</t>
  </si>
  <si>
    <t>Attach. H-28A, p. 3, lines 17 &amp; 18, col. 5</t>
  </si>
  <si>
    <t>Attach. H-28A, p. 3, line 28, col. 5</t>
  </si>
  <si>
    <t>Attach. H-28A, p. 3, line 39, col. 5</t>
  </si>
  <si>
    <t>Attachment H-28A, page 3, Line 19</t>
  </si>
  <si>
    <t>[G]</t>
  </si>
  <si>
    <t>Normalization [G]</t>
  </si>
  <si>
    <t xml:space="preserve">Ending Balance 13-Month Average </t>
  </si>
  <si>
    <t>MAIT</t>
  </si>
  <si>
    <t>CIAC</t>
  </si>
  <si>
    <t>Attachment 3, Line 14, Col. 6 (Notes U &amp; X)</t>
  </si>
  <si>
    <t>Attachment 4, Line 14, Col. 6 (Notes U &amp; X)</t>
  </si>
  <si>
    <t>Attachment 17, Line 15, Col. 7 (Notes X &amp; BB)</t>
  </si>
  <si>
    <t>Attachment H-28A, Page 4, Line 7</t>
  </si>
  <si>
    <t>Annual MWh in Met-Ed and Penelec Zones - Note B</t>
  </si>
  <si>
    <t>Revenues received pursuant to PJM Schedule 1A revenue allocation procedures for transmission service outside of Met-Ed's and Penelec's zones during the year used to calculate rates under Attachment H-28A.</t>
  </si>
  <si>
    <t>Load expressed in MWh consistent with load used for billing under Schedule 1A for the Met-Ed and Penelec zones.  Data from RTO settlement systems for the calendar year prior to the rate year.</t>
  </si>
  <si>
    <t>Beginning/Ending Average with adjustments for FAS143, FAS106, FAS109, CIACs and normalization to populate Appendix H-28A, page 2, lines 19-23, col. 3 for accounts 281, 282, 283, 190, and 255, respectively</t>
  </si>
  <si>
    <t>112.24.c</t>
  </si>
  <si>
    <t>Project Depreciation Expense is the actual value booked for the project and included in the Depreciation Expense in Attachment H-28A, page 3, line 16.</t>
  </si>
  <si>
    <t>True-up adjustment is calculated on the project true-up schedule, attachment 12, column j</t>
  </si>
  <si>
    <t>Attachment H-28A, Attachment 16a</t>
  </si>
  <si>
    <t>Attachment H-28A, Attachment 16b</t>
  </si>
  <si>
    <t>Regulatory Asset - Vegetation Management</t>
  </si>
  <si>
    <t>Attachment H-28A, Attachment 16c</t>
  </si>
  <si>
    <t>Attachment H-28A, Attachment 17</t>
  </si>
  <si>
    <t>Abandoned Plant</t>
  </si>
  <si>
    <t>Attachment H-28A, Attachment 18</t>
  </si>
  <si>
    <t>Attachment H-28A, Attachment 19</t>
  </si>
  <si>
    <t>The currently effective income tax rate,  where FIT is the Federal income tax rate; SIT is the State income tax rate, and p = "the percentage of federal income tax deductible for state income taxes".  If the utility is taxed in more than one state it must attach a work paper showing the name of each state and how the blended or composite SIT was developed.  Furthermore,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31).</t>
  </si>
  <si>
    <t>Prepayments shall exclude prepayments of income taxes.</t>
  </si>
  <si>
    <t xml:space="preserve">ADJUSTMENTS TO RATE BASE  </t>
  </si>
  <si>
    <t>Attachment 16a, 16b, 16c, line 15, Col. 7 (Notes X)</t>
  </si>
  <si>
    <t>Annual Rate ($/MW/Yr)</t>
  </si>
  <si>
    <t>Included on Attachment H-28A, page 2, lines 1-6, Col. 3</t>
  </si>
  <si>
    <t>Included on Attachment H-28A, page 2, lines 7-11, Col. 3</t>
  </si>
  <si>
    <t>[A] [C]</t>
  </si>
  <si>
    <t>Asset Retirement Costs</t>
  </si>
  <si>
    <t>Total Account 566 (sum lines 12 &amp; 13, ties to 321.97.b)</t>
  </si>
  <si>
    <t>Attachment H-28A, page 4, Line 22, Col. 5</t>
  </si>
  <si>
    <t>Attachment H-28A, page 4, Line 23, Col. 5</t>
  </si>
  <si>
    <t>cost per labor dollar (line 3 / line 4)</t>
  </si>
  <si>
    <t>PBOP Expense for current year (line 5 * line 6)</t>
  </si>
  <si>
    <t>PBOP Adjustment for Attachment H-28A, page 3, line 9 (line 7 - line 8)</t>
  </si>
  <si>
    <t>(line 10 divided by line 2, col. 3)</t>
  </si>
  <si>
    <t>(Col. 6 * Page 1, line 15, Col. 9)</t>
  </si>
  <si>
    <t>(table 2, col. cc)</t>
  </si>
  <si>
    <t>(table 2, col. hh)</t>
  </si>
  <si>
    <t>((col e. * col. F)/12)</t>
  </si>
  <si>
    <t>(col. g/col. g total)</t>
  </si>
  <si>
    <t>(col. cc + col. dd + col. ee + col. ff)</t>
  </si>
  <si>
    <t>((col. cc / col. hh)*100)</t>
  </si>
  <si>
    <t>(col. cc * col. jj)</t>
  </si>
  <si>
    <t>True-up Adjustment Principal
Over/(Under)</t>
  </si>
  <si>
    <t>Applicable Interest Rate on 
Over/(Under)</t>
  </si>
  <si>
    <t>Total True-up Adjustment with Interest
Over(Under)</t>
  </si>
  <si>
    <t>Col. H line 2x / Col. H line 3  * Col. J line 4</t>
  </si>
  <si>
    <t>TEC Revenue Requirement True-up with Interest</t>
  </si>
  <si>
    <t>Account 566 Amortization of Regulatory Assets</t>
  </si>
  <si>
    <t>TOTAL O&amp;M  (sum lines 1, 5,8, 9, 10, 11, 14 less 2, 3, 4, 6, 7)</t>
  </si>
  <si>
    <t xml:space="preserve">   Acct. 566 Miscellaneous Transmission Expense (less amortization of regulatory asset)  321.97.b - line 12</t>
  </si>
  <si>
    <t>1/8*(Page 3, Line 15 minus Page 3, Lines 11 &amp; 12)</t>
  </si>
  <si>
    <t>[8]</t>
  </si>
  <si>
    <t>[9]</t>
  </si>
  <si>
    <t>Ending Balance for formula rate (col. 1 - col. 3. - col. 4)</t>
  </si>
  <si>
    <t xml:space="preserve">Total FirstEnergy PBOP expenses </t>
  </si>
  <si>
    <t>Labor dollars (FirstEnergy)</t>
  </si>
  <si>
    <t>Additional Incentive Revenue taken to Attachment H-28A Page 3, Line 42</t>
  </si>
  <si>
    <t>Total Interest (Sourced from Attachment 13a, line 30)</t>
  </si>
  <si>
    <t>Regulatory Asset - Deferred Storms</t>
  </si>
  <si>
    <t>Attachment H-28A, Attachment 13a</t>
  </si>
  <si>
    <t>Account 407.3 Amortization of Regulatory Assets</t>
  </si>
  <si>
    <t>Cash Working Capital assigned to transmission is one-eighth of O&amp;M allocated to transmission at page 3, line 15, column 5 minus amortization of regulatory assets (page 3, lines 11 &amp; 12, col. 5).  Prepayments are the electric related prepayments booked to Account No. 165 and reported on Page 111, line 57 in the Form 1.</t>
  </si>
  <si>
    <t>Average 12 CPs (MW)</t>
  </si>
  <si>
    <t>Peak Rate</t>
  </si>
  <si>
    <t>Off-Peak Rate</t>
  </si>
  <si>
    <t>Point-to-Point Rate ($/MW/Year)</t>
  </si>
  <si>
    <t>(line 10 / line 12)</t>
  </si>
  <si>
    <t>Point-to-Point Rate ($/MW/Month)</t>
  </si>
  <si>
    <t>(line 14/12)</t>
  </si>
  <si>
    <t>Point-to-Point Rate ($/MW/Week)</t>
  </si>
  <si>
    <t>(line 14/52)</t>
  </si>
  <si>
    <t>Point-to-Point Rate ($/MW/Day)</t>
  </si>
  <si>
    <t>(line 16/5; line 16/7)</t>
  </si>
  <si>
    <t>Point-to-Point Rate ($/MWh)</t>
  </si>
  <si>
    <t>(line 14/4,160; line 14/8,760)</t>
  </si>
  <si>
    <t>(Note CC)</t>
  </si>
  <si>
    <t>CC</t>
  </si>
  <si>
    <t>As provided by PJM and in effect at the time of the annual rate calculations pursuant to Section 34.1 of the PJM OATT. Includes combined CPs for Met-Ed and Penelec zones.</t>
  </si>
  <si>
    <t>GROSS REVENUE REQUIREMENT  [page 3, line 43, col 5]</t>
  </si>
  <si>
    <t xml:space="preserve">GROSS REV. REQUIREMENT </t>
  </si>
  <si>
    <t>(Excess)/Deficient Deferred Income Taxes (Attachment 15, Lines 2 &amp; 3, Col. 3) [Notes E &amp; Y]</t>
  </si>
  <si>
    <t>Tax Effect of Permanent Differences and AFUDC Equity  (Attachment 15, Line 1, Col. 3) [Notes D &amp; Y]</t>
  </si>
  <si>
    <t xml:space="preserve">  Long Term Debt  (112.24.c) (Attachment 8, Line 14, Col. 7) (Note X)</t>
  </si>
  <si>
    <t xml:space="preserve">  Preferred Stock  (112.3d) (Attachment 8, Line 14, Col. 2) (Note X)</t>
  </si>
  <si>
    <t xml:space="preserve">  Common Stock (Attachment 8, Line 14, Col. 6) (Note X)</t>
  </si>
  <si>
    <t>Return and Income taxes with increase in ROE</t>
  </si>
  <si>
    <r>
      <t xml:space="preserve">Return and Income taxes </t>
    </r>
    <r>
      <rPr>
        <u val="single"/>
        <sz val="12"/>
        <rFont val="Arial"/>
        <family val="2"/>
      </rPr>
      <t>without</t>
    </r>
    <r>
      <rPr>
        <sz val="12"/>
        <rFont val="Arial"/>
        <family val="2"/>
      </rPr>
      <t xml:space="preserve"> increase in ROE</t>
    </r>
  </si>
  <si>
    <t>Incremental Return and incomes taxes for increase in ROE</t>
  </si>
  <si>
    <t>Incremental Return and incomes taxes for increase in ROE divided by rate base</t>
  </si>
  <si>
    <t>Line 17 to include an incentive ROE that is used only to determine the increase in return and incomes taxes associated with a specific increase in ROE.  Any actual ROE incentive must be approved by the Commission.  Until an ROE incentive is approved, line 17 will reflect the current ROE.</t>
  </si>
  <si>
    <t>FERC Form 1 - Year-End (sourced from Attachment 5, page 1, line 5)</t>
  </si>
  <si>
    <t>Beginning  190 (including adjustments)</t>
  </si>
  <si>
    <t>Beginning  282 (including adjustments)</t>
  </si>
  <si>
    <t>Beginning  283 (including adjustments)</t>
  </si>
  <si>
    <t>Q1 Activity</t>
  </si>
  <si>
    <t>Ending Q1</t>
  </si>
  <si>
    <t>Q2 Activity</t>
  </si>
  <si>
    <t>Ending Q2</t>
  </si>
  <si>
    <t>Q3 Activity</t>
  </si>
  <si>
    <t xml:space="preserve">Ending Q3 </t>
  </si>
  <si>
    <t>Q4 Activity</t>
  </si>
  <si>
    <t xml:space="preserve">Ending Q4 </t>
  </si>
  <si>
    <t>Pro-rated Ending  190</t>
  </si>
  <si>
    <t>Pro-rated Ending  282</t>
  </si>
  <si>
    <t>Pro-rated Ending  283</t>
  </si>
  <si>
    <t>Regulatory Asset - Start-up Costs</t>
  </si>
  <si>
    <t>(entered on Attachment H-28A,
page 5 of 5, Note K)</t>
  </si>
  <si>
    <t>Attachment 16a, 16b, 16c, Line 15, Col. 5</t>
  </si>
  <si>
    <t>Attachment 17, Line 15, Col. 5 (Note BB)</t>
  </si>
  <si>
    <t>Balance excludes Asset Retirements Costs</t>
  </si>
  <si>
    <t>Balance excludes reserve for depreciation of asset retirement costs</t>
  </si>
  <si>
    <t>Peak as would be reported on page 401, column d of Form 1 at the time of Met-Ed's and Penelec's zonal peak for the twelve month period ending October 31 of the calendar year used to calculate rates.   The projection year will utilize the most recent preceding 12-month period at the time of the filing.</t>
  </si>
  <si>
    <t>Transmission Enhancement Charge (TEC) Worksheet</t>
  </si>
  <si>
    <t>TEC Worksheet Support</t>
  </si>
  <si>
    <t>TEC - True-up</t>
  </si>
  <si>
    <t>DD</t>
  </si>
  <si>
    <t>(sum lines 15, 20, 28, 39, 40)</t>
  </si>
  <si>
    <t>[Rate Base (page 2, line 36) * Rate of Return (page 4, line 25)]</t>
  </si>
  <si>
    <t>207.74.g</t>
  </si>
  <si>
    <t>205.44.g</t>
  </si>
  <si>
    <t>207.98.g</t>
  </si>
  <si>
    <t>[D] Company records</t>
  </si>
  <si>
    <t>Includes transmission-related balance only.</t>
  </si>
  <si>
    <t>321.97.b (notes)</t>
  </si>
  <si>
    <t>Mid-Atlantic Interstate Transmission, LLC</t>
  </si>
  <si>
    <t>ADIT Total Transmission-related only, including Plant &amp; Labor Related Transmission ADITs (prior to adjustments from notes below)</t>
  </si>
  <si>
    <t>ADIT Transmission Total (including Plant &amp; Labor Related Transmission ADITs and applicable transmission adjustments from notes below</t>
  </si>
  <si>
    <t xml:space="preserve">      1 / (1 - T)  = (from line 29)</t>
  </si>
  <si>
    <t>On Page 4, Line 31, enter revenues from RTO settlements that are associated with NITS and firm Point-to-Point Service for which the load is not included in the divisor to derive Met-Ed's and Penelec's zonal rates.  Exclude non-firm Point-to-Point revenues and revenues related to RTEP projects.</t>
  </si>
  <si>
    <t>Removes transmission plant determined by Commission order to be state-jurisdictional according to the seven-factor test (until Form 1 balances are adjusted to reflect application of seven-factor test).</t>
  </si>
  <si>
    <t>Attachment H-28A, page 3, Line 31, Col.3</t>
  </si>
  <si>
    <t>Total Normalization to Attachment 5 (col. 2 - col. 3)</t>
  </si>
  <si>
    <t>** This Total Weighted Average Debt Cost will be shown on page 4, line 22, column 5 of formula rate Attachment H-28A.</t>
  </si>
  <si>
    <t>Col d, line 2 / Col. d, line 3</t>
  </si>
  <si>
    <t>FERC Account 182.3</t>
  </si>
  <si>
    <t>FERC Account 182.2</t>
  </si>
  <si>
    <r>
      <t xml:space="preserve">Interest Rate on Amount of Refunds or Surcharges </t>
    </r>
    <r>
      <rPr>
        <vertAlign val="superscript"/>
        <sz val="12"/>
        <rFont val="Arial Narrow"/>
        <family val="2"/>
      </rPr>
      <t>[A]</t>
    </r>
  </si>
  <si>
    <t>Interest rate equal to: (i) MAIT's actual short-term debt costs capped at the interest rate determined by 18 C.F.R. 35.19a; or (ii) the interest rate determined by 18 C.F.R. 35.19, if MAIT does not have short term debt</t>
  </si>
  <si>
    <t>Attachment H-28A, Attachment 20</t>
  </si>
  <si>
    <t>Operation and Maintenance Expenses</t>
  </si>
  <si>
    <t>Line No. [a]</t>
  </si>
  <si>
    <t>Account Reference</t>
  </si>
  <si>
    <t>Description</t>
  </si>
  <si>
    <t>Account Balance [b]</t>
  </si>
  <si>
    <t>Operation</t>
  </si>
  <si>
    <t>Operation Supervision and Engineering</t>
  </si>
  <si>
    <t>Load Dispatch-Reliability</t>
  </si>
  <si>
    <t>Load Dispatch-Monitor and Operate Transmission System</t>
  </si>
  <si>
    <t>Load-Dispatch-Transmission Service and Scheduling</t>
  </si>
  <si>
    <t>Scheduling, System Control and Dispatch Services</t>
  </si>
  <si>
    <t>Reliability, Planning and Standards Development</t>
  </si>
  <si>
    <t>Transmission Service Studies</t>
  </si>
  <si>
    <t>Generation Interconnection Studies</t>
  </si>
  <si>
    <t>Reliability, Planning and Standards Development Services</t>
  </si>
  <si>
    <t>Station Expenses</t>
  </si>
  <si>
    <t>Overhead Lines Expense</t>
  </si>
  <si>
    <t>Underground Lines Expense</t>
  </si>
  <si>
    <t>Miscellaneous Transmission Expense</t>
  </si>
  <si>
    <t>Rents</t>
  </si>
  <si>
    <t>TOTAL Operation (Enter Total of Lines 83 thru 98)</t>
  </si>
  <si>
    <t>Maintenance</t>
  </si>
  <si>
    <t>Maintenance Supervision and Engineering</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</si>
  <si>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</si>
  <si>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</si>
  <si>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</si>
  <si>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</si>
  <si>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</si>
  <si>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</si>
  <si>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Overhead Lines</t>
  </si>
  <si>
    <t>Maintenance of Underground Lines</t>
  </si>
  <si>
    <t>Maintenance of Miscellaneous Transmission Plant</t>
  </si>
  <si>
    <t>TOTAL Maintenance (Total of lines 101 thru 110)</t>
  </si>
  <si>
    <t>TOTAL Transmission Expenses (Total of lines 99 and 111) [c]</t>
  </si>
  <si>
    <t>[a]</t>
  </si>
  <si>
    <t>Line No. as would be reported in FERC Form 1, page 321</t>
  </si>
  <si>
    <t>[b]</t>
  </si>
  <si>
    <t>December balances as would be reported in FERC Form 1</t>
  </si>
  <si>
    <t>[c]</t>
  </si>
  <si>
    <t>Ties to Attachment H-28A, page 3, line 1, column 3</t>
  </si>
  <si>
    <t>Administrative and General (A&amp;G) Expenses</t>
  </si>
  <si>
    <t>Line No. [d]</t>
  </si>
  <si>
    <t>Account Balance [e]</t>
  </si>
  <si>
    <t>Administrative and General Salaries</t>
  </si>
  <si>
    <t>Office Supplies and Expenses</t>
  </si>
  <si>
    <t>Less 922</t>
  </si>
  <si>
    <t>Administrative Expenses Transferred - Credit</t>
  </si>
  <si>
    <t>Outside Services Employed</t>
  </si>
  <si>
    <t>Property Insurance</t>
  </si>
  <si>
    <t>Injuries and Damages</t>
  </si>
  <si>
    <t>Employee Pensions and Benefits</t>
  </si>
  <si>
    <t>Franchise Requirements</t>
  </si>
  <si>
    <t>Regulatory Commission Expense</t>
  </si>
  <si>
    <t>Less 929</t>
  </si>
  <si>
    <t>(Less) Duplicate Charges-Cr.</t>
  </si>
  <si>
    <t>General Advertising Expenses</t>
  </si>
  <si>
    <t>Miscellaneous General Expenses</t>
  </si>
  <si>
    <t>Total Operation (Enter Total of lines 181 thru 193)</t>
  </si>
  <si>
    <t>TOTAL A&amp;G Expenses (Total of lines 194 and 196) [f]</t>
  </si>
  <si>
    <t>[d]</t>
  </si>
  <si>
    <t>Line No. as would be reported in FERC Form 1, page 323</t>
  </si>
  <si>
    <t>[e]</t>
  </si>
  <si>
    <t>[f]</t>
  </si>
  <si>
    <t>Ties to Attachment H-28A, page 3, line 5, column 3</t>
  </si>
  <si>
    <t>Attachment  H-28A, Attachment 5b</t>
  </si>
  <si>
    <t>page 1 of 3</t>
  </si>
  <si>
    <t>ADIT Detail</t>
  </si>
  <si>
    <t>COLUMN A</t>
  </si>
  <si>
    <t>COLUMN B</t>
  </si>
  <si>
    <t>COLUMN C</t>
  </si>
  <si>
    <t>COLUMN D</t>
  </si>
  <si>
    <t>BALANCE AS</t>
  </si>
  <si>
    <t xml:space="preserve">AVERAGE </t>
  </si>
  <si>
    <t>BALANCE</t>
  </si>
  <si>
    <t>ACCOUNT 255:</t>
  </si>
  <si>
    <t>TOTAL ACCOUNT 255</t>
  </si>
  <si>
    <t>ACCOUNT 282:</t>
  </si>
  <si>
    <t>Other</t>
  </si>
  <si>
    <t>TOTAL ACCOUNT 282</t>
  </si>
  <si>
    <t>page 2 of 3</t>
  </si>
  <si>
    <t>ACCOUNT 283:</t>
  </si>
  <si>
    <t>TOTAL ACCOUNT 283</t>
  </si>
  <si>
    <t>page 3 of 3</t>
  </si>
  <si>
    <t>ACCOUNT 190:</t>
  </si>
  <si>
    <t>TOTAL ACCOUNT 190</t>
  </si>
  <si>
    <t>COLUMN E</t>
  </si>
  <si>
    <t>COLUMN F</t>
  </si>
  <si>
    <t>COLUMN G</t>
  </si>
  <si>
    <t>TRANSMISSION TOTAL</t>
  </si>
  <si>
    <t>ALLOCATION FACTOR</t>
  </si>
  <si>
    <t>(Col D times Col F)</t>
  </si>
  <si>
    <t xml:space="preserve">Land Held for Future Use (214.x.d) </t>
  </si>
  <si>
    <t>Materials &amp; Supplies (227.8.c &amp; .16.c)</t>
  </si>
  <si>
    <t>Prepayments: Account 165 (111.57.c) - Note [A]</t>
  </si>
  <si>
    <t>Unfunded Reserves</t>
  </si>
  <si>
    <t>Account 228.1</t>
  </si>
  <si>
    <t>Property Insurance (Self insurance not covered by property insurance)</t>
  </si>
  <si>
    <t>4b</t>
  </si>
  <si>
    <t>[Insert Item Included in Account 228.1 that are not allocated to transmission]</t>
  </si>
  <si>
    <t>4c</t>
  </si>
  <si>
    <t>Total Account 228.1 (112.27.c)</t>
  </si>
  <si>
    <t>Account 228.2</t>
  </si>
  <si>
    <t>Workman's Compensation</t>
  </si>
  <si>
    <t>Probable liabilities not covered by insurance for death or injuries to employees and others</t>
  </si>
  <si>
    <t>Probable liabilities not covered by insurance for damages to property neither owned nor held under lease by the utility</t>
  </si>
  <si>
    <t>5d</t>
  </si>
  <si>
    <t>[Insert Item Included in Account 228.2 that are not allocated to transmission]</t>
  </si>
  <si>
    <t>5e</t>
  </si>
  <si>
    <t>Total Account 228.2 (112.28.c)</t>
  </si>
  <si>
    <t>Account 228.3</t>
  </si>
  <si>
    <t>6a</t>
  </si>
  <si>
    <t>Year-End Vacation Pay Accrual</t>
  </si>
  <si>
    <t>6b</t>
  </si>
  <si>
    <t>Year-End Deferred Compensation Accrual</t>
  </si>
  <si>
    <t>6c</t>
  </si>
  <si>
    <t>Year-End Sick Pay Accrual</t>
  </si>
  <si>
    <t>6d</t>
  </si>
  <si>
    <t>Year-End Incentive Compensation Accrual</t>
  </si>
  <si>
    <t>6e</t>
  </si>
  <si>
    <t>Year-End Severance Pay Accrual</t>
  </si>
  <si>
    <t>6f</t>
  </si>
  <si>
    <t>Year-End PBOP/OPEB Accrual not included in established trusts</t>
  </si>
  <si>
    <t>6g</t>
  </si>
  <si>
    <t>[Insert Item Included in Account 228.3 that are not allocated to transmission]</t>
  </si>
  <si>
    <t>6h</t>
  </si>
  <si>
    <t>Total Account 228.3 (112.29.c )</t>
  </si>
  <si>
    <t>Account 228.4</t>
  </si>
  <si>
    <t>7a</t>
  </si>
  <si>
    <t>7b</t>
  </si>
  <si>
    <t>7c</t>
  </si>
  <si>
    <t>7d</t>
  </si>
  <si>
    <t>7e</t>
  </si>
  <si>
    <t>7f</t>
  </si>
  <si>
    <t>7g</t>
  </si>
  <si>
    <t>[Insert Item Included in Account 228.4 that are not allocated to transmission]</t>
  </si>
  <si>
    <t>7h</t>
  </si>
  <si>
    <t>7z</t>
  </si>
  <si>
    <t>Total Account 228.4 (112.30.c)</t>
  </si>
  <si>
    <t>Account 242</t>
  </si>
  <si>
    <t>8a</t>
  </si>
  <si>
    <t>8b</t>
  </si>
  <si>
    <t>8c</t>
  </si>
  <si>
    <t>8d</t>
  </si>
  <si>
    <t>8e</t>
  </si>
  <si>
    <t>8f</t>
  </si>
  <si>
    <t>8g</t>
  </si>
  <si>
    <t>[Insert Item Included in Account 242 that are not allocated to transmission]</t>
  </si>
  <si>
    <t>8h</t>
  </si>
  <si>
    <t>8z</t>
  </si>
  <si>
    <t>Total Account 242 (113.48.c)</t>
  </si>
  <si>
    <t>Total Unfunded Reserves Plant-related (items with GP allocator) - Note [B]</t>
  </si>
  <si>
    <t>Total Unfunded Reserves Labor-related (items with W/S allocator) - Note [C]</t>
  </si>
  <si>
    <t>Column G balance taken to Attachment H-28A, page 2, line 24, col. 3</t>
  </si>
  <si>
    <t>Column G balance taken to Attachment H-28A, page 2, line 25, col. 3</t>
  </si>
  <si>
    <t>FirstEnergy 2015 Actuarial Study</t>
  </si>
  <si>
    <t>FirstEnergy 2015 Actual: Company Records</t>
  </si>
  <si>
    <t>MAIT Labor: Company Records</t>
  </si>
  <si>
    <t>PBOP expense in Account 926 for current year</t>
  </si>
  <si>
    <t>MAIT Account 926: Company Records</t>
  </si>
  <si>
    <t>Attachment H-28A, page 3, line 11</t>
  </si>
  <si>
    <t>Attachment 11, page 2, line 4, col 11 (Note AA)</t>
  </si>
  <si>
    <t>4. Net Plant Allocator</t>
  </si>
  <si>
    <t>Revenue Credit Worksheet</t>
  </si>
  <si>
    <t>Account 451 -- Miscellaneous Service Revenues</t>
  </si>
  <si>
    <t>Note S, page 5</t>
  </si>
  <si>
    <t>Account 454 -- Rent from Electric Property</t>
  </si>
  <si>
    <t>FERC Form 1, pages 300 and 429</t>
  </si>
  <si>
    <t>Note R, page 5</t>
  </si>
  <si>
    <t>Account 456 -- Other Electric Revenues</t>
  </si>
  <si>
    <t>Note V, page 5</t>
  </si>
  <si>
    <t xml:space="preserve">         </t>
  </si>
  <si>
    <t>Attachment  H-28A, Attachment 21</t>
  </si>
  <si>
    <t>Attachment 14, Line 9, Col. G (Note Y)</t>
  </si>
  <si>
    <t>Attachment 14, Line 10, Col. G (Note Y)</t>
  </si>
  <si>
    <t>214.x.d (Attachment 14, Line 1, Col. D) (Notes G &amp; Y)</t>
  </si>
  <si>
    <t xml:space="preserve">227.8.c &amp; .16.c (Attachment 14, Line 2, Col. D) (Note Y) </t>
  </si>
  <si>
    <t>111.57.c (Attachment 14, Line 3, Col. D) (Notes B &amp; Y)</t>
  </si>
  <si>
    <t>1</t>
  </si>
  <si>
    <t xml:space="preserve">Amount </t>
  </si>
  <si>
    <t xml:space="preserve">    Account 451 Total</t>
  </si>
  <si>
    <t xml:space="preserve">     Account 454 Total</t>
  </si>
  <si>
    <t xml:space="preserve">    Account 456 Total</t>
  </si>
  <si>
    <t>Above expenses do not include amounts for Met-Ed's 34.5 kV transmission lines</t>
  </si>
  <si>
    <t>Lines 3-4 cannot change absent a Section 205 or 206 filing approved or accepted by FERC in a separate proceeding</t>
  </si>
  <si>
    <t>321.112.b (Attachment 20, page 1, line 112)</t>
  </si>
  <si>
    <t>323.197.b (Attachment 20, page 2, line 197)</t>
  </si>
  <si>
    <t>MAIT Company Records</t>
  </si>
  <si>
    <t>(300.17.b) (Attachment 21, line 1z)</t>
  </si>
  <si>
    <t>(300.19.b) (Attachment 21, line 2z)</t>
  </si>
  <si>
    <t>(330.x.n) (Attachment 21, line 3z)</t>
  </si>
  <si>
    <t>5. Land Rights</t>
  </si>
  <si>
    <t>If Land Rights (Account 350) are acquired by MAIT, it must make a Section 205 filing to establish the appropriate depreciation rate.</t>
  </si>
  <si>
    <t xml:space="preserve"> Met-Ed retained 34.5kV lines</t>
  </si>
  <si>
    <t>MAIT's stated ROE is set to: 10.3%</t>
  </si>
  <si>
    <t>If the Net Plant (NP) allocator becomes anything other than 1.000 (or 100%), MAIT must make a Section 205 filing to seek approval of any new depreciation or amortization rates applicable to production and/or distribution plant accounts.</t>
  </si>
  <si>
    <t>FERC Form 1 , page 300 and footnote data</t>
  </si>
  <si>
    <t>FERC Form 1, page 330 and footnote data</t>
  </si>
  <si>
    <t>Transmission of Electricity by Others</t>
  </si>
  <si>
    <t>Maintenance of General Plant</t>
  </si>
  <si>
    <t>(See Footnote T on Attachment H-28A, page 5)</t>
  </si>
  <si>
    <t>Sum of FAS143, FAS106, FAS109, CIAC and Other from Attachment 5, page 1, notes</t>
  </si>
  <si>
    <t>[H]</t>
  </si>
  <si>
    <t>Include any additional adjustments to ADIT items as may be recognized in the future to be proper for PTRR/ATRR calculation purposes.</t>
  </si>
  <si>
    <t>Other: [H]</t>
  </si>
  <si>
    <t xml:space="preserve">In its order approving the transfer of Penelec’s and Met-Ed’s transmission assets to MAIT, the Commission approved MAIT’s commitment to apply a 50 percent equity/50 percent debt capital structure for ratemaking purposes for a two-year transition period.  Pennsylvania Electric, 154 FERC ¶ 61,109 at P 51.  Consequently, for the first two years (i.e., calendar years 2017 and 2018) the hypothetical capital structure will be used instead of the actual calculation.  Per the Settlement Agreement in docket number ER17-211-000, beginning in calendar year 2019, the equity component of MAIT’s capital structure to be used in calculating charges under the formula rate shall be the lower of (i) MAIT’s actual equity component as calculated in accordance with Attachment 8 or (ii) 60%.   </t>
  </si>
  <si>
    <t>Includes the annual income tax cost or benefits due to permanent differences or differences between the amounts of expenses or revenues recognized in one period for ratemaking purposes and the amounts recognized for income tax purposes which do not reverse in one or more other periods, including the cost of income taxes on the Allowance for Other Funds Used During Construction.</t>
  </si>
  <si>
    <t>See Attachment H-28A, page 5, note K; A utility that elected to utilize amortization of tax credits against taxable income, rather than book tax credits to Account No. 255 and reduce rate base, must reduce its income tax expense by the amount of the Amortized Investment Tax Credit (Form 1, 266.8.f).</t>
  </si>
  <si>
    <t>Taken from Attachment 5a, page 2, col. 4.</t>
  </si>
  <si>
    <t>Debt cost rate will be set at 4.5% until such time as debt is issued by MAIT.  Once debt is issued, the long-term debt cost rate will be the weighted average of the rates for all outstanding debt instruments, calculated within Attachment 10, col. j.  Consistent with Note C, there will be no preferred stock cost, consistent with MAIT’s commitment to use a hypothetical 50%/50% capital structure until calendar year 2019.  Thereafter, Preferred cost rate = preferred dividends (line 21) / preferred outstanding (line 23).  No change in ROE may be made absent a filing with FERC under Section 205 or Section 206 of the Federal Power Act.  Per the Settlement Agreement in Docket No. ER17-211-000, MAIT's stated ROE is set to 10.30% (9.8% base ROE plus 50 basis point adder for RTO participation).</t>
  </si>
  <si>
    <r>
      <t>216.b (Notes X &amp; Z</t>
    </r>
    <r>
      <rPr>
        <sz val="12"/>
        <rFont val="Arial MT"/>
        <family val="1"/>
      </rPr>
      <t>)</t>
    </r>
  </si>
  <si>
    <t>Removes dollar amount of transmission expenses included in the OATT ancillary services rates, including Account Nos. 561.1 - 561.3, and 561.BA., and related to generation step-up facilities, which are deemed included in OATT ancillary services.  For these purposes, generation step-up facilities are those facilities at a generator substation on which there is no through-flow when the generator is shut down.</t>
  </si>
  <si>
    <t>Ending Balance 13-Month Average</t>
  </si>
  <si>
    <t>Accumulated Depreciation</t>
  </si>
  <si>
    <t>Project Net Plant</t>
  </si>
  <si>
    <t xml:space="preserve">  CWC</t>
  </si>
  <si>
    <t>Attachment 5, Line 3, Col. 1 (Notes F &amp; Y &amp; DD &amp; EE)</t>
  </si>
  <si>
    <t>Attachment 5, Line 3, Col. 2 (Notes F &amp; Y &amp; DD &amp; EE)</t>
  </si>
  <si>
    <t>Attachment 5, Line 3, Col. 3 (Notes F &amp; Y &amp; DD &amp; EE)</t>
  </si>
  <si>
    <t>Attachment 5, Line 3, Col. 4 (Notes F &amp; Y &amp; DD &amp; EE)</t>
  </si>
  <si>
    <t>Attachment 5, Line 3, Col. 5 (Notes F &amp; Y &amp; DD &amp; EE)</t>
  </si>
  <si>
    <t>The settlement filed in Docket No. ER20-1951-003 on October 18, 2022 specifies the calculation of certain ADIT balances.</t>
  </si>
  <si>
    <t>EE</t>
  </si>
  <si>
    <t xml:space="preserve">Upon enactment of changes in tax law, income tax rates and other actions taken by a taxing authority, deferred taxes are re-measured and adjusted in the Company's books of account, resulting in excess or deficient accumulated deferred taxes for schedule M balances not taken directly to the P&amp;L.  Such excess or deficient deferred taxes attributed to the transmission function will be based upon tax records and calculated in the calendar year in which the excess or deficient amount was measured and recorded for financial reporting purposes.  Amounts to be included will be January 1, 2017 and thereafter. </t>
  </si>
  <si>
    <t>Attachment H-28A, Attachment 15a</t>
  </si>
  <si>
    <t>Permanent Excess/Deficient ADIT Worksheet</t>
  </si>
  <si>
    <t>COLUMN H</t>
  </si>
  <si>
    <t>COLUMN I</t>
  </si>
  <si>
    <t>COLUMN J</t>
  </si>
  <si>
    <t>COLUMN K</t>
  </si>
  <si>
    <t>COLUMN L</t>
  </si>
  <si>
    <t>Vintage (Note A)</t>
  </si>
  <si>
    <t>(Excess)/Deficient ADIT Transmission - Beg Balance of Year
(Note C)</t>
  </si>
  <si>
    <t>Current Period Other Activity
(Note D)</t>
  </si>
  <si>
    <t>Amortization Period 
(Note E)</t>
  </si>
  <si>
    <t>Years Remaining at Year End</t>
  </si>
  <si>
    <t>Amortization
(Note F)</t>
  </si>
  <si>
    <t>(Excess)/Deficient ADIT Transmission - Ending Balance of Year (Note G)
(Col. D + Col. E) - Col. H</t>
  </si>
  <si>
    <t>Protected / Unprotected</t>
  </si>
  <si>
    <t>Regulatory Asset (Account 182.3) or Regulatory Liability (Account 254)</t>
  </si>
  <si>
    <t>Amortized to Account 410.1 or Account 411.1</t>
  </si>
  <si>
    <t>Non-property (Note B):</t>
  </si>
  <si>
    <t>Account 190</t>
  </si>
  <si>
    <t>2017 TCJA</t>
  </si>
  <si>
    <t>Account 282</t>
  </si>
  <si>
    <t>Account 283</t>
  </si>
  <si>
    <t>Non-property gross up for Taxes</t>
  </si>
  <si>
    <t xml:space="preserve">Total Non-Property </t>
  </si>
  <si>
    <t>Property (Note B):</t>
  </si>
  <si>
    <t>Property Book-Tax Timing Difference - Account 190</t>
  </si>
  <si>
    <t>ARAM</t>
  </si>
  <si>
    <t>Protected</t>
  </si>
  <si>
    <t>Asset</t>
  </si>
  <si>
    <t>Unprotected</t>
  </si>
  <si>
    <t>Liability</t>
  </si>
  <si>
    <t>Property Book-Tax Timing Difference - Account 282</t>
  </si>
  <si>
    <t>Property Book-Tax Timing Difference - Account 283</t>
  </si>
  <si>
    <t xml:space="preserve">Property Gross up for Taxes </t>
  </si>
  <si>
    <t>20a</t>
  </si>
  <si>
    <t>21a</t>
  </si>
  <si>
    <t>22a</t>
  </si>
  <si>
    <t>(Excess)/Deficient ADIT Transmission - Ending Balance of Year (Note G)</t>
  </si>
  <si>
    <t>Deferral of Amortized Excess/Deficient ADITs  (Note H)</t>
  </si>
  <si>
    <t>Protected, Unprotected</t>
  </si>
  <si>
    <t>Excess/deficient ADIT will be tracked separately for each federal or state tax rate change, to be identified by the appropriate vintage in column A.  MAIT will modify Attachment 15a to add an additional page for each additional vintage without pursuing a Federal Power Act Section 205 filing.</t>
  </si>
  <si>
    <t>Upon a tax rate change (federal or state), the Company remeasures its deferred tax assets and liabilities to the new applicable corporate tax rate.  For schedule M items not directly taken to the P&amp;L, the result of this remeasurement is a change to the net deferred tax assets/liabilities recorded in accounts 190, 282, and 283 with a corresponding change in regulatory assets (account 182.3) and regulatory liabilities (account 254) to reflect the return of/collection from excess/deficient deferred taxes to/from customers.  The remeasurement is effectuated within PowerTax and Tax Provision, which maintain both the timing difference and APB11 deferred tax balance (the historical ADIT based on the timing difference and the rate in effect when the timing difference occurred).  The difference in the two results is reclassified from ADIT to regulatory assets/liabilities for deficient/excess ADIT.  Within the FERC Form 1, deficient and excess ADITs in Account 182.3 and Account 254, respectively are presented grossed-up for tax purposes.  For ratemaking purposes, these grossed-up balances are treated as FAS109 and subsequently removed from rate base, thereby ensuring rate base neutrality for tax rate changes.  The Company would follow the process described above to remeasure ADIT balances (increase or decrease) due to any future federal or state income tax rate change.</t>
  </si>
  <si>
    <t>Beginning balance of year is the end of the prior year balance as reflected on FERC Form No. 1, pages 232 (Account 182.3) and 278 (Account 254)</t>
  </si>
  <si>
    <t>In the event the Company populates the data enterable fields, it will support the data entered as just and reasonable in its annual update</t>
  </si>
  <si>
    <t>The amortization periods shall be consistent with the following:</t>
  </si>
  <si>
    <t>Protected Property &amp; Non-Protected Property:</t>
  </si>
  <si>
    <t>ARAM, or directly assigned based on average remaining life of assets for property items not in PowerTax</t>
  </si>
  <si>
    <t>Protected Non-Property &amp; Non-Protected Non-Property will be directly assigned and presented in the table above</t>
  </si>
  <si>
    <t>The amortization will occur through FERC income statement Accounts 410.1. and 411.1.</t>
  </si>
  <si>
    <t>Ending balance of year is the end of current year balance, as reflected on FERC Form No. 1, pages 232 (Account 182.3) and 278 (Account 254)</t>
  </si>
  <si>
    <t>Reflects the net amount of amortization, including gross-up for taxes, from prior period(s) that was booked for GAAP, but deferred for FERC purposes because a mechanism did not exist to pass back/collect excess/deficient ADITs to/from customers.  The net amortized deferral amount, including the gross-up for taxes, is in Account 254, as reflected on FERC Form No. 1, page 278 or Account 182.3, as reflected on FERC Form No. 1, page 232.</t>
  </si>
  <si>
    <t>The amortization gross-up for taxes occurs on Attachment H-28A, page 3, line 38.</t>
  </si>
  <si>
    <t>Included to demonstrate rate base neutrality. Ties back to FERC Form No. 1 page 232 (Account 182.3) plus page 278 (Account 254).</t>
  </si>
  <si>
    <t>Attachment H-28A, Attachment 15b</t>
  </si>
  <si>
    <t>Deferred Tax Asset (Liability) (Note B)</t>
  </si>
  <si>
    <t>ADIT Offset to P&amp;L (Note B)</t>
  </si>
  <si>
    <t>(Excess) Deficient Deferred Income Taxes (Notes B &amp; C)</t>
  </si>
  <si>
    <t>(Excess) Deficient Deferred Income Tax Activity post tax remeasurement</t>
  </si>
  <si>
    <t>M Item</t>
  </si>
  <si>
    <t>Tax Expense (Benefit)</t>
  </si>
  <si>
    <t>ADIT Offset to Regulatory Asset (Liability) (= -(Col. E + Col F))</t>
  </si>
  <si>
    <t>Other Adjustments Including Gross-up True-ups</t>
  </si>
  <si>
    <t>(Excess)/Deficient ADIT Transmission Remeasured Balance (= Col. G + Col. H + Col. I)</t>
  </si>
  <si>
    <t>Non-Property Related Items:</t>
  </si>
  <si>
    <t>190 Accounts</t>
  </si>
  <si>
    <t>Total For 190 Accounts:</t>
  </si>
  <si>
    <t>282 Accounts</t>
  </si>
  <si>
    <t>Total For 282 Accounts:</t>
  </si>
  <si>
    <t>283 Accounts</t>
  </si>
  <si>
    <t>Total For 283 Accounts:</t>
  </si>
  <si>
    <t>Total Non-Property Related Items:</t>
  </si>
  <si>
    <t>Net (Excess) Deficient Deferred Income Taxes (excluding Gross-up)</t>
  </si>
  <si>
    <t>Net Tax Gross-up</t>
  </si>
  <si>
    <t>Net (Excess) Deficient Deferred Income Taxes (including Gross-up)</t>
  </si>
  <si>
    <t>Property Related Items:</t>
  </si>
  <si>
    <t>Total Property Related Items:</t>
  </si>
  <si>
    <t>Total Property and Non-property Related Items:</t>
  </si>
  <si>
    <t>Reflects the end of vintage year balance, as reflected on FERC Form No. 1, pages 232 (Account 182.3) and 278 (Account 254).</t>
  </si>
  <si>
    <t xml:space="preserve">Upon enactment of changes in tax law, income tax rates and other actions taken by a taxing authority, deferred taxes are re-measured and adjusted in the Company's books of account, resulting in excess or deficient accumulated deferred taxes for schedule M balances not directly taken to the P&amp;L.  Such excess or deficient deferred taxes attributed to the transmission function will be based upon tax records and calculated in the calendar year in which the excess or deficient amount was measured and recorded for financial reporting purposes.  Amounts to be included will be January 1, 2017 and thereafter.  </t>
  </si>
  <si>
    <t>Accumulated Deferred Investment Tax Credits</t>
  </si>
  <si>
    <t>Deferred Charge-EIB</t>
  </si>
  <si>
    <t>Lease ROU Asset &amp; Liability</t>
  </si>
  <si>
    <t>Asset Retirement Obligation Liability</t>
  </si>
  <si>
    <t>Charitable Contribution Carryforward</t>
  </si>
  <si>
    <t>NOL Deferred Tax Asset - LT PA</t>
  </si>
  <si>
    <t>207.58.g</t>
  </si>
  <si>
    <t>207.75.g</t>
  </si>
  <si>
    <t>205.5.g</t>
  </si>
  <si>
    <t>207.99.g</t>
  </si>
  <si>
    <t>4.10%, Senior Unsecured Note</t>
  </si>
  <si>
    <t>3.60%, Senior Unsecured Note</t>
  </si>
  <si>
    <t>3.70%, Senior Unsecured Note</t>
  </si>
  <si>
    <t>2c</t>
  </si>
  <si>
    <t>2d</t>
  </si>
  <si>
    <t>2e</t>
  </si>
  <si>
    <t>2f</t>
  </si>
  <si>
    <t>2g</t>
  </si>
  <si>
    <t>2h</t>
  </si>
  <si>
    <t xml:space="preserve">2i </t>
  </si>
  <si>
    <t>2j</t>
  </si>
  <si>
    <t>2k</t>
  </si>
  <si>
    <t>2l</t>
  </si>
  <si>
    <t>2m</t>
  </si>
  <si>
    <t>2n</t>
  </si>
  <si>
    <t>2o</t>
  </si>
  <si>
    <t>2p</t>
  </si>
  <si>
    <t>2q</t>
  </si>
  <si>
    <t>2r</t>
  </si>
  <si>
    <t>2s</t>
  </si>
  <si>
    <t>2u</t>
  </si>
  <si>
    <t>2v</t>
  </si>
  <si>
    <t>2w</t>
  </si>
  <si>
    <t>Install 230Kv series reactor and 2- 100MVAR PLC switched capacitors at Hunterstown</t>
  </si>
  <si>
    <t>b0215</t>
  </si>
  <si>
    <t>Install 250 MVAR capacitor at Keystone 500 kV</t>
  </si>
  <si>
    <t>b0549</t>
  </si>
  <si>
    <t>Install 25 MVAR capacitor at Saxton 115 kV substation</t>
  </si>
  <si>
    <t>b0551</t>
  </si>
  <si>
    <t>Install 50 MVAR capacitor at Altoona 230 kV substation</t>
  </si>
  <si>
    <t>b0552</t>
  </si>
  <si>
    <t>Install 50 MVAR capacitor at Raystown 230 kV substation</t>
  </si>
  <si>
    <t>b0553</t>
  </si>
  <si>
    <t>Install 75 MVAR capacitor at East Towanda 230 kV substation</t>
  </si>
  <si>
    <t>b0557</t>
  </si>
  <si>
    <t>Relocate the Erie South 345 kV line terminal</t>
  </si>
  <si>
    <t>b1993</t>
  </si>
  <si>
    <t>Convert Lewis Run-Farmers Valley to 230 kV using 1033.5 ACSR conductor. Project to be completed in conjunction with new Farmers Valley 345/230 kV transformation</t>
  </si>
  <si>
    <t>b1994</t>
  </si>
  <si>
    <t xml:space="preserve">Portland-Kittatinny 230kv Terminal Upgrade </t>
  </si>
  <si>
    <t>b0132.3</t>
  </si>
  <si>
    <t xml:space="preserve">South Lebanon 230/69 kv Bank 1 - Upgrade 69 kv Terminal Facilities </t>
  </si>
  <si>
    <t>b1364</t>
  </si>
  <si>
    <t>Middletown Sub - 69 kv Capacitor Bank</t>
  </si>
  <si>
    <t>b1362</t>
  </si>
  <si>
    <t xml:space="preserve">Germantown - 138kv Reactor Removal </t>
  </si>
  <si>
    <t>b1816.4</t>
  </si>
  <si>
    <t>Germantown r p 138 115kV #1 Bk Xfmr + Upgrade 138kV 999L &amp; 115kV 998L components RTEP b2688, b2688.1, b2688.2</t>
  </si>
  <si>
    <t>b2688.1 &amp; b2688.2</t>
  </si>
  <si>
    <t>Loop the 2026 (TMI - Hosensack 500 kV) line in to the Lauschtown substation and upgrade relay at TMI 500 kV</t>
  </si>
  <si>
    <t>b2006.1.1_DFAX_Allocation</t>
  </si>
  <si>
    <t>b2006.1.1_Load_Ratio_Share_Allocation</t>
  </si>
  <si>
    <t>Install 2nd Hunterstown 230/115 kV transformer</t>
  </si>
  <si>
    <t>b2452</t>
  </si>
  <si>
    <t>Reconductor Hunterstown - Oxford 115 kV line</t>
  </si>
  <si>
    <t>b2452.1</t>
  </si>
  <si>
    <t>Reconductor the North Meshoppen –  Oxbow - Lackawanna 230 kV circuit and upgrade terminal equipment (PENELEC portion)</t>
  </si>
  <si>
    <t>b2552.1</t>
  </si>
  <si>
    <t>Tie in new Rice substation to Conemaugh-Hunterstown 500 kV</t>
  </si>
  <si>
    <t>b2743.2</t>
  </si>
  <si>
    <t xml:space="preserve">Upgrade terminal equipment at Conemaugh 500 kV: on the Conemaugh - Hunterstown 500 kV circuit </t>
  </si>
  <si>
    <t>b2743.3</t>
  </si>
  <si>
    <t xml:space="preserve">Upgrade terminal equipment at Hunterstown 500 kV: on the Conemaugh - Hunterstown 500 kV circuit </t>
  </si>
  <si>
    <t>b2743.4</t>
  </si>
  <si>
    <t>Upgrade relay at South Reading on the 1072 230 V line</t>
  </si>
  <si>
    <t>b2006.2.1_DFAX_Allocation</t>
  </si>
  <si>
    <t xml:space="preserve">Rebuild the Hunterstown - Lincoln 115 kV line (No.962) (~2.6 mi.).  Upgrade limiting terminal equipment at Hunterstown and Lincoln. </t>
  </si>
  <si>
    <t>b3145</t>
  </si>
  <si>
    <t>2x</t>
  </si>
  <si>
    <t>Federal - Other</t>
  </si>
  <si>
    <t>Miscellaneous Service Revenues</t>
  </si>
  <si>
    <t>Transmission Charge - TMI Unit 1</t>
  </si>
  <si>
    <t>Transmission Investment - Power Pool Agreement</t>
  </si>
  <si>
    <t>Point-to-point Revenues</t>
  </si>
  <si>
    <t>Seneca Transmission Facilities Charges</t>
  </si>
  <si>
    <t>Federal Long Term</t>
  </si>
  <si>
    <t>unprotected</t>
  </si>
  <si>
    <t>Asset (182.3)</t>
  </si>
  <si>
    <t>Vegetation Management</t>
  </si>
  <si>
    <t>Recovery of Veg Mgmt for Transmission Companies</t>
  </si>
  <si>
    <t>Liability (182.3)</t>
  </si>
  <si>
    <t>1d</t>
  </si>
  <si>
    <t>1e</t>
  </si>
  <si>
    <t>1f</t>
  </si>
  <si>
    <t>N/A</t>
  </si>
  <si>
    <t>Commitment Fees (Short-term debt revolving credit facilities)</t>
  </si>
  <si>
    <t>Install a 120.75 kV 79.4 MVAR capacitor bank at Yorkana 115 kV</t>
  </si>
  <si>
    <t>b3311</t>
  </si>
  <si>
    <t>Year 2024</t>
  </si>
  <si>
    <t>EDIT FAS109 [I]</t>
  </si>
  <si>
    <t>Other FAS109 [I]</t>
  </si>
  <si>
    <t>[I]</t>
  </si>
  <si>
    <t>FAS109 related to Excess/Deficient ADIT ("EDIT").  Sum of Accounts 282 and 283 less Account 190 will sum to Attachment 15a total. Other FAS109 does not include EDIT.</t>
  </si>
  <si>
    <t>5.39%, Senior Unsecured Note</t>
  </si>
  <si>
    <t>2t</t>
  </si>
  <si>
    <t>b2752.4</t>
  </si>
  <si>
    <t xml:space="preserve">Upgrade terminal equipment and required relay communication at TMI 500 kV: on the Peach Bottom - TMI 500 kV circuit </t>
  </si>
  <si>
    <t>2y</t>
  </si>
  <si>
    <t>2aa</t>
  </si>
  <si>
    <t>2022 PA</t>
  </si>
  <si>
    <t>2023 PA</t>
  </si>
  <si>
    <t>AFUDC Equity Flow Thru (Gross up)</t>
  </si>
  <si>
    <t>Property FAS109</t>
  </si>
  <si>
    <t>FAS 109 Gross-up on Non-property Items</t>
  </si>
  <si>
    <t>Capitalized Interest</t>
  </si>
  <si>
    <t>Contribution in Aid of Construction</t>
  </si>
  <si>
    <t>FAS109 Related to Property</t>
  </si>
  <si>
    <t>263A Capitalized Overheads</t>
  </si>
  <si>
    <t>Accelarated Depreciation</t>
  </si>
  <si>
    <t>AFUDC</t>
  </si>
  <si>
    <t>AFUDC Equity</t>
  </si>
  <si>
    <t>Capitalized Benefits</t>
  </si>
  <si>
    <t>Capitalized Tree Trimming</t>
  </si>
  <si>
    <t>Casualty Loss</t>
  </si>
  <si>
    <t>Cost of Removal</t>
  </si>
  <si>
    <t>OPEBs</t>
  </si>
  <si>
    <t>Repairs</t>
  </si>
  <si>
    <t>Charitable Contribution State &amp; Local RTA</t>
  </si>
  <si>
    <t>ITC FAS 109</t>
  </si>
  <si>
    <t>39b</t>
  </si>
  <si>
    <t>41a</t>
  </si>
  <si>
    <t>41b</t>
  </si>
  <si>
    <t xml:space="preserve">PA Rate Change - Non Prop Grossup </t>
  </si>
  <si>
    <t>State Income Tax Deductible</t>
  </si>
  <si>
    <t>Column 3 Annual amount for line 1 included on Attachment H-28A, page 3, line 33; Annual amount for lines 2-3 taken to Attachment H-28A, page 3, line 34</t>
  </si>
  <si>
    <t>Annual [C]</t>
  </si>
  <si>
    <t>December 2025</t>
  </si>
  <si>
    <t>5.94%, Senior Unsecured Note</t>
  </si>
  <si>
    <t>5.00%, Senior Unsecured Note</t>
  </si>
  <si>
    <t>hg</t>
  </si>
  <si>
    <t>bs</t>
  </si>
  <si>
    <t>OF 12-31-25</t>
  </si>
  <si>
    <t>Year 2025</t>
  </si>
  <si>
    <t>Maryland Property Tax</t>
  </si>
  <si>
    <t>Pennsylvania Local Realty Tax</t>
  </si>
  <si>
    <t xml:space="preserve">True-up Adjustment </t>
  </si>
  <si>
    <t>AMT Carryforward</t>
  </si>
  <si>
    <t>b0284.3</t>
  </si>
  <si>
    <t>b0369</t>
  </si>
  <si>
    <t>Replace wave trap and upgrade a bus section at Keystone 500 kV – on the Keystone – Airydale 500 kV</t>
  </si>
  <si>
    <t>Install 100 MVAR Dynamic Reactive Device at Airydale 500 kV substation</t>
  </si>
  <si>
    <t>2i</t>
  </si>
  <si>
    <t>2024 PA</t>
  </si>
  <si>
    <t>ARO</t>
  </si>
  <si>
    <t>39a</t>
  </si>
  <si>
    <t>58a</t>
  </si>
  <si>
    <t>For the 12 months ended 12/31/2026</t>
  </si>
  <si>
    <t>Dec 31, 2026</t>
  </si>
  <si>
    <t>5.40%, Senior Unsecured Note</t>
  </si>
  <si>
    <t>December 2026</t>
  </si>
  <si>
    <t>OF 12-31-26</t>
  </si>
  <si>
    <t>Reconciliation Revenue Requirement For Year 2024 filed on June 2, 2025</t>
  </si>
  <si>
    <t>2024 Revenue Requirement Collected by PJM Based on Forecast filed on Oct 05, 2023</t>
  </si>
  <si>
    <t>Year 2026</t>
  </si>
  <si>
    <t>2025 PA</t>
  </si>
  <si>
    <t>Federal NOL</t>
  </si>
  <si>
    <t>(Excess)/Deficient ADIT Transmission Remeasured Balance as of 12/31/25 (Attachment 15b Col. J)</t>
  </si>
  <si>
    <t>For the 12 months ended 12/31/26</t>
  </si>
  <si>
    <t>13a</t>
  </si>
  <si>
    <t>13c</t>
  </si>
  <si>
    <t>13d</t>
  </si>
  <si>
    <t>13e</t>
  </si>
  <si>
    <t>13f</t>
  </si>
  <si>
    <t>13g</t>
  </si>
  <si>
    <t>13h</t>
  </si>
  <si>
    <t>13i</t>
  </si>
  <si>
    <t>13j</t>
  </si>
  <si>
    <t>13k</t>
  </si>
  <si>
    <t>12/31/2025 ADIT Balance
(Prior to 2025 PA State Tax)</t>
  </si>
  <si>
    <t>12/31/2025 ADIT Balance
(After 2025 PA State Tax)</t>
  </si>
  <si>
    <t>Change in ADIT due to 2025 PA State Tax</t>
  </si>
  <si>
    <t>December 31, 2026</t>
  </si>
  <si>
    <t>An over or under collection will be recovered prorata over 2024, held for 2025 and returned prorate over 2026</t>
  </si>
  <si>
    <t>Federal Long Term NOL</t>
  </si>
  <si>
    <t>Investment Tax Credit</t>
  </si>
  <si>
    <t>2026 Quarterly Activity and Balances</t>
  </si>
  <si>
    <t>2026 Activity</t>
  </si>
  <si>
    <t>Total 2026 FAS109 (Attachment 5) (Note J)</t>
  </si>
  <si>
    <t>59a</t>
  </si>
  <si>
    <t>60a</t>
  </si>
  <si>
    <t>77a</t>
  </si>
  <si>
    <t>Projected
Attachment 11
p 2 of 2, col. 14</t>
  </si>
  <si>
    <t>Total Property (Total of lines 44 thru 56)</t>
  </si>
  <si>
    <t>Total Property (Total of lines 63 thru 75)</t>
  </si>
  <si>
    <t>78a</t>
  </si>
  <si>
    <t>79a</t>
  </si>
  <si>
    <t>Total Property (Total of lines 82 thru 94)</t>
  </si>
  <si>
    <t>Attachment 15a, Line 97, Column H</t>
  </si>
  <si>
    <t>Total Non-Property &amp; Property Amortization, excluding gross up for taxes (Total of lines 5, 19, 24, 38,  43, 57, 62, 76, 81, 95 less lines 4, 18, 23, 37, 42, 56, 61, 75, 80 ,94 (Note I)</t>
  </si>
  <si>
    <t>Total 2026 FAS109 (Total of lines 5, 19, 24, 38, 43 ,57 , 62, 76, 81, 95) (Note J)</t>
  </si>
  <si>
    <t>2025 Return-to-Accrual Adjustment (Recorded in 2026)</t>
  </si>
  <si>
    <t>page 1 of 6</t>
  </si>
  <si>
    <t>page 2 of 6</t>
  </si>
  <si>
    <t>page 3 of 6</t>
  </si>
  <si>
    <t>page 4 of 6</t>
  </si>
  <si>
    <t>page 5 of 6</t>
  </si>
  <si>
    <t>page 6 of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</si>
</sst>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quot;$&quot;* #,##0_);_(&quot;$&quot;* \(#,##0\);_(&quot;$&quot;* &quot;-&quot;??_);_(@_)"/>
    <numFmt numFmtId="176" formatCode="0_);\(0\)"/>
    <numFmt numFmtId="177" formatCode="#,##0.0000000"/>
    <numFmt numFmtId="178" formatCode="_(* #,##0_);_(* \(#,##0\);_(* &quot;-&quot;??_);_(@_)"/>
    <numFmt numFmtId="179" formatCode="0.000000%"/>
    <numFmt numFmtId="180" formatCode="_(&quot;$&quot;* #,##0.0000_);_(&quot;$&quot;* \(#,##0.0000\);_(&quot;$&quot;* &quot;-&quot;??_);_(@_)"/>
    <numFmt numFmtId="181" formatCode="0.00000_);\(0.00000\)"/>
    <numFmt numFmtId="182" formatCode="0.0000%"/>
    <numFmt numFmtId="183" formatCode="_(* #,##0.0000_);_(* \(#,##0.0000\);_(* &quot;-&quot;??_);_(@_)"/>
    <numFmt numFmtId="184" formatCode="_(* #,##0.0_);_(* \(#,##0.0\);_(* &quot;-&quot;??_);_(@_)"/>
    <numFmt numFmtId="185" formatCode="0.00000%"/>
    <numFmt numFmtId="186" formatCode="&quot;$&quot;#,##0.0000"/>
    <numFmt numFmtId="187" formatCode="_(* #,##0.00000_);_(* \(#,##0.00000\);_(* &quot;-&quot;??_);_(@_)"/>
    <numFmt numFmtId="188" formatCode="0.0000000"/>
    <numFmt numFmtId="189" formatCode="#,##0.0_);\(#,##0.0\)"/>
  </numFmts>
  <fonts count="146">
    <font>
      <sz val="12"/>
      <name val="Arial MT"/>
      <family val="2"/>
    </font>
    <font>
      <sz val="10"/>
      <color theme="1"/>
      <name val="Arial"/>
      <family val="2"/>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4"/>
      <name val="Book Antiqua"/>
      <family val="1"/>
    </font>
    <font>
      <i/>
      <sz val="10"/>
      <name val="Book Antiqua"/>
      <family val="1"/>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name val="Times New Roman"/>
      <family val="1"/>
    </font>
    <font>
      <b/>
      <sz val="12"/>
      <name val="Times New Roman"/>
      <family val="1"/>
    </font>
    <font>
      <sz val="10"/>
      <name val="Times New Roman"/>
      <family val="1"/>
    </font>
    <font>
      <sz val="10"/>
      <name val="Arial MT"/>
      <family val="2"/>
    </font>
    <font>
      <u val="single"/>
      <sz val="12"/>
      <name val="Times New Roman"/>
      <family val="1"/>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sz val="10"/>
      <name val="Arial Narrow"/>
      <family val="2"/>
    </font>
    <font>
      <sz val="12"/>
      <name val="Calibri"/>
      <family val="2"/>
      <scheme val="minor"/>
    </font>
    <font>
      <sz val="10"/>
      <name val="Calibri"/>
      <family val="2"/>
      <scheme val="minor"/>
    </font>
    <font>
      <b/>
      <sz val="12"/>
      <name val="Calibri"/>
      <family val="2"/>
      <scheme val="minor"/>
    </font>
    <font>
      <b/>
      <sz val="10"/>
      <name val="Calibri"/>
      <family val="2"/>
      <scheme val="minor"/>
    </font>
    <font>
      <b/>
      <sz val="12"/>
      <color rgb="FFFF0000"/>
      <name val="Calibri"/>
      <family val="2"/>
      <scheme val="minor"/>
    </font>
    <font>
      <b/>
      <sz val="12"/>
      <color rgb="FFFF0000"/>
      <name val="Times New Roman"/>
      <family val="1"/>
    </font>
    <font>
      <b/>
      <sz val="12"/>
      <color theme="0"/>
      <name val="Calibri"/>
      <family val="2"/>
      <scheme val="minor"/>
    </font>
    <font>
      <sz val="12"/>
      <color theme="0"/>
      <name val="Calibri"/>
      <family val="2"/>
      <scheme val="minor"/>
    </font>
    <font>
      <sz val="12"/>
      <name val="Arial Narrow"/>
      <family val="2"/>
    </font>
    <font>
      <b/>
      <sz val="12"/>
      <name val="Arial Narrow"/>
      <family val="2"/>
    </font>
    <font>
      <b/>
      <u val="single"/>
      <sz val="12"/>
      <name val="Arial Narrow"/>
      <family val="2"/>
    </font>
    <font>
      <b/>
      <sz val="10"/>
      <color theme="1"/>
      <name val="Arial"/>
      <family val="2"/>
    </font>
    <font>
      <i/>
      <sz val="10"/>
      <color theme="1"/>
      <name val="Arial"/>
      <family val="2"/>
    </font>
    <font>
      <sz val="12"/>
      <color rgb="FFFF0000"/>
      <name val="Calibri"/>
      <family val="2"/>
      <scheme val="minor"/>
    </font>
    <font>
      <u val="single"/>
      <sz val="12"/>
      <name val="Calibri"/>
      <family val="2"/>
      <scheme val="minor"/>
    </font>
    <font>
      <u val="singleAccounting"/>
      <sz val="12"/>
      <name val="Calibri"/>
      <family val="2"/>
      <scheme val="minor"/>
    </font>
    <font>
      <strike/>
      <sz val="10"/>
      <name val="Arial"/>
      <family val="2"/>
    </font>
    <font>
      <b/>
      <sz val="10"/>
      <color indexed="10"/>
      <name val="Arial"/>
      <family val="2"/>
    </font>
    <font>
      <b/>
      <sz val="14"/>
      <name val="Arial Narrow"/>
      <family val="2"/>
    </font>
    <font>
      <b/>
      <sz val="12"/>
      <color indexed="10"/>
      <name val="Arial"/>
      <family val="2"/>
    </font>
    <font>
      <b/>
      <sz val="12"/>
      <color indexed="13"/>
      <name val="Helvetica"/>
      <family val="2"/>
    </font>
    <font>
      <sz val="12"/>
      <color indexed="12"/>
      <name val="Arial"/>
      <family val="2"/>
    </font>
    <font>
      <b/>
      <sz val="12"/>
      <color indexed="13"/>
      <name val="Helv"/>
      <family val="2"/>
    </font>
    <font>
      <b/>
      <sz val="12"/>
      <name val="Helv"/>
      <family val="2"/>
    </font>
    <font>
      <sz val="12"/>
      <color indexed="12"/>
      <name val="Helv"/>
      <family val="2"/>
    </font>
    <font>
      <sz val="12"/>
      <name val="Helv"/>
      <family val="2"/>
    </font>
    <font>
      <b/>
      <u val="single"/>
      <sz val="10"/>
      <name val="Arial"/>
      <family val="2"/>
    </font>
    <font>
      <sz val="10"/>
      <color indexed="12"/>
      <name val="Arial"/>
      <family val="2"/>
    </font>
    <font>
      <sz val="14"/>
      <name val="Arial"/>
      <family val="2"/>
    </font>
    <font>
      <b/>
      <sz val="10"/>
      <name val="Arial Narrow"/>
      <family val="2"/>
    </font>
    <font>
      <sz val="10"/>
      <color indexed="10"/>
      <name val="Arial"/>
      <family val="2"/>
    </font>
    <font>
      <b/>
      <sz val="10"/>
      <color indexed="10"/>
      <name val="Arial Narrow"/>
      <family val="2"/>
    </font>
    <font>
      <b/>
      <sz val="10"/>
      <color indexed="10"/>
      <name val="Helv"/>
      <family val="2"/>
    </font>
    <font>
      <sz val="24"/>
      <color rgb="FFFF0000"/>
      <name val="Arial"/>
      <family val="2"/>
    </font>
    <font>
      <sz val="10"/>
      <color indexed="48"/>
      <name val="Arial"/>
      <family val="2"/>
    </font>
    <font>
      <sz val="10"/>
      <color rgb="FFFF0000"/>
      <name val="Arial"/>
      <family val="2"/>
    </font>
    <font>
      <u val="single"/>
      <sz val="12"/>
      <name val="Arial"/>
      <family val="2"/>
    </font>
    <font>
      <u val="singleAccounting"/>
      <sz val="10"/>
      <name val="Arial"/>
      <family val="2"/>
    </font>
    <font>
      <b/>
      <sz val="9"/>
      <color indexed="10"/>
      <name val="Arial"/>
      <family val="2"/>
    </font>
    <font>
      <sz val="9"/>
      <color indexed="10"/>
      <name val="Arial"/>
      <family val="2"/>
    </font>
    <font>
      <b/>
      <u val="single"/>
      <sz val="9"/>
      <name val="Arial"/>
      <family val="2"/>
    </font>
    <font>
      <i/>
      <sz val="9"/>
      <name val="Arial"/>
      <family val="2"/>
    </font>
    <font>
      <u val="single"/>
      <sz val="10"/>
      <name val="Arial"/>
      <family val="2"/>
    </font>
    <font>
      <b/>
      <u val="single"/>
      <sz val="12"/>
      <name val="Arial"/>
      <family val="2"/>
    </font>
    <font>
      <u val="single"/>
      <sz val="11"/>
      <name val="Arial"/>
      <family val="2"/>
    </font>
    <font>
      <sz val="11"/>
      <color indexed="10"/>
      <name val="Arial"/>
      <family val="2"/>
    </font>
    <font>
      <sz val="11"/>
      <color indexed="56"/>
      <name val="Arial"/>
      <family val="2"/>
    </font>
    <font>
      <sz val="11"/>
      <color indexed="8"/>
      <name val="Arial"/>
      <family val="2"/>
    </font>
    <font>
      <b/>
      <u val="single"/>
      <sz val="11"/>
      <name val="Arial"/>
      <family val="2"/>
    </font>
    <font>
      <vertAlign val="subscript"/>
      <sz val="9"/>
      <name val="Arial"/>
      <family val="2"/>
    </font>
    <font>
      <strike/>
      <vertAlign val="superscript"/>
      <sz val="10"/>
      <name val="Arial"/>
      <family val="2"/>
    </font>
    <font>
      <u val="single"/>
      <sz val="9"/>
      <name val="Arial"/>
      <family val="2"/>
    </font>
    <font>
      <b/>
      <sz val="11"/>
      <color theme="1"/>
      <name val="Calibri"/>
      <family val="2"/>
      <scheme val="minor"/>
    </font>
    <font>
      <sz val="12"/>
      <color indexed="10"/>
      <name val="Arial"/>
      <family val="2"/>
    </font>
    <font>
      <sz val="11"/>
      <color theme="1"/>
      <name val="Calibri"/>
      <family val="2"/>
    </font>
    <font>
      <u val="singleAccounting"/>
      <sz val="12"/>
      <name val="Arial MT"/>
      <family val="2"/>
    </font>
    <font>
      <u val="single"/>
      <sz val="10"/>
      <color theme="1"/>
      <name val="Arial"/>
      <family val="2"/>
    </font>
    <font>
      <b/>
      <sz val="11"/>
      <name val="Calibri"/>
      <family val="2"/>
      <scheme val="minor"/>
    </font>
    <font>
      <vertAlign val="superscript"/>
      <sz val="12"/>
      <name val="Arial Narrow"/>
      <family val="2"/>
    </font>
    <font>
      <b/>
      <u val="single"/>
      <sz val="12"/>
      <name val="Times New Roman"/>
      <family val="1"/>
    </font>
    <font>
      <b/>
      <i/>
      <sz val="12"/>
      <name val="Times New Roman"/>
      <family val="1"/>
    </font>
    <font>
      <sz val="10"/>
      <color indexed="8"/>
      <name val="Arial"/>
      <family val="2"/>
    </font>
    <font>
      <sz val="10"/>
      <color theme="1"/>
      <name val="Calibri"/>
      <family val="2"/>
      <scheme val="minor"/>
    </font>
    <font>
      <sz val="11"/>
      <name val="Calibri"/>
      <family val="2"/>
      <scheme val="minor"/>
    </font>
    <font>
      <u val="singleAccounting"/>
      <sz val="12"/>
      <name val="Times New Roman"/>
      <family val="1"/>
    </font>
    <font>
      <strike/>
      <sz val="12"/>
      <name val="Times New Roman"/>
      <family val="1"/>
    </font>
    <font>
      <strike/>
      <sz val="12"/>
      <color rgb="FFFF0000"/>
      <name val="Times New Roman"/>
      <family val="1"/>
    </font>
    <font>
      <b/>
      <sz val="10"/>
      <name val="Times New Roman"/>
      <family val="1"/>
    </font>
    <font>
      <strike/>
      <sz val="10"/>
      <name val="Arial MT"/>
      <family val="2"/>
    </font>
    <font>
      <sz val="12"/>
      <color rgb="FFFF0000"/>
      <name val="Times New Roman"/>
      <family val="1"/>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11"/>
      <color theme="1"/>
      <name val="Arial"/>
      <family val="2"/>
    </font>
    <font>
      <sz val="8"/>
      <name val="Arial MT"/>
      <family val="2"/>
    </font>
    <font>
      <u val="single"/>
      <sz val="11"/>
      <name val="Calibri"/>
      <family val="2"/>
      <scheme val="minor"/>
    </font>
    <font>
      <b/>
      <u val="single"/>
      <sz val="11"/>
      <name val="Calibri"/>
      <family val="2"/>
      <scheme val="minor"/>
    </font>
    <font>
      <b/>
      <u val="single"/>
      <sz val="12"/>
      <color rgb="FFFF0000"/>
      <name val="Calibri"/>
      <family val="2"/>
      <scheme val="minor"/>
    </font>
    <font>
      <sz val="11"/>
      <name val="Calibri"/>
      <family val="2"/>
    </font>
    <font>
      <sz val="10"/>
      <name val="Calibri"/>
      <family val="2"/>
    </font>
    <font>
      <sz val="12"/>
      <name val="Calibri"/>
      <family val="2"/>
    </font>
    <font>
      <sz val="11"/>
      <color rgb="FF000000"/>
      <name val="Calibri"/>
      <family val="2"/>
      <scheme val="minor"/>
    </font>
  </fonts>
  <fills count="60">
    <fill>
      <patternFill patternType="none"/>
    </fill>
    <fill>
      <patternFill patternType="gray125"/>
    </fill>
    <fill>
      <patternFill patternType="solid">
        <fgColor indexed="44"/>
        <bgColor indexed="64"/>
      </patternFill>
    </fill>
    <fill>
      <patternFill patternType="solid">
        <fgColor indexed="29"/>
        <bgColor indexed="64"/>
      </patternFill>
    </fill>
    <fill>
      <patternFill patternType="solid">
        <fgColor indexed="26"/>
        <bgColor indexed="64"/>
      </patternFill>
    </fill>
    <fill>
      <patternFill patternType="solid">
        <fgColor indexed="47"/>
        <bgColor indexed="64"/>
      </patternFill>
    </fill>
    <fill>
      <patternFill patternType="solid">
        <fgColor indexed="27"/>
        <bgColor indexed="64"/>
      </patternFill>
    </fill>
    <fill>
      <patternFill patternType="solid">
        <fgColor indexed="43"/>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56"/>
        <bgColor indexed="64"/>
      </patternFill>
    </fill>
    <fill>
      <patternFill patternType="solid">
        <fgColor indexed="54"/>
        <bgColor indexed="64"/>
      </patternFill>
    </fill>
    <fill>
      <patternFill patternType="solid">
        <fgColor indexed="49"/>
        <bgColor indexed="64"/>
      </patternFill>
    </fill>
    <fill>
      <patternFill patternType="solid">
        <fgColor indexed="10"/>
        <bgColor indexed="64"/>
      </patternFill>
    </fill>
    <fill>
      <patternFill patternType="solid">
        <fgColor indexed="46"/>
        <bgColor indexed="64"/>
      </patternFill>
    </fill>
    <fill>
      <patternFill patternType="solid">
        <fgColor indexed="9"/>
        <bgColor indexed="64"/>
      </patternFill>
    </fill>
    <fill>
      <patternFill patternType="solid">
        <fgColor indexed="55"/>
        <bgColor indexed="64"/>
      </patternFill>
    </fill>
    <fill>
      <patternFill patternType="mediumGray">
        <fgColor indexed="22"/>
      </patternFill>
    </fill>
    <fill>
      <patternFill patternType="solid">
        <fgColor indexed="2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theme="1"/>
        <bgColor indexed="64"/>
      </patternFill>
    </fill>
    <fill>
      <patternFill patternType="solid">
        <fgColor indexed="8"/>
        <bgColor indexed="64"/>
      </patternFill>
    </fill>
    <fill>
      <patternFill patternType="solid">
        <fgColor theme="2" tint="-0.0999699980020523"/>
        <bgColor indexed="64"/>
      </patternFill>
    </fill>
    <fill>
      <patternFill patternType="solid">
        <fgColor theme="0"/>
        <bgColor indexed="64"/>
      </patternFill>
    </fill>
    <fill>
      <patternFill patternType="solid">
        <fgColor indexed="13"/>
        <bgColor indexed="64"/>
      </patternFill>
    </fill>
    <fill>
      <patternFill patternType="solid">
        <fgColor rgb="FFFFFF00"/>
        <bgColor indexed="64"/>
      </patternFill>
    </fill>
    <fill>
      <patternFill patternType="solid">
        <fgColor theme="1" tint="0.0499899983406067"/>
        <bgColor indexed="64"/>
      </patternFill>
    </fill>
    <fill>
      <patternFill patternType="solid">
        <fgColor rgb="FFFCE4D6"/>
        <bgColor indexed="64"/>
      </patternFill>
    </fill>
    <fill>
      <patternFill patternType="solid">
        <fgColor rgb="FFFFC000"/>
        <bgColor indexed="64"/>
      </patternFill>
    </fill>
  </fills>
  <borders count="59">
    <border>
      <left/>
      <right/>
      <top/>
      <bottom/>
      <diagonal/>
    </border>
    <border>
      <left/>
      <right/>
      <top style="double">
        <color auto="1"/>
      </top>
      <bottom/>
    </border>
    <border>
      <left/>
      <right/>
      <top style="thin">
        <color auto="1"/>
      </top>
      <bottom/>
    </border>
    <border>
      <left style="thin">
        <color indexed="23"/>
      </left>
      <right style="thin">
        <color indexed="23"/>
      </right>
      <top style="thin">
        <color indexed="23"/>
      </top>
      <bottom style="thin">
        <color indexed="23"/>
      </bottom>
    </border>
    <border>
      <left style="double">
        <color indexed="63"/>
      </left>
      <right style="double">
        <color indexed="63"/>
      </right>
      <top style="double">
        <color indexed="63"/>
      </top>
      <bottom style="double">
        <color indexed="63"/>
      </bottom>
    </border>
    <border>
      <left/>
      <right/>
      <top/>
      <bottom style="medium">
        <color indexed="27"/>
      </bottom>
    </border>
    <border>
      <left/>
      <right/>
      <top/>
      <bottom style="medium">
        <color auto="1"/>
      </bottom>
    </border>
    <border>
      <left/>
      <right/>
      <top/>
      <bottom style="double">
        <color indexed="10"/>
      </bottom>
    </border>
    <border>
      <left style="thin">
        <color indexed="22"/>
      </left>
      <right style="thin">
        <color indexed="22"/>
      </right>
      <top style="thin">
        <color indexed="22"/>
      </top>
      <bottom style="thin">
        <color indexed="22"/>
      </bottom>
    </border>
    <border>
      <left style="thin">
        <color indexed="63"/>
      </left>
      <right style="thin">
        <color indexed="63"/>
      </right>
      <top style="thin">
        <color indexed="63"/>
      </top>
      <bottom style="thin">
        <color indexed="63"/>
      </bottom>
    </border>
    <border>
      <left style="thin">
        <color auto="1"/>
      </left>
      <right style="thin">
        <color auto="1"/>
      </right>
      <top/>
      <bottom/>
    </border>
    <border>
      <left/>
      <right/>
      <top/>
      <bottom style="thin">
        <color auto="1"/>
      </bottom>
    </border>
    <border>
      <left style="thin">
        <color auto="1"/>
      </left>
      <right style="thin">
        <color auto="1"/>
      </right>
      <top style="thin">
        <color auto="1"/>
      </top>
      <bottom style="thin">
        <color auto="1"/>
      </bottom>
    </border>
    <border>
      <left style="thin">
        <color indexed="18"/>
      </left>
      <right style="thin">
        <color indexed="18"/>
      </right>
      <top style="thin">
        <color indexed="18"/>
      </top>
      <bottom style="thin">
        <color indexed="18"/>
      </bottom>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style="thin">
        <color auto="1"/>
      </left>
      <right/>
      <top style="thin">
        <color auto="1"/>
      </top>
      <bottom/>
    </border>
    <border>
      <left style="thin">
        <color auto="1"/>
      </left>
      <right/>
      <top/>
      <bottom/>
    </border>
    <border>
      <left/>
      <right style="thin">
        <color auto="1"/>
      </right>
      <top/>
      <bottom/>
    </border>
    <border>
      <left style="thin">
        <color auto="1"/>
      </left>
      <right/>
      <top/>
      <bottom style="thin">
        <color auto="1"/>
      </bottom>
    </border>
    <border>
      <left/>
      <right/>
      <top style="thin">
        <color auto="1"/>
      </top>
      <bottom style="double">
        <color auto="1"/>
      </bottom>
    </border>
    <border>
      <left/>
      <right/>
      <top style="thin">
        <color auto="1"/>
      </top>
      <bottom style="thin">
        <color auto="1"/>
      </bottom>
    </border>
    <border>
      <left/>
      <right style="thin">
        <color auto="1"/>
      </right>
      <top style="thin">
        <color auto="1"/>
      </top>
      <bottom/>
    </border>
    <border>
      <left style="medium">
        <color auto="1"/>
      </left>
      <right/>
      <top style="medium">
        <color auto="1"/>
      </top>
      <bottom style="medium">
        <color auto="1"/>
      </bottom>
    </border>
    <border>
      <left/>
      <right style="medium">
        <color auto="1"/>
      </right>
      <top style="medium">
        <color auto="1"/>
      </top>
      <bottom style="medium">
        <color auto="1"/>
      </bottom>
    </border>
    <border>
      <left/>
      <right style="medium">
        <color auto="1"/>
      </right>
      <top/>
      <bottom/>
    </border>
    <border>
      <left/>
      <right style="thin">
        <color auto="1"/>
      </right>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style="thin">
        <color auto="1"/>
      </bottom>
    </border>
    <border>
      <left style="medium">
        <color auto="1"/>
      </left>
      <right/>
      <top/>
      <bottom/>
    </border>
    <border>
      <left/>
      <right/>
      <top style="thin">
        <color auto="1"/>
      </top>
      <bottom style="medium">
        <color auto="1"/>
      </bottom>
    </border>
    <border>
      <left style="medium">
        <color auto="1"/>
      </left>
      <right/>
      <top style="thin">
        <color auto="1"/>
      </top>
      <bottom style="medium">
        <color auto="1"/>
      </bottom>
    </border>
    <border>
      <left/>
      <right style="medium">
        <color auto="1"/>
      </right>
      <top/>
      <bottom style="thin">
        <color auto="1"/>
      </bottom>
    </border>
    <border>
      <left/>
      <right style="medium">
        <color auto="1"/>
      </right>
      <top style="thin">
        <color auto="1"/>
      </top>
      <bottom style="medium">
        <color auto="1"/>
      </bottom>
    </border>
    <border>
      <left/>
      <right style="medium">
        <color auto="1"/>
      </right>
      <top style="thin">
        <color auto="1"/>
      </top>
      <bottom style="double">
        <color auto="1"/>
      </bottom>
    </border>
    <border>
      <left style="medium">
        <color auto="1"/>
      </left>
      <right/>
      <top style="thin">
        <color auto="1"/>
      </top>
      <bottom style="double">
        <color auto="1"/>
      </bottom>
    </border>
    <border>
      <left style="medium">
        <color auto="1"/>
      </left>
      <right style="medium">
        <color auto="1"/>
      </right>
      <top style="medium">
        <color auto="1"/>
      </top>
      <bottom style="medium">
        <color auto="1"/>
      </bottom>
    </border>
    <border>
      <left style="medium">
        <color auto="1"/>
      </left>
      <right style="medium">
        <color auto="1"/>
      </right>
      <top style="medium">
        <color auto="1"/>
      </top>
      <bottom/>
    </border>
    <border>
      <left style="medium">
        <color auto="1"/>
      </left>
      <right style="medium">
        <color auto="1"/>
      </right>
      <top/>
      <bottom style="medium">
        <color auto="1"/>
      </bottom>
    </border>
    <border>
      <left/>
      <right/>
      <top/>
      <bottom style="double">
        <color auto="1"/>
      </bottom>
    </border>
    <border>
      <left style="medium">
        <color auto="1"/>
      </left>
      <right style="medium">
        <color auto="1"/>
      </right>
      <top style="thin">
        <color auto="1"/>
      </top>
      <bottom style="medium">
        <color auto="1"/>
      </bottom>
    </border>
    <border>
      <left/>
      <right/>
      <top style="medium">
        <color auto="1"/>
      </top>
      <bottom style="double">
        <color auto="1"/>
      </bottom>
    </border>
    <border>
      <left/>
      <right style="thin">
        <color auto="1"/>
      </right>
      <top/>
      <bottom style="double">
        <color auto="1"/>
      </bottom>
    </border>
    <border>
      <left style="thin">
        <color auto="1"/>
      </left>
      <right style="thin">
        <color auto="1"/>
      </right>
      <top/>
      <bottom style="thin">
        <color auto="1"/>
      </bottom>
    </border>
    <border>
      <left/>
      <right style="thin">
        <color auto="1"/>
      </right>
      <top style="thin">
        <color auto="1"/>
      </top>
      <bottom style="thin">
        <color auto="1"/>
      </bottom>
    </border>
    <border>
      <left style="medium">
        <color auto="1"/>
      </left>
      <right style="medium">
        <color auto="1"/>
      </right>
      <top/>
      <bottom/>
    </border>
    <border>
      <left style="medium">
        <color auto="1"/>
      </left>
      <right/>
      <top/>
      <bottom style="medium">
        <color auto="1"/>
      </bottom>
    </border>
    <border>
      <left/>
      <right style="medium">
        <color auto="1"/>
      </right>
      <top/>
      <bottom style="medium">
        <color auto="1"/>
      </bottom>
    </border>
    <border>
      <left style="thin">
        <color auto="1"/>
      </left>
      <right/>
      <top style="thin">
        <color auto="1"/>
      </top>
      <bottom style="thin">
        <color auto="1"/>
      </bottom>
    </border>
    <border>
      <left/>
      <right/>
      <top style="medium">
        <color auto="1"/>
      </top>
      <bottom style="medium">
        <color auto="1"/>
      </bottom>
    </border>
  </borders>
  <cellStyleXfs count="255">
    <xf numFmtId="174" fontId="0" fillId="0" borderId="0" applyProtection="0">
      <alignment/>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4" borderId="0" applyNumberFormat="0" applyBorder="0" applyAlignment="0" applyProtection="0"/>
    <xf numFmtId="0" fontId="37" fillId="6" borderId="0" applyNumberFormat="0" applyBorder="0" applyAlignment="0" applyProtection="0"/>
    <xf numFmtId="0" fontId="37" fillId="3"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6" borderId="0" applyNumberFormat="0" applyBorder="0" applyAlignment="0" applyProtection="0"/>
    <xf numFmtId="0" fontId="37" fillId="4" borderId="0" applyNumberFormat="0" applyBorder="0" applyAlignment="0" applyProtection="0"/>
    <xf numFmtId="0" fontId="38" fillId="6"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8" borderId="0" applyNumberFormat="0" applyBorder="0" applyAlignment="0" applyProtection="0"/>
    <xf numFmtId="0" fontId="38" fillId="6" borderId="0" applyNumberFormat="0" applyBorder="0" applyAlignment="0" applyProtection="0"/>
    <xf numFmtId="0" fontId="38" fillId="3" borderId="0" applyNumberFormat="0" applyBorder="0" applyAlignment="0" applyProtection="0"/>
    <xf numFmtId="0" fontId="38" fillId="11"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9" fillId="15" borderId="0" applyNumberFormat="0" applyBorder="0" applyAlignment="0" applyProtection="0"/>
    <xf numFmtId="174" fontId="3" fillId="0" borderId="0" applyFill="0">
      <alignment/>
      <protection/>
    </xf>
    <xf numFmtId="174" fontId="3" fillId="0" borderId="0">
      <alignment horizontal="center"/>
      <protection/>
    </xf>
    <xf numFmtId="0" fontId="3" fillId="0" borderId="0" applyFill="0">
      <alignment horizontal="center"/>
      <protection/>
    </xf>
    <xf numFmtId="174" fontId="4" fillId="0" borderId="1" applyFill="0">
      <alignment/>
      <protection/>
    </xf>
    <xf numFmtId="0" fontId="5" fillId="0" borderId="0" applyFont="0" applyAlignment="0">
      <protection/>
    </xf>
    <xf numFmtId="0" fontId="6" fillId="0" borderId="0" applyFill="0">
      <alignment vertical="top"/>
      <protection/>
    </xf>
    <xf numFmtId="0" fontId="4" fillId="0" borderId="0" applyFill="0">
      <alignment horizontal="left" vertical="top"/>
      <protection/>
    </xf>
    <xf numFmtId="174" fontId="7" fillId="0" borderId="2" applyFill="0">
      <alignment/>
      <protection/>
    </xf>
    <xf numFmtId="0" fontId="5" fillId="0" borderId="0" applyNumberFormat="0" applyFont="0" applyAlignment="0">
      <protection/>
    </xf>
    <xf numFmtId="0" fontId="6" fillId="0" borderId="0" applyFill="0">
      <alignment wrapText="1"/>
      <protection/>
    </xf>
    <xf numFmtId="0" fontId="4" fillId="0" borderId="0" applyFill="0">
      <alignment horizontal="left" vertical="top" wrapText="1"/>
      <protection/>
    </xf>
    <xf numFmtId="174" fontId="8" fillId="0" borderId="0" applyFill="0">
      <alignment/>
      <protection/>
    </xf>
    <xf numFmtId="0" fontId="9" fillId="0" borderId="0" applyNumberFormat="0" applyFont="0">
      <alignment/>
      <protection/>
    </xf>
    <xf numFmtId="0" fontId="10" fillId="0" borderId="0" applyFill="0">
      <alignment vertical="top" wrapText="1"/>
      <protection/>
    </xf>
    <xf numFmtId="0" fontId="7" fillId="0" borderId="0" applyFill="0">
      <alignment horizontal="left" vertical="top" wrapText="1"/>
      <protection/>
    </xf>
    <xf numFmtId="174" fontId="5" fillId="0" borderId="0" applyFill="0">
      <alignment/>
      <protection/>
    </xf>
    <xf numFmtId="0" fontId="9" fillId="0" borderId="0" applyNumberFormat="0" applyFont="0">
      <alignment/>
      <protection/>
    </xf>
    <xf numFmtId="0" fontId="11" fillId="0" borderId="0" applyFill="0">
      <alignment vertical="center" wrapText="1"/>
      <protection/>
    </xf>
    <xf numFmtId="0" fontId="12" fillId="0" borderId="0">
      <alignment horizontal="left" vertical="center" wrapText="1"/>
      <protection/>
    </xf>
    <xf numFmtId="174" fontId="13" fillId="0" borderId="0" applyFill="0">
      <alignment/>
      <protection/>
    </xf>
    <xf numFmtId="0" fontId="9" fillId="0" borderId="0" applyNumberFormat="0" applyFont="0">
      <alignment/>
      <protection/>
    </xf>
    <xf numFmtId="0" fontId="14" fillId="0" borderId="0" applyFill="0">
      <alignment horizontal="center" vertical="center" wrapText="1"/>
      <protection/>
    </xf>
    <xf numFmtId="0" fontId="5" fillId="0" borderId="0" applyFill="0">
      <alignment horizontal="center" vertical="center" wrapText="1"/>
      <protection/>
    </xf>
    <xf numFmtId="174" fontId="15" fillId="0" borderId="0" applyFill="0">
      <alignment/>
      <protection/>
    </xf>
    <xf numFmtId="0" fontId="9" fillId="0" borderId="0" applyNumberFormat="0" applyFont="0">
      <alignment/>
      <protection/>
    </xf>
    <xf numFmtId="0" fontId="16" fillId="0" borderId="0" applyFill="0">
      <alignment horizontal="center" vertical="center" wrapText="1"/>
      <protection/>
    </xf>
    <xf numFmtId="0" fontId="17" fillId="0" borderId="0" applyFill="0">
      <alignment horizontal="center" vertical="center" wrapText="1"/>
      <protection/>
    </xf>
    <xf numFmtId="174" fontId="18" fillId="0" borderId="0" applyFill="0">
      <alignment/>
      <protection/>
    </xf>
    <xf numFmtId="0" fontId="9" fillId="0" borderId="0" applyNumberFormat="0" applyFont="0">
      <alignment/>
      <protection/>
    </xf>
    <xf numFmtId="0" fontId="19" fillId="0" borderId="0">
      <alignment horizontal="center" wrapText="1"/>
      <protection/>
    </xf>
    <xf numFmtId="0" fontId="15" fillId="0" borderId="0" applyFill="0">
      <alignment horizontal="center" wrapText="1"/>
      <protection/>
    </xf>
    <xf numFmtId="0" fontId="40" fillId="16" borderId="3" applyNumberFormat="0" applyAlignment="0" applyProtection="0"/>
    <xf numFmtId="0" fontId="41" fillId="17" borderId="4" applyNumberFormat="0" applyAlignment="0" applyProtection="0"/>
    <xf numFmtId="43" fontId="23"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0" fontId="42" fillId="0" borderId="0" applyNumberFormat="0" applyFill="0" applyBorder="0" applyAlignment="0" applyProtection="0"/>
    <xf numFmtId="2" fontId="5" fillId="0" borderId="0" applyFont="0" applyFill="0" applyBorder="0" applyAlignment="0" applyProtection="0"/>
    <xf numFmtId="0" fontId="43" fillId="6" borderId="0" applyNumberFormat="0" applyBorder="0" applyAlignment="0" applyProtection="0"/>
    <xf numFmtId="0" fontId="20" fillId="0" borderId="0" applyFont="0" applyFill="0" applyBorder="0" applyAlignment="0" applyProtection="0"/>
    <xf numFmtId="0" fontId="7" fillId="0" borderId="0" applyFont="0" applyFill="0" applyBorder="0" applyAlignment="0" applyProtection="0"/>
    <xf numFmtId="0" fontId="44" fillId="0" borderId="5" applyNumberFormat="0" applyFill="0" applyAlignment="0" applyProtection="0"/>
    <xf numFmtId="0" fontId="44" fillId="0" borderId="0" applyNumberFormat="0" applyFill="0" applyBorder="0" applyAlignment="0" applyProtection="0"/>
    <xf numFmtId="0" fontId="21" fillId="0" borderId="6">
      <alignment/>
      <protection/>
    </xf>
    <xf numFmtId="0" fontId="22" fillId="0" borderId="0">
      <alignment/>
      <protection/>
    </xf>
    <xf numFmtId="0" fontId="45" fillId="7" borderId="3" applyNumberFormat="0" applyAlignment="0" applyProtection="0"/>
    <xf numFmtId="0" fontId="46" fillId="0" borderId="7" applyNumberFormat="0" applyFill="0" applyAlignment="0" applyProtection="0"/>
    <xf numFmtId="0" fontId="47" fillId="7" borderId="0" applyNumberFormat="0" applyBorder="0" applyAlignment="0" applyProtection="0"/>
    <xf numFmtId="0" fontId="50" fillId="0" borderId="0">
      <alignment vertical="top"/>
      <protection/>
    </xf>
    <xf numFmtId="0" fontId="5" fillId="0" borderId="0">
      <alignment/>
      <protection/>
    </xf>
    <xf numFmtId="0" fontId="5" fillId="0" borderId="0">
      <alignment/>
      <protection/>
    </xf>
    <xf numFmtId="0" fontId="5" fillId="0" borderId="0">
      <alignment/>
      <protection/>
    </xf>
    <xf numFmtId="0" fontId="5" fillId="0" borderId="0">
      <alignment/>
      <protection/>
    </xf>
    <xf numFmtId="0" fontId="0" fillId="4" borderId="8" applyNumberFormat="0" applyFont="0" applyAlignment="0" applyProtection="0"/>
    <xf numFmtId="0" fontId="48" fillId="16" borderId="9" applyNumberFormat="0" applyAlignment="0" applyProtection="0"/>
    <xf numFmtId="9" fontId="5" fillId="0" borderId="0" applyFont="0" applyFill="0" applyBorder="0" applyAlignment="0" applyProtection="0"/>
    <xf numFmtId="0" fontId="23" fillId="0" borderId="0" applyNumberFormat="0" applyFont="0" applyFill="0" applyBorder="0" applyProtection="0">
      <alignment/>
    </xf>
    <xf numFmtId="15" fontId="23" fillId="0" borderId="0" applyFont="0" applyFill="0" applyBorder="0" applyAlignment="0" applyProtection="0"/>
    <xf numFmtId="4" fontId="23" fillId="0" borderId="0" applyFont="0" applyFill="0" applyBorder="0" applyAlignment="0" applyProtection="0"/>
    <xf numFmtId="3" fontId="5" fillId="0" borderId="0">
      <alignment horizontal="left" vertical="top"/>
      <protection/>
    </xf>
    <xf numFmtId="0" fontId="24" fillId="0" borderId="6">
      <alignment horizontal="center"/>
      <protection/>
    </xf>
    <xf numFmtId="3" fontId="23" fillId="0" borderId="0" applyFont="0" applyFill="0" applyBorder="0" applyAlignment="0" applyProtection="0"/>
    <xf numFmtId="0" fontId="23" fillId="18" borderId="0" applyNumberFormat="0" applyFont="0" applyBorder="0" applyAlignment="0" applyProtection="0"/>
    <xf numFmtId="3" fontId="5" fillId="0" borderId="0">
      <alignment horizontal="right" vertical="top"/>
      <protection/>
    </xf>
    <xf numFmtId="41" fontId="12" fillId="19" borderId="10" applyFill="0">
      <alignment/>
      <protection/>
    </xf>
    <xf numFmtId="0" fontId="25" fillId="0" borderId="0">
      <alignment horizontal="left" indent="7"/>
      <protection/>
    </xf>
    <xf numFmtId="41" fontId="12" fillId="0" borderId="10" applyFill="0">
      <alignment horizontal="left" indent="2"/>
      <protection/>
    </xf>
    <xf numFmtId="174" fontId="26" fillId="0" borderId="11" applyFill="0">
      <alignment horizontal="right"/>
      <protection/>
    </xf>
    <xf numFmtId="0" fontId="27" fillId="0" borderId="12" applyNumberFormat="0" applyFont="0" applyBorder="0">
      <alignment horizontal="right"/>
      <protection/>
    </xf>
    <xf numFmtId="0" fontId="28" fillId="0" borderId="0" applyFill="0">
      <alignment/>
      <protection/>
    </xf>
    <xf numFmtId="0" fontId="7" fillId="0" borderId="0" applyFill="0">
      <alignment/>
      <protection/>
    </xf>
    <xf numFmtId="4" fontId="26" fillId="0" borderId="11" applyFill="0">
      <alignment/>
      <protection/>
    </xf>
    <xf numFmtId="0" fontId="5" fillId="0" borderId="0" applyNumberFormat="0" applyFont="0" applyBorder="0" applyAlignment="0">
      <protection/>
    </xf>
    <xf numFmtId="0" fontId="10" fillId="0" borderId="0" applyFill="0">
      <alignment horizontal="left" indent="1"/>
      <protection/>
    </xf>
    <xf numFmtId="0" fontId="29" fillId="0" borderId="0" applyFill="0">
      <alignment horizontal="left" indent="1"/>
      <protection/>
    </xf>
    <xf numFmtId="4" fontId="13" fillId="0" borderId="0" applyFill="0">
      <alignment/>
      <protection/>
    </xf>
    <xf numFmtId="0" fontId="5" fillId="0" borderId="0" applyNumberFormat="0" applyFont="0" applyFill="0" applyBorder="0" applyAlignment="0">
      <protection/>
    </xf>
    <xf numFmtId="0" fontId="10" fillId="0" borderId="0" applyFill="0">
      <alignment horizontal="left" indent="2"/>
      <protection/>
    </xf>
    <xf numFmtId="0" fontId="7" fillId="0" borderId="0" applyFill="0">
      <alignment horizontal="left" indent="2"/>
      <protection/>
    </xf>
    <xf numFmtId="4" fontId="13" fillId="0" borderId="0" applyFill="0">
      <alignment/>
      <protection/>
    </xf>
    <xf numFmtId="0" fontId="5" fillId="0" borderId="0" applyNumberFormat="0" applyFont="0" applyBorder="0" applyAlignment="0">
      <protection/>
    </xf>
    <xf numFmtId="0" fontId="30" fillId="0" borderId="0">
      <alignment horizontal="left" indent="3"/>
      <protection/>
    </xf>
    <xf numFmtId="0" fontId="31" fillId="0" borderId="0" applyFill="0">
      <alignment horizontal="left" indent="3"/>
      <protection/>
    </xf>
    <xf numFmtId="4" fontId="13" fillId="0" borderId="0" applyFill="0">
      <alignment/>
      <protection/>
    </xf>
    <xf numFmtId="0" fontId="5" fillId="0" borderId="0" applyNumberFormat="0" applyFont="0" applyBorder="0" applyAlignment="0">
      <protection/>
    </xf>
    <xf numFmtId="0" fontId="14" fillId="0" borderId="0">
      <alignment horizontal="left" indent="4"/>
      <protection/>
    </xf>
    <xf numFmtId="0" fontId="5" fillId="0" borderId="0" applyFill="0">
      <alignment horizontal="left" indent="4"/>
      <protection/>
    </xf>
    <xf numFmtId="4" fontId="15" fillId="0" borderId="0" applyFill="0">
      <alignment/>
      <protection/>
    </xf>
    <xf numFmtId="0" fontId="5" fillId="0" borderId="0" applyNumberFormat="0" applyFont="0" applyBorder="0" applyAlignment="0">
      <protection/>
    </xf>
    <xf numFmtId="0" fontId="16" fillId="0" borderId="0">
      <alignment horizontal="left" indent="5"/>
      <protection/>
    </xf>
    <xf numFmtId="0" fontId="17" fillId="0" borderId="0" applyFill="0">
      <alignment horizontal="left" indent="5"/>
      <protection/>
    </xf>
    <xf numFmtId="4" fontId="18" fillId="0" borderId="0" applyFill="0">
      <alignment/>
      <protection/>
    </xf>
    <xf numFmtId="0" fontId="5" fillId="0" borderId="0" applyNumberFormat="0" applyFont="0" applyFill="0" applyBorder="0" applyAlignment="0">
      <protection/>
    </xf>
    <xf numFmtId="0" fontId="19" fillId="0" borderId="0" applyFill="0">
      <alignment horizontal="left" indent="6"/>
      <protection/>
    </xf>
    <xf numFmtId="0" fontId="15" fillId="0" borderId="0" applyFill="0">
      <alignment horizontal="left" indent="6"/>
      <protection/>
    </xf>
    <xf numFmtId="0" fontId="49" fillId="0" borderId="0" applyNumberFormat="0" applyFill="0" applyBorder="0" applyAlignment="0" applyProtection="0"/>
    <xf numFmtId="0" fontId="5" fillId="0" borderId="0" applyFont="0" applyFill="0" applyBorder="0" applyAlignment="0" applyProtection="0"/>
    <xf numFmtId="0" fontId="46" fillId="0" borderId="0" applyNumberFormat="0" applyFill="0" applyBorder="0" applyAlignment="0" applyProtection="0"/>
    <xf numFmtId="0" fontId="2" fillId="0" borderId="0">
      <alignment/>
      <protection/>
    </xf>
    <xf numFmtId="9" fontId="2" fillId="0" borderId="0" applyFont="0" applyFill="0" applyBorder="0" applyAlignment="0" applyProtection="0"/>
    <xf numFmtId="44" fontId="5" fillId="0" borderId="0" applyFont="0" applyFill="0" applyBorder="0" applyAlignment="0" applyProtection="0"/>
    <xf numFmtId="0" fontId="5" fillId="0" borderId="0">
      <alignment/>
      <protection/>
    </xf>
    <xf numFmtId="43" fontId="5" fillId="0" borderId="0" applyFont="0" applyFill="0" applyBorder="0" applyAlignment="0" applyProtection="0"/>
    <xf numFmtId="9" fontId="5" fillId="0" borderId="0" applyFont="0" applyFill="0" applyBorder="0" applyAlignment="0" applyProtection="0"/>
    <xf numFmtId="0" fontId="0" fillId="0" borderId="0" applyProtection="0">
      <alignment/>
    </xf>
    <xf numFmtId="43" fontId="5" fillId="0" borderId="0" applyFont="0" applyFill="0" applyBorder="0" applyAlignment="0" applyProtection="0"/>
    <xf numFmtId="0" fontId="5" fillId="0" borderId="0">
      <alignment/>
      <protection/>
    </xf>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174" fontId="0" fillId="0" borderId="0" applyProtection="0">
      <alignment/>
    </xf>
    <xf numFmtId="0" fontId="5" fillId="0" borderId="0">
      <alignment/>
      <protection/>
    </xf>
    <xf numFmtId="0" fontId="5" fillId="0" borderId="0">
      <alignment/>
      <protection/>
    </xf>
    <xf numFmtId="43" fontId="5" fillId="0" borderId="0" applyFont="0" applyFill="0" applyBorder="0" applyAlignment="0" applyProtection="0"/>
    <xf numFmtId="43" fontId="5" fillId="0" borderId="0" applyFont="0" applyFill="0" applyBorder="0" applyAlignment="0" applyProtection="0"/>
    <xf numFmtId="0" fontId="2" fillId="0" borderId="0">
      <alignment/>
      <protection/>
    </xf>
    <xf numFmtId="43" fontId="2" fillId="0" borderId="0" applyFont="0" applyFill="0" applyBorder="0" applyAlignment="0" applyProtection="0"/>
    <xf numFmtId="0" fontId="105" fillId="0" borderId="0">
      <alignment/>
      <protection/>
    </xf>
    <xf numFmtId="43" fontId="105"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lignment/>
      <protection/>
    </xf>
    <xf numFmtId="44" fontId="5" fillId="0" borderId="0" applyFont="0" applyFill="0" applyBorder="0" applyAlignment="0" applyProtection="0"/>
    <xf numFmtId="0" fontId="3" fillId="0" borderId="13" applyNumberFormat="0" applyProtection="0">
      <alignment horizontal="right" vertical="center"/>
    </xf>
    <xf numFmtId="0" fontId="3" fillId="13" borderId="13" applyNumberFormat="0" applyProtection="0">
      <alignment horizontal="left" vertical="center" indent="1"/>
    </xf>
    <xf numFmtId="0" fontId="3" fillId="7" borderId="13" applyNumberFormat="0" applyProtection="0">
      <alignment vertical="center"/>
    </xf>
    <xf numFmtId="41" fontId="2" fillId="0" borderId="0" applyFont="0" applyFill="0" applyBorder="0" applyAlignment="0" applyProtection="0"/>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pplyFill="0">
      <alignment horizontal="center" vertical="center" wrapText="1"/>
      <protection/>
    </xf>
    <xf numFmtId="43" fontId="5" fillId="0" borderId="0" applyFont="0" applyFill="0" applyBorder="0" applyAlignment="0" applyProtection="0"/>
    <xf numFmtId="0" fontId="7" fillId="0" borderId="0" applyFont="0" applyFill="0" applyBorder="0" applyAlignment="0" applyProtection="0"/>
    <xf numFmtId="0" fontId="5" fillId="0" borderId="0">
      <alignment/>
      <protection/>
    </xf>
    <xf numFmtId="0" fontId="5" fillId="0" borderId="0">
      <alignment/>
      <protection/>
    </xf>
    <xf numFmtId="0" fontId="5" fillId="0" borderId="0">
      <alignment/>
      <protection/>
    </xf>
    <xf numFmtId="0" fontId="23" fillId="0" borderId="0" applyNumberFormat="0" applyFont="0" applyFill="0" applyBorder="0" applyProtection="0">
      <alignment/>
    </xf>
    <xf numFmtId="15" fontId="23" fillId="0" borderId="0" applyFont="0" applyFill="0" applyBorder="0" applyAlignment="0" applyProtection="0"/>
    <xf numFmtId="4" fontId="23" fillId="0" borderId="0" applyFont="0" applyFill="0" applyBorder="0" applyAlignment="0" applyProtection="0"/>
    <xf numFmtId="0" fontId="24" fillId="0" borderId="6">
      <alignment horizontal="center"/>
      <protection/>
    </xf>
    <xf numFmtId="3" fontId="23" fillId="0" borderId="0" applyFont="0" applyFill="0" applyBorder="0" applyAlignment="0" applyProtection="0"/>
    <xf numFmtId="0" fontId="23" fillId="18" borderId="0" applyNumberFormat="0" applyFont="0" applyBorder="0" applyAlignment="0" applyProtection="0"/>
    <xf numFmtId="0" fontId="5" fillId="0" borderId="0" applyFill="0">
      <alignment horizontal="left" indent="4"/>
      <protection/>
    </xf>
    <xf numFmtId="0" fontId="2" fillId="0" borderId="0">
      <alignment/>
      <protection/>
    </xf>
    <xf numFmtId="9" fontId="2" fillId="0" borderId="0" applyFont="0" applyFill="0" applyBorder="0" applyAlignment="0" applyProtection="0"/>
    <xf numFmtId="0" fontId="5" fillId="0" borderId="0">
      <alignment/>
      <protection/>
    </xf>
    <xf numFmtId="0" fontId="2" fillId="0" borderId="0">
      <alignment/>
      <protection/>
    </xf>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lignment/>
      <protection/>
    </xf>
    <xf numFmtId="0" fontId="121" fillId="0" borderId="0" applyNumberFormat="0" applyFill="0" applyBorder="0" applyAlignment="0" applyProtection="0"/>
    <xf numFmtId="0" fontId="122" fillId="0" borderId="14" applyNumberFormat="0" applyFill="0" applyAlignment="0" applyProtection="0"/>
    <xf numFmtId="0" fontId="123" fillId="0" borderId="15" applyNumberFormat="0" applyFill="0" applyAlignment="0" applyProtection="0"/>
    <xf numFmtId="0" fontId="124" fillId="0" borderId="16" applyNumberFormat="0" applyFill="0" applyAlignment="0" applyProtection="0"/>
    <xf numFmtId="0" fontId="124" fillId="0" borderId="0" applyNumberFormat="0" applyFill="0" applyBorder="0" applyAlignment="0" applyProtection="0"/>
    <xf numFmtId="0" fontId="125" fillId="20" borderId="0" applyNumberFormat="0" applyBorder="0" applyAlignment="0" applyProtection="0"/>
    <xf numFmtId="0" fontId="126" fillId="21" borderId="0" applyNumberFormat="0" applyBorder="0" applyAlignment="0" applyProtection="0"/>
    <xf numFmtId="0" fontId="127" fillId="22" borderId="0" applyNumberFormat="0" applyBorder="0" applyAlignment="0" applyProtection="0"/>
    <xf numFmtId="0" fontId="128" fillId="23" borderId="17" applyNumberFormat="0" applyAlignment="0" applyProtection="0"/>
    <xf numFmtId="0" fontId="129" fillId="24" borderId="18" applyNumberFormat="0" applyAlignment="0" applyProtection="0"/>
    <xf numFmtId="0" fontId="130" fillId="24" borderId="17" applyNumberFormat="0" applyAlignment="0" applyProtection="0"/>
    <xf numFmtId="0" fontId="131" fillId="0" borderId="19" applyNumberFormat="0" applyFill="0" applyAlignment="0" applyProtection="0"/>
    <xf numFmtId="0" fontId="132" fillId="25" borderId="20" applyNumberFormat="0" applyAlignment="0" applyProtection="0"/>
    <xf numFmtId="0" fontId="133" fillId="0" borderId="0" applyNumberFormat="0" applyFill="0" applyBorder="0" applyAlignment="0" applyProtection="0"/>
    <xf numFmtId="0" fontId="2" fillId="26" borderId="21" applyNumberFormat="0" applyFont="0" applyAlignment="0" applyProtection="0"/>
    <xf numFmtId="0" fontId="134" fillId="0" borderId="0" applyNumberFormat="0" applyFill="0" applyBorder="0" applyAlignment="0" applyProtection="0"/>
    <xf numFmtId="0" fontId="103" fillId="0" borderId="22" applyNumberFormat="0" applyFill="0" applyAlignment="0" applyProtection="0"/>
    <xf numFmtId="0" fontId="135"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135"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135"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135"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135"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135"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36" fillId="0" borderId="0">
      <alignment/>
      <protection/>
    </xf>
    <xf numFmtId="0" fontId="2" fillId="0" borderId="0">
      <alignment/>
      <protection/>
    </xf>
    <xf numFmtId="43" fontId="2" fillId="0" borderId="0" applyFont="0" applyFill="0" applyBorder="0" applyAlignment="0" applyProtection="0"/>
    <xf numFmtId="41" fontId="2" fillId="0" borderId="0" applyFont="0" applyFill="0" applyBorder="0" applyAlignment="0" applyProtection="0"/>
    <xf numFmtId="0" fontId="136" fillId="0" borderId="0">
      <alignment/>
      <protection/>
    </xf>
    <xf numFmtId="0" fontId="2" fillId="0" borderId="0">
      <alignment/>
      <protection/>
    </xf>
    <xf numFmtId="0" fontId="5" fillId="0" borderId="0">
      <alignment/>
      <protection/>
    </xf>
    <xf numFmtId="0" fontId="5" fillId="0" borderId="0">
      <alignment/>
      <protection/>
    </xf>
  </cellStyleXfs>
  <cellXfs count="1245">
    <xf numFmtId="174" fontId="0" fillId="0" borderId="0" xfId="0"/>
    <xf numFmtId="0" fontId="32" fillId="0" borderId="0" xfId="0" applyNumberFormat="1" applyFont="1" applyAlignment="1">
      <alignment horizontal="center"/>
    </xf>
    <xf numFmtId="174" fontId="32" fillId="0" borderId="0" xfId="0" applyFont="1"/>
    <xf numFmtId="0" fontId="32" fillId="0" borderId="0" xfId="0" applyNumberFormat="1" applyFont="1"/>
    <xf numFmtId="0" fontId="32" fillId="0" borderId="0" xfId="0" applyNumberFormat="1" applyFont="1" applyAlignment="1">
      <alignment horizontal="right"/>
    </xf>
    <xf numFmtId="3" fontId="32" fillId="0" borderId="0" xfId="0" applyNumberFormat="1" applyFont="1" applyAlignment="1">
      <alignment horizontal="center"/>
    </xf>
    <xf numFmtId="3" fontId="32" fillId="0" borderId="0" xfId="99" applyNumberFormat="1" applyFont="1">
      <alignment/>
      <protection/>
    </xf>
    <xf numFmtId="0" fontId="5" fillId="0" borderId="0" xfId="99">
      <alignment/>
      <protection/>
    </xf>
    <xf numFmtId="0" fontId="34" fillId="0" borderId="0" xfId="99" applyFont="1">
      <alignment/>
      <protection/>
    </xf>
    <xf numFmtId="3" fontId="34" fillId="0" borderId="0" xfId="99" applyNumberFormat="1" applyFont="1">
      <alignment/>
      <protection/>
    </xf>
    <xf numFmtId="0" fontId="32" fillId="0" borderId="0" xfId="99" applyFont="1">
      <alignment/>
      <protection/>
    </xf>
    <xf numFmtId="175" fontId="32" fillId="0" borderId="0" xfId="16" applyNumberFormat="1" applyFont="1" applyFill="1" applyBorder="1" applyAlignment="1">
      <alignment/>
    </xf>
    <xf numFmtId="0" fontId="36" fillId="0" borderId="0" xfId="99" applyFont="1">
      <alignment/>
      <protection/>
    </xf>
    <xf numFmtId="175" fontId="32" fillId="0" borderId="0" xfId="16" applyNumberFormat="1" applyFont="1" applyBorder="1" applyAlignment="1">
      <alignment/>
    </xf>
    <xf numFmtId="180" fontId="32" fillId="0" borderId="0" xfId="16" applyNumberFormat="1" applyFont="1" applyBorder="1"/>
    <xf numFmtId="0" fontId="32" fillId="0" borderId="0" xfId="99" applyFont="1" applyAlignment="1">
      <alignment horizontal="left" wrapText="1"/>
      <protection/>
    </xf>
    <xf numFmtId="0" fontId="32" fillId="0" borderId="0" xfId="99" applyFont="1" applyAlignment="1">
      <alignment horizontal="left"/>
      <protection/>
    </xf>
    <xf numFmtId="0" fontId="36" fillId="0" borderId="0" xfId="99" applyFont="1" applyAlignment="1">
      <alignment horizontal="center"/>
      <protection/>
    </xf>
    <xf numFmtId="174" fontId="32" fillId="0" borderId="0" xfId="0" applyFont="1" applyAlignment="1">
      <alignment horizontal="right"/>
    </xf>
    <xf numFmtId="174" fontId="32" fillId="0" borderId="0" xfId="0" applyFont="1" applyAlignment="1">
      <alignment horizontal="center"/>
    </xf>
    <xf numFmtId="0" fontId="32" fillId="0" borderId="0" xfId="99" applyFont="1" applyAlignment="1">
      <alignment horizontal="center" vertical="top"/>
      <protection/>
    </xf>
    <xf numFmtId="174" fontId="32" fillId="32" borderId="0" xfId="0" applyFont="1" applyFill="1"/>
    <xf numFmtId="174" fontId="51" fillId="0" borderId="0" xfId="0" applyFont="1" applyAlignment="1">
      <alignment vertical="center"/>
    </xf>
    <xf numFmtId="43" fontId="51" fillId="0" borderId="0" xfId="18" applyFont="1" applyAlignment="1">
      <alignment vertical="center"/>
    </xf>
    <xf numFmtId="0" fontId="51" fillId="0" borderId="0" xfId="0" applyNumberFormat="1" applyFont="1" applyAlignment="1">
      <alignment vertical="center"/>
    </xf>
    <xf numFmtId="0" fontId="51" fillId="32" borderId="0" xfId="0" applyNumberFormat="1" applyFont="1" applyFill="1" applyAlignment="1">
      <alignment vertical="center"/>
    </xf>
    <xf numFmtId="174" fontId="52" fillId="0" borderId="0" xfId="0" applyFont="1" applyAlignment="1">
      <alignment horizontal="right" vertical="center"/>
    </xf>
    <xf numFmtId="174" fontId="52" fillId="0" borderId="0" xfId="0" applyFont="1" applyAlignment="1">
      <alignment vertical="center"/>
    </xf>
    <xf numFmtId="174" fontId="51" fillId="0" borderId="0" xfId="0" applyFont="1" applyAlignment="1">
      <alignment horizontal="center" vertical="center"/>
    </xf>
    <xf numFmtId="174" fontId="52" fillId="0" borderId="0" xfId="0" applyFont="1" applyAlignment="1">
      <alignment horizontal="center" vertical="center"/>
    </xf>
    <xf numFmtId="174" fontId="53" fillId="0" borderId="0" xfId="0" applyFont="1" applyAlignment="1">
      <alignment horizontal="center" vertical="center"/>
    </xf>
    <xf numFmtId="174" fontId="55" fillId="0" borderId="0" xfId="0" applyFont="1" applyAlignment="1">
      <alignment horizontal="left" vertical="center"/>
    </xf>
    <xf numFmtId="0" fontId="52" fillId="0" borderId="0" xfId="0" applyNumberFormat="1" applyFont="1" applyAlignment="1">
      <alignment horizontal="center" vertical="center"/>
    </xf>
    <xf numFmtId="174" fontId="53" fillId="0" borderId="0" xfId="0" applyFont="1" applyAlignment="1">
      <alignment vertical="center"/>
    </xf>
    <xf numFmtId="43" fontId="51" fillId="0" borderId="0" xfId="18" applyFont="1" applyAlignment="1">
      <alignment horizontal="center" vertical="center"/>
    </xf>
    <xf numFmtId="49" fontId="51" fillId="0" borderId="0" xfId="0" applyNumberFormat="1" applyFont="1" applyAlignment="1">
      <alignment vertical="center"/>
    </xf>
    <xf numFmtId="174" fontId="54" fillId="0" borderId="0" xfId="0" applyFont="1" applyAlignment="1">
      <alignment horizontal="center" vertical="center"/>
    </xf>
    <xf numFmtId="174" fontId="52" fillId="0" borderId="0" xfId="0" applyFont="1" applyAlignment="1">
      <alignment horizontal="left" vertical="center"/>
    </xf>
    <xf numFmtId="0" fontId="54" fillId="0" borderId="0" xfId="0" applyNumberFormat="1" applyFont="1" applyAlignment="1">
      <alignment horizontal="right" vertical="center"/>
    </xf>
    <xf numFmtId="174" fontId="54" fillId="0" borderId="0" xfId="0" applyFont="1" applyAlignment="1">
      <alignment horizontal="right" vertical="center"/>
    </xf>
    <xf numFmtId="49" fontId="51" fillId="0" borderId="0" xfId="0" applyNumberFormat="1" applyFont="1" applyAlignment="1">
      <alignment horizontal="center" vertical="center"/>
    </xf>
    <xf numFmtId="49" fontId="52" fillId="0" borderId="0" xfId="0" applyNumberFormat="1" applyFont="1" applyAlignment="1">
      <alignment horizontal="center" vertical="center"/>
    </xf>
    <xf numFmtId="164" fontId="51" fillId="0" borderId="0" xfId="15" applyNumberFormat="1" applyFont="1" applyAlignment="1">
      <alignment horizontal="center" vertical="center"/>
    </xf>
    <xf numFmtId="174" fontId="57" fillId="51" borderId="23" xfId="0" applyFont="1" applyFill="1" applyBorder="1" applyAlignment="1">
      <alignment vertical="center"/>
    </xf>
    <xf numFmtId="174" fontId="58" fillId="51" borderId="2" xfId="0" applyFont="1" applyFill="1" applyBorder="1" applyAlignment="1">
      <alignment vertical="center"/>
    </xf>
    <xf numFmtId="174" fontId="58" fillId="51" borderId="2" xfId="0" applyFont="1" applyFill="1" applyBorder="1" applyAlignment="1">
      <alignment horizontal="center" vertical="center"/>
    </xf>
    <xf numFmtId="174" fontId="51" fillId="0" borderId="24" xfId="0" applyFont="1" applyBorder="1" applyAlignment="1">
      <alignment vertical="center"/>
    </xf>
    <xf numFmtId="174" fontId="51" fillId="0" borderId="25" xfId="0" applyFont="1" applyBorder="1" applyAlignment="1">
      <alignment vertical="center"/>
    </xf>
    <xf numFmtId="174" fontId="51" fillId="0" borderId="26" xfId="0" applyFont="1" applyBorder="1" applyAlignment="1">
      <alignment vertical="center"/>
    </xf>
    <xf numFmtId="174" fontId="51" fillId="0" borderId="11" xfId="0" applyFont="1" applyBorder="1" applyAlignment="1">
      <alignment vertical="center"/>
    </xf>
    <xf numFmtId="174" fontId="56" fillId="0" borderId="0" xfId="0" applyFont="1" applyAlignment="1">
      <alignment horizontal="left" vertical="center"/>
    </xf>
    <xf numFmtId="174" fontId="32" fillId="0" borderId="0" xfId="0" applyFont="1" applyAlignment="1">
      <alignment vertical="center"/>
    </xf>
    <xf numFmtId="174" fontId="32" fillId="0" borderId="0" xfId="0" applyFont="1" applyAlignment="1">
      <alignment horizontal="right" vertical="center"/>
    </xf>
    <xf numFmtId="174" fontId="32" fillId="0" borderId="0" xfId="0" applyFont="1" applyAlignment="1">
      <alignment horizontal="center" vertical="center"/>
    </xf>
    <xf numFmtId="182" fontId="59" fillId="0" borderId="0" xfId="15" applyNumberFormat="1" applyFont="1" applyFill="1" applyProtection="1">
      <protection locked="0"/>
    </xf>
    <xf numFmtId="178" fontId="59" fillId="0" borderId="0" xfId="18" applyNumberFormat="1" applyFont="1" applyFill="1" applyProtection="1">
      <protection locked="0"/>
    </xf>
    <xf numFmtId="178" fontId="59" fillId="0" borderId="11" xfId="18" applyNumberFormat="1" applyFont="1" applyFill="1" applyBorder="1" applyProtection="1">
      <protection locked="0"/>
    </xf>
    <xf numFmtId="178" fontId="60" fillId="0" borderId="0" xfId="18" applyNumberFormat="1" applyFont="1" applyFill="1" applyProtection="1">
      <protection locked="0"/>
    </xf>
    <xf numFmtId="178" fontId="60" fillId="0" borderId="0" xfId="18" applyNumberFormat="1" applyFont="1" applyFill="1" applyAlignment="1" applyProtection="1">
      <alignment horizontal="center"/>
      <protection locked="0"/>
    </xf>
    <xf numFmtId="175" fontId="12" fillId="0" borderId="0" xfId="16" applyNumberFormat="1" applyFont="1" applyFill="1"/>
    <xf numFmtId="174" fontId="32" fillId="0" borderId="0" xfId="0" applyFont="1" applyAlignment="1">
      <alignment vertical="center" wrapText="1"/>
    </xf>
    <xf numFmtId="178" fontId="52" fillId="32" borderId="0" xfId="18" applyNumberFormat="1" applyFont="1" applyFill="1" applyAlignment="1">
      <alignment horizontal="center" vertical="center"/>
    </xf>
    <xf numFmtId="178" fontId="52" fillId="0" borderId="0" xfId="18" applyNumberFormat="1" applyFont="1" applyAlignment="1">
      <alignment vertical="center"/>
    </xf>
    <xf numFmtId="178" fontId="52" fillId="0" borderId="0" xfId="18" applyNumberFormat="1" applyFont="1" applyAlignment="1">
      <alignment horizontal="center" vertical="center"/>
    </xf>
    <xf numFmtId="178" fontId="52" fillId="0" borderId="0" xfId="18" applyNumberFormat="1" applyFont="1" applyBorder="1" applyAlignment="1">
      <alignment horizontal="center" vertical="center"/>
    </xf>
    <xf numFmtId="178" fontId="52" fillId="0" borderId="11" xfId="18" applyNumberFormat="1" applyFont="1" applyBorder="1" applyAlignment="1">
      <alignment horizontal="center" vertical="center"/>
    </xf>
    <xf numFmtId="178" fontId="52" fillId="32" borderId="6" xfId="18" applyNumberFormat="1" applyFont="1" applyFill="1" applyBorder="1" applyAlignment="1">
      <alignment horizontal="center" vertical="center"/>
    </xf>
    <xf numFmtId="178" fontId="52" fillId="0" borderId="0" xfId="18" applyNumberFormat="1" applyFont="1" applyFill="1" applyAlignment="1">
      <alignment horizontal="center" vertical="center"/>
    </xf>
    <xf numFmtId="183" fontId="32" fillId="0" borderId="0" xfId="18" applyNumberFormat="1" applyFont="1" applyFill="1" applyAlignment="1">
      <alignment horizontal="right"/>
    </xf>
    <xf numFmtId="0" fontId="1" fillId="0" borderId="0" xfId="145" applyFont="1">
      <alignment/>
      <protection/>
    </xf>
    <xf numFmtId="0" fontId="62" fillId="0" borderId="0" xfId="145" applyFont="1">
      <alignment/>
      <protection/>
    </xf>
    <xf numFmtId="0" fontId="1" fillId="0" borderId="0" xfId="145" applyFont="1" applyAlignment="1">
      <alignment horizontal="left" vertical="center"/>
      <protection/>
    </xf>
    <xf numFmtId="0" fontId="2" fillId="0" borderId="0" xfId="145" applyAlignment="1">
      <alignment vertical="center"/>
      <protection/>
    </xf>
    <xf numFmtId="174" fontId="64" fillId="0" borderId="0" xfId="0" applyFont="1" applyAlignment="1">
      <alignment vertical="center"/>
    </xf>
    <xf numFmtId="174" fontId="51" fillId="0" borderId="0" xfId="0" applyFont="1" applyAlignment="1">
      <alignment horizontal="center" vertical="top" wrapText="1"/>
    </xf>
    <xf numFmtId="174" fontId="65" fillId="0" borderId="0" xfId="0" applyFont="1" applyAlignment="1">
      <alignment horizontal="center" vertical="center"/>
    </xf>
    <xf numFmtId="1" fontId="51" fillId="0" borderId="0" xfId="0" applyNumberFormat="1" applyFont="1" applyAlignment="1">
      <alignment horizontal="right" vertical="center"/>
    </xf>
    <xf numFmtId="178" fontId="51" fillId="0" borderId="0" xfId="18" applyNumberFormat="1" applyFont="1" applyAlignment="1">
      <alignment horizontal="left" vertical="center"/>
    </xf>
    <xf numFmtId="174" fontId="66" fillId="0" borderId="0" xfId="0" applyFont="1" applyAlignment="1">
      <alignment horizontal="center" vertical="center"/>
    </xf>
    <xf numFmtId="0" fontId="27" fillId="0" borderId="0" xfId="145" applyFont="1">
      <alignment/>
      <protection/>
    </xf>
    <xf numFmtId="0" fontId="1" fillId="0" borderId="0" xfId="145" applyFont="1" applyAlignment="1">
      <alignment horizontal="center"/>
      <protection/>
    </xf>
    <xf numFmtId="0" fontId="1" fillId="0" borderId="0" xfId="145" applyFont="1" applyAlignment="1">
      <alignment horizontal="center" wrapText="1"/>
      <protection/>
    </xf>
    <xf numFmtId="0" fontId="62" fillId="0" borderId="6" xfId="145" applyFont="1" applyBorder="1">
      <alignment/>
      <protection/>
    </xf>
    <xf numFmtId="10" fontId="1" fillId="32" borderId="0" xfId="145" applyNumberFormat="1" applyFont="1" applyFill="1">
      <alignment/>
      <protection/>
    </xf>
    <xf numFmtId="0" fontId="1" fillId="0" borderId="0" xfId="145" applyFont="1" applyAlignment="1">
      <alignment horizontal="right" wrapText="1"/>
      <protection/>
    </xf>
    <xf numFmtId="164" fontId="1" fillId="0" borderId="27" xfId="145" applyNumberFormat="1" applyFont="1" applyBorder="1">
      <alignment/>
      <protection/>
    </xf>
    <xf numFmtId="174" fontId="51" fillId="0" borderId="0" xfId="0" applyFont="1" applyAlignment="1">
      <alignment horizontal="center" vertical="top"/>
    </xf>
    <xf numFmtId="178" fontId="52" fillId="32" borderId="0" xfId="18" applyNumberFormat="1" applyFont="1" applyFill="1" applyAlignment="1">
      <alignment horizontal="left" vertical="center"/>
    </xf>
    <xf numFmtId="0" fontId="2" fillId="0" borderId="0" xfId="145" applyFont="1" applyAlignment="1">
      <alignment vertical="center"/>
      <protection/>
    </xf>
    <xf numFmtId="0" fontId="5" fillId="0" borderId="0" xfId="148">
      <alignment/>
      <protection/>
    </xf>
    <xf numFmtId="0" fontId="68" fillId="0" borderId="0" xfId="148" applyFont="1">
      <alignment/>
      <protection/>
    </xf>
    <xf numFmtId="0" fontId="12" fillId="0" borderId="0" xfId="148" applyFont="1">
      <alignment/>
      <protection/>
    </xf>
    <xf numFmtId="0" fontId="12" fillId="0" borderId="0" xfId="148" applyFont="1" applyAlignment="1">
      <alignment horizontal="center"/>
      <protection/>
    </xf>
    <xf numFmtId="0" fontId="71" fillId="52" borderId="0" xfId="148" applyFont="1" applyFill="1">
      <alignment/>
      <protection/>
    </xf>
    <xf numFmtId="0" fontId="12" fillId="52" borderId="0" xfId="148" applyFont="1" applyFill="1">
      <alignment/>
      <protection/>
    </xf>
    <xf numFmtId="0" fontId="12" fillId="0" borderId="0" xfId="148" applyFont="1" applyAlignment="1">
      <alignment horizontal="left"/>
      <protection/>
    </xf>
    <xf numFmtId="0" fontId="12" fillId="0" borderId="0" xfId="148" applyFont="1" applyAlignment="1">
      <alignment wrapText="1"/>
      <protection/>
    </xf>
    <xf numFmtId="3" fontId="7" fillId="0" borderId="0" xfId="148" applyNumberFormat="1" applyFont="1" applyAlignment="1">
      <alignment horizontal="left"/>
      <protection/>
    </xf>
    <xf numFmtId="3" fontId="12" fillId="0" borderId="0" xfId="148" applyNumberFormat="1" applyFont="1" applyAlignment="1">
      <alignment horizontal="left"/>
      <protection/>
    </xf>
    <xf numFmtId="3" fontId="12" fillId="0" borderId="11" xfId="148" applyNumberFormat="1" applyFont="1" applyBorder="1" applyAlignment="1">
      <alignment horizontal="left"/>
      <protection/>
    </xf>
    <xf numFmtId="182" fontId="12" fillId="0" borderId="0" xfId="150" applyNumberFormat="1" applyFont="1" applyFill="1" applyBorder="1" applyAlignment="1">
      <alignment/>
    </xf>
    <xf numFmtId="169" fontId="12" fillId="7" borderId="0" xfId="149" applyNumberFormat="1" applyFont="1" applyFill="1" applyBorder="1" applyAlignment="1">
      <alignment/>
    </xf>
    <xf numFmtId="3" fontId="12" fillId="0" borderId="0" xfId="148" applyNumberFormat="1" applyFont="1" applyAlignment="1" quotePrefix="1">
      <alignment horizontal="right"/>
      <protection/>
    </xf>
    <xf numFmtId="0" fontId="12" fillId="0" borderId="0" xfId="148" applyFont="1" applyAlignment="1">
      <alignment horizontal="right"/>
      <protection/>
    </xf>
    <xf numFmtId="0" fontId="12" fillId="0" borderId="11" xfId="148" applyFont="1" applyBorder="1" applyAlignment="1">
      <alignment horizontal="left"/>
      <protection/>
    </xf>
    <xf numFmtId="3" fontId="12" fillId="0" borderId="11" xfId="148" applyNumberFormat="1" applyFont="1" applyBorder="1" applyAlignment="1">
      <alignment horizontal="right"/>
      <protection/>
    </xf>
    <xf numFmtId="0" fontId="12" fillId="0" borderId="27" xfId="148" applyFont="1" applyBorder="1">
      <alignment/>
      <protection/>
    </xf>
    <xf numFmtId="3" fontId="7" fillId="0" borderId="27" xfId="148" applyNumberFormat="1" applyFont="1" applyBorder="1" applyAlignment="1">
      <alignment horizontal="left"/>
      <protection/>
    </xf>
    <xf numFmtId="166" fontId="7" fillId="0" borderId="27" xfId="148" applyNumberFormat="1" applyFont="1" applyBorder="1" applyAlignment="1">
      <alignment horizontal="center"/>
      <protection/>
    </xf>
    <xf numFmtId="0" fontId="73" fillId="52" borderId="0" xfId="148" applyFont="1" applyFill="1" applyAlignment="1">
      <alignment horizontal="left"/>
      <protection/>
    </xf>
    <xf numFmtId="3" fontId="12" fillId="0" borderId="0" xfId="148" applyNumberFormat="1" applyFont="1" applyAlignment="1">
      <alignment horizontal="center"/>
      <protection/>
    </xf>
    <xf numFmtId="182" fontId="7" fillId="0" borderId="0" xfId="150" applyNumberFormat="1" applyFont="1" applyAlignment="1">
      <alignment/>
    </xf>
    <xf numFmtId="3" fontId="12" fillId="0" borderId="0" xfId="148" applyNumberFormat="1" applyFont="1">
      <alignment/>
      <protection/>
    </xf>
    <xf numFmtId="166" fontId="12" fillId="0" borderId="0" xfId="148" applyNumberFormat="1" applyFont="1" applyAlignment="1">
      <alignment horizontal="center"/>
      <protection/>
    </xf>
    <xf numFmtId="10" fontId="12" fillId="0" borderId="0" xfId="148" applyNumberFormat="1" applyFont="1">
      <alignment/>
      <protection/>
    </xf>
    <xf numFmtId="164" fontId="12" fillId="0" borderId="0" xfId="148" applyNumberFormat="1" applyFont="1" applyAlignment="1">
      <alignment horizontal="center"/>
      <protection/>
    </xf>
    <xf numFmtId="164" fontId="12" fillId="0" borderId="0" xfId="148" applyNumberFormat="1" applyFont="1" applyAlignment="1">
      <alignment horizontal="left"/>
      <protection/>
    </xf>
    <xf numFmtId="185" fontId="12" fillId="0" borderId="0" xfId="150" applyNumberFormat="1" applyFont="1" applyFill="1" applyAlignment="1">
      <alignment horizontal="right"/>
    </xf>
    <xf numFmtId="43" fontId="12" fillId="0" borderId="0" xfId="18" applyFont="1" applyFill="1" applyAlignment="1">
      <alignment horizontal="right"/>
    </xf>
    <xf numFmtId="43" fontId="12" fillId="0" borderId="6" xfId="18" applyFont="1" applyFill="1" applyBorder="1" applyAlignment="1">
      <alignment horizontal="right"/>
    </xf>
    <xf numFmtId="10" fontId="0" fillId="0" borderId="0" xfId="15" applyNumberFormat="1" applyFont="1" applyFill="1"/>
    <xf numFmtId="174" fontId="51" fillId="53" borderId="0" xfId="0" applyFont="1" applyFill="1" applyAlignment="1">
      <alignment horizontal="center" vertical="center"/>
    </xf>
    <xf numFmtId="174" fontId="51" fillId="53" borderId="0" xfId="0" applyFont="1" applyFill="1" applyAlignment="1">
      <alignment vertical="center"/>
    </xf>
    <xf numFmtId="174" fontId="53" fillId="53" borderId="0" xfId="0" applyFont="1" applyFill="1" applyAlignment="1">
      <alignment horizontal="center" vertical="center"/>
    </xf>
    <xf numFmtId="174" fontId="54" fillId="53" borderId="0" xfId="0" applyFont="1" applyFill="1" applyAlignment="1">
      <alignment horizontal="center" vertical="center"/>
    </xf>
    <xf numFmtId="174" fontId="52" fillId="53" borderId="0" xfId="0" applyFont="1" applyFill="1" applyAlignment="1">
      <alignment horizontal="right" vertical="center"/>
    </xf>
    <xf numFmtId="174" fontId="52" fillId="53" borderId="0" xfId="0" applyFont="1" applyFill="1" applyAlignment="1">
      <alignment horizontal="center" vertical="center"/>
    </xf>
    <xf numFmtId="49" fontId="51" fillId="53" borderId="0" xfId="0" applyNumberFormat="1" applyFont="1" applyFill="1" applyAlignment="1">
      <alignment vertical="center"/>
    </xf>
    <xf numFmtId="0" fontId="51" fillId="53" borderId="0" xfId="0" applyNumberFormat="1" applyFont="1" applyFill="1" applyAlignment="1">
      <alignment vertical="center"/>
    </xf>
    <xf numFmtId="0" fontId="54" fillId="53" borderId="0" xfId="0" applyNumberFormat="1" applyFont="1" applyFill="1" applyAlignment="1">
      <alignment horizontal="center" vertical="center"/>
    </xf>
    <xf numFmtId="174" fontId="53" fillId="53" borderId="0" xfId="0" applyFont="1" applyFill="1" applyAlignment="1">
      <alignment vertical="center"/>
    </xf>
    <xf numFmtId="174" fontId="54" fillId="53" borderId="0" xfId="0" applyFont="1" applyFill="1" applyAlignment="1">
      <alignment horizontal="right" vertical="center"/>
    </xf>
    <xf numFmtId="178" fontId="54" fillId="53" borderId="0" xfId="18" applyNumberFormat="1" applyFont="1" applyFill="1" applyAlignment="1">
      <alignment horizontal="center" vertical="center"/>
    </xf>
    <xf numFmtId="0" fontId="54" fillId="0" borderId="0" xfId="0" applyNumberFormat="1" applyFont="1" applyAlignment="1">
      <alignment horizontal="center" vertical="center"/>
    </xf>
    <xf numFmtId="0" fontId="5" fillId="0" borderId="0" xfId="97" applyFont="1">
      <alignment/>
      <protection/>
    </xf>
    <xf numFmtId="0" fontId="77" fillId="0" borderId="0" xfId="97" applyFont="1" applyAlignment="1">
      <alignment horizontal="left"/>
      <protection/>
    </xf>
    <xf numFmtId="0" fontId="5" fillId="0" borderId="0" xfId="97" applyFont="1" applyAlignment="1">
      <alignment horizontal="center"/>
      <protection/>
    </xf>
    <xf numFmtId="0" fontId="77" fillId="0" borderId="0" xfId="97" applyFont="1">
      <alignment/>
      <protection/>
    </xf>
    <xf numFmtId="3" fontId="12" fillId="0" borderId="0" xfId="97" applyNumberFormat="1" applyFont="1">
      <alignment/>
      <protection/>
    </xf>
    <xf numFmtId="174" fontId="5" fillId="0" borderId="0" xfId="0" applyFont="1"/>
    <xf numFmtId="174" fontId="31" fillId="0" borderId="0" xfId="0" applyFont="1"/>
    <xf numFmtId="178" fontId="5" fillId="0" borderId="0" xfId="18" applyNumberFormat="1" applyFont="1" applyFill="1" applyBorder="1" applyAlignment="1">
      <alignment/>
    </xf>
    <xf numFmtId="186" fontId="5" fillId="0" borderId="0" xfId="0" applyNumberFormat="1" applyFont="1" applyAlignment="1">
      <alignment horizontal="right"/>
    </xf>
    <xf numFmtId="43" fontId="78" fillId="0" borderId="0" xfId="18" applyFont="1" applyFill="1" applyBorder="1" applyAlignment="1">
      <alignment horizontal="right"/>
    </xf>
    <xf numFmtId="187" fontId="12" fillId="0" borderId="0" xfId="18" applyNumberFormat="1" applyFont="1" applyFill="1" applyAlignment="1">
      <alignment horizontal="right"/>
    </xf>
    <xf numFmtId="174" fontId="51" fillId="0" borderId="0" xfId="0" applyFont="1"/>
    <xf numFmtId="174" fontId="52" fillId="0" borderId="0" xfId="0" applyFont="1" applyAlignment="1">
      <alignment horizontal="center" vertical="top"/>
    </xf>
    <xf numFmtId="0" fontId="4" fillId="0" borderId="0" xfId="148" applyFont="1" applyAlignment="1">
      <alignment horizontal="center"/>
      <protection/>
    </xf>
    <xf numFmtId="0" fontId="5" fillId="54" borderId="0" xfId="98" applyFont="1" applyFill="1">
      <alignment/>
      <protection/>
    </xf>
    <xf numFmtId="1" fontId="5" fillId="54" borderId="0" xfId="98" applyNumberFormat="1" applyFont="1" applyFill="1" applyAlignment="1">
      <alignment horizontal="center"/>
      <protection/>
    </xf>
    <xf numFmtId="178" fontId="12" fillId="54" borderId="0" xfId="79" applyNumberFormat="1" applyFont="1" applyFill="1" applyBorder="1" applyAlignment="1">
      <alignment/>
    </xf>
    <xf numFmtId="43" fontId="0" fillId="54" borderId="0" xfId="18" applyFont="1" applyFill="1" applyBorder="1" applyAlignment="1">
      <alignment/>
    </xf>
    <xf numFmtId="49" fontId="5" fillId="54" borderId="0" xfId="98" applyNumberFormat="1" applyFont="1" applyFill="1" applyAlignment="1">
      <alignment horizontal="left"/>
      <protection/>
    </xf>
    <xf numFmtId="0" fontId="5" fillId="54" borderId="0" xfId="98" applyFont="1" applyFill="1" applyAlignment="1">
      <alignment wrapText="1"/>
      <protection/>
    </xf>
    <xf numFmtId="0" fontId="27" fillId="54" borderId="0" xfId="98" applyFont="1" applyFill="1" applyAlignment="1">
      <alignment horizontal="left"/>
      <protection/>
    </xf>
    <xf numFmtId="174" fontId="0" fillId="54" borderId="0" xfId="0" applyFont="1" applyFill="1"/>
    <xf numFmtId="0" fontId="5" fillId="54" borderId="0" xfId="151" applyFont="1" applyFill="1" applyAlignment="1" applyProtection="1">
      <alignment horizontal="center"/>
      <protection locked="0"/>
    </xf>
    <xf numFmtId="0" fontId="77" fillId="54" borderId="0" xfId="98" applyFont="1" applyFill="1" applyAlignment="1">
      <alignment horizontal="left"/>
      <protection/>
    </xf>
    <xf numFmtId="0" fontId="5" fillId="54" borderId="0" xfId="98" applyFont="1" applyFill="1" applyAlignment="1">
      <alignment horizontal="center" wrapText="1"/>
      <protection/>
    </xf>
    <xf numFmtId="0" fontId="5" fillId="54" borderId="0" xfId="98" applyFont="1" applyFill="1" applyAlignment="1">
      <alignment horizontal="center"/>
      <protection/>
    </xf>
    <xf numFmtId="174" fontId="35" fillId="54" borderId="0" xfId="0" applyFont="1" applyFill="1" applyAlignment="1">
      <alignment horizontal="center" wrapText="1"/>
    </xf>
    <xf numFmtId="174" fontId="35" fillId="54" borderId="0" xfId="0" applyFont="1" applyFill="1" applyAlignment="1">
      <alignment horizontal="center"/>
    </xf>
    <xf numFmtId="3" fontId="12" fillId="54" borderId="0" xfId="151" applyNumberFormat="1" applyFont="1" applyFill="1" applyAlignment="1">
      <alignment horizontal="right"/>
    </xf>
    <xf numFmtId="3" fontId="12" fillId="54" borderId="0" xfId="151" applyNumberFormat="1" applyFont="1" applyFill="1">
      <alignment/>
    </xf>
    <xf numFmtId="174" fontId="53" fillId="0" borderId="0" xfId="0" applyFont="1" applyAlignment="1">
      <alignment horizontal="center" vertical="center" wrapText="1"/>
    </xf>
    <xf numFmtId="164" fontId="12" fillId="0" borderId="0" xfId="0" applyNumberFormat="1" applyFont="1" applyAlignment="1">
      <alignment horizontal="left"/>
    </xf>
    <xf numFmtId="0" fontId="27" fillId="0" borderId="0" xfId="148" applyFont="1" applyAlignment="1">
      <alignment horizontal="center"/>
      <protection/>
    </xf>
    <xf numFmtId="0" fontId="79" fillId="0" borderId="0" xfId="148" applyFont="1">
      <alignment/>
      <protection/>
    </xf>
    <xf numFmtId="0" fontId="5" fillId="0" borderId="0" xfId="148" applyAlignment="1">
      <alignment horizontal="centerContinuous"/>
      <protection/>
    </xf>
    <xf numFmtId="0" fontId="27" fillId="0" borderId="0" xfId="148" applyFont="1">
      <alignment/>
      <protection/>
    </xf>
    <xf numFmtId="0" fontId="27" fillId="0" borderId="0" xfId="148" applyFont="1" applyAlignment="1">
      <alignment horizontal="center" wrapText="1"/>
      <protection/>
    </xf>
    <xf numFmtId="178" fontId="5" fillId="0" borderId="0" xfId="18" applyNumberFormat="1" applyFont="1" applyBorder="1"/>
    <xf numFmtId="178" fontId="5" fillId="0" borderId="0" xfId="18" applyNumberFormat="1" applyFont="1"/>
    <xf numFmtId="178" fontId="5" fillId="0" borderId="0" xfId="148" applyNumberFormat="1">
      <alignment/>
      <protection/>
    </xf>
    <xf numFmtId="178" fontId="5" fillId="0" borderId="11" xfId="18" applyNumberFormat="1" applyFont="1" applyBorder="1"/>
    <xf numFmtId="178" fontId="5" fillId="0" borderId="0" xfId="18" applyNumberFormat="1" applyFont="1" applyFill="1" applyBorder="1"/>
    <xf numFmtId="0" fontId="5" fillId="0" borderId="0" xfId="148" applyAlignment="1">
      <alignment horizontal="center"/>
      <protection/>
    </xf>
    <xf numFmtId="0" fontId="5" fillId="0" borderId="0" xfId="148" applyAlignment="1">
      <alignment horizontal="left"/>
      <protection/>
    </xf>
    <xf numFmtId="0" fontId="27" fillId="0" borderId="0" xfId="148" applyFont="1" applyAlignment="1">
      <alignment horizontal="left"/>
      <protection/>
    </xf>
    <xf numFmtId="0" fontId="7" fillId="0" borderId="0" xfId="148" applyFont="1" applyAlignment="1">
      <alignment horizontal="center"/>
      <protection/>
    </xf>
    <xf numFmtId="0" fontId="27" fillId="55" borderId="0" xfId="148" applyFont="1" applyFill="1" applyAlignment="1">
      <alignment horizontal="center"/>
      <protection/>
    </xf>
    <xf numFmtId="0" fontId="50" fillId="0" borderId="0" xfId="148" applyFont="1">
      <alignment/>
      <protection/>
    </xf>
    <xf numFmtId="178" fontId="80" fillId="0" borderId="0" xfId="18" applyNumberFormat="1" applyFont="1" applyBorder="1"/>
    <xf numFmtId="178" fontId="5" fillId="0" borderId="0" xfId="18" applyNumberFormat="1" applyFont="1" applyFill="1"/>
    <xf numFmtId="0" fontId="81" fillId="0" borderId="0" xfId="148" applyFont="1">
      <alignment/>
      <protection/>
    </xf>
    <xf numFmtId="178" fontId="80" fillId="0" borderId="0" xfId="18" applyNumberFormat="1" applyFont="1" applyFill="1" applyBorder="1"/>
    <xf numFmtId="178" fontId="5" fillId="0" borderId="0" xfId="18" applyNumberFormat="1" applyFont="1" applyFill="1" applyAlignment="1">
      <alignment horizontal="center"/>
    </xf>
    <xf numFmtId="178" fontId="5" fillId="0" borderId="0" xfId="18" applyNumberFormat="1" applyFont="1" applyFill="1" applyBorder="1" applyAlignment="1">
      <alignment horizontal="center"/>
    </xf>
    <xf numFmtId="178" fontId="82" fillId="0" borderId="0" xfId="18" applyNumberFormat="1" applyFont="1" applyFill="1" applyBorder="1"/>
    <xf numFmtId="178" fontId="83" fillId="0" borderId="0" xfId="18" applyNumberFormat="1" applyFont="1" applyFill="1" applyBorder="1"/>
    <xf numFmtId="178" fontId="80" fillId="0" borderId="0" xfId="18" applyNumberFormat="1" applyFont="1" applyFill="1" applyBorder="1" applyAlignment="1">
      <alignment horizontal="left"/>
    </xf>
    <xf numFmtId="178" fontId="83" fillId="0" borderId="0" xfId="18" applyNumberFormat="1" applyFont="1" applyFill="1" applyBorder="1" applyAlignment="1">
      <alignment horizontal="left"/>
    </xf>
    <xf numFmtId="178" fontId="5" fillId="0" borderId="0" xfId="18" applyNumberFormat="1" applyFont="1" applyAlignment="1">
      <alignment wrapText="1"/>
    </xf>
    <xf numFmtId="0" fontId="7" fillId="0" borderId="0" xfId="148" applyFont="1" applyAlignment="1">
      <alignment horizontal="left"/>
      <protection/>
    </xf>
    <xf numFmtId="178" fontId="27" fillId="0" borderId="0" xfId="18" applyNumberFormat="1" applyFont="1"/>
    <xf numFmtId="178" fontId="84" fillId="0" borderId="0" xfId="18" applyNumberFormat="1" applyFont="1"/>
    <xf numFmtId="178" fontId="27" fillId="0" borderId="0" xfId="18" applyNumberFormat="1" applyFont="1" applyFill="1" applyAlignment="1">
      <alignment horizontal="center"/>
    </xf>
    <xf numFmtId="178" fontId="50" fillId="0" borderId="0" xfId="18" applyNumberFormat="1" applyFont="1"/>
    <xf numFmtId="43" fontId="5" fillId="0" borderId="0" xfId="148" applyNumberFormat="1">
      <alignment/>
      <protection/>
    </xf>
    <xf numFmtId="0" fontId="78" fillId="0" borderId="0" xfId="148" applyFont="1">
      <alignment/>
      <protection/>
    </xf>
    <xf numFmtId="178" fontId="82" fillId="0" borderId="0" xfId="18" applyNumberFormat="1" applyFont="1" applyFill="1" applyBorder="1" applyAlignment="1">
      <alignment horizontal="left"/>
    </xf>
    <xf numFmtId="178" fontId="27" fillId="0" borderId="0" xfId="18" applyNumberFormat="1" applyFont="1" applyFill="1" applyBorder="1"/>
    <xf numFmtId="37" fontId="5" fillId="0" borderId="0" xfId="148" applyNumberFormat="1">
      <alignment/>
      <protection/>
    </xf>
    <xf numFmtId="43" fontId="12" fillId="0" borderId="0" xfId="148" applyNumberFormat="1" applyFont="1">
      <alignment/>
      <protection/>
    </xf>
    <xf numFmtId="174" fontId="51" fillId="0" borderId="0" xfId="0" applyFont="1" applyAlignment="1">
      <alignment horizontal="left" vertical="center"/>
    </xf>
    <xf numFmtId="17" fontId="33" fillId="51" borderId="28" xfId="0" applyNumberFormat="1" applyFont="1" applyFill="1" applyBorder="1" applyAlignment="1">
      <alignment horizontal="center" wrapText="1"/>
    </xf>
    <xf numFmtId="175" fontId="32" fillId="51" borderId="0" xfId="16" applyNumberFormat="1" applyFont="1" applyFill="1" applyBorder="1" applyAlignment="1">
      <alignment/>
    </xf>
    <xf numFmtId="0" fontId="32" fillId="51" borderId="28" xfId="0" applyNumberFormat="1" applyFont="1" applyFill="1" applyBorder="1" applyAlignment="1">
      <alignment horizontal="center"/>
    </xf>
    <xf numFmtId="182" fontId="5" fillId="0" borderId="0" xfId="15" applyNumberFormat="1" applyFont="1" applyFill="1"/>
    <xf numFmtId="10" fontId="5" fillId="0" borderId="0" xfId="15" applyNumberFormat="1" applyFont="1"/>
    <xf numFmtId="43" fontId="88" fillId="0" borderId="0" xfId="148" applyNumberFormat="1" applyFont="1">
      <alignment/>
      <protection/>
    </xf>
    <xf numFmtId="178" fontId="88" fillId="0" borderId="0" xfId="148" applyNumberFormat="1" applyFont="1">
      <alignment/>
      <protection/>
    </xf>
    <xf numFmtId="0" fontId="5" fillId="0" borderId="0" xfId="148" applyAlignment="1">
      <alignment horizontal="center" vertical="center"/>
      <protection/>
    </xf>
    <xf numFmtId="0" fontId="27" fillId="37" borderId="0" xfId="148" applyFont="1" applyFill="1" applyAlignment="1">
      <alignment horizontal="center"/>
      <protection/>
    </xf>
    <xf numFmtId="0" fontId="5" fillId="37" borderId="0" xfId="148" applyFill="1" applyAlignment="1">
      <alignment horizontal="center" wrapText="1"/>
      <protection/>
    </xf>
    <xf numFmtId="0" fontId="5" fillId="37" borderId="0" xfId="148" applyFill="1">
      <alignment/>
      <protection/>
    </xf>
    <xf numFmtId="43" fontId="5" fillId="37" borderId="0" xfId="148" applyNumberFormat="1" applyFill="1">
      <alignment/>
      <protection/>
    </xf>
    <xf numFmtId="43" fontId="88" fillId="37" borderId="0" xfId="148" applyNumberFormat="1" applyFont="1" applyFill="1">
      <alignment/>
      <protection/>
    </xf>
    <xf numFmtId="174" fontId="65" fillId="0" borderId="0" xfId="0" applyFont="1" applyAlignment="1">
      <alignment horizontal="center" vertical="center" wrapText="1"/>
    </xf>
    <xf numFmtId="0" fontId="5" fillId="0" borderId="0" xfId="153">
      <alignment/>
      <protection/>
    </xf>
    <xf numFmtId="0" fontId="4" fillId="0" borderId="0" xfId="153" applyFont="1">
      <alignment/>
      <protection/>
    </xf>
    <xf numFmtId="0" fontId="7" fillId="0" borderId="0" xfId="153" applyFont="1">
      <alignment/>
      <protection/>
    </xf>
    <xf numFmtId="0" fontId="7" fillId="0" borderId="0" xfId="153" applyFont="1" applyAlignment="1">
      <alignment horizontal="left"/>
      <protection/>
    </xf>
    <xf numFmtId="0" fontId="5" fillId="0" borderId="23" xfId="153" applyBorder="1">
      <alignment/>
      <protection/>
    </xf>
    <xf numFmtId="0" fontId="7" fillId="0" borderId="2" xfId="153" applyFont="1" applyBorder="1" applyAlignment="1">
      <alignment horizontal="left"/>
      <protection/>
    </xf>
    <xf numFmtId="0" fontId="26" fillId="0" borderId="2" xfId="153" applyFont="1" applyBorder="1" applyAlignment="1">
      <alignment horizontal="left"/>
      <protection/>
    </xf>
    <xf numFmtId="0" fontId="26" fillId="0" borderId="29" xfId="153" applyFont="1" applyBorder="1" applyAlignment="1">
      <alignment horizontal="left"/>
      <protection/>
    </xf>
    <xf numFmtId="0" fontId="26" fillId="0" borderId="0" xfId="153" applyFont="1" applyAlignment="1">
      <alignment horizontal="left"/>
      <protection/>
    </xf>
    <xf numFmtId="0" fontId="13" fillId="0" borderId="0" xfId="153" applyFont="1">
      <alignment/>
      <protection/>
    </xf>
    <xf numFmtId="0" fontId="5" fillId="0" borderId="24" xfId="153" applyBorder="1">
      <alignment/>
      <protection/>
    </xf>
    <xf numFmtId="0" fontId="89" fillId="0" borderId="0" xfId="153" applyFont="1" applyAlignment="1">
      <alignment horizontal="left"/>
      <protection/>
    </xf>
    <xf numFmtId="0" fontId="26" fillId="0" borderId="25" xfId="153" applyFont="1" applyBorder="1" applyAlignment="1">
      <alignment horizontal="left"/>
      <protection/>
    </xf>
    <xf numFmtId="0" fontId="8" fillId="0" borderId="30" xfId="153" applyFont="1" applyBorder="1">
      <alignment/>
      <protection/>
    </xf>
    <xf numFmtId="14" fontId="8" fillId="0" borderId="31" xfId="153" applyNumberFormat="1" applyFont="1" applyBorder="1">
      <alignment/>
      <protection/>
    </xf>
    <xf numFmtId="0" fontId="13" fillId="0" borderId="0" xfId="153" applyFont="1" applyAlignment="1">
      <alignment horizontal="left"/>
      <protection/>
    </xf>
    <xf numFmtId="0" fontId="68" fillId="0" borderId="0" xfId="153" applyFont="1" applyAlignment="1">
      <alignment horizontal="left"/>
      <protection/>
    </xf>
    <xf numFmtId="0" fontId="27" fillId="0" borderId="24" xfId="153" applyFont="1" applyBorder="1" applyAlignment="1">
      <alignment horizontal="center"/>
      <protection/>
    </xf>
    <xf numFmtId="0" fontId="7" fillId="0" borderId="0" xfId="153" applyFont="1" applyAlignment="1">
      <alignment horizontal="center"/>
      <protection/>
    </xf>
    <xf numFmtId="0" fontId="26" fillId="0" borderId="0" xfId="153" applyFont="1" applyAlignment="1">
      <alignment horizontal="center"/>
      <protection/>
    </xf>
    <xf numFmtId="0" fontId="26" fillId="0" borderId="0" xfId="153" applyFont="1" applyAlignment="1" quotePrefix="1">
      <alignment horizontal="center"/>
      <protection/>
    </xf>
    <xf numFmtId="0" fontId="26" fillId="0" borderId="25" xfId="153" applyFont="1" applyBorder="1" applyAlignment="1">
      <alignment horizontal="center"/>
      <protection/>
    </xf>
    <xf numFmtId="0" fontId="27" fillId="0" borderId="0" xfId="153" applyFont="1" applyAlignment="1">
      <alignment horizontal="center"/>
      <protection/>
    </xf>
    <xf numFmtId="0" fontId="5" fillId="0" borderId="0" xfId="153" applyAlignment="1">
      <alignment horizontal="center"/>
      <protection/>
    </xf>
    <xf numFmtId="0" fontId="31" fillId="0" borderId="0" xfId="153" applyFont="1" applyAlignment="1">
      <alignment horizontal="center"/>
      <protection/>
    </xf>
    <xf numFmtId="0" fontId="90" fillId="0" borderId="0" xfId="153" applyFont="1">
      <alignment/>
      <protection/>
    </xf>
    <xf numFmtId="0" fontId="13" fillId="0" borderId="25" xfId="153" applyFont="1" applyBorder="1">
      <alignment/>
      <protection/>
    </xf>
    <xf numFmtId="175" fontId="13" fillId="0" borderId="0" xfId="153" applyNumberFormat="1" applyFont="1">
      <alignment/>
      <protection/>
    </xf>
    <xf numFmtId="10" fontId="91" fillId="0" borderId="0" xfId="153" applyNumberFormat="1" applyFont="1" applyAlignment="1">
      <alignment horizontal="left"/>
      <protection/>
    </xf>
    <xf numFmtId="0" fontId="31" fillId="0" borderId="0" xfId="153" applyFont="1">
      <alignment/>
      <protection/>
    </xf>
    <xf numFmtId="0" fontId="31" fillId="0" borderId="25" xfId="153" applyFont="1" applyBorder="1">
      <alignment/>
      <protection/>
    </xf>
    <xf numFmtId="175" fontId="31" fillId="0" borderId="0" xfId="153" applyNumberFormat="1" applyFont="1">
      <alignment/>
      <protection/>
    </xf>
    <xf numFmtId="10" fontId="92" fillId="0" borderId="0" xfId="153" applyNumberFormat="1" applyFont="1" applyAlignment="1">
      <alignment horizontal="left"/>
      <protection/>
    </xf>
    <xf numFmtId="0" fontId="93" fillId="0" borderId="0" xfId="153" applyFont="1" applyAlignment="1">
      <alignment horizontal="center"/>
      <protection/>
    </xf>
    <xf numFmtId="0" fontId="27" fillId="0" borderId="0" xfId="153" applyFont="1" applyAlignment="1">
      <alignment horizontal="left"/>
      <protection/>
    </xf>
    <xf numFmtId="17" fontId="13" fillId="0" borderId="0" xfId="153" applyNumberFormat="1" applyFont="1" applyAlignment="1">
      <alignment horizontal="left"/>
      <protection/>
    </xf>
    <xf numFmtId="41" fontId="5" fillId="0" borderId="0" xfId="153" applyNumberFormat="1">
      <alignment/>
      <protection/>
    </xf>
    <xf numFmtId="0" fontId="8" fillId="0" borderId="0" xfId="153" applyFont="1" applyAlignment="1">
      <alignment horizontal="center"/>
      <protection/>
    </xf>
    <xf numFmtId="0" fontId="94" fillId="0" borderId="0" xfId="153" applyFont="1">
      <alignment/>
      <protection/>
    </xf>
    <xf numFmtId="14" fontId="8" fillId="0" borderId="0" xfId="153" applyNumberFormat="1" applyFont="1" applyAlignment="1">
      <alignment horizontal="left"/>
      <protection/>
    </xf>
    <xf numFmtId="0" fontId="95" fillId="0" borderId="0" xfId="153" applyFont="1">
      <alignment/>
      <protection/>
    </xf>
    <xf numFmtId="6" fontId="31" fillId="0" borderId="0" xfId="153" applyNumberFormat="1" applyFont="1" applyAlignment="1">
      <alignment horizontal="center"/>
      <protection/>
    </xf>
    <xf numFmtId="0" fontId="5" fillId="0" borderId="24" xfId="153" applyBorder="1" quotePrefix="1">
      <alignment/>
      <protection/>
    </xf>
    <xf numFmtId="164" fontId="13" fillId="0" borderId="0" xfId="153" applyNumberFormat="1" applyFont="1" applyAlignment="1">
      <alignment horizontal="left"/>
      <protection/>
    </xf>
    <xf numFmtId="0" fontId="96" fillId="0" borderId="0" xfId="153" applyFont="1">
      <alignment/>
      <protection/>
    </xf>
    <xf numFmtId="14" fontId="31" fillId="0" borderId="0" xfId="153" applyNumberFormat="1" applyFont="1" applyAlignment="1">
      <alignment horizontal="center"/>
      <protection/>
    </xf>
    <xf numFmtId="175" fontId="31" fillId="0" borderId="0" xfId="154" applyNumberFormat="1" applyFont="1" applyBorder="1" applyAlignment="1">
      <alignment horizontal="center"/>
    </xf>
    <xf numFmtId="10" fontId="5" fillId="0" borderId="0" xfId="153" applyNumberFormat="1">
      <alignment/>
      <protection/>
    </xf>
    <xf numFmtId="10" fontId="31" fillId="0" borderId="0" xfId="153" applyNumberFormat="1" applyFont="1">
      <alignment/>
      <protection/>
    </xf>
    <xf numFmtId="44" fontId="31" fillId="0" borderId="0" xfId="153" applyNumberFormat="1" applyFont="1">
      <alignment/>
      <protection/>
    </xf>
    <xf numFmtId="0" fontId="97" fillId="0" borderId="0" xfId="153" applyFont="1">
      <alignment/>
      <protection/>
    </xf>
    <xf numFmtId="178" fontId="97" fillId="0" borderId="0" xfId="155" applyNumberFormat="1" applyFont="1" applyFill="1" applyBorder="1"/>
    <xf numFmtId="14" fontId="98" fillId="0" borderId="0" xfId="153" applyNumberFormat="1" applyFont="1" applyAlignment="1" quotePrefix="1">
      <alignment horizontal="center"/>
      <protection/>
    </xf>
    <xf numFmtId="175" fontId="97" fillId="0" borderId="0" xfId="154" applyNumberFormat="1" applyFont="1" applyFill="1" applyBorder="1"/>
    <xf numFmtId="178" fontId="97" fillId="0" borderId="0" xfId="153" applyNumberFormat="1" applyFont="1">
      <alignment/>
      <protection/>
    </xf>
    <xf numFmtId="175" fontId="31" fillId="0" borderId="0" xfId="154" applyNumberFormat="1" applyFont="1" applyFill="1" applyBorder="1"/>
    <xf numFmtId="178" fontId="31" fillId="0" borderId="0" xfId="155" applyNumberFormat="1" applyFont="1" applyFill="1" applyBorder="1"/>
    <xf numFmtId="178" fontId="31" fillId="0" borderId="0" xfId="153" applyNumberFormat="1" applyFont="1">
      <alignment/>
      <protection/>
    </xf>
    <xf numFmtId="175" fontId="31" fillId="0" borderId="0" xfId="154" applyNumberFormat="1" applyFont="1" applyFill="1" applyBorder="1" applyAlignment="1">
      <alignment horizontal="center"/>
    </xf>
    <xf numFmtId="0" fontId="5" fillId="0" borderId="0" xfId="153" applyFont="1">
      <alignment/>
      <protection/>
    </xf>
    <xf numFmtId="41" fontId="13" fillId="0" borderId="0" xfId="153" applyNumberFormat="1" applyFont="1">
      <alignment/>
      <protection/>
    </xf>
    <xf numFmtId="0" fontId="31" fillId="0" borderId="11" xfId="153" applyFont="1" applyBorder="1">
      <alignment/>
      <protection/>
    </xf>
    <xf numFmtId="44" fontId="31" fillId="0" borderId="0" xfId="153" applyNumberFormat="1" applyFont="1" applyAlignment="1">
      <alignment horizontal="right"/>
      <protection/>
    </xf>
    <xf numFmtId="175" fontId="31" fillId="0" borderId="0" xfId="154" applyNumberFormat="1" applyFont="1" applyBorder="1"/>
    <xf numFmtId="164" fontId="31" fillId="0" borderId="0" xfId="153" applyNumberFormat="1" applyFont="1">
      <alignment/>
      <protection/>
    </xf>
    <xf numFmtId="44" fontId="96" fillId="0" borderId="0" xfId="153" applyNumberFormat="1" applyFont="1">
      <alignment/>
      <protection/>
    </xf>
    <xf numFmtId="44" fontId="31" fillId="0" borderId="25" xfId="153" applyNumberFormat="1" applyFont="1" applyBorder="1">
      <alignment/>
      <protection/>
    </xf>
    <xf numFmtId="0" fontId="31" fillId="0" borderId="32" xfId="153" applyFont="1" applyBorder="1">
      <alignment/>
      <protection/>
    </xf>
    <xf numFmtId="164" fontId="13" fillId="0" borderId="0" xfId="153" applyNumberFormat="1" applyFont="1">
      <alignment/>
      <protection/>
    </xf>
    <xf numFmtId="0" fontId="5" fillId="0" borderId="26" xfId="153" applyBorder="1">
      <alignment/>
      <protection/>
    </xf>
    <xf numFmtId="164" fontId="13" fillId="0" borderId="11" xfId="153" applyNumberFormat="1" applyFont="1" applyBorder="1">
      <alignment/>
      <protection/>
    </xf>
    <xf numFmtId="44" fontId="31" fillId="0" borderId="11" xfId="153" applyNumberFormat="1" applyFont="1" applyBorder="1">
      <alignment/>
      <protection/>
    </xf>
    <xf numFmtId="44" fontId="31" fillId="0" borderId="33" xfId="153" applyNumberFormat="1" applyFont="1" applyBorder="1">
      <alignment/>
      <protection/>
    </xf>
    <xf numFmtId="44" fontId="7" fillId="0" borderId="0" xfId="153" applyNumberFormat="1" applyFont="1">
      <alignment/>
      <protection/>
    </xf>
    <xf numFmtId="0" fontId="94" fillId="0" borderId="2" xfId="153" applyFont="1" applyBorder="1">
      <alignment/>
      <protection/>
    </xf>
    <xf numFmtId="44" fontId="31" fillId="0" borderId="2" xfId="153" applyNumberFormat="1" applyFont="1" applyBorder="1">
      <alignment/>
      <protection/>
    </xf>
    <xf numFmtId="44" fontId="31" fillId="0" borderId="29" xfId="153" applyNumberFormat="1" applyFont="1" applyBorder="1">
      <alignment/>
      <protection/>
    </xf>
    <xf numFmtId="0" fontId="5" fillId="0" borderId="29" xfId="153" applyBorder="1">
      <alignment/>
      <protection/>
    </xf>
    <xf numFmtId="0" fontId="5" fillId="0" borderId="25" xfId="153" applyBorder="1">
      <alignment/>
      <protection/>
    </xf>
    <xf numFmtId="0" fontId="8" fillId="0" borderId="0" xfId="153" applyFont="1" applyAlignment="1" quotePrefix="1">
      <alignment horizontal="center"/>
      <protection/>
    </xf>
    <xf numFmtId="0" fontId="8" fillId="0" borderId="25" xfId="153" applyFont="1" applyBorder="1" applyAlignment="1">
      <alignment horizontal="center"/>
      <protection/>
    </xf>
    <xf numFmtId="0" fontId="27" fillId="0" borderId="0" xfId="153" applyFont="1" applyAlignment="1" quotePrefix="1">
      <alignment horizontal="center"/>
      <protection/>
    </xf>
    <xf numFmtId="42" fontId="26" fillId="0" borderId="0" xfId="153" applyNumberFormat="1" applyFont="1" applyAlignment="1">
      <alignment horizontal="center"/>
      <protection/>
    </xf>
    <xf numFmtId="44" fontId="8" fillId="0" borderId="0" xfId="153" applyNumberFormat="1" applyFont="1">
      <alignment/>
      <protection/>
    </xf>
    <xf numFmtId="0" fontId="5" fillId="0" borderId="0" xfId="153" applyFont="1" applyAlignment="1">
      <alignment horizontal="center"/>
      <protection/>
    </xf>
    <xf numFmtId="0" fontId="5" fillId="0" borderId="25" xfId="153" applyBorder="1" applyAlignment="1">
      <alignment horizontal="center"/>
      <protection/>
    </xf>
    <xf numFmtId="0" fontId="31" fillId="0" borderId="25" xfId="153" applyFont="1" applyBorder="1" applyAlignment="1">
      <alignment horizontal="center"/>
      <protection/>
    </xf>
    <xf numFmtId="0" fontId="81" fillId="0" borderId="0" xfId="153" applyFont="1">
      <alignment/>
      <protection/>
    </xf>
    <xf numFmtId="0" fontId="99" fillId="0" borderId="0" xfId="153" applyFont="1">
      <alignment/>
      <protection/>
    </xf>
    <xf numFmtId="0" fontId="95" fillId="0" borderId="0" xfId="153" applyFont="1" applyAlignment="1">
      <alignment horizontal="center"/>
      <protection/>
    </xf>
    <xf numFmtId="164" fontId="95" fillId="0" borderId="0" xfId="153" applyNumberFormat="1" applyFont="1">
      <alignment/>
      <protection/>
    </xf>
    <xf numFmtId="0" fontId="95" fillId="0" borderId="25" xfId="153" applyFont="1" applyBorder="1" applyAlignment="1">
      <alignment horizontal="center"/>
      <protection/>
    </xf>
    <xf numFmtId="42" fontId="31" fillId="0" borderId="0" xfId="153" applyNumberFormat="1" applyFont="1">
      <alignment/>
      <protection/>
    </xf>
    <xf numFmtId="42" fontId="31" fillId="0" borderId="25" xfId="155" applyNumberFormat="1" applyFont="1" applyBorder="1"/>
    <xf numFmtId="169" fontId="31" fillId="0" borderId="0" xfId="153" applyNumberFormat="1" applyFont="1">
      <alignment/>
      <protection/>
    </xf>
    <xf numFmtId="10" fontId="31" fillId="0" borderId="25" xfId="155" applyNumberFormat="1" applyFont="1" applyBorder="1" applyAlignment="1">
      <alignment horizontal="center"/>
    </xf>
    <xf numFmtId="188" fontId="31" fillId="0" borderId="0" xfId="153" applyNumberFormat="1" applyFont="1">
      <alignment/>
      <protection/>
    </xf>
    <xf numFmtId="166" fontId="31" fillId="0" borderId="0" xfId="153" applyNumberFormat="1" applyFont="1">
      <alignment/>
      <protection/>
    </xf>
    <xf numFmtId="178" fontId="31" fillId="0" borderId="0" xfId="155" applyNumberFormat="1" applyFont="1" applyBorder="1"/>
    <xf numFmtId="0" fontId="31" fillId="0" borderId="0" xfId="153" applyFont="1" applyAlignment="1" quotePrefix="1">
      <alignment horizontal="center"/>
      <protection/>
    </xf>
    <xf numFmtId="14" fontId="31" fillId="0" borderId="0" xfId="153" applyNumberFormat="1" applyFont="1" applyAlignment="1" quotePrefix="1">
      <alignment horizontal="center"/>
      <protection/>
    </xf>
    <xf numFmtId="0" fontId="31" fillId="0" borderId="33" xfId="153" applyFont="1" applyBorder="1">
      <alignment/>
      <protection/>
    </xf>
    <xf numFmtId="164" fontId="31" fillId="0" borderId="0" xfId="153" applyNumberFormat="1" applyFont="1" applyAlignment="1">
      <alignment horizontal="right"/>
      <protection/>
    </xf>
    <xf numFmtId="169" fontId="31" fillId="0" borderId="25" xfId="153" applyNumberFormat="1" applyFont="1" applyBorder="1">
      <alignment/>
      <protection/>
    </xf>
    <xf numFmtId="43" fontId="31" fillId="0" borderId="11" xfId="155" applyFont="1" applyBorder="1"/>
    <xf numFmtId="188" fontId="31" fillId="0" borderId="33" xfId="153" applyNumberFormat="1" applyFont="1" applyBorder="1">
      <alignment/>
      <protection/>
    </xf>
    <xf numFmtId="43" fontId="31" fillId="0" borderId="0" xfId="155" applyFont="1"/>
    <xf numFmtId="0" fontId="101" fillId="0" borderId="0" xfId="153" applyFont="1">
      <alignment/>
      <protection/>
    </xf>
    <xf numFmtId="43" fontId="31" fillId="0" borderId="0" xfId="153" applyNumberFormat="1" applyFont="1">
      <alignment/>
      <protection/>
    </xf>
    <xf numFmtId="10" fontId="31" fillId="0" borderId="0" xfId="157" applyNumberFormat="1" applyFont="1" applyBorder="1"/>
    <xf numFmtId="175" fontId="31" fillId="0" borderId="0" xfId="158" applyNumberFormat="1" applyFont="1" applyBorder="1"/>
    <xf numFmtId="0" fontId="31" fillId="0" borderId="0" xfId="153" applyFont="1" applyAlignment="1">
      <alignment horizontal="right"/>
      <protection/>
    </xf>
    <xf numFmtId="0" fontId="99" fillId="0" borderId="0" xfId="153" applyFont="1" applyAlignment="1">
      <alignment horizontal="left"/>
      <protection/>
    </xf>
    <xf numFmtId="0" fontId="8" fillId="0" borderId="0" xfId="153" applyFont="1" applyAlignment="1">
      <alignment horizontal="left"/>
      <protection/>
    </xf>
    <xf numFmtId="164" fontId="31" fillId="0" borderId="0" xfId="153" applyNumberFormat="1" applyFont="1" applyAlignment="1">
      <alignment horizontal="center"/>
      <protection/>
    </xf>
    <xf numFmtId="42" fontId="13" fillId="0" borderId="0" xfId="153" applyNumberFormat="1" applyFont="1">
      <alignment/>
      <protection/>
    </xf>
    <xf numFmtId="164" fontId="13" fillId="0" borderId="0" xfId="153" applyNumberFormat="1" applyFont="1" applyAlignment="1">
      <alignment horizontal="center"/>
      <protection/>
    </xf>
    <xf numFmtId="0" fontId="26" fillId="0" borderId="0" xfId="153" applyFont="1">
      <alignment/>
      <protection/>
    </xf>
    <xf numFmtId="0" fontId="91" fillId="0" borderId="0" xfId="153" applyFont="1">
      <alignment/>
      <protection/>
    </xf>
    <xf numFmtId="0" fontId="13" fillId="0" borderId="0" xfId="153" applyFont="1" applyAlignment="1">
      <alignment horizontal="center"/>
      <protection/>
    </xf>
    <xf numFmtId="0" fontId="102" fillId="0" borderId="0" xfId="153" applyFont="1">
      <alignment/>
      <protection/>
    </xf>
    <xf numFmtId="44" fontId="13" fillId="0" borderId="0" xfId="153" applyNumberFormat="1" applyFont="1">
      <alignment/>
      <protection/>
    </xf>
    <xf numFmtId="0" fontId="3" fillId="0" borderId="0" xfId="153" applyFont="1" applyAlignment="1">
      <alignment horizontal="left"/>
      <protection/>
    </xf>
    <xf numFmtId="164" fontId="102" fillId="0" borderId="0" xfId="153" applyNumberFormat="1" applyFont="1">
      <alignment/>
      <protection/>
    </xf>
    <xf numFmtId="44" fontId="26" fillId="0" borderId="0" xfId="153" applyNumberFormat="1" applyFont="1">
      <alignment/>
      <protection/>
    </xf>
    <xf numFmtId="175" fontId="5" fillId="0" borderId="0" xfId="158" applyNumberFormat="1" applyFont="1" applyBorder="1"/>
    <xf numFmtId="175" fontId="5" fillId="0" borderId="0" xfId="153" applyNumberFormat="1" applyFont="1">
      <alignment/>
      <protection/>
    </xf>
    <xf numFmtId="10" fontId="5" fillId="0" borderId="0" xfId="157" applyNumberFormat="1" applyFont="1" applyBorder="1"/>
    <xf numFmtId="178" fontId="5" fillId="0" borderId="0" xfId="155" applyNumberFormat="1" applyFont="1" applyBorder="1"/>
    <xf numFmtId="43" fontId="13" fillId="0" borderId="0" xfId="155" applyFont="1" applyBorder="1"/>
    <xf numFmtId="0" fontId="13" fillId="0" borderId="0" xfId="153" applyFont="1" applyAlignment="1">
      <alignment horizontal="right"/>
      <protection/>
    </xf>
    <xf numFmtId="0" fontId="91" fillId="0" borderId="0" xfId="153" applyFont="1" applyAlignment="1">
      <alignment horizontal="left"/>
      <protection/>
    </xf>
    <xf numFmtId="164" fontId="13" fillId="0" borderId="0" xfId="157" applyNumberFormat="1" applyFont="1" applyBorder="1"/>
    <xf numFmtId="0" fontId="31" fillId="32" borderId="0" xfId="153" applyFont="1" applyFill="1" applyAlignment="1">
      <alignment horizontal="center"/>
      <protection/>
    </xf>
    <xf numFmtId="0" fontId="97" fillId="32" borderId="0" xfId="153" applyFont="1" applyFill="1" applyAlignment="1">
      <alignment horizontal="center"/>
      <protection/>
    </xf>
    <xf numFmtId="174" fontId="65" fillId="0" borderId="0" xfId="0" applyFont="1" applyAlignment="1">
      <alignment horizontal="left" vertical="center"/>
    </xf>
    <xf numFmtId="174" fontId="51" fillId="0" borderId="0" xfId="0" applyFont="1" applyAlignment="1">
      <alignment horizontal="center"/>
    </xf>
    <xf numFmtId="0" fontId="2" fillId="0" borderId="0" xfId="164">
      <alignment/>
      <protection/>
    </xf>
    <xf numFmtId="0" fontId="103" fillId="0" borderId="0" xfId="164" applyFont="1" applyAlignment="1">
      <alignment horizontal="center"/>
      <protection/>
    </xf>
    <xf numFmtId="0" fontId="2" fillId="0" borderId="34" xfId="164" applyBorder="1">
      <alignment/>
      <protection/>
    </xf>
    <xf numFmtId="0" fontId="2" fillId="0" borderId="35" xfId="164" applyBorder="1">
      <alignment/>
      <protection/>
    </xf>
    <xf numFmtId="0" fontId="2" fillId="0" borderId="36" xfId="164" applyBorder="1">
      <alignment/>
      <protection/>
    </xf>
    <xf numFmtId="0" fontId="2" fillId="0" borderId="11" xfId="164" applyBorder="1" applyAlignment="1">
      <alignment horizontal="center" wrapText="1"/>
      <protection/>
    </xf>
    <xf numFmtId="0" fontId="103" fillId="0" borderId="11" xfId="164" applyFont="1" applyBorder="1" applyAlignment="1">
      <alignment horizontal="left" indent="2"/>
      <protection/>
    </xf>
    <xf numFmtId="0" fontId="2" fillId="0" borderId="37" xfId="164" applyBorder="1" applyAlignment="1">
      <alignment horizontal="center" wrapText="1"/>
      <protection/>
    </xf>
    <xf numFmtId="0" fontId="2" fillId="0" borderId="11" xfId="164" applyBorder="1">
      <alignment/>
      <protection/>
    </xf>
    <xf numFmtId="37" fontId="2" fillId="0" borderId="0" xfId="164" applyNumberFormat="1">
      <alignment/>
      <protection/>
    </xf>
    <xf numFmtId="37" fontId="2" fillId="0" borderId="38" xfId="164" applyNumberFormat="1" applyBorder="1">
      <alignment/>
      <protection/>
    </xf>
    <xf numFmtId="37" fontId="2" fillId="0" borderId="39" xfId="164" applyNumberFormat="1" applyBorder="1">
      <alignment/>
      <protection/>
    </xf>
    <xf numFmtId="0" fontId="2" fillId="0" borderId="39" xfId="164" applyBorder="1">
      <alignment/>
      <protection/>
    </xf>
    <xf numFmtId="37" fontId="103" fillId="0" borderId="0" xfId="164" applyNumberFormat="1" applyFont="1">
      <alignment/>
      <protection/>
    </xf>
    <xf numFmtId="37" fontId="103" fillId="0" borderId="38" xfId="164" applyNumberFormat="1" applyFont="1" applyBorder="1">
      <alignment/>
      <protection/>
    </xf>
    <xf numFmtId="0" fontId="2" fillId="0" borderId="27" xfId="164" applyBorder="1">
      <alignment/>
      <protection/>
    </xf>
    <xf numFmtId="37" fontId="2" fillId="0" borderId="27" xfId="164" applyNumberFormat="1" applyBorder="1">
      <alignment/>
      <protection/>
    </xf>
    <xf numFmtId="37" fontId="2" fillId="32" borderId="39" xfId="164" applyNumberFormat="1" applyFill="1" applyBorder="1">
      <alignment/>
      <protection/>
    </xf>
    <xf numFmtId="37" fontId="2" fillId="32" borderId="40" xfId="164" applyNumberFormat="1" applyFill="1" applyBorder="1">
      <alignment/>
      <protection/>
    </xf>
    <xf numFmtId="0" fontId="103" fillId="0" borderId="11" xfId="164" applyFont="1" applyBorder="1" applyAlignment="1">
      <alignment horizontal="center" wrapText="1"/>
      <protection/>
    </xf>
    <xf numFmtId="0" fontId="103" fillId="0" borderId="41" xfId="164" applyFont="1" applyBorder="1" applyAlignment="1">
      <alignment horizontal="center" wrapText="1"/>
      <protection/>
    </xf>
    <xf numFmtId="37" fontId="2" fillId="0" borderId="32" xfId="164" applyNumberFormat="1" applyBorder="1">
      <alignment/>
      <protection/>
    </xf>
    <xf numFmtId="37" fontId="2" fillId="0" borderId="42" xfId="164" applyNumberFormat="1" applyBorder="1">
      <alignment/>
      <protection/>
    </xf>
    <xf numFmtId="0" fontId="2" fillId="0" borderId="43" xfId="164" applyBorder="1">
      <alignment/>
      <protection/>
    </xf>
    <xf numFmtId="37" fontId="2" fillId="32" borderId="38" xfId="164" applyNumberFormat="1" applyFill="1" applyBorder="1">
      <alignment/>
      <protection/>
    </xf>
    <xf numFmtId="37" fontId="2" fillId="32" borderId="0" xfId="164" applyNumberFormat="1" applyFill="1">
      <alignment/>
      <protection/>
    </xf>
    <xf numFmtId="0" fontId="103" fillId="0" borderId="0" xfId="164" applyFont="1" applyAlignment="1">
      <alignment wrapText="1"/>
      <protection/>
    </xf>
    <xf numFmtId="37" fontId="2" fillId="0" borderId="40" xfId="164" applyNumberFormat="1" applyBorder="1">
      <alignment/>
      <protection/>
    </xf>
    <xf numFmtId="37" fontId="2" fillId="0" borderId="44" xfId="164" applyNumberFormat="1" applyBorder="1">
      <alignment/>
      <protection/>
    </xf>
    <xf numFmtId="178" fontId="103" fillId="0" borderId="0" xfId="165" applyNumberFormat="1" applyFont="1" applyFill="1"/>
    <xf numFmtId="0" fontId="103" fillId="0" borderId="0" xfId="164" applyFont="1">
      <alignment/>
      <protection/>
    </xf>
    <xf numFmtId="37" fontId="103" fillId="0" borderId="39" xfId="164" applyNumberFormat="1" applyFont="1" applyBorder="1">
      <alignment/>
      <protection/>
    </xf>
    <xf numFmtId="0" fontId="103" fillId="0" borderId="31" xfId="164" applyFont="1" applyBorder="1" applyAlignment="1">
      <alignment horizontal="center"/>
      <protection/>
    </xf>
    <xf numFmtId="0" fontId="103" fillId="0" borderId="45" xfId="164" applyFont="1" applyBorder="1" applyAlignment="1">
      <alignment horizontal="center" wrapText="1"/>
      <protection/>
    </xf>
    <xf numFmtId="178" fontId="32" fillId="0" borderId="0" xfId="18" applyNumberFormat="1" applyFont="1" applyAlignment="1">
      <alignment horizontal="center" vertical="center"/>
    </xf>
    <xf numFmtId="0" fontId="80" fillId="0" borderId="0" xfId="148" applyFont="1" applyAlignment="1">
      <alignment horizontal="left" wrapText="1"/>
      <protection/>
    </xf>
    <xf numFmtId="178" fontId="7" fillId="0" borderId="0" xfId="18" applyNumberFormat="1" applyFont="1" applyAlignment="1">
      <alignment horizontal="center"/>
    </xf>
    <xf numFmtId="174" fontId="53" fillId="32" borderId="0" xfId="0" applyFont="1" applyFill="1" applyAlignment="1" quotePrefix="1">
      <alignment horizontal="center" vertical="center"/>
    </xf>
    <xf numFmtId="1" fontId="5" fillId="32" borderId="0" xfId="98" applyNumberFormat="1" applyFont="1" applyFill="1" applyAlignment="1">
      <alignment horizontal="center"/>
      <protection/>
    </xf>
    <xf numFmtId="178" fontId="12" fillId="32" borderId="0" xfId="79" applyNumberFormat="1" applyFont="1" applyFill="1" applyBorder="1" applyAlignment="1">
      <alignment/>
    </xf>
    <xf numFmtId="43" fontId="0" fillId="32" borderId="0" xfId="18" applyFont="1" applyFill="1" applyBorder="1" applyAlignment="1">
      <alignment/>
    </xf>
    <xf numFmtId="0" fontId="27" fillId="0" borderId="0" xfId="98" applyFont="1" applyAlignment="1">
      <alignment horizontal="left"/>
      <protection/>
    </xf>
    <xf numFmtId="0" fontId="5" fillId="0" borderId="0" xfId="98" applyFont="1">
      <alignment/>
      <protection/>
    </xf>
    <xf numFmtId="174" fontId="0" fillId="0" borderId="0" xfId="0" applyFont="1"/>
    <xf numFmtId="3" fontId="12" fillId="0" borderId="0" xfId="151" applyNumberFormat="1" applyFont="1" applyAlignment="1">
      <alignment horizontal="right"/>
    </xf>
    <xf numFmtId="174" fontId="12" fillId="0" borderId="0" xfId="0" applyFont="1" applyAlignment="1">
      <alignment horizontal="center" vertical="top"/>
    </xf>
    <xf numFmtId="178" fontId="5" fillId="32" borderId="0" xfId="18" applyNumberFormat="1" applyFont="1" applyFill="1" applyAlignment="1">
      <alignment horizontal="right"/>
    </xf>
    <xf numFmtId="0" fontId="103" fillId="0" borderId="41" xfId="164" applyFont="1" applyBorder="1" applyAlignment="1">
      <alignment horizontal="left" indent="2"/>
      <protection/>
    </xf>
    <xf numFmtId="37" fontId="2" fillId="32" borderId="42" xfId="164" applyNumberFormat="1" applyFill="1" applyBorder="1">
      <alignment/>
      <protection/>
    </xf>
    <xf numFmtId="37" fontId="103" fillId="0" borderId="32" xfId="164" applyNumberFormat="1" applyFont="1" applyBorder="1">
      <alignment/>
      <protection/>
    </xf>
    <xf numFmtId="37" fontId="103" fillId="0" borderId="43" xfId="164" applyNumberFormat="1" applyFont="1" applyBorder="1">
      <alignment/>
      <protection/>
    </xf>
    <xf numFmtId="0" fontId="12" fillId="0" borderId="0" xfId="0" applyNumberFormat="1" applyFont="1" applyAlignment="1">
      <alignment horizontal="right"/>
    </xf>
    <xf numFmtId="175" fontId="12" fillId="0" borderId="0" xfId="16" applyNumberFormat="1" applyFont="1" applyFill="1" applyBorder="1" applyAlignment="1">
      <alignment/>
    </xf>
    <xf numFmtId="179" fontId="12" fillId="0" borderId="0" xfId="15" applyNumberFormat="1" applyFont="1" applyFill="1" applyBorder="1" applyAlignment="1">
      <alignment/>
    </xf>
    <xf numFmtId="179" fontId="7" fillId="0" borderId="0" xfId="15" applyNumberFormat="1" applyFont="1" applyFill="1" applyBorder="1" applyAlignment="1">
      <alignment/>
    </xf>
    <xf numFmtId="179" fontId="12" fillId="0" borderId="25" xfId="15" applyNumberFormat="1" applyFont="1" applyFill="1" applyBorder="1" applyAlignment="1">
      <alignment/>
    </xf>
    <xf numFmtId="179" fontId="7" fillId="0" borderId="25" xfId="15" applyNumberFormat="1" applyFont="1" applyFill="1" applyBorder="1" applyAlignment="1">
      <alignment/>
    </xf>
    <xf numFmtId="170" fontId="12" fillId="0" borderId="10" xfId="18" applyNumberFormat="1" applyFont="1" applyFill="1" applyBorder="1" applyAlignment="1">
      <alignment/>
    </xf>
    <xf numFmtId="43" fontId="12" fillId="0" borderId="0" xfId="18" applyFont="1" applyFill="1" applyBorder="1" applyAlignment="1">
      <alignment/>
    </xf>
    <xf numFmtId="43" fontId="12" fillId="0" borderId="25" xfId="18" applyFont="1" applyFill="1" applyBorder="1" applyAlignment="1">
      <alignment/>
    </xf>
    <xf numFmtId="43" fontId="12" fillId="0" borderId="0" xfId="18" applyFont="1" applyFill="1" applyBorder="1" applyAlignment="1">
      <alignment horizontal="center"/>
    </xf>
    <xf numFmtId="178" fontId="12" fillId="0" borderId="0" xfId="18" applyNumberFormat="1" applyFont="1" applyFill="1" applyBorder="1" applyAlignment="1">
      <alignment/>
    </xf>
    <xf numFmtId="178" fontId="50" fillId="32" borderId="0" xfId="152" applyNumberFormat="1" applyFont="1" applyFill="1"/>
    <xf numFmtId="178" fontId="5" fillId="32" borderId="0" xfId="152" applyNumberFormat="1" applyFont="1" applyFill="1"/>
    <xf numFmtId="178" fontId="5" fillId="32" borderId="0" xfId="18" applyNumberFormat="1" applyFont="1" applyFill="1"/>
    <xf numFmtId="178" fontId="5" fillId="32" borderId="0" xfId="18" applyNumberFormat="1" applyFont="1" applyFill="1" applyAlignment="1">
      <alignment wrapText="1"/>
    </xf>
    <xf numFmtId="178" fontId="50" fillId="32" borderId="0" xfId="152" applyNumberFormat="1" applyFont="1" applyFill="1" applyBorder="1"/>
    <xf numFmtId="178" fontId="5" fillId="32" borderId="11" xfId="18" applyNumberFormat="1" applyFont="1" applyFill="1" applyBorder="1"/>
    <xf numFmtId="178" fontId="5" fillId="32" borderId="11" xfId="18" applyNumberFormat="1" applyFont="1" applyFill="1" applyBorder="1" applyAlignment="1">
      <alignment wrapText="1"/>
    </xf>
    <xf numFmtId="178" fontId="50" fillId="0" borderId="0" xfId="152" applyNumberFormat="1" applyFont="1" applyFill="1"/>
    <xf numFmtId="178" fontId="5" fillId="0" borderId="0" xfId="152" applyNumberFormat="1" applyFont="1" applyFill="1"/>
    <xf numFmtId="178" fontId="5" fillId="0" borderId="0" xfId="18" applyNumberFormat="1" applyFont="1" applyFill="1" applyAlignment="1">
      <alignment wrapText="1"/>
    </xf>
    <xf numFmtId="178" fontId="50" fillId="0" borderId="0" xfId="152" applyNumberFormat="1" applyFont="1" applyFill="1" applyBorder="1"/>
    <xf numFmtId="178" fontId="5" fillId="0" borderId="11" xfId="152" applyNumberFormat="1" applyFont="1" applyFill="1" applyBorder="1"/>
    <xf numFmtId="178" fontId="5" fillId="0" borderId="11" xfId="18" applyNumberFormat="1" applyFont="1" applyFill="1" applyBorder="1"/>
    <xf numFmtId="178" fontId="5" fillId="0" borderId="11" xfId="18" applyNumberFormat="1" applyFont="1" applyFill="1" applyBorder="1" applyAlignment="1">
      <alignment wrapText="1"/>
    </xf>
    <xf numFmtId="178" fontId="78" fillId="32" borderId="0" xfId="18" applyNumberFormat="1" applyFont="1" applyFill="1"/>
    <xf numFmtId="178" fontId="85" fillId="32" borderId="0" xfId="18" applyNumberFormat="1" applyFont="1" applyFill="1"/>
    <xf numFmtId="0" fontId="5" fillId="32" borderId="0" xfId="148" applyFill="1">
      <alignment/>
      <protection/>
    </xf>
    <xf numFmtId="178" fontId="86" fillId="32" borderId="0" xfId="18" applyNumberFormat="1" applyFont="1" applyFill="1"/>
    <xf numFmtId="0" fontId="5" fillId="32" borderId="0" xfId="148" applyFill="1" applyAlignment="1">
      <alignment wrapText="1"/>
      <protection/>
    </xf>
    <xf numFmtId="178" fontId="5" fillId="32" borderId="0" xfId="152" applyNumberFormat="1" applyFont="1" applyFill="1" applyBorder="1"/>
    <xf numFmtId="178" fontId="50" fillId="32" borderId="0" xfId="18" applyNumberFormat="1" applyFont="1" applyFill="1"/>
    <xf numFmtId="178" fontId="78" fillId="32" borderId="0" xfId="18" applyNumberFormat="1" applyFont="1" applyFill="1" applyBorder="1"/>
    <xf numFmtId="178" fontId="85" fillId="32" borderId="0" xfId="18" applyNumberFormat="1" applyFont="1" applyFill="1" applyBorder="1"/>
    <xf numFmtId="178" fontId="78" fillId="0" borderId="0" xfId="18" applyNumberFormat="1" applyFont="1" applyFill="1"/>
    <xf numFmtId="178" fontId="85" fillId="0" borderId="0" xfId="18" applyNumberFormat="1" applyFont="1" applyFill="1"/>
    <xf numFmtId="178" fontId="86" fillId="0" borderId="0" xfId="18" applyNumberFormat="1" applyFont="1" applyFill="1"/>
    <xf numFmtId="0" fontId="5" fillId="0" borderId="0" xfId="148" applyAlignment="1">
      <alignment wrapText="1"/>
      <protection/>
    </xf>
    <xf numFmtId="178" fontId="50" fillId="0" borderId="0" xfId="18" applyNumberFormat="1" applyFont="1" applyFill="1"/>
    <xf numFmtId="178" fontId="78" fillId="0" borderId="0" xfId="18" applyNumberFormat="1" applyFont="1" applyFill="1" applyBorder="1"/>
    <xf numFmtId="178" fontId="85" fillId="0" borderId="0" xfId="18" applyNumberFormat="1" applyFont="1" applyFill="1" applyBorder="1"/>
    <xf numFmtId="178" fontId="5" fillId="32" borderId="11" xfId="152" applyNumberFormat="1" applyFont="1" applyFill="1" applyBorder="1"/>
    <xf numFmtId="178" fontId="5" fillId="0" borderId="0" xfId="152" applyNumberFormat="1" applyFont="1" applyFill="1" applyBorder="1"/>
    <xf numFmtId="0" fontId="27" fillId="56" borderId="0" xfId="148" applyFont="1" applyFill="1" applyAlignment="1">
      <alignment horizontal="center"/>
      <protection/>
    </xf>
    <xf numFmtId="0" fontId="5" fillId="0" borderId="0" xfId="148" applyAlignment="1">
      <alignment horizontal="center" wrapText="1"/>
      <protection/>
    </xf>
    <xf numFmtId="0" fontId="27" fillId="37" borderId="0" xfId="148" applyFont="1" applyFill="1" applyAlignment="1">
      <alignment horizontal="center" wrapText="1"/>
      <protection/>
    </xf>
    <xf numFmtId="178" fontId="52" fillId="0" borderId="0" xfId="18" applyNumberFormat="1" applyFont="1" applyFill="1" applyAlignment="1">
      <alignment horizontal="left" vertical="center"/>
    </xf>
    <xf numFmtId="0" fontId="0" fillId="0" borderId="0" xfId="0" applyNumberFormat="1" applyAlignment="1">
      <alignment horizontal="left"/>
    </xf>
    <xf numFmtId="0" fontId="5" fillId="0" borderId="0" xfId="0" applyNumberFormat="1" applyFont="1" applyAlignment="1">
      <alignment horizontal="left"/>
    </xf>
    <xf numFmtId="174" fontId="52" fillId="0" borderId="0" xfId="0" applyFont="1" applyAlignment="1">
      <alignment vertical="top"/>
    </xf>
    <xf numFmtId="174" fontId="53" fillId="0" borderId="0" xfId="0" applyFont="1"/>
    <xf numFmtId="174" fontId="51" fillId="0" borderId="0" xfId="0" applyFont="1" applyAlignment="1">
      <alignment horizontal="right" vertical="center"/>
    </xf>
    <xf numFmtId="0" fontId="51" fillId="0" borderId="0" xfId="0" applyNumberFormat="1" applyFont="1" applyAlignment="1">
      <alignment horizontal="right"/>
    </xf>
    <xf numFmtId="37" fontId="0" fillId="0" borderId="0" xfId="0" applyNumberFormat="1"/>
    <xf numFmtId="0" fontId="51" fillId="0" borderId="0" xfId="0" applyNumberFormat="1" applyFont="1" applyAlignment="1">
      <alignment horizontal="center"/>
    </xf>
    <xf numFmtId="174" fontId="51" fillId="51" borderId="0" xfId="0" applyFont="1" applyFill="1" applyAlignment="1">
      <alignment vertical="center"/>
    </xf>
    <xf numFmtId="174" fontId="51" fillId="32" borderId="0" xfId="0" applyFont="1" applyFill="1" applyAlignment="1">
      <alignment vertical="center"/>
    </xf>
    <xf numFmtId="174" fontId="53" fillId="0" borderId="25" xfId="0" applyFont="1" applyBorder="1" applyAlignment="1">
      <alignment horizontal="center" vertical="center"/>
    </xf>
    <xf numFmtId="174" fontId="51" fillId="32" borderId="25" xfId="0" applyFont="1" applyFill="1" applyBorder="1" applyAlignment="1">
      <alignment vertical="center"/>
    </xf>
    <xf numFmtId="178" fontId="52" fillId="0" borderId="33" xfId="18" applyNumberFormat="1" applyFont="1" applyBorder="1" applyAlignment="1">
      <alignment horizontal="center" vertical="center"/>
    </xf>
    <xf numFmtId="1" fontId="12" fillId="0" borderId="0" xfId="149" applyNumberFormat="1" applyFont="1" applyFill="1" applyBorder="1" applyAlignment="1">
      <alignment/>
    </xf>
    <xf numFmtId="174" fontId="51" fillId="51" borderId="25" xfId="0" applyFont="1" applyFill="1" applyBorder="1" applyAlignment="1">
      <alignment vertical="center"/>
    </xf>
    <xf numFmtId="0" fontId="31" fillId="0" borderId="25" xfId="153" applyFont="1" applyBorder="1" applyAlignment="1">
      <alignment horizontal="center" wrapText="1"/>
      <protection/>
    </xf>
    <xf numFmtId="0" fontId="31" fillId="0" borderId="0" xfId="153" applyFont="1" applyAlignment="1">
      <alignment horizontal="center" wrapText="1"/>
      <protection/>
    </xf>
    <xf numFmtId="0" fontId="2" fillId="0" borderId="2" xfId="164" applyBorder="1">
      <alignment/>
      <protection/>
    </xf>
    <xf numFmtId="174" fontId="59" fillId="32" borderId="46" xfId="0" applyFont="1" applyFill="1" applyBorder="1" applyAlignment="1" applyProtection="1">
      <alignment horizontal="center" vertical="center" wrapText="1"/>
      <protection locked="0"/>
    </xf>
    <xf numFmtId="174" fontId="59" fillId="32" borderId="0" xfId="0" applyFont="1" applyFill="1" applyProtection="1">
      <protection locked="0"/>
    </xf>
    <xf numFmtId="178" fontId="52" fillId="0" borderId="0" xfId="18" applyNumberFormat="1" applyFont="1" applyFill="1" applyAlignment="1">
      <alignment vertical="center"/>
    </xf>
    <xf numFmtId="178" fontId="54" fillId="0" borderId="0" xfId="18" applyNumberFormat="1" applyFont="1" applyFill="1" applyAlignment="1">
      <alignment horizontal="center" vertical="center"/>
    </xf>
    <xf numFmtId="178" fontId="35" fillId="0" borderId="0" xfId="18" applyNumberFormat="1" applyFont="1"/>
    <xf numFmtId="170" fontId="59" fillId="32" borderId="47" xfId="0" applyNumberFormat="1" applyFont="1" applyFill="1" applyBorder="1" applyAlignment="1" applyProtection="1">
      <alignment horizontal="center"/>
      <protection locked="0"/>
    </xf>
    <xf numFmtId="178" fontId="51" fillId="32" borderId="0" xfId="18" applyNumberFormat="1" applyFont="1" applyFill="1" applyAlignment="1">
      <alignment horizontal="center" vertical="center"/>
    </xf>
    <xf numFmtId="43" fontId="106" fillId="54" borderId="0" xfId="18" applyFont="1" applyFill="1" applyBorder="1" applyAlignment="1">
      <alignment/>
    </xf>
    <xf numFmtId="174" fontId="0" fillId="54" borderId="48" xfId="0" applyFont="1" applyFill="1" applyBorder="1"/>
    <xf numFmtId="10" fontId="1" fillId="0" borderId="0" xfId="15" applyNumberFormat="1" applyFont="1" applyAlignment="1">
      <alignment horizontal="center"/>
    </xf>
    <xf numFmtId="0" fontId="107" fillId="0" borderId="0" xfId="145" applyFont="1" applyAlignment="1">
      <alignment horizontal="center"/>
      <protection/>
    </xf>
    <xf numFmtId="0" fontId="63" fillId="0" borderId="0" xfId="145" applyFont="1">
      <alignment/>
      <protection/>
    </xf>
    <xf numFmtId="0" fontId="103" fillId="0" borderId="45" xfId="164" applyFont="1" applyBorder="1" applyAlignment="1">
      <alignment horizontal="center"/>
      <protection/>
    </xf>
    <xf numFmtId="0" fontId="2" fillId="0" borderId="46" xfId="164" applyBorder="1">
      <alignment/>
      <protection/>
    </xf>
    <xf numFmtId="37" fontId="2" fillId="32" borderId="49" xfId="164" applyNumberFormat="1" applyFill="1" applyBorder="1">
      <alignment/>
      <protection/>
    </xf>
    <xf numFmtId="185" fontId="7" fillId="0" borderId="33" xfId="15" applyNumberFormat="1" applyFont="1" applyFill="1" applyBorder="1" applyAlignment="1">
      <alignment/>
    </xf>
    <xf numFmtId="49" fontId="5" fillId="32" borderId="0" xfId="98" applyNumberFormat="1" applyFont="1" applyFill="1">
      <alignment/>
      <protection/>
    </xf>
    <xf numFmtId="174" fontId="54" fillId="0" borderId="0" xfId="0" applyFont="1" applyAlignment="1">
      <alignment horizontal="left" vertical="center"/>
    </xf>
    <xf numFmtId="174" fontId="53" fillId="0" borderId="0" xfId="0" applyFont="1" applyAlignment="1">
      <alignment horizontal="left" vertical="center"/>
    </xf>
    <xf numFmtId="174" fontId="52" fillId="0" borderId="25" xfId="0" applyFont="1" applyBorder="1" applyAlignment="1">
      <alignment horizontal="center" vertical="center"/>
    </xf>
    <xf numFmtId="0" fontId="108" fillId="0" borderId="45" xfId="164" applyFont="1" applyBorder="1" applyAlignment="1">
      <alignment horizontal="center" wrapText="1"/>
      <protection/>
    </xf>
    <xf numFmtId="174" fontId="110" fillId="0" borderId="0" xfId="0" applyFont="1"/>
    <xf numFmtId="174" fontId="36" fillId="0" borderId="0" xfId="0" applyFont="1"/>
    <xf numFmtId="174" fontId="33" fillId="0" borderId="0" xfId="0" applyFont="1" applyAlignment="1">
      <alignment horizontal="center" wrapText="1"/>
    </xf>
    <xf numFmtId="174" fontId="33" fillId="0" borderId="0" xfId="0" applyFont="1" applyAlignment="1">
      <alignment horizontal="center" vertical="center" wrapText="1"/>
    </xf>
    <xf numFmtId="174" fontId="33" fillId="0" borderId="0" xfId="0" applyFont="1"/>
    <xf numFmtId="174" fontId="33" fillId="0" borderId="11" xfId="0" applyFont="1" applyBorder="1"/>
    <xf numFmtId="174" fontId="32" fillId="57" borderId="0" xfId="0" applyFont="1" applyFill="1"/>
    <xf numFmtId="174" fontId="111" fillId="0" borderId="0" xfId="0" applyFont="1"/>
    <xf numFmtId="170" fontId="32" fillId="57" borderId="0" xfId="0" applyNumberFormat="1" applyFont="1" applyFill="1"/>
    <xf numFmtId="170" fontId="32" fillId="0" borderId="2" xfId="0" applyNumberFormat="1" applyFont="1" applyBorder="1"/>
    <xf numFmtId="172" fontId="32" fillId="0" borderId="0" xfId="0" applyNumberFormat="1" applyFont="1" applyAlignment="1">
      <alignment horizontal="center"/>
    </xf>
    <xf numFmtId="170" fontId="32" fillId="0" borderId="0" xfId="0" applyNumberFormat="1" applyFont="1"/>
    <xf numFmtId="170" fontId="33" fillId="0" borderId="27" xfId="0" applyNumberFormat="1" applyFont="1" applyBorder="1"/>
    <xf numFmtId="172" fontId="32" fillId="0" borderId="0" xfId="0" applyNumberFormat="1" applyFont="1"/>
    <xf numFmtId="174" fontId="32" fillId="51" borderId="0" xfId="0" applyFont="1" applyFill="1"/>
    <xf numFmtId="170" fontId="32" fillId="51" borderId="0" xfId="0" applyNumberFormat="1" applyFont="1" applyFill="1"/>
    <xf numFmtId="0" fontId="2" fillId="0" borderId="0" xfId="177">
      <alignment/>
      <protection/>
    </xf>
    <xf numFmtId="0" fontId="2" fillId="0" borderId="0" xfId="177" applyAlignment="1">
      <alignment horizontal="center"/>
      <protection/>
    </xf>
    <xf numFmtId="0" fontId="113" fillId="0" borderId="0" xfId="177" applyFont="1">
      <alignment/>
      <protection/>
    </xf>
    <xf numFmtId="0" fontId="93" fillId="32" borderId="0" xfId="170" applyFont="1" applyFill="1" applyAlignment="1">
      <alignment horizontal="center"/>
      <protection/>
    </xf>
    <xf numFmtId="0" fontId="2" fillId="0" borderId="11" xfId="177" applyBorder="1" applyAlignment="1">
      <alignment horizontal="center"/>
      <protection/>
    </xf>
    <xf numFmtId="37" fontId="2" fillId="0" borderId="0" xfId="177" applyNumberFormat="1">
      <alignment/>
      <protection/>
    </xf>
    <xf numFmtId="0" fontId="93" fillId="0" borderId="0" xfId="170" applyFont="1" applyAlignment="1">
      <alignment horizontal="center"/>
      <protection/>
    </xf>
    <xf numFmtId="0" fontId="5" fillId="0" borderId="0" xfId="170">
      <alignment/>
      <protection/>
    </xf>
    <xf numFmtId="0" fontId="51" fillId="0" borderId="0" xfId="177" applyFont="1" applyAlignment="1">
      <alignment horizontal="center" vertical="center"/>
      <protection/>
    </xf>
    <xf numFmtId="0" fontId="51" fillId="0" borderId="0" xfId="177" applyFont="1" applyAlignment="1">
      <alignment vertical="center"/>
      <protection/>
    </xf>
    <xf numFmtId="0" fontId="32" fillId="0" borderId="0" xfId="177" applyFont="1" applyAlignment="1">
      <alignment horizontal="right" vertical="center"/>
      <protection/>
    </xf>
    <xf numFmtId="0" fontId="53" fillId="0" borderId="0" xfId="177" applyFont="1" applyAlignment="1">
      <alignment horizontal="center" vertical="center"/>
      <protection/>
    </xf>
    <xf numFmtId="0" fontId="32" fillId="0" borderId="0" xfId="177" applyFont="1" applyAlignment="1">
      <alignment horizontal="right"/>
      <protection/>
    </xf>
    <xf numFmtId="0" fontId="55" fillId="0" borderId="0" xfId="177" applyFont="1" applyAlignment="1">
      <alignment horizontal="left" vertical="center"/>
      <protection/>
    </xf>
    <xf numFmtId="0" fontId="2" fillId="0" borderId="11" xfId="177" applyBorder="1">
      <alignment/>
      <protection/>
    </xf>
    <xf numFmtId="0" fontId="114" fillId="0" borderId="0" xfId="177" applyFont="1" applyAlignment="1">
      <alignment horizontal="center" vertical="center"/>
      <protection/>
    </xf>
    <xf numFmtId="49" fontId="114" fillId="0" borderId="0" xfId="177" applyNumberFormat="1" applyFont="1" applyAlignment="1">
      <alignment vertical="center"/>
      <protection/>
    </xf>
    <xf numFmtId="0" fontId="114" fillId="32" borderId="0" xfId="177" applyFont="1" applyFill="1" applyAlignment="1">
      <alignment vertical="center"/>
      <protection/>
    </xf>
    <xf numFmtId="178" fontId="114" fillId="0" borderId="0" xfId="178" applyNumberFormat="1" applyFont="1" applyFill="1" applyAlignment="1">
      <alignment horizontal="center" vertical="center"/>
    </xf>
    <xf numFmtId="178" fontId="52" fillId="51" borderId="0" xfId="178" applyNumberFormat="1" applyFont="1" applyFill="1" applyAlignment="1">
      <alignment horizontal="center" vertical="center"/>
    </xf>
    <xf numFmtId="178" fontId="52" fillId="51" borderId="0" xfId="178" applyNumberFormat="1" applyFont="1" applyFill="1" applyAlignment="1">
      <alignment vertical="center"/>
    </xf>
    <xf numFmtId="178" fontId="52" fillId="0" borderId="0" xfId="178" applyNumberFormat="1" applyFont="1" applyAlignment="1">
      <alignment vertical="center"/>
    </xf>
    <xf numFmtId="0" fontId="114" fillId="0" borderId="0" xfId="177" applyFont="1" applyAlignment="1">
      <alignment vertical="center"/>
      <protection/>
    </xf>
    <xf numFmtId="0" fontId="51" fillId="0" borderId="0" xfId="177" applyFont="1" applyAlignment="1">
      <alignment horizontal="right" vertical="center"/>
      <protection/>
    </xf>
    <xf numFmtId="0" fontId="51" fillId="0" borderId="0" xfId="177" applyFont="1" applyAlignment="1">
      <alignment horizontal="right"/>
      <protection/>
    </xf>
    <xf numFmtId="0" fontId="2" fillId="32" borderId="0" xfId="177" applyFill="1">
      <alignment/>
      <protection/>
    </xf>
    <xf numFmtId="2" fontId="2" fillId="0" borderId="0" xfId="177" applyNumberFormat="1">
      <alignment/>
      <protection/>
    </xf>
    <xf numFmtId="0" fontId="2" fillId="0" borderId="0" xfId="177" applyAlignment="1">
      <alignment horizontal="right"/>
      <protection/>
    </xf>
    <xf numFmtId="174" fontId="77" fillId="0" borderId="0" xfId="0" applyFont="1"/>
    <xf numFmtId="1" fontId="77" fillId="0" borderId="0" xfId="97" applyNumberFormat="1" applyFont="1" applyAlignment="1">
      <alignment horizontal="center"/>
      <protection/>
    </xf>
    <xf numFmtId="174" fontId="65" fillId="0" borderId="0" xfId="0" applyFont="1" applyAlignment="1">
      <alignment horizontal="center"/>
    </xf>
    <xf numFmtId="1" fontId="65" fillId="32" borderId="0" xfId="0" applyNumberFormat="1" applyFont="1" applyFill="1" applyAlignment="1">
      <alignment horizontal="center"/>
    </xf>
    <xf numFmtId="174" fontId="65" fillId="0" borderId="0" xfId="0" applyFont="1" applyAlignment="1">
      <alignment horizontal="left"/>
    </xf>
    <xf numFmtId="0" fontId="32" fillId="0" borderId="0" xfId="0" applyNumberFormat="1" applyFont="1" applyAlignment="1">
      <alignment vertical="top" wrapText="1"/>
    </xf>
    <xf numFmtId="174" fontId="32" fillId="0" borderId="0" xfId="0" applyFont="1" quotePrefix="1"/>
    <xf numFmtId="15" fontId="32" fillId="32" borderId="0" xfId="0" applyNumberFormat="1" applyFont="1" applyFill="1" applyAlignment="1" quotePrefix="1">
      <alignment horizontal="center" vertical="top" wrapText="1"/>
    </xf>
    <xf numFmtId="174" fontId="36" fillId="0" borderId="0" xfId="0" applyFont="1" applyAlignment="1">
      <alignment horizontal="center"/>
    </xf>
    <xf numFmtId="0" fontId="5" fillId="0" borderId="0" xfId="145" applyFont="1" applyAlignment="1">
      <alignment horizontal="left"/>
      <protection/>
    </xf>
    <xf numFmtId="0" fontId="5" fillId="0" borderId="0" xfId="145" applyFont="1">
      <alignment/>
      <protection/>
    </xf>
    <xf numFmtId="10" fontId="5" fillId="0" borderId="0" xfId="15" applyNumberFormat="1" applyFont="1" applyAlignment="1">
      <alignment horizontal="center"/>
    </xf>
    <xf numFmtId="10" fontId="5" fillId="0" borderId="0" xfId="15" applyNumberFormat="1" applyFont="1" applyFill="1" applyAlignment="1">
      <alignment horizontal="center"/>
    </xf>
    <xf numFmtId="0" fontId="52" fillId="32" borderId="0" xfId="0" applyNumberFormat="1" applyFont="1" applyFill="1" applyAlignment="1">
      <alignment vertical="center"/>
    </xf>
    <xf numFmtId="174" fontId="52" fillId="32" borderId="0" xfId="0" applyFont="1" applyFill="1" applyAlignment="1">
      <alignment vertical="center"/>
    </xf>
    <xf numFmtId="0" fontId="32" fillId="32" borderId="0" xfId="145" applyFont="1" applyFill="1">
      <alignment/>
      <protection/>
    </xf>
    <xf numFmtId="174" fontId="65" fillId="32" borderId="0" xfId="0" applyFont="1" applyFill="1" applyAlignment="1">
      <alignment horizontal="center" vertical="center"/>
    </xf>
    <xf numFmtId="178" fontId="52" fillId="32" borderId="0" xfId="18" applyNumberFormat="1" applyFont="1" applyFill="1" applyBorder="1" applyAlignment="1">
      <alignment horizontal="center" vertical="center"/>
    </xf>
    <xf numFmtId="178" fontId="52" fillId="32" borderId="0" xfId="167" applyNumberFormat="1" applyFont="1" applyFill="1" applyBorder="1" applyAlignment="1">
      <alignment horizontal="center" vertical="center"/>
    </xf>
    <xf numFmtId="175" fontId="12" fillId="32" borderId="0" xfId="16" applyNumberFormat="1" applyFont="1" applyFill="1" applyBorder="1" applyAlignment="1">
      <alignment/>
    </xf>
    <xf numFmtId="175" fontId="32" fillId="32" borderId="0" xfId="16" applyNumberFormat="1" applyFont="1" applyFill="1" applyBorder="1" applyAlignment="1">
      <alignment/>
    </xf>
    <xf numFmtId="174" fontId="32" fillId="0" borderId="0" xfId="0" applyFont="1"/>
    <xf numFmtId="0" fontId="32" fillId="0" borderId="0" xfId="0" applyNumberFormat="1" applyFont="1"/>
    <xf numFmtId="0" fontId="32" fillId="0" borderId="0" xfId="0" applyNumberFormat="1" applyFont="1" applyAlignment="1">
      <alignment horizontal="left"/>
    </xf>
    <xf numFmtId="0" fontId="32" fillId="0" borderId="0" xfId="0" applyNumberFormat="1" applyFont="1" applyAlignment="1">
      <alignment horizontal="right"/>
    </xf>
    <xf numFmtId="0" fontId="32" fillId="32" borderId="0" xfId="0" applyNumberFormat="1" applyFont="1" applyFill="1"/>
    <xf numFmtId="174" fontId="32" fillId="32" borderId="0" xfId="0" applyFont="1" applyFill="1"/>
    <xf numFmtId="3" fontId="32" fillId="0" borderId="0" xfId="0" applyNumberFormat="1" applyFont="1"/>
    <xf numFmtId="0" fontId="32" fillId="0" borderId="0" xfId="0" applyNumberFormat="1" applyFont="1" applyAlignment="1">
      <alignment horizontal="center"/>
    </xf>
    <xf numFmtId="49" fontId="32" fillId="0" borderId="0" xfId="0" applyNumberFormat="1" applyFont="1"/>
    <xf numFmtId="49" fontId="32" fillId="0" borderId="0" xfId="0" applyNumberFormat="1" applyFont="1" applyAlignment="1">
      <alignment horizontal="left"/>
    </xf>
    <xf numFmtId="49" fontId="32" fillId="0" borderId="0" xfId="0" applyNumberFormat="1" applyFont="1" applyAlignment="1">
      <alignment horizontal="center"/>
    </xf>
    <xf numFmtId="0" fontId="32" fillId="0" borderId="6" xfId="0" applyNumberFormat="1" applyFont="1" applyBorder="1" applyAlignment="1">
      <alignment horizontal="center"/>
    </xf>
    <xf numFmtId="42" fontId="32" fillId="0" borderId="0" xfId="0" applyNumberFormat="1" applyFont="1"/>
    <xf numFmtId="179" fontId="32" fillId="0" borderId="0" xfId="15" applyNumberFormat="1" applyFont="1" applyAlignment="1">
      <alignment/>
    </xf>
    <xf numFmtId="0" fontId="32" fillId="0" borderId="6" xfId="0" applyNumberFormat="1" applyFont="1" applyBorder="1" applyAlignment="1">
      <alignment horizontal="centerContinuous"/>
    </xf>
    <xf numFmtId="178" fontId="32" fillId="0" borderId="0" xfId="0" applyNumberFormat="1" applyFont="1" applyAlignment="1">
      <alignment horizontal="center"/>
    </xf>
    <xf numFmtId="166" fontId="32" fillId="0" borderId="0" xfId="0" applyNumberFormat="1" applyFont="1"/>
    <xf numFmtId="178" fontId="32" fillId="0" borderId="0" xfId="18" applyNumberFormat="1" applyFont="1" applyFill="1"/>
    <xf numFmtId="178" fontId="32" fillId="0" borderId="0" xfId="18" applyNumberFormat="1" applyFont="1" applyFill="1" applyAlignment="1">
      <alignment/>
    </xf>
    <xf numFmtId="178" fontId="32" fillId="32" borderId="0" xfId="18" applyNumberFormat="1" applyFont="1" applyFill="1" applyAlignment="1">
      <alignment/>
    </xf>
    <xf numFmtId="178" fontId="115" fillId="0" borderId="0" xfId="18" applyNumberFormat="1" applyFont="1" applyFill="1" applyAlignment="1">
      <alignment/>
    </xf>
    <xf numFmtId="178" fontId="115" fillId="0" borderId="0" xfId="18" applyNumberFormat="1" applyFont="1" applyFill="1"/>
    <xf numFmtId="178" fontId="32" fillId="0" borderId="0" xfId="16" applyNumberFormat="1" applyFont="1" applyFill="1" applyAlignment="1">
      <alignment horizontal="right"/>
    </xf>
    <xf numFmtId="178" fontId="32" fillId="0" borderId="0" xfId="16" applyNumberFormat="1" applyFont="1" applyFill="1" applyBorder="1"/>
    <xf numFmtId="0" fontId="32" fillId="0" borderId="0" xfId="0" applyNumberFormat="1" applyFont="1" applyAlignment="1">
      <alignment wrapText="1"/>
    </xf>
    <xf numFmtId="175" fontId="32" fillId="0" borderId="0" xfId="16" applyNumberFormat="1" applyFont="1" applyFill="1" applyAlignment="1">
      <alignment horizontal="right"/>
    </xf>
    <xf numFmtId="178" fontId="32" fillId="0" borderId="0" xfId="18" applyNumberFormat="1" applyFont="1" applyFill="1" applyBorder="1"/>
    <xf numFmtId="3" fontId="32" fillId="0" borderId="0" xfId="0" applyNumberFormat="1" applyFont="1" applyAlignment="1">
      <alignment horizontal="fill"/>
    </xf>
    <xf numFmtId="42" fontId="32" fillId="0" borderId="0" xfId="0" applyNumberFormat="1" applyFont="1" applyAlignment="1">
      <alignment horizontal="right"/>
    </xf>
    <xf numFmtId="3" fontId="32" fillId="0" borderId="6" xfId="0" applyNumberFormat="1" applyFont="1" applyBorder="1" applyAlignment="1">
      <alignment horizontal="center"/>
    </xf>
    <xf numFmtId="43" fontId="32" fillId="0" borderId="0" xfId="18" applyFont="1" applyAlignment="1">
      <alignment/>
    </xf>
    <xf numFmtId="44" fontId="32" fillId="0" borderId="0" xfId="16" applyFont="1" applyFill="1" applyBorder="1"/>
    <xf numFmtId="44" fontId="32" fillId="0" borderId="0" xfId="16" applyFont="1"/>
    <xf numFmtId="168" fontId="32" fillId="0" borderId="0" xfId="0" applyNumberFormat="1" applyFont="1"/>
    <xf numFmtId="168" fontId="32" fillId="0" borderId="0" xfId="0" applyNumberFormat="1" applyFont="1" applyAlignment="1">
      <alignment horizontal="center"/>
    </xf>
    <xf numFmtId="171" fontId="32" fillId="0" borderId="0" xfId="15" applyNumberFormat="1" applyFont="1"/>
    <xf numFmtId="171" fontId="32" fillId="0" borderId="0" xfId="15" applyNumberFormat="1" applyFont="1" applyAlignment="1">
      <alignment horizontal="left"/>
    </xf>
    <xf numFmtId="174" fontId="32" fillId="0" borderId="0" xfId="0" applyFont="1" applyAlignment="1">
      <alignment horizontal="center"/>
    </xf>
    <xf numFmtId="168" fontId="32" fillId="0" borderId="6" xfId="0" applyNumberFormat="1" applyFont="1" applyBorder="1" applyAlignment="1">
      <alignment horizontal="center"/>
    </xf>
    <xf numFmtId="174" fontId="32" fillId="0" borderId="6" xfId="0" applyFont="1" applyBorder="1" applyAlignment="1">
      <alignment horizontal="center"/>
    </xf>
    <xf numFmtId="43" fontId="32" fillId="0" borderId="0" xfId="18" applyFont="1" applyBorder="1" applyAlignment="1">
      <alignment horizontal="right"/>
    </xf>
    <xf numFmtId="43" fontId="32" fillId="0" borderId="0" xfId="18" applyFont="1" applyFill="1" applyBorder="1"/>
    <xf numFmtId="43" fontId="32" fillId="0" borderId="0" xfId="18" applyFont="1" applyBorder="1"/>
    <xf numFmtId="43" fontId="32" fillId="0" borderId="0" xfId="18" applyFont="1"/>
    <xf numFmtId="43" fontId="32" fillId="0" borderId="0" xfId="18" applyFont="1" applyFill="1"/>
    <xf numFmtId="43" fontId="32" fillId="0" borderId="0" xfId="18" applyFont="1" applyFill="1" applyAlignment="1">
      <alignment/>
    </xf>
    <xf numFmtId="173" fontId="32" fillId="0" borderId="0" xfId="0" applyNumberFormat="1" applyFont="1"/>
    <xf numFmtId="43" fontId="32" fillId="0" borderId="0" xfId="18" applyFont="1" applyFill="1" applyBorder="1" applyAlignment="1">
      <alignment/>
    </xf>
    <xf numFmtId="43" fontId="32" fillId="0" borderId="0" xfId="18" applyFont="1" applyBorder="1" applyAlignment="1">
      <alignment/>
    </xf>
    <xf numFmtId="44" fontId="32" fillId="0" borderId="0" xfId="16" applyFont="1" applyFill="1" applyBorder="1" applyAlignment="1">
      <alignment/>
    </xf>
    <xf numFmtId="174" fontId="33" fillId="0" borderId="0" xfId="0" applyFont="1" applyAlignment="1">
      <alignment horizontal="center"/>
    </xf>
    <xf numFmtId="0" fontId="33" fillId="0" borderId="0" xfId="0" applyNumberFormat="1" applyFont="1" applyAlignment="1">
      <alignment horizontal="center"/>
    </xf>
    <xf numFmtId="0" fontId="33" fillId="0" borderId="0" xfId="0" applyNumberFormat="1" applyFont="1" applyAlignment="1">
      <alignment horizontal="right"/>
    </xf>
    <xf numFmtId="3" fontId="33" fillId="0" borderId="0" xfId="0" applyNumberFormat="1" applyFont="1"/>
    <xf numFmtId="3" fontId="32" fillId="0" borderId="0" xfId="0" applyNumberFormat="1" applyFont="1" applyAlignment="1">
      <alignment horizontal="right"/>
    </xf>
    <xf numFmtId="0" fontId="33" fillId="0" borderId="0" xfId="0" applyNumberFormat="1" applyFont="1"/>
    <xf numFmtId="165" fontId="32" fillId="0" borderId="0" xfId="0" applyNumberFormat="1" applyFont="1"/>
    <xf numFmtId="178" fontId="32" fillId="0" borderId="0" xfId="18" applyNumberFormat="1" applyFont="1" applyAlignment="1">
      <alignment/>
    </xf>
    <xf numFmtId="178" fontId="32" fillId="0" borderId="6" xfId="18" applyNumberFormat="1" applyFont="1" applyFill="1" applyBorder="1" applyAlignment="1">
      <alignment/>
    </xf>
    <xf numFmtId="178" fontId="32" fillId="0" borderId="6" xfId="18" applyNumberFormat="1" applyFont="1" applyBorder="1" applyAlignment="1">
      <alignment/>
    </xf>
    <xf numFmtId="164" fontId="32" fillId="0" borderId="0" xfId="0" applyNumberFormat="1" applyFont="1" applyAlignment="1">
      <alignment horizontal="center"/>
    </xf>
    <xf numFmtId="43" fontId="32" fillId="0" borderId="0" xfId="18" applyFont="1" applyFill="1" applyBorder="1" applyAlignment="1">
      <alignment horizontal="center"/>
    </xf>
    <xf numFmtId="0" fontId="32" fillId="0" borderId="0" xfId="0" applyNumberFormat="1" applyFont="1" applyAlignment="1">
      <alignment horizontal="fill"/>
    </xf>
    <xf numFmtId="43" fontId="32" fillId="0" borderId="0" xfId="18" applyFont="1" applyAlignment="1">
      <alignment horizontal="center"/>
    </xf>
    <xf numFmtId="165" fontId="116" fillId="0" borderId="0" xfId="0" applyNumberFormat="1" applyFont="1" applyAlignment="1">
      <alignment horizontal="right"/>
    </xf>
    <xf numFmtId="164" fontId="32" fillId="0" borderId="0" xfId="0" applyNumberFormat="1" applyFont="1" applyAlignment="1">
      <alignment horizontal="left"/>
    </xf>
    <xf numFmtId="178" fontId="32" fillId="0" borderId="0" xfId="18" applyNumberFormat="1" applyFont="1" applyFill="1" applyBorder="1" applyAlignment="1">
      <alignment/>
    </xf>
    <xf numFmtId="178" fontId="32" fillId="0" borderId="0" xfId="18" applyNumberFormat="1" applyFont="1" applyBorder="1" applyAlignment="1">
      <alignment/>
    </xf>
    <xf numFmtId="37" fontId="32" fillId="0" borderId="0" xfId="0" applyNumberFormat="1" applyFont="1"/>
    <xf numFmtId="178" fontId="32" fillId="32" borderId="0" xfId="18" applyNumberFormat="1" applyFont="1" applyFill="1" applyBorder="1" applyAlignment="1">
      <alignment/>
    </xf>
    <xf numFmtId="3" fontId="32" fillId="0" borderId="0" xfId="0" applyNumberFormat="1" applyFont="1" applyAlignment="1">
      <alignment horizontal="center"/>
    </xf>
    <xf numFmtId="178" fontId="32" fillId="0" borderId="48" xfId="18" applyNumberFormat="1" applyFont="1" applyBorder="1" applyAlignment="1">
      <alignment/>
    </xf>
    <xf numFmtId="0" fontId="32" fillId="0" borderId="0" xfId="0" applyNumberFormat="1" applyFont="1" applyProtection="1">
      <protection locked="0"/>
    </xf>
    <xf numFmtId="172" fontId="32" fillId="0" borderId="0" xfId="0" applyNumberFormat="1" applyFont="1" applyAlignment="1">
      <alignment horizontal="left"/>
    </xf>
    <xf numFmtId="0" fontId="32" fillId="0" borderId="0" xfId="151" applyFont="1">
      <alignment/>
    </xf>
    <xf numFmtId="178" fontId="32" fillId="0" borderId="6" xfId="18" applyNumberFormat="1" applyFont="1" applyFill="1" applyBorder="1" applyAlignment="1">
      <alignment/>
    </xf>
    <xf numFmtId="178" fontId="32" fillId="0" borderId="6" xfId="18" applyNumberFormat="1" applyFont="1" applyBorder="1" applyAlignment="1">
      <alignment/>
    </xf>
    <xf numFmtId="3" fontId="32" fillId="0" borderId="0" xfId="0" applyNumberFormat="1" applyFont="1" applyAlignment="1">
      <alignment horizontal="left"/>
    </xf>
    <xf numFmtId="166" fontId="116" fillId="0" borderId="0" xfId="0" applyNumberFormat="1" applyFont="1" applyAlignment="1">
      <alignment horizontal="right"/>
    </xf>
    <xf numFmtId="166" fontId="32" fillId="0" borderId="0" xfId="0" applyNumberFormat="1" applyFont="1" applyAlignment="1">
      <alignment horizontal="center"/>
    </xf>
    <xf numFmtId="10" fontId="32" fillId="0" borderId="0" xfId="15" applyNumberFormat="1" applyFont="1" applyAlignment="1">
      <alignment/>
    </xf>
    <xf numFmtId="183" fontId="32" fillId="0" borderId="0" xfId="18" applyNumberFormat="1" applyFont="1" applyFill="1" applyAlignment="1">
      <alignment horizontal="right"/>
    </xf>
    <xf numFmtId="10" fontId="32" fillId="0" borderId="0" xfId="0" applyNumberFormat="1" applyFont="1" applyAlignment="1">
      <alignment horizontal="left"/>
    </xf>
    <xf numFmtId="10" fontId="32" fillId="0" borderId="0" xfId="15" applyNumberFormat="1" applyFont="1" applyAlignment="1">
      <alignment horizontal="left"/>
    </xf>
    <xf numFmtId="176" fontId="32" fillId="0" borderId="0" xfId="0" applyNumberFormat="1" applyFont="1"/>
    <xf numFmtId="181" fontId="32" fillId="0" borderId="0" xfId="0" applyNumberFormat="1" applyFont="1"/>
    <xf numFmtId="178" fontId="32" fillId="0" borderId="0" xfId="18" applyNumberFormat="1" applyFont="1" applyFill="1" applyAlignment="1">
      <alignment horizontal="right"/>
    </xf>
    <xf numFmtId="167" fontId="32" fillId="0" borderId="0" xfId="0" applyNumberFormat="1" applyFont="1"/>
    <xf numFmtId="164" fontId="32" fillId="0" borderId="0" xfId="0" applyNumberFormat="1" applyFont="1" applyAlignment="1">
      <alignment horizontal="left" wrapText="1"/>
    </xf>
    <xf numFmtId="164" fontId="117" fillId="0" borderId="0" xfId="0" applyNumberFormat="1" applyFont="1" applyAlignment="1">
      <alignment horizontal="left"/>
    </xf>
    <xf numFmtId="178" fontId="32" fillId="0" borderId="11" xfId="18" applyNumberFormat="1" applyFont="1" applyFill="1" applyBorder="1" applyAlignment="1">
      <alignment/>
    </xf>
    <xf numFmtId="178" fontId="32" fillId="0" borderId="50" xfId="18" applyNumberFormat="1" applyFont="1" applyFill="1" applyBorder="1" applyAlignment="1">
      <alignment/>
    </xf>
    <xf numFmtId="0" fontId="32" fillId="0" borderId="6" xfId="0" applyNumberFormat="1" applyFont="1" applyBorder="1"/>
    <xf numFmtId="178" fontId="32" fillId="32" borderId="6" xfId="18" applyNumberFormat="1" applyFont="1" applyFill="1" applyBorder="1" applyAlignment="1">
      <alignment/>
    </xf>
    <xf numFmtId="165" fontId="32" fillId="0" borderId="0" xfId="0" applyNumberFormat="1" applyFont="1" applyAlignment="1">
      <alignment horizontal="right"/>
    </xf>
    <xf numFmtId="3" fontId="32" fillId="0" borderId="6" xfId="0" applyNumberFormat="1" applyFont="1" applyBorder="1"/>
    <xf numFmtId="4" fontId="32" fillId="0" borderId="0" xfId="0" applyNumberFormat="1" applyFont="1"/>
    <xf numFmtId="3" fontId="32" fillId="0" borderId="0" xfId="0" applyNumberFormat="1" applyFont="1" quotePrefix="1"/>
    <xf numFmtId="3" fontId="33" fillId="0" borderId="0" xfId="0" applyNumberFormat="1" applyFont="1" applyAlignment="1">
      <alignment horizontal="center"/>
    </xf>
    <xf numFmtId="43" fontId="32" fillId="32" borderId="0" xfId="18" applyFont="1" applyFill="1" applyAlignment="1">
      <alignment/>
    </xf>
    <xf numFmtId="3" fontId="118" fillId="0" borderId="0" xfId="0" applyNumberFormat="1" applyFont="1"/>
    <xf numFmtId="174" fontId="118" fillId="0" borderId="0" xfId="0" applyFont="1"/>
    <xf numFmtId="174" fontId="34" fillId="0" borderId="0" xfId="0" applyFont="1"/>
    <xf numFmtId="43" fontId="32" fillId="32" borderId="6" xfId="18" applyFont="1" applyFill="1" applyBorder="1" applyAlignment="1">
      <alignment/>
    </xf>
    <xf numFmtId="3" fontId="34" fillId="0" borderId="0" xfId="0" applyNumberFormat="1" applyFont="1"/>
    <xf numFmtId="174" fontId="35" fillId="0" borderId="0" xfId="0" applyFont="1"/>
    <xf numFmtId="3" fontId="35" fillId="0" borderId="0" xfId="0" applyNumberFormat="1" applyFont="1"/>
    <xf numFmtId="0" fontId="35" fillId="0" borderId="0" xfId="0" applyNumberFormat="1" applyFont="1"/>
    <xf numFmtId="174" fontId="119" fillId="0" borderId="0" xfId="0" applyFont="1"/>
    <xf numFmtId="169" fontId="32" fillId="0" borderId="0" xfId="0" applyNumberFormat="1" applyFont="1"/>
    <xf numFmtId="183" fontId="32" fillId="32" borderId="0" xfId="18" applyNumberFormat="1" applyFont="1" applyFill="1" applyAlignment="1">
      <alignment/>
    </xf>
    <xf numFmtId="169" fontId="32" fillId="0" borderId="6" xfId="0" applyNumberFormat="1" applyFont="1" applyBorder="1"/>
    <xf numFmtId="3" fontId="116" fillId="0" borderId="0" xfId="0" applyNumberFormat="1" applyFont="1"/>
    <xf numFmtId="174" fontId="32" fillId="0" borderId="0" xfId="0" applyFont="1" applyProtection="1">
      <protection/>
    </xf>
    <xf numFmtId="178" fontId="32" fillId="32" borderId="0" xfId="18" applyNumberFormat="1" applyFont="1" applyFill="1" applyBorder="1" applyProtection="1">
      <protection locked="0"/>
    </xf>
    <xf numFmtId="38" fontId="32" fillId="0" borderId="0" xfId="0" applyNumberFormat="1" applyFont="1" applyProtection="1">
      <protection/>
    </xf>
    <xf numFmtId="174" fontId="32" fillId="0" borderId="6" xfId="0" applyFont="1" applyBorder="1"/>
    <xf numFmtId="178" fontId="32" fillId="32" borderId="6" xfId="18" applyNumberFormat="1" applyFont="1" applyFill="1" applyBorder="1" applyProtection="1">
      <protection locked="0"/>
    </xf>
    <xf numFmtId="38" fontId="32" fillId="0" borderId="0" xfId="0" applyNumberFormat="1" applyFont="1"/>
    <xf numFmtId="178" fontId="32" fillId="0" borderId="0" xfId="18" applyNumberFormat="1" applyFont="1" applyFill="1" applyBorder="1" applyProtection="1">
      <protection/>
    </xf>
    <xf numFmtId="1" fontId="32" fillId="0" borderId="0" xfId="0" applyNumberFormat="1" applyFont="1" applyAlignment="1" applyProtection="1">
      <alignment horizontal="right"/>
      <protection/>
    </xf>
    <xf numFmtId="1" fontId="32" fillId="0" borderId="0" xfId="0" applyNumberFormat="1" applyFont="1" applyProtection="1">
      <protection/>
    </xf>
    <xf numFmtId="178" fontId="32" fillId="0" borderId="0" xfId="18" applyNumberFormat="1" applyFont="1" applyFill="1" applyBorder="1" applyAlignment="1" applyProtection="1">
      <alignment/>
      <protection locked="0"/>
    </xf>
    <xf numFmtId="3" fontId="32" fillId="0" borderId="0" xfId="0" applyNumberFormat="1" applyFont="1" applyProtection="1">
      <protection/>
    </xf>
    <xf numFmtId="170" fontId="32" fillId="0" borderId="0" xfId="0" applyNumberFormat="1" applyFont="1" applyProtection="1">
      <protection locked="0"/>
    </xf>
    <xf numFmtId="3" fontId="32" fillId="0" borderId="0" xfId="0" applyNumberFormat="1" applyFont="1" applyAlignment="1" applyProtection="1">
      <alignment horizontal="right"/>
      <protection locked="0"/>
    </xf>
    <xf numFmtId="170" fontId="32" fillId="0" borderId="0" xfId="0" applyNumberFormat="1" applyFont="1" applyProtection="1">
      <protection/>
    </xf>
    <xf numFmtId="170" fontId="32" fillId="0" borderId="0" xfId="0" applyNumberFormat="1" applyFont="1"/>
    <xf numFmtId="0" fontId="32" fillId="0" borderId="0" xfId="0" applyNumberFormat="1" applyFont="1" applyAlignment="1">
      <alignment horizontal="left" indent="8"/>
    </xf>
    <xf numFmtId="0" fontId="32" fillId="0" borderId="0" xfId="0" applyNumberFormat="1" applyFont="1" applyAlignment="1">
      <alignment horizontal="center" vertical="top" wrapText="1"/>
    </xf>
    <xf numFmtId="0" fontId="32" fillId="0" borderId="0" xfId="0" applyNumberFormat="1" applyFont="1" applyAlignment="1">
      <alignment horizontal="left" vertical="top" wrapText="1" indent="8"/>
    </xf>
    <xf numFmtId="0" fontId="32" fillId="0" borderId="0" xfId="0" applyNumberFormat="1" applyFont="1" applyAlignment="1">
      <alignment vertical="top" wrapText="1"/>
    </xf>
    <xf numFmtId="10" fontId="32" fillId="32" borderId="0" xfId="18" applyNumberFormat="1" applyFont="1" applyFill="1" applyAlignment="1">
      <alignment vertical="top" wrapText="1"/>
    </xf>
    <xf numFmtId="43" fontId="32" fillId="32" borderId="0" xfId="18" applyFont="1" applyFill="1" applyAlignment="1">
      <alignment vertical="top" wrapText="1"/>
    </xf>
    <xf numFmtId="174" fontId="32" fillId="0" borderId="0" xfId="0" applyFont="1" applyAlignment="1">
      <alignment horizontal="center" vertical="top" wrapText="1"/>
    </xf>
    <xf numFmtId="174" fontId="120" fillId="0" borderId="0" xfId="0" applyFont="1"/>
    <xf numFmtId="174" fontId="32" fillId="0" borderId="0" xfId="0" applyFont="1" applyAlignment="1">
      <alignment wrapText="1"/>
    </xf>
    <xf numFmtId="174" fontId="32" fillId="0" borderId="0" xfId="0" applyFont="1" applyAlignment="1">
      <alignment horizontal="center" vertical="top"/>
    </xf>
    <xf numFmtId="43" fontId="32" fillId="0" borderId="0" xfId="18" applyFont="1" applyFill="1" applyBorder="1" applyAlignment="1">
      <alignment horizontal="left"/>
    </xf>
    <xf numFmtId="174" fontId="33" fillId="0" borderId="0" xfId="0" applyFont="1"/>
    <xf numFmtId="0" fontId="32" fillId="0" borderId="0" xfId="0" applyNumberFormat="1" applyFont="1" applyAlignment="1">
      <alignment horizontal="left" indent="1"/>
    </xf>
    <xf numFmtId="0" fontId="32" fillId="32" borderId="0" xfId="0" applyNumberFormat="1" applyFont="1" applyFill="1" applyAlignment="1">
      <alignment horizontal="right"/>
    </xf>
    <xf numFmtId="170" fontId="52" fillId="0" borderId="0" xfId="0" applyNumberFormat="1" applyFont="1" applyAlignment="1">
      <alignment horizontal="left" vertical="center"/>
    </xf>
    <xf numFmtId="178" fontId="2" fillId="0" borderId="0" xfId="18" applyNumberFormat="1" applyFont="1"/>
    <xf numFmtId="178" fontId="2" fillId="0" borderId="0" xfId="18" applyNumberFormat="1" applyFont="1" applyFill="1"/>
    <xf numFmtId="178" fontId="2" fillId="0" borderId="11" xfId="18" applyNumberFormat="1" applyFont="1" applyBorder="1"/>
    <xf numFmtId="178" fontId="0" fillId="32" borderId="0" xfId="18" applyNumberFormat="1" applyFont="1" applyFill="1" applyBorder="1" applyAlignment="1">
      <alignment/>
    </xf>
    <xf numFmtId="178" fontId="0" fillId="54" borderId="0" xfId="18" applyNumberFormat="1" applyFont="1" applyFill="1" applyBorder="1" applyAlignment="1">
      <alignment/>
    </xf>
    <xf numFmtId="178" fontId="106" fillId="54" borderId="0" xfId="18" applyNumberFormat="1" applyFont="1" applyFill="1" applyBorder="1" applyAlignment="1">
      <alignment/>
    </xf>
    <xf numFmtId="178" fontId="0" fillId="54" borderId="48" xfId="0" applyNumberFormat="1" applyFont="1" applyFill="1" applyBorder="1"/>
    <xf numFmtId="175" fontId="32" fillId="32" borderId="0" xfId="16" applyNumberFormat="1" applyFont="1" applyFill="1" applyAlignment="1">
      <alignment/>
    </xf>
    <xf numFmtId="186" fontId="32" fillId="0" borderId="0" xfId="0" applyNumberFormat="1" applyFont="1"/>
    <xf numFmtId="178" fontId="12" fillId="0" borderId="10" xfId="18" applyNumberFormat="1" applyFont="1" applyFill="1" applyBorder="1" applyAlignment="1">
      <alignment/>
    </xf>
    <xf numFmtId="0" fontId="32" fillId="0" borderId="6" xfId="0" applyNumberFormat="1" applyFont="1" applyBorder="1" applyAlignment="1">
      <alignment horizontal="center"/>
    </xf>
    <xf numFmtId="0" fontId="32" fillId="0" borderId="0" xfId="0" applyNumberFormat="1" applyFont="1" applyAlignment="1">
      <alignment horizontal="center" vertical="top"/>
    </xf>
    <xf numFmtId="0" fontId="51" fillId="0" borderId="0" xfId="0" applyNumberFormat="1" applyFont="1" applyAlignment="1">
      <alignment horizontal="right" vertical="top"/>
    </xf>
    <xf numFmtId="0" fontId="51" fillId="0" borderId="0" xfId="0" applyNumberFormat="1" applyFont="1" applyAlignment="1">
      <alignment horizontal="center" vertical="top"/>
    </xf>
    <xf numFmtId="0" fontId="12" fillId="0" borderId="0" xfId="0" applyNumberFormat="1" applyFont="1" applyAlignment="1">
      <alignment horizontal="center" vertical="top"/>
    </xf>
    <xf numFmtId="0" fontId="51" fillId="0" borderId="0" xfId="0" applyNumberFormat="1" applyFont="1" applyAlignment="1">
      <alignment vertical="top" wrapText="1"/>
    </xf>
    <xf numFmtId="0" fontId="114" fillId="0" borderId="0" xfId="0" applyNumberFormat="1" applyFont="1" applyAlignment="1">
      <alignment horizontal="right" vertical="top"/>
    </xf>
    <xf numFmtId="0" fontId="114" fillId="0" borderId="0" xfId="0" applyNumberFormat="1" applyFont="1" applyAlignment="1">
      <alignment vertical="top" wrapText="1"/>
    </xf>
    <xf numFmtId="178" fontId="12" fillId="32" borderId="2" xfId="18" applyNumberFormat="1" applyFont="1" applyFill="1" applyBorder="1"/>
    <xf numFmtId="43" fontId="0" fillId="54" borderId="48" xfId="0" applyNumberFormat="1" applyFont="1" applyFill="1" applyBorder="1"/>
    <xf numFmtId="0" fontId="5" fillId="0" borderId="24" xfId="153" applyFont="1" applyBorder="1" quotePrefix="1">
      <alignment/>
      <protection/>
    </xf>
    <xf numFmtId="178" fontId="12" fillId="0" borderId="0" xfId="15" applyNumberFormat="1" applyFont="1" applyFill="1" applyBorder="1" applyAlignment="1">
      <alignment/>
    </xf>
    <xf numFmtId="178" fontId="12" fillId="0" borderId="0" xfId="18" applyNumberFormat="1" applyFont="1" applyFill="1" applyBorder="1" applyAlignment="1">
      <alignment horizontal="center"/>
    </xf>
    <xf numFmtId="170" fontId="32" fillId="32" borderId="0" xfId="0" applyNumberFormat="1" applyFont="1" applyFill="1"/>
    <xf numFmtId="170" fontId="32" fillId="32" borderId="11" xfId="0" applyNumberFormat="1" applyFont="1" applyFill="1" applyBorder="1"/>
    <xf numFmtId="170" fontId="51" fillId="32" borderId="0" xfId="0" applyNumberFormat="1" applyFont="1" applyFill="1"/>
    <xf numFmtId="182" fontId="59" fillId="32" borderId="0" xfId="15" applyNumberFormat="1" applyFont="1" applyFill="1" applyProtection="1">
      <protection locked="0"/>
    </xf>
    <xf numFmtId="164" fontId="32" fillId="0" borderId="0" xfId="15" applyNumberFormat="1" applyFont="1" applyAlignment="1">
      <alignment/>
    </xf>
    <xf numFmtId="174" fontId="34" fillId="0" borderId="0" xfId="0" applyFont="1" applyAlignment="1">
      <alignment horizontal="left" wrapText="1"/>
    </xf>
    <xf numFmtId="0" fontId="34" fillId="0" borderId="0" xfId="151" applyFont="1" applyAlignment="1">
      <alignment vertical="top" wrapText="1"/>
    </xf>
    <xf numFmtId="0" fontId="32" fillId="0" borderId="0" xfId="151" applyFont="1">
      <alignment/>
    </xf>
    <xf numFmtId="164" fontId="51" fillId="0" borderId="0" xfId="15" applyNumberFormat="1" applyFont="1" applyFill="1" applyAlignment="1">
      <alignment vertical="center"/>
    </xf>
    <xf numFmtId="175" fontId="137" fillId="32" borderId="0" xfId="154" applyNumberFormat="1" applyFont="1" applyFill="1" applyBorder="1" applyAlignment="1">
      <alignment horizontal="center"/>
    </xf>
    <xf numFmtId="175" fontId="137" fillId="32" borderId="0" xfId="154" applyNumberFormat="1" applyFont="1" applyFill="1" applyBorder="1"/>
    <xf numFmtId="3" fontId="32" fillId="0" borderId="0" xfId="0" applyNumberFormat="1" applyFont="1" applyAlignment="1" quotePrefix="1">
      <alignment horizontal="center"/>
    </xf>
    <xf numFmtId="0" fontId="31" fillId="0" borderId="51" xfId="153" applyFont="1" applyBorder="1">
      <alignment/>
      <protection/>
    </xf>
    <xf numFmtId="3" fontId="32" fillId="0" borderId="0" xfId="0" applyNumberFormat="1" applyFont="1"/>
    <xf numFmtId="1" fontId="114" fillId="0" borderId="0" xfId="0" applyNumberFormat="1" applyFont="1" applyAlignment="1">
      <alignment horizontal="left" vertical="center"/>
    </xf>
    <xf numFmtId="1" fontId="108" fillId="0" borderId="0" xfId="0" applyNumberFormat="1" applyFont="1" applyAlignment="1">
      <alignment horizontal="left" vertical="center"/>
    </xf>
    <xf numFmtId="1" fontId="108" fillId="0" borderId="0" xfId="0" applyNumberFormat="1" applyFont="1" applyAlignment="1">
      <alignment vertical="center"/>
    </xf>
    <xf numFmtId="0" fontId="114" fillId="0" borderId="0" xfId="148" applyFont="1">
      <alignment/>
      <protection/>
    </xf>
    <xf numFmtId="0" fontId="114" fillId="0" borderId="0" xfId="153" applyFont="1">
      <alignment/>
      <protection/>
    </xf>
    <xf numFmtId="0" fontId="114" fillId="32" borderId="0" xfId="0" applyNumberFormat="1" applyFont="1" applyFill="1" applyAlignment="1">
      <alignment horizontal="right"/>
    </xf>
    <xf numFmtId="44" fontId="108" fillId="0" borderId="0" xfId="16" applyFont="1" applyFill="1" applyBorder="1" applyAlignment="1">
      <alignment vertical="center"/>
    </xf>
    <xf numFmtId="0" fontId="108" fillId="0" borderId="0" xfId="148" applyFont="1" applyAlignment="1">
      <alignment vertical="top"/>
      <protection/>
    </xf>
    <xf numFmtId="0" fontId="108" fillId="0" borderId="0" xfId="148" applyFont="1">
      <alignment/>
      <protection/>
    </xf>
    <xf numFmtId="0" fontId="108" fillId="0" borderId="0" xfId="177" applyFont="1" applyAlignment="1">
      <alignment horizontal="center" vertical="center"/>
      <protection/>
    </xf>
    <xf numFmtId="0" fontId="114" fillId="0" borderId="0" xfId="177" applyFont="1" applyAlignment="1">
      <alignment horizontal="right"/>
      <protection/>
    </xf>
    <xf numFmtId="0" fontId="114" fillId="0" borderId="0" xfId="0" applyNumberFormat="1" applyFont="1" applyAlignment="1">
      <alignment horizontal="right"/>
    </xf>
    <xf numFmtId="0" fontId="114" fillId="0" borderId="0" xfId="148" applyFont="1" applyAlignment="1">
      <alignment horizontal="left"/>
      <protection/>
    </xf>
    <xf numFmtId="0" fontId="108" fillId="0" borderId="0" xfId="148" applyFont="1" applyAlignment="1">
      <alignment horizontal="left"/>
      <protection/>
    </xf>
    <xf numFmtId="174" fontId="108" fillId="0" borderId="0" xfId="0" applyFont="1"/>
    <xf numFmtId="174" fontId="114" fillId="0" borderId="0" xfId="0" applyFont="1"/>
    <xf numFmtId="0" fontId="114" fillId="0" borderId="0" xfId="148" applyFont="1" applyAlignment="1">
      <alignment horizontal="center" vertical="center"/>
      <protection/>
    </xf>
    <xf numFmtId="0" fontId="139" fillId="0" borderId="0" xfId="170" applyFont="1" applyAlignment="1">
      <alignment horizontal="center"/>
      <protection/>
    </xf>
    <xf numFmtId="0" fontId="114" fillId="0" borderId="12" xfId="148" applyFont="1" applyBorder="1" applyAlignment="1">
      <alignment horizontal="left" vertical="center" wrapText="1"/>
      <protection/>
    </xf>
    <xf numFmtId="0" fontId="108" fillId="0" borderId="12" xfId="148" applyFont="1" applyBorder="1" applyAlignment="1">
      <alignment horizontal="left" vertical="center" wrapText="1"/>
      <protection/>
    </xf>
    <xf numFmtId="0" fontId="108" fillId="0" borderId="12" xfId="148" applyFont="1" applyBorder="1" applyAlignment="1">
      <alignment horizontal="center" vertical="center" wrapText="1"/>
      <protection/>
    </xf>
    <xf numFmtId="0" fontId="108" fillId="32" borderId="12" xfId="148" applyFont="1" applyFill="1" applyBorder="1" applyAlignment="1">
      <alignment horizontal="center" vertical="center" wrapText="1"/>
      <protection/>
    </xf>
    <xf numFmtId="0" fontId="114" fillId="0" borderId="0" xfId="148" applyFont="1" applyAlignment="1">
      <alignment horizontal="left" vertical="center" wrapText="1"/>
      <protection/>
    </xf>
    <xf numFmtId="0" fontId="108" fillId="0" borderId="0" xfId="148" applyFont="1" applyAlignment="1">
      <alignment horizontal="left" vertical="center" wrapText="1"/>
      <protection/>
    </xf>
    <xf numFmtId="0" fontId="108" fillId="0" borderId="0" xfId="148" applyFont="1" applyAlignment="1">
      <alignment vertical="center" wrapText="1"/>
      <protection/>
    </xf>
    <xf numFmtId="0" fontId="108" fillId="0" borderId="0" xfId="148" applyFont="1" applyAlignment="1">
      <alignment horizontal="center" vertical="center" wrapText="1"/>
      <protection/>
    </xf>
    <xf numFmtId="0" fontId="114" fillId="32" borderId="0" xfId="148" applyFont="1" applyFill="1" applyAlignment="1">
      <alignment horizontal="left" wrapText="1"/>
      <protection/>
    </xf>
    <xf numFmtId="0" fontId="108" fillId="0" borderId="0" xfId="148" applyFont="1" applyAlignment="1">
      <alignment horizontal="left" wrapText="1"/>
      <protection/>
    </xf>
    <xf numFmtId="43" fontId="108" fillId="0" borderId="0" xfId="148" applyNumberFormat="1" applyFont="1" applyAlignment="1">
      <alignment horizontal="center" vertical="center" wrapText="1"/>
      <protection/>
    </xf>
    <xf numFmtId="0" fontId="108" fillId="0" borderId="0" xfId="148" applyFont="1" applyAlignment="1">
      <alignment horizontal="center" wrapText="1"/>
      <protection/>
    </xf>
    <xf numFmtId="0" fontId="114" fillId="32" borderId="0" xfId="148" applyFont="1" applyFill="1" applyAlignment="1">
      <alignment horizontal="left"/>
      <protection/>
    </xf>
    <xf numFmtId="0" fontId="114" fillId="32" borderId="0" xfId="148" applyFont="1" applyFill="1">
      <alignment/>
      <protection/>
    </xf>
    <xf numFmtId="178" fontId="114" fillId="32" borderId="0" xfId="149" applyNumberFormat="1" applyFont="1" applyFill="1" applyAlignment="1">
      <alignment vertical="center"/>
    </xf>
    <xf numFmtId="178" fontId="114" fillId="0" borderId="0" xfId="148" applyNumberFormat="1" applyFont="1">
      <alignment/>
      <protection/>
    </xf>
    <xf numFmtId="0" fontId="114" fillId="32" borderId="0" xfId="148" applyFont="1" applyFill="1" applyAlignment="1">
      <alignment horizontal="center"/>
      <protection/>
    </xf>
    <xf numFmtId="178" fontId="114" fillId="0" borderId="0" xfId="149" applyNumberFormat="1" applyFont="1" applyFill="1" applyAlignment="1">
      <alignment vertical="center"/>
    </xf>
    <xf numFmtId="0" fontId="114" fillId="0" borderId="0" xfId="148" applyFont="1" applyAlignment="1">
      <alignment horizontal="center"/>
      <protection/>
    </xf>
    <xf numFmtId="174" fontId="114" fillId="0" borderId="0" xfId="0" applyFont="1" applyAlignment="1">
      <alignment horizontal="left"/>
    </xf>
    <xf numFmtId="0" fontId="108" fillId="32" borderId="0" xfId="148" applyFont="1" applyFill="1">
      <alignment/>
      <protection/>
    </xf>
    <xf numFmtId="178" fontId="114" fillId="0" borderId="11" xfId="149" applyNumberFormat="1" applyFont="1" applyFill="1" applyBorder="1" applyAlignment="1">
      <alignment vertical="center"/>
    </xf>
    <xf numFmtId="178" fontId="114" fillId="0" borderId="11" xfId="148" applyNumberFormat="1" applyFont="1" applyBorder="1">
      <alignment/>
      <protection/>
    </xf>
    <xf numFmtId="178" fontId="108" fillId="0" borderId="0" xfId="149" applyNumberFormat="1" applyFont="1" applyFill="1" applyBorder="1"/>
    <xf numFmtId="178" fontId="114" fillId="0" borderId="0" xfId="149" applyNumberFormat="1" applyFont="1"/>
    <xf numFmtId="178" fontId="114" fillId="32" borderId="0" xfId="149" applyNumberFormat="1" applyFont="1" applyFill="1" applyBorder="1" applyAlignment="1">
      <alignment vertical="center"/>
    </xf>
    <xf numFmtId="178" fontId="114" fillId="0" borderId="0" xfId="149" applyNumberFormat="1" applyFont="1" applyAlignment="1">
      <alignment horizontal="center"/>
    </xf>
    <xf numFmtId="178" fontId="114" fillId="0" borderId="0" xfId="149" applyNumberFormat="1" applyFont="1" applyFill="1" applyAlignment="1">
      <alignment horizontal="center"/>
    </xf>
    <xf numFmtId="178" fontId="114" fillId="32" borderId="11" xfId="149" applyNumberFormat="1" applyFont="1" applyFill="1" applyBorder="1" applyAlignment="1">
      <alignment vertical="center"/>
    </xf>
    <xf numFmtId="178" fontId="108" fillId="0" borderId="0" xfId="148" applyNumberFormat="1" applyFont="1">
      <alignment/>
      <protection/>
    </xf>
    <xf numFmtId="0" fontId="114" fillId="0" borderId="0" xfId="148" applyFont="1" applyAlignment="1">
      <alignment vertical="center"/>
      <protection/>
    </xf>
    <xf numFmtId="178" fontId="108" fillId="0" borderId="0" xfId="149" applyNumberFormat="1" applyFont="1" applyFill="1" applyBorder="1" applyAlignment="1">
      <alignment vertical="center"/>
    </xf>
    <xf numFmtId="178" fontId="108" fillId="0" borderId="0" xfId="149" applyNumberFormat="1" applyFont="1" applyFill="1"/>
    <xf numFmtId="178" fontId="108" fillId="32" borderId="0" xfId="149" applyNumberFormat="1" applyFont="1" applyFill="1"/>
    <xf numFmtId="178" fontId="114" fillId="32" borderId="0" xfId="149" applyNumberFormat="1" applyFont="1" applyFill="1"/>
    <xf numFmtId="178" fontId="108" fillId="32" borderId="0" xfId="149" applyNumberFormat="1" applyFont="1" applyFill="1" applyBorder="1"/>
    <xf numFmtId="178" fontId="114" fillId="0" borderId="0" xfId="149" applyNumberFormat="1" applyFont="1" applyFill="1"/>
    <xf numFmtId="0" fontId="114" fillId="0" borderId="0" xfId="148" applyFont="1" applyAlignment="1">
      <alignment horizontal="left" vertical="top"/>
      <protection/>
    </xf>
    <xf numFmtId="0" fontId="114" fillId="0" borderId="0" xfId="252" applyFont="1" applyAlignment="1">
      <alignment vertical="top" wrapText="1"/>
      <protection/>
    </xf>
    <xf numFmtId="0" fontId="114" fillId="0" borderId="0" xfId="148" applyFont="1" applyAlignment="1">
      <alignment vertical="top"/>
      <protection/>
    </xf>
    <xf numFmtId="178" fontId="114" fillId="0" borderId="0" xfId="149" applyNumberFormat="1" applyFont="1" applyFill="1" applyAlignment="1">
      <alignment vertical="top"/>
    </xf>
    <xf numFmtId="178" fontId="108" fillId="0" borderId="0" xfId="149" applyNumberFormat="1" applyFont="1" applyFill="1" applyBorder="1" applyAlignment="1">
      <alignment vertical="top"/>
    </xf>
    <xf numFmtId="0" fontId="114" fillId="0" borderId="0" xfId="153" applyFont="1" applyAlignment="1">
      <alignment horizontal="left"/>
      <protection/>
    </xf>
    <xf numFmtId="0" fontId="114" fillId="0" borderId="0" xfId="153" applyFont="1" applyAlignment="1">
      <alignment horizontal="center"/>
      <protection/>
    </xf>
    <xf numFmtId="174" fontId="32" fillId="32" borderId="0" xfId="0" applyFont="1" applyFill="1" applyAlignment="1">
      <alignment horizontal="right" vertical="center"/>
    </xf>
    <xf numFmtId="0" fontId="108" fillId="0" borderId="0" xfId="153" applyFont="1">
      <alignment/>
      <protection/>
    </xf>
    <xf numFmtId="0" fontId="108" fillId="0" borderId="0" xfId="153" applyFont="1" applyAlignment="1">
      <alignment horizontal="right"/>
      <protection/>
    </xf>
    <xf numFmtId="0" fontId="114" fillId="0" borderId="0" xfId="153" applyFont="1" applyAlignment="1">
      <alignment horizontal="center" vertical="center"/>
      <protection/>
    </xf>
    <xf numFmtId="0" fontId="114" fillId="0" borderId="12" xfId="153" applyFont="1" applyBorder="1" applyAlignment="1">
      <alignment horizontal="center" vertical="center" wrapText="1"/>
      <protection/>
    </xf>
    <xf numFmtId="178" fontId="114" fillId="0" borderId="29" xfId="153" applyNumberFormat="1" applyFont="1" applyBorder="1" applyAlignment="1">
      <alignment horizontal="center"/>
      <protection/>
    </xf>
    <xf numFmtId="0" fontId="114" fillId="0" borderId="0" xfId="153" applyFont="1" applyAlignment="1">
      <alignment horizontal="left" wrapText="1"/>
      <protection/>
    </xf>
    <xf numFmtId="0" fontId="114" fillId="0" borderId="0" xfId="153" applyFont="1" applyAlignment="1">
      <alignment horizontal="left" vertical="center"/>
      <protection/>
    </xf>
    <xf numFmtId="0" fontId="114" fillId="32" borderId="52" xfId="153" applyFont="1" applyFill="1" applyBorder="1" applyAlignment="1">
      <alignment horizontal="center" vertical="center" wrapText="1"/>
      <protection/>
    </xf>
    <xf numFmtId="0" fontId="114" fillId="0" borderId="52" xfId="153" applyFont="1" applyBorder="1" applyAlignment="1">
      <alignment horizontal="center" vertical="center" wrapText="1"/>
      <protection/>
    </xf>
    <xf numFmtId="0" fontId="114" fillId="0" borderId="53" xfId="153" applyFont="1" applyBorder="1" applyAlignment="1">
      <alignment horizontal="center" vertical="center" wrapText="1"/>
      <protection/>
    </xf>
    <xf numFmtId="0" fontId="114" fillId="32" borderId="53" xfId="153" applyFont="1" applyFill="1" applyBorder="1" applyAlignment="1">
      <alignment horizontal="center" vertical="center" wrapText="1"/>
      <protection/>
    </xf>
    <xf numFmtId="0" fontId="140" fillId="0" borderId="0" xfId="153" applyFont="1">
      <alignment/>
      <protection/>
    </xf>
    <xf numFmtId="0" fontId="114" fillId="0" borderId="0" xfId="153" applyFont="1" applyAlignment="1">
      <alignment horizontal="center" vertical="center" wrapText="1"/>
      <protection/>
    </xf>
    <xf numFmtId="0" fontId="114" fillId="32" borderId="0" xfId="153" applyFont="1" applyFill="1" applyAlignment="1">
      <alignment horizontal="left"/>
      <protection/>
    </xf>
    <xf numFmtId="0" fontId="108" fillId="0" borderId="0" xfId="252" applyFont="1" applyAlignment="1">
      <alignment horizontal="center" wrapText="1"/>
      <protection/>
    </xf>
    <xf numFmtId="0" fontId="114" fillId="32" borderId="0" xfId="252" applyFont="1" applyFill="1" applyAlignment="1">
      <alignment horizontal="left"/>
      <protection/>
    </xf>
    <xf numFmtId="0" fontId="114" fillId="32" borderId="0" xfId="153" applyFont="1" applyFill="1">
      <alignment/>
      <protection/>
    </xf>
    <xf numFmtId="178" fontId="114" fillId="32" borderId="0" xfId="156" applyNumberFormat="1" applyFont="1" applyFill="1"/>
    <xf numFmtId="178" fontId="114" fillId="0" borderId="0" xfId="156" applyNumberFormat="1" applyFont="1" applyFill="1"/>
    <xf numFmtId="0" fontId="114" fillId="32" borderId="0" xfId="153" applyFont="1" applyFill="1" applyAlignment="1">
      <alignment horizontal="center"/>
      <protection/>
    </xf>
    <xf numFmtId="178" fontId="114" fillId="32" borderId="0" xfId="153" applyNumberFormat="1" applyFont="1" applyFill="1" applyAlignment="1">
      <alignment horizontal="center"/>
      <protection/>
    </xf>
    <xf numFmtId="178" fontId="114" fillId="0" borderId="0" xfId="153" applyNumberFormat="1" applyFont="1">
      <alignment/>
      <protection/>
    </xf>
    <xf numFmtId="178" fontId="114" fillId="0" borderId="28" xfId="156" applyNumberFormat="1" applyFont="1" applyFill="1" applyBorder="1"/>
    <xf numFmtId="178" fontId="114" fillId="0" borderId="0" xfId="156" applyNumberFormat="1" applyFont="1" applyFill="1" applyBorder="1"/>
    <xf numFmtId="178" fontId="114" fillId="32" borderId="0" xfId="156" applyNumberFormat="1" applyFont="1" applyFill="1" applyBorder="1"/>
    <xf numFmtId="0" fontId="108" fillId="32" borderId="0" xfId="153" applyFont="1" applyFill="1" applyAlignment="1">
      <alignment horizontal="left"/>
      <protection/>
    </xf>
    <xf numFmtId="178" fontId="108" fillId="0" borderId="0" xfId="156" applyNumberFormat="1" applyFont="1" applyFill="1" applyBorder="1"/>
    <xf numFmtId="178" fontId="108" fillId="0" borderId="27" xfId="156" applyNumberFormat="1" applyFont="1" applyFill="1" applyBorder="1"/>
    <xf numFmtId="0" fontId="108" fillId="0" borderId="0" xfId="153" applyFont="1" applyAlignment="1">
      <alignment horizontal="center"/>
      <protection/>
    </xf>
    <xf numFmtId="0" fontId="114" fillId="0" borderId="0" xfId="153" applyFont="1" applyAlignment="1">
      <alignment horizontal="right"/>
      <protection/>
    </xf>
    <xf numFmtId="178" fontId="108" fillId="0" borderId="0" xfId="156" applyNumberFormat="1" applyFont="1" applyFill="1"/>
    <xf numFmtId="0" fontId="114" fillId="0" borderId="0" xfId="252" applyFont="1" applyAlignment="1">
      <alignment horizontal="left"/>
      <protection/>
    </xf>
    <xf numFmtId="0" fontId="114" fillId="0" borderId="0" xfId="252" applyFont="1">
      <alignment/>
      <protection/>
    </xf>
    <xf numFmtId="178" fontId="114" fillId="0" borderId="0" xfId="155" applyNumberFormat="1" applyFont="1"/>
    <xf numFmtId="178" fontId="108" fillId="0" borderId="0" xfId="155" applyNumberFormat="1" applyFont="1" applyFill="1" applyBorder="1"/>
    <xf numFmtId="178" fontId="114" fillId="0" borderId="0" xfId="252" applyNumberFormat="1" applyFont="1">
      <alignment/>
      <protection/>
    </xf>
    <xf numFmtId="0" fontId="114" fillId="0" borderId="0" xfId="252" applyFont="1" applyAlignment="1">
      <alignment horizontal="center" vertical="top"/>
      <protection/>
    </xf>
    <xf numFmtId="178" fontId="114" fillId="0" borderId="0" xfId="155" applyNumberFormat="1" applyFont="1" applyFill="1"/>
    <xf numFmtId="0" fontId="114" fillId="0" borderId="0" xfId="252" applyFont="1" applyAlignment="1">
      <alignment vertical="top"/>
      <protection/>
    </xf>
    <xf numFmtId="178" fontId="114" fillId="0" borderId="0" xfId="155" applyNumberFormat="1" applyFont="1" applyFill="1" applyAlignment="1">
      <alignment vertical="top"/>
    </xf>
    <xf numFmtId="178" fontId="108" fillId="0" borderId="0" xfId="155" applyNumberFormat="1" applyFont="1" applyFill="1" applyBorder="1" applyAlignment="1">
      <alignment vertical="top"/>
    </xf>
    <xf numFmtId="0" fontId="5" fillId="0" borderId="0" xfId="177" applyFont="1" applyAlignment="1">
      <alignment horizontal="right"/>
      <protection/>
    </xf>
    <xf numFmtId="0" fontId="5" fillId="0" borderId="0" xfId="0" applyNumberFormat="1" applyFont="1" applyAlignment="1">
      <alignment horizontal="right"/>
    </xf>
    <xf numFmtId="3" fontId="5" fillId="0" borderId="0" xfId="170" applyNumberFormat="1">
      <alignment/>
      <protection/>
    </xf>
    <xf numFmtId="0" fontId="5" fillId="0" borderId="0" xfId="170" applyAlignment="1">
      <alignment horizontal="center"/>
      <protection/>
    </xf>
    <xf numFmtId="3" fontId="5" fillId="0" borderId="0" xfId="170" applyNumberFormat="1" applyAlignment="1">
      <alignment horizontal="left"/>
      <protection/>
    </xf>
    <xf numFmtId="0" fontId="5" fillId="32" borderId="0" xfId="170" applyFill="1">
      <alignment/>
      <protection/>
    </xf>
    <xf numFmtId="37" fontId="5" fillId="32" borderId="0" xfId="170" applyNumberFormat="1" applyFill="1">
      <alignment/>
      <protection/>
    </xf>
    <xf numFmtId="37" fontId="5" fillId="0" borderId="27" xfId="170" applyNumberFormat="1" applyBorder="1">
      <alignment/>
      <protection/>
    </xf>
    <xf numFmtId="37" fontId="5" fillId="0" borderId="0" xfId="170" applyNumberFormat="1">
      <alignment/>
      <protection/>
    </xf>
    <xf numFmtId="0" fontId="5" fillId="32" borderId="0" xfId="253" applyFill="1">
      <alignment/>
      <protection/>
    </xf>
    <xf numFmtId="37" fontId="5" fillId="0" borderId="11" xfId="170" applyNumberFormat="1" applyBorder="1">
      <alignment/>
      <protection/>
    </xf>
    <xf numFmtId="3" fontId="51" fillId="0" borderId="0" xfId="0" applyNumberFormat="1" applyFont="1" applyAlignment="1">
      <alignment horizontal="center" vertical="center"/>
    </xf>
    <xf numFmtId="3" fontId="52" fillId="0" borderId="0" xfId="0" applyNumberFormat="1" applyFont="1" applyAlignment="1">
      <alignment horizontal="left" vertical="center"/>
    </xf>
    <xf numFmtId="170" fontId="51" fillId="0" borderId="0" xfId="0" applyNumberFormat="1" applyFont="1" applyAlignment="1">
      <alignment horizontal="center" vertical="center"/>
    </xf>
    <xf numFmtId="174" fontId="65" fillId="32" borderId="0" xfId="0" applyFont="1" applyFill="1" applyAlignment="1">
      <alignment horizontal="center" vertical="center" wrapText="1"/>
    </xf>
    <xf numFmtId="174" fontId="141" fillId="0" borderId="0" xfId="0" applyFont="1" applyAlignment="1">
      <alignment horizontal="center" vertical="center"/>
    </xf>
    <xf numFmtId="174" fontId="51" fillId="0" borderId="0" xfId="0" applyFont="1" applyAlignment="1">
      <alignment vertical="center" wrapText="1"/>
    </xf>
    <xf numFmtId="174" fontId="142" fillId="0" borderId="0" xfId="0" applyFont="1" applyAlignment="1">
      <alignment vertical="center"/>
    </xf>
    <xf numFmtId="174" fontId="52" fillId="0" borderId="0" xfId="0" applyFont="1" applyAlignment="1">
      <alignment vertical="center" wrapText="1"/>
    </xf>
    <xf numFmtId="0" fontId="2" fillId="0" borderId="0" xfId="164" applyFont="1" applyAlignment="1">
      <alignment horizontal="center"/>
      <protection/>
    </xf>
    <xf numFmtId="37" fontId="103" fillId="0" borderId="54" xfId="164" applyNumberFormat="1" applyFont="1" applyBorder="1" applyAlignment="1">
      <alignment wrapText="1"/>
      <protection/>
    </xf>
    <xf numFmtId="0" fontId="2" fillId="0" borderId="37" xfId="164" applyFont="1" applyBorder="1" applyAlignment="1">
      <alignment horizontal="center" wrapText="1"/>
      <protection/>
    </xf>
    <xf numFmtId="0" fontId="2" fillId="0" borderId="11" xfId="164" applyFont="1" applyBorder="1" applyAlignment="1">
      <alignment horizontal="center" wrapText="1"/>
      <protection/>
    </xf>
    <xf numFmtId="37" fontId="2" fillId="0" borderId="54" xfId="164" applyNumberFormat="1" applyBorder="1">
      <alignment/>
      <protection/>
    </xf>
    <xf numFmtId="178" fontId="2" fillId="0" borderId="0" xfId="164" applyNumberFormat="1">
      <alignment/>
      <protection/>
    </xf>
    <xf numFmtId="37" fontId="2" fillId="0" borderId="0" xfId="164" applyNumberFormat="1" applyFont="1">
      <alignment/>
      <protection/>
    </xf>
    <xf numFmtId="37" fontId="103" fillId="0" borderId="54" xfId="164" applyNumberFormat="1" applyFont="1" applyBorder="1">
      <alignment/>
      <protection/>
    </xf>
    <xf numFmtId="178" fontId="2" fillId="0" borderId="0" xfId="18" applyNumberFormat="1" applyFont="1" applyBorder="1"/>
    <xf numFmtId="43" fontId="2" fillId="0" borderId="0" xfId="164" applyNumberFormat="1">
      <alignment/>
      <protection/>
    </xf>
    <xf numFmtId="37" fontId="2" fillId="0" borderId="39" xfId="164" applyNumberFormat="1" applyFont="1" applyBorder="1">
      <alignment/>
      <protection/>
    </xf>
    <xf numFmtId="43" fontId="2" fillId="0" borderId="0" xfId="18" applyFont="1" applyBorder="1"/>
    <xf numFmtId="37" fontId="103" fillId="0" borderId="47" xfId="164" applyNumberFormat="1" applyFont="1" applyBorder="1">
      <alignment/>
      <protection/>
    </xf>
    <xf numFmtId="37" fontId="103" fillId="0" borderId="55" xfId="164" applyNumberFormat="1" applyFont="1" applyBorder="1">
      <alignment/>
      <protection/>
    </xf>
    <xf numFmtId="37" fontId="2" fillId="0" borderId="6" xfId="164" applyNumberFormat="1" applyBorder="1">
      <alignment/>
      <protection/>
    </xf>
    <xf numFmtId="37" fontId="103" fillId="0" borderId="6" xfId="164" applyNumberFormat="1" applyFont="1" applyBorder="1">
      <alignment/>
      <protection/>
    </xf>
    <xf numFmtId="37" fontId="2" fillId="0" borderId="56" xfId="164" applyNumberFormat="1" applyBorder="1">
      <alignment/>
      <protection/>
    </xf>
    <xf numFmtId="178" fontId="2" fillId="0" borderId="0" xfId="18" applyNumberFormat="1" applyFont="1" applyFill="1" applyBorder="1"/>
    <xf numFmtId="37" fontId="2" fillId="0" borderId="2" xfId="164" applyNumberFormat="1" applyBorder="1">
      <alignment/>
      <protection/>
    </xf>
    <xf numFmtId="37" fontId="103" fillId="0" borderId="2" xfId="164" applyNumberFormat="1" applyFont="1" applyBorder="1">
      <alignment/>
      <protection/>
    </xf>
    <xf numFmtId="3" fontId="32" fillId="32" borderId="0" xfId="99" applyNumberFormat="1" applyFont="1" applyFill="1">
      <alignment/>
      <protection/>
    </xf>
    <xf numFmtId="0" fontId="69" fillId="0" borderId="0" xfId="148" applyFont="1">
      <alignment/>
      <protection/>
    </xf>
    <xf numFmtId="0" fontId="71" fillId="0" borderId="0" xfId="148" applyFont="1">
      <alignment/>
      <protection/>
    </xf>
    <xf numFmtId="3" fontId="12" fillId="0" borderId="11" xfId="148" applyNumberFormat="1" applyFont="1" applyBorder="1">
      <alignment/>
      <protection/>
    </xf>
    <xf numFmtId="0" fontId="12" fillId="0" borderId="2" xfId="148" applyFont="1" applyBorder="1">
      <alignment/>
      <protection/>
    </xf>
    <xf numFmtId="0" fontId="7" fillId="0" borderId="2" xfId="148" applyFont="1" applyBorder="1">
      <alignment/>
      <protection/>
    </xf>
    <xf numFmtId="3" fontId="12" fillId="0" borderId="2" xfId="148" applyNumberFormat="1" applyFont="1" applyBorder="1">
      <alignment/>
      <protection/>
    </xf>
    <xf numFmtId="169" fontId="12" fillId="0" borderId="0" xfId="148" applyNumberFormat="1" applyFont="1">
      <alignment/>
      <protection/>
    </xf>
    <xf numFmtId="10" fontId="72" fillId="0" borderId="0" xfId="148" applyNumberFormat="1" applyFont="1">
      <alignment/>
      <protection/>
    </xf>
    <xf numFmtId="0" fontId="12" fillId="0" borderId="11" xfId="148" applyFont="1" applyBorder="1">
      <alignment/>
      <protection/>
    </xf>
    <xf numFmtId="169" fontId="12" fillId="0" borderId="11" xfId="148" applyNumberFormat="1" applyFont="1" applyBorder="1">
      <alignment/>
      <protection/>
    </xf>
    <xf numFmtId="0" fontId="7" fillId="0" borderId="0" xfId="148" applyFont="1">
      <alignment/>
      <protection/>
    </xf>
    <xf numFmtId="3" fontId="7" fillId="0" borderId="0" xfId="148" applyNumberFormat="1" applyFont="1" applyAlignment="1" quotePrefix="1">
      <alignment horizontal="right"/>
      <protection/>
    </xf>
    <xf numFmtId="169" fontId="7" fillId="0" borderId="0" xfId="148" applyNumberFormat="1" applyFont="1">
      <alignment/>
      <protection/>
    </xf>
    <xf numFmtId="0" fontId="7" fillId="0" borderId="27" xfId="148" applyFont="1" applyBorder="1">
      <alignment/>
      <protection/>
    </xf>
    <xf numFmtId="3" fontId="7" fillId="0" borderId="27" xfId="148" applyNumberFormat="1" applyFont="1" applyBorder="1">
      <alignment/>
      <protection/>
    </xf>
    <xf numFmtId="0" fontId="73" fillId="52" borderId="0" xfId="148" applyFont="1" applyFill="1">
      <alignment/>
      <protection/>
    </xf>
    <xf numFmtId="0" fontId="74" fillId="52" borderId="0" xfId="148" applyFont="1" applyFill="1" applyAlignment="1">
      <alignment horizontal="left"/>
      <protection/>
    </xf>
    <xf numFmtId="0" fontId="74" fillId="52" borderId="0" xfId="148" applyFont="1" applyFill="1" applyAlignment="1">
      <alignment horizontal="center"/>
      <protection/>
    </xf>
    <xf numFmtId="0" fontId="12" fillId="52" borderId="0" xfId="148" applyFont="1" applyFill="1" applyAlignment="1">
      <alignment horizontal="center" wrapText="1"/>
      <protection/>
    </xf>
    <xf numFmtId="164" fontId="7" fillId="0" borderId="0" xfId="148" applyNumberFormat="1" applyFont="1" applyAlignment="1">
      <alignment horizontal="left"/>
      <protection/>
    </xf>
    <xf numFmtId="0" fontId="0" fillId="0" borderId="0" xfId="148" applyFont="1">
      <alignment/>
      <protection/>
    </xf>
    <xf numFmtId="10" fontId="0" fillId="0" borderId="0" xfId="148" applyNumberFormat="1" applyFont="1">
      <alignment/>
      <protection/>
    </xf>
    <xf numFmtId="174" fontId="12" fillId="0" borderId="0" xfId="0" applyFont="1"/>
    <xf numFmtId="174" fontId="12" fillId="0" borderId="0" xfId="148" applyNumberFormat="1" applyFont="1">
      <alignment/>
      <protection/>
    </xf>
    <xf numFmtId="0" fontId="12" fillId="0" borderId="0" xfId="0" applyNumberFormat="1" applyFont="1"/>
    <xf numFmtId="43" fontId="0" fillId="0" borderId="0" xfId="148" applyNumberFormat="1" applyFont="1">
      <alignment/>
      <protection/>
    </xf>
    <xf numFmtId="3" fontId="12" fillId="0" borderId="0" xfId="148" applyNumberFormat="1" applyFont="1" applyAlignment="1">
      <alignment horizontal="left" wrapText="1"/>
      <protection/>
    </xf>
    <xf numFmtId="43" fontId="12" fillId="0" borderId="0" xfId="148" applyNumberFormat="1" applyFont="1" applyAlignment="1">
      <alignment horizontal="right"/>
      <protection/>
    </xf>
    <xf numFmtId="10" fontId="12" fillId="0" borderId="0" xfId="148" applyNumberFormat="1" applyFont="1" applyAlignment="1">
      <alignment horizontal="right"/>
      <protection/>
    </xf>
    <xf numFmtId="0" fontId="73" fillId="0" borderId="0" xfId="148" applyFont="1" applyAlignment="1">
      <alignment horizontal="left"/>
      <protection/>
    </xf>
    <xf numFmtId="0" fontId="73" fillId="0" borderId="0" xfId="148" applyFont="1">
      <alignment/>
      <protection/>
    </xf>
    <xf numFmtId="0" fontId="74" fillId="0" borderId="0" xfId="148" applyFont="1" applyAlignment="1">
      <alignment horizontal="left"/>
      <protection/>
    </xf>
    <xf numFmtId="0" fontId="74" fillId="0" borderId="0" xfId="148" applyFont="1" applyAlignment="1">
      <alignment horizontal="center"/>
      <protection/>
    </xf>
    <xf numFmtId="0" fontId="12" fillId="0" borderId="0" xfId="148" applyFont="1" applyAlignment="1">
      <alignment horizontal="center" wrapText="1"/>
      <protection/>
    </xf>
    <xf numFmtId="10" fontId="70" fillId="0" borderId="0" xfId="148" applyNumberFormat="1" applyFont="1" applyAlignment="1">
      <alignment horizontal="right"/>
      <protection/>
    </xf>
    <xf numFmtId="3" fontId="75" fillId="0" borderId="0" xfId="148" applyNumberFormat="1" applyFont="1" applyAlignment="1">
      <alignment horizontal="right"/>
      <protection/>
    </xf>
    <xf numFmtId="3" fontId="76" fillId="0" borderId="0" xfId="148" applyNumberFormat="1" applyFont="1" applyAlignment="1">
      <alignment horizontal="right"/>
      <protection/>
    </xf>
    <xf numFmtId="0" fontId="12" fillId="0" borderId="0" xfId="0" applyNumberFormat="1" applyFont="1" applyAlignment="1">
      <alignment vertical="top" wrapText="1"/>
    </xf>
    <xf numFmtId="3" fontId="12" fillId="0" borderId="0" xfId="148" applyNumberFormat="1" applyFont="1" applyAlignment="1">
      <alignment horizontal="right"/>
      <protection/>
    </xf>
    <xf numFmtId="166" fontId="12" fillId="0" borderId="0" xfId="148" applyNumberFormat="1" applyFont="1">
      <alignment/>
      <protection/>
    </xf>
    <xf numFmtId="3" fontId="51" fillId="0" borderId="0" xfId="0" applyNumberFormat="1" applyFont="1" applyAlignment="1">
      <alignment vertical="center"/>
    </xf>
    <xf numFmtId="43" fontId="54" fillId="0" borderId="0" xfId="18" applyFont="1" applyFill="1" applyAlignment="1">
      <alignment horizontal="center" vertical="center"/>
    </xf>
    <xf numFmtId="43" fontId="52" fillId="0" borderId="0" xfId="18" applyFont="1" applyAlignment="1">
      <alignment horizontal="center" vertical="center"/>
    </xf>
    <xf numFmtId="43" fontId="52" fillId="0" borderId="11" xfId="18" applyFont="1" applyBorder="1" applyAlignment="1">
      <alignment horizontal="center" vertical="center"/>
    </xf>
    <xf numFmtId="174" fontId="58" fillId="0" borderId="0" xfId="0" applyFont="1" applyAlignment="1">
      <alignment horizontal="center" vertical="center"/>
    </xf>
    <xf numFmtId="174" fontId="58" fillId="0" borderId="0" xfId="0" applyFont="1" applyAlignment="1">
      <alignment vertical="center"/>
    </xf>
    <xf numFmtId="170" fontId="143" fillId="58" borderId="0" xfId="0" applyNumberFormat="1" applyFont="1" applyFill="1" applyAlignment="1">
      <alignment horizontal="center" vertical="center"/>
    </xf>
    <xf numFmtId="1" fontId="97" fillId="32" borderId="0" xfId="153" applyNumberFormat="1" applyFont="1" applyFill="1" applyAlignment="1">
      <alignment horizontal="center"/>
      <protection/>
    </xf>
    <xf numFmtId="164" fontId="137" fillId="32" borderId="0" xfId="15" applyNumberFormat="1" applyFont="1" applyFill="1" applyBorder="1"/>
    <xf numFmtId="0" fontId="5" fillId="0" borderId="24" xfId="194" applyBorder="1" applyAlignment="1" quotePrefix="1">
      <alignment horizontal="center"/>
      <protection/>
    </xf>
    <xf numFmtId="164" fontId="13" fillId="0" borderId="0" xfId="194" applyNumberFormat="1" applyFont="1" applyAlignment="1">
      <alignment horizontal="left"/>
      <protection/>
    </xf>
    <xf numFmtId="0" fontId="31" fillId="0" borderId="0" xfId="194" applyFont="1">
      <alignment/>
      <protection/>
    </xf>
    <xf numFmtId="14" fontId="31" fillId="0" borderId="0" xfId="194" applyNumberFormat="1" applyFont="1" applyAlignment="1">
      <alignment horizontal="center"/>
      <protection/>
    </xf>
    <xf numFmtId="175" fontId="137" fillId="32" borderId="0" xfId="194" applyNumberFormat="1" applyFont="1" applyFill="1">
      <alignment/>
      <protection/>
    </xf>
    <xf numFmtId="3" fontId="31" fillId="32" borderId="0" xfId="194" applyNumberFormat="1" applyFont="1" applyFill="1">
      <alignment/>
      <protection/>
    </xf>
    <xf numFmtId="0" fontId="95" fillId="0" borderId="0" xfId="194" applyFont="1" applyAlignment="1">
      <alignment horizontal="center"/>
      <protection/>
    </xf>
    <xf numFmtId="3" fontId="5" fillId="32" borderId="0" xfId="194" applyNumberFormat="1" applyFill="1">
      <alignment/>
      <protection/>
    </xf>
    <xf numFmtId="0" fontId="5" fillId="0" borderId="24" xfId="194" applyBorder="1" applyAlignment="1">
      <alignment horizontal="center"/>
      <protection/>
    </xf>
    <xf numFmtId="0" fontId="13" fillId="0" borderId="0" xfId="194" applyFont="1">
      <alignment/>
      <protection/>
    </xf>
    <xf numFmtId="0" fontId="5" fillId="0" borderId="0" xfId="194">
      <alignment/>
      <protection/>
    </xf>
    <xf numFmtId="174" fontId="12" fillId="0" borderId="24" xfId="0" applyFont="1" applyBorder="1" applyAlignment="1">
      <alignment horizontal="center"/>
    </xf>
    <xf numFmtId="170" fontId="12" fillId="0" borderId="10" xfId="0" applyNumberFormat="1" applyFont="1" applyBorder="1"/>
    <xf numFmtId="175" fontId="12" fillId="32" borderId="0" xfId="0" applyNumberFormat="1" applyFont="1" applyFill="1"/>
    <xf numFmtId="174" fontId="12" fillId="32" borderId="0" xfId="0" applyFont="1" applyFill="1" applyAlignment="1">
      <alignment horizontal="left" vertical="top" wrapText="1"/>
    </xf>
    <xf numFmtId="174" fontId="5" fillId="32" borderId="0" xfId="0" applyFont="1" applyFill="1"/>
    <xf numFmtId="174" fontId="5" fillId="32" borderId="0" xfId="0" applyFont="1" applyFill="1" applyAlignment="1">
      <alignment horizontal="left" wrapText="1"/>
    </xf>
    <xf numFmtId="170" fontId="12" fillId="0" borderId="0" xfId="18" applyNumberFormat="1" applyFont="1" applyFill="1" applyBorder="1" applyAlignment="1">
      <alignment/>
    </xf>
    <xf numFmtId="174" fontId="7" fillId="0" borderId="0" xfId="0" applyFont="1"/>
    <xf numFmtId="49" fontId="7" fillId="0" borderId="0" xfId="0" applyNumberFormat="1" applyFont="1" applyAlignment="1">
      <alignment horizontal="center"/>
    </xf>
    <xf numFmtId="3" fontId="12" fillId="0" borderId="0" xfId="0" applyNumberFormat="1" applyFont="1" applyAlignment="1">
      <alignment horizontal="center"/>
    </xf>
    <xf numFmtId="0" fontId="12" fillId="0" borderId="0" xfId="0" applyNumberFormat="1" applyFont="1" applyAlignment="1" applyProtection="1">
      <alignment horizontal="center"/>
      <protection locked="0"/>
    </xf>
    <xf numFmtId="49" fontId="12" fillId="0" borderId="0" xfId="0" applyNumberFormat="1" applyFont="1"/>
    <xf numFmtId="174" fontId="12" fillId="0" borderId="24" xfId="0" applyFont="1" applyBorder="1"/>
    <xf numFmtId="3" fontId="12" fillId="0" borderId="0" xfId="0" applyNumberFormat="1" applyFont="1"/>
    <xf numFmtId="174" fontId="12" fillId="0" borderId="25" xfId="0" applyFont="1" applyBorder="1"/>
    <xf numFmtId="0" fontId="12" fillId="0" borderId="0" xfId="0" applyNumberFormat="1" applyFont="1" applyAlignment="1">
      <alignment horizontal="center"/>
    </xf>
    <xf numFmtId="49" fontId="12" fillId="0" borderId="0" xfId="0" applyNumberFormat="1" applyFont="1" applyAlignment="1">
      <alignment horizontal="center"/>
    </xf>
    <xf numFmtId="49" fontId="12" fillId="0" borderId="24" xfId="0" applyNumberFormat="1" applyFont="1" applyBorder="1" applyAlignment="1">
      <alignment horizontal="center"/>
    </xf>
    <xf numFmtId="49" fontId="12" fillId="0" borderId="25" xfId="0" applyNumberFormat="1" applyFont="1" applyBorder="1" applyAlignment="1">
      <alignment horizontal="center"/>
    </xf>
    <xf numFmtId="3" fontId="7" fillId="0" borderId="0" xfId="0" applyNumberFormat="1" applyFont="1" applyAlignment="1">
      <alignment horizontal="center"/>
    </xf>
    <xf numFmtId="174" fontId="7" fillId="0" borderId="0" xfId="0" applyFont="1" applyAlignment="1">
      <alignment horizontal="center"/>
    </xf>
    <xf numFmtId="0" fontId="7" fillId="0" borderId="0" xfId="0" applyNumberFormat="1" applyFont="1" applyAlignment="1" applyProtection="1">
      <alignment horizontal="center"/>
      <protection locked="0"/>
    </xf>
    <xf numFmtId="174" fontId="7" fillId="0" borderId="25" xfId="0" applyFont="1" applyBorder="1" applyAlignment="1">
      <alignment horizontal="center"/>
    </xf>
    <xf numFmtId="0" fontId="7" fillId="0" borderId="0" xfId="0" applyNumberFormat="1" applyFont="1"/>
    <xf numFmtId="0" fontId="94" fillId="0" borderId="0" xfId="0" applyNumberFormat="1" applyFont="1" applyAlignment="1" applyProtection="1">
      <alignment horizontal="center"/>
      <protection locked="0"/>
    </xf>
    <xf numFmtId="179" fontId="12" fillId="0" borderId="0" xfId="0" applyNumberFormat="1" applyFont="1"/>
    <xf numFmtId="174" fontId="12" fillId="0" borderId="0" xfId="0" applyFont="1" applyAlignment="1">
      <alignment horizontal="center"/>
    </xf>
    <xf numFmtId="3" fontId="7" fillId="0" borderId="0" xfId="0" applyNumberFormat="1" applyFont="1"/>
    <xf numFmtId="179" fontId="12" fillId="0" borderId="25" xfId="0" applyNumberFormat="1" applyFont="1" applyBorder="1"/>
    <xf numFmtId="164" fontId="12" fillId="0" borderId="0" xfId="0" applyNumberFormat="1" applyFont="1" applyAlignment="1">
      <alignment horizontal="center"/>
    </xf>
    <xf numFmtId="49" fontId="7" fillId="0" borderId="24" xfId="0" applyNumberFormat="1" applyFont="1" applyBorder="1" applyAlignment="1">
      <alignment horizontal="center"/>
    </xf>
    <xf numFmtId="49" fontId="7" fillId="0" borderId="26" xfId="0" applyNumberFormat="1" applyFont="1" applyBorder="1" applyAlignment="1">
      <alignment horizontal="center"/>
    </xf>
    <xf numFmtId="174" fontId="7" fillId="0" borderId="11" xfId="0" applyFont="1" applyBorder="1"/>
    <xf numFmtId="174" fontId="12" fillId="0" borderId="11" xfId="0" applyFont="1" applyBorder="1"/>
    <xf numFmtId="3" fontId="7" fillId="0" borderId="11" xfId="0" applyNumberFormat="1" applyFont="1" applyBorder="1" applyAlignment="1">
      <alignment horizontal="center"/>
    </xf>
    <xf numFmtId="174" fontId="12" fillId="0" borderId="0" xfId="0" applyFont="1" applyAlignment="1">
      <alignment horizontal="right"/>
    </xf>
    <xf numFmtId="176" fontId="7" fillId="0" borderId="0" xfId="0" applyNumberFormat="1" applyFont="1" applyAlignment="1">
      <alignment horizontal="center"/>
    </xf>
    <xf numFmtId="174" fontId="7" fillId="0" borderId="57" xfId="0" applyFont="1" applyBorder="1" applyAlignment="1">
      <alignment horizontal="center" wrapText="1"/>
    </xf>
    <xf numFmtId="174" fontId="7" fillId="0" borderId="28" xfId="0" applyFont="1" applyBorder="1"/>
    <xf numFmtId="174" fontId="7" fillId="0" borderId="28" xfId="0" applyFont="1" applyBorder="1" applyAlignment="1">
      <alignment horizontal="center"/>
    </xf>
    <xf numFmtId="174" fontId="7" fillId="0" borderId="28" xfId="0" applyFont="1" applyBorder="1" applyAlignment="1">
      <alignment horizontal="center" wrapText="1"/>
    </xf>
    <xf numFmtId="0" fontId="7" fillId="0" borderId="28" xfId="0" applyNumberFormat="1" applyFont="1" applyBorder="1" applyAlignment="1">
      <alignment horizontal="center" wrapText="1"/>
    </xf>
    <xf numFmtId="174" fontId="7" fillId="0" borderId="12" xfId="0" applyFont="1" applyBorder="1" applyAlignment="1">
      <alignment horizontal="center" wrapText="1"/>
    </xf>
    <xf numFmtId="3" fontId="7" fillId="0" borderId="12" xfId="0" applyNumberFormat="1" applyFont="1" applyBorder="1" applyAlignment="1">
      <alignment horizontal="center" wrapText="1"/>
    </xf>
    <xf numFmtId="0" fontId="12" fillId="0" borderId="57" xfId="0" applyNumberFormat="1" applyFont="1" applyBorder="1"/>
    <xf numFmtId="0" fontId="12" fillId="0" borderId="28" xfId="0" applyNumberFormat="1" applyFont="1" applyBorder="1"/>
    <xf numFmtId="0" fontId="12" fillId="0" borderId="28" xfId="0" applyNumberFormat="1" applyFont="1" applyBorder="1" applyAlignment="1">
      <alignment horizontal="center"/>
    </xf>
    <xf numFmtId="0" fontId="12" fillId="0" borderId="12" xfId="0" applyNumberFormat="1" applyFont="1" applyBorder="1" applyAlignment="1">
      <alignment horizontal="center"/>
    </xf>
    <xf numFmtId="0" fontId="12" fillId="0" borderId="28" xfId="0" applyNumberFormat="1" applyFont="1" applyBorder="1" applyAlignment="1">
      <alignment horizontal="center" wrapText="1"/>
    </xf>
    <xf numFmtId="0" fontId="12" fillId="0" borderId="12" xfId="0" applyNumberFormat="1" applyFont="1" applyBorder="1" applyAlignment="1">
      <alignment horizontal="center" wrapText="1"/>
    </xf>
    <xf numFmtId="0" fontId="12" fillId="0" borderId="24" xfId="0" applyNumberFormat="1" applyFont="1" applyBorder="1" applyAlignment="1">
      <alignment horizontal="center" wrapText="1"/>
    </xf>
    <xf numFmtId="0" fontId="12" fillId="0" borderId="10" xfId="0" applyNumberFormat="1" applyFont="1" applyBorder="1"/>
    <xf numFmtId="174" fontId="12" fillId="0" borderId="0" xfId="0" applyFont="1" applyAlignment="1" quotePrefix="1">
      <alignment horizontal="center"/>
    </xf>
    <xf numFmtId="174" fontId="87" fillId="0" borderId="0" xfId="0" applyFont="1"/>
    <xf numFmtId="10" fontId="12" fillId="0" borderId="0" xfId="0" applyNumberFormat="1" applyFont="1"/>
    <xf numFmtId="49" fontId="12" fillId="0" borderId="0" xfId="0" applyNumberFormat="1" applyFont="1" applyAlignment="1">
      <alignment horizontal="left"/>
    </xf>
    <xf numFmtId="3" fontId="32" fillId="0" borderId="0" xfId="0" applyNumberFormat="1" applyFont="1" applyProtection="1">
      <protection locked="0"/>
    </xf>
    <xf numFmtId="0" fontId="32" fillId="0" borderId="0" xfId="0" applyNumberFormat="1" applyFont="1" applyProtection="1">
      <protection locked="0"/>
    </xf>
    <xf numFmtId="174" fontId="32" fillId="0" borderId="0" xfId="0" applyFont="1" applyProtection="1">
      <protection locked="0"/>
    </xf>
    <xf numFmtId="174" fontId="33" fillId="0" borderId="57" xfId="0" applyFont="1" applyBorder="1" applyAlignment="1">
      <alignment horizontal="center" wrapText="1"/>
    </xf>
    <xf numFmtId="174" fontId="33" fillId="0" borderId="28" xfId="0" applyFont="1" applyBorder="1"/>
    <xf numFmtId="174" fontId="33" fillId="0" borderId="28" xfId="0" applyFont="1" applyBorder="1" applyAlignment="1">
      <alignment horizontal="center"/>
    </xf>
    <xf numFmtId="174" fontId="33" fillId="0" borderId="28" xfId="0" applyFont="1" applyBorder="1" applyAlignment="1">
      <alignment horizontal="center" wrapText="1"/>
    </xf>
    <xf numFmtId="0" fontId="33" fillId="0" borderId="28" xfId="0" applyNumberFormat="1" applyFont="1" applyBorder="1" applyAlignment="1">
      <alignment horizontal="center" wrapText="1"/>
    </xf>
    <xf numFmtId="17" fontId="33" fillId="32" borderId="28" xfId="0" applyNumberFormat="1" applyFont="1" applyFill="1" applyBorder="1" applyAlignment="1">
      <alignment horizontal="center" wrapText="1"/>
    </xf>
    <xf numFmtId="17" fontId="33" fillId="0" borderId="28" xfId="0" applyNumberFormat="1" applyFont="1" applyBorder="1" applyAlignment="1">
      <alignment horizontal="center" wrapText="1"/>
    </xf>
    <xf numFmtId="0" fontId="33" fillId="0" borderId="53" xfId="0" applyNumberFormat="1" applyFont="1" applyBorder="1" applyAlignment="1">
      <alignment horizontal="center" wrapText="1"/>
    </xf>
    <xf numFmtId="17" fontId="33" fillId="0" borderId="0" xfId="0" applyNumberFormat="1" applyFont="1" applyAlignment="1">
      <alignment horizontal="center" wrapText="1"/>
    </xf>
    <xf numFmtId="0" fontId="32" fillId="0" borderId="57" xfId="0" applyNumberFormat="1" applyFont="1" applyBorder="1"/>
    <xf numFmtId="0" fontId="32" fillId="0" borderId="28" xfId="0" applyNumberFormat="1" applyFont="1" applyBorder="1"/>
    <xf numFmtId="0" fontId="32" fillId="0" borderId="28" xfId="0" applyNumberFormat="1" applyFont="1" applyBorder="1" applyAlignment="1">
      <alignment horizontal="center"/>
    </xf>
    <xf numFmtId="174" fontId="0" fillId="51" borderId="28" xfId="0" applyFill="1" applyBorder="1"/>
    <xf numFmtId="0" fontId="32" fillId="0" borderId="53" xfId="0" applyNumberFormat="1" applyFont="1" applyBorder="1" applyAlignment="1">
      <alignment horizontal="center"/>
    </xf>
    <xf numFmtId="0" fontId="32" fillId="0" borderId="24" xfId="0" applyNumberFormat="1" applyFont="1" applyBorder="1"/>
    <xf numFmtId="0" fontId="32" fillId="51" borderId="0" xfId="0" applyNumberFormat="1" applyFont="1" applyFill="1"/>
    <xf numFmtId="174" fontId="0" fillId="51" borderId="0" xfId="0" applyFill="1"/>
    <xf numFmtId="174" fontId="0" fillId="0" borderId="25" xfId="0" applyBorder="1"/>
    <xf numFmtId="174" fontId="32" fillId="0" borderId="24" xfId="0" applyFont="1" applyBorder="1" applyAlignment="1" quotePrefix="1">
      <alignment horizontal="center"/>
    </xf>
    <xf numFmtId="1" fontId="32" fillId="0" borderId="0" xfId="0" applyNumberFormat="1" applyFont="1" applyAlignment="1">
      <alignment horizontal="center"/>
    </xf>
    <xf numFmtId="174" fontId="32" fillId="0" borderId="0" xfId="0" applyFont="1" applyAlignment="1">
      <alignment horizontal="left" wrapText="1"/>
    </xf>
    <xf numFmtId="170" fontId="0" fillId="0" borderId="0" xfId="0" applyNumberFormat="1" applyFont="1"/>
    <xf numFmtId="170" fontId="0" fillId="0" borderId="25" xfId="0" applyNumberFormat="1" applyBorder="1"/>
    <xf numFmtId="175" fontId="32" fillId="32" borderId="0" xfId="0" applyNumberFormat="1" applyFont="1" applyFill="1"/>
    <xf numFmtId="174" fontId="0" fillId="51" borderId="0" xfId="0" applyFont="1" applyFill="1"/>
    <xf numFmtId="170" fontId="0" fillId="0" borderId="0" xfId="0" applyNumberFormat="1"/>
    <xf numFmtId="174" fontId="34" fillId="0" borderId="0" xfId="0" applyFont="1"/>
    <xf numFmtId="174" fontId="7" fillId="0" borderId="28" xfId="0" applyFont="1" applyBorder="1" applyAlignment="1">
      <alignment wrapText="1"/>
    </xf>
    <xf numFmtId="3" fontId="7" fillId="0" borderId="53" xfId="0" applyNumberFormat="1" applyFont="1" applyBorder="1" applyAlignment="1">
      <alignment horizontal="center" wrapText="1"/>
    </xf>
    <xf numFmtId="174" fontId="12" fillId="0" borderId="0" xfId="0" applyFont="1" applyAlignment="1">
      <alignment wrapText="1"/>
    </xf>
    <xf numFmtId="0" fontId="12" fillId="0" borderId="53" xfId="0" applyNumberFormat="1" applyFont="1" applyBorder="1" applyAlignment="1">
      <alignment horizontal="center"/>
    </xf>
    <xf numFmtId="0" fontId="12" fillId="0" borderId="24" xfId="0" applyNumberFormat="1" applyFont="1" applyBorder="1" applyAlignment="1">
      <alignment horizontal="center"/>
    </xf>
    <xf numFmtId="0" fontId="12" fillId="0" borderId="2" xfId="0" applyNumberFormat="1" applyFont="1" applyBorder="1"/>
    <xf numFmtId="0" fontId="12" fillId="0" borderId="29" xfId="0" applyNumberFormat="1" applyFont="1" applyBorder="1"/>
    <xf numFmtId="0" fontId="12" fillId="0" borderId="24" xfId="0" applyNumberFormat="1" applyFont="1" applyBorder="1"/>
    <xf numFmtId="0" fontId="12" fillId="0" borderId="25" xfId="0" applyNumberFormat="1" applyFont="1" applyBorder="1"/>
    <xf numFmtId="178" fontId="12" fillId="32" borderId="0" xfId="18" applyNumberFormat="1" applyFont="1" applyFill="1"/>
    <xf numFmtId="178" fontId="12" fillId="32" borderId="0" xfId="18" applyNumberFormat="1" applyFont="1" applyFill="1" applyBorder="1" applyAlignment="1">
      <alignment/>
    </xf>
    <xf numFmtId="43" fontId="5" fillId="0" borderId="0" xfId="18" applyFont="1" applyFill="1" applyBorder="1" applyAlignment="1">
      <alignment/>
    </xf>
    <xf numFmtId="43" fontId="5" fillId="0" borderId="25" xfId="18" applyFont="1" applyFill="1" applyBorder="1" applyAlignment="1">
      <alignment/>
    </xf>
    <xf numFmtId="174" fontId="104" fillId="0" borderId="0" xfId="0" applyFont="1"/>
    <xf numFmtId="174" fontId="5" fillId="0" borderId="0" xfId="0" applyFont="1" applyAlignment="1">
      <alignment horizontal="center"/>
    </xf>
    <xf numFmtId="174" fontId="12" fillId="0" borderId="0" xfId="0" applyFont="1" applyAlignment="1">
      <alignment horizontal="left" indent="1"/>
    </xf>
    <xf numFmtId="174" fontId="59" fillId="0" borderId="0" xfId="0" applyFont="1" applyAlignment="1" applyProtection="1">
      <alignment horizontal="center" vertical="center" wrapText="1"/>
      <protection locked="0"/>
    </xf>
    <xf numFmtId="174" fontId="59" fillId="0" borderId="46" xfId="0" applyFont="1" applyBorder="1" applyAlignment="1" applyProtection="1">
      <alignment horizontal="center" vertical="center" wrapText="1"/>
      <protection locked="0"/>
    </xf>
    <xf numFmtId="174" fontId="12" fillId="0" borderId="0" xfId="0" applyFont="1" applyAlignment="1" applyProtection="1">
      <alignment wrapText="1"/>
      <protection locked="0"/>
    </xf>
    <xf numFmtId="174" fontId="59" fillId="0" borderId="54" xfId="0" applyFont="1" applyBorder="1" applyAlignment="1" applyProtection="1">
      <alignment horizontal="center" wrapText="1"/>
      <protection locked="0"/>
    </xf>
    <xf numFmtId="174" fontId="59" fillId="0" borderId="0" xfId="0" applyFont="1" applyProtection="1">
      <protection locked="0"/>
    </xf>
    <xf numFmtId="174" fontId="59" fillId="0" borderId="54" xfId="0" applyFont="1" applyBorder="1" applyProtection="1">
      <protection locked="0"/>
    </xf>
    <xf numFmtId="174" fontId="12" fillId="0" borderId="0" xfId="0" applyFont="1" applyProtection="1">
      <protection locked="0"/>
    </xf>
    <xf numFmtId="174" fontId="60" fillId="0" borderId="0" xfId="0" applyFont="1" applyAlignment="1" applyProtection="1">
      <alignment horizontal="center"/>
      <protection locked="0"/>
    </xf>
    <xf numFmtId="5" fontId="59" fillId="0" borderId="47" xfId="0" applyNumberFormat="1" applyFont="1" applyBorder="1" applyAlignment="1" applyProtection="1">
      <alignment horizontal="center"/>
      <protection locked="0"/>
    </xf>
    <xf numFmtId="178" fontId="59" fillId="0" borderId="6" xfId="0" applyNumberFormat="1" applyFont="1" applyBorder="1" applyProtection="1">
      <protection locked="0"/>
    </xf>
    <xf numFmtId="174" fontId="59" fillId="0" borderId="6" xfId="0" applyFont="1" applyBorder="1" applyAlignment="1" applyProtection="1">
      <alignment horizontal="center"/>
      <protection locked="0"/>
    </xf>
    <xf numFmtId="174" fontId="12" fillId="0" borderId="6" xfId="0" applyFont="1" applyBorder="1" applyProtection="1">
      <protection locked="0"/>
    </xf>
    <xf numFmtId="178" fontId="59" fillId="0" borderId="0" xfId="0" applyNumberFormat="1" applyFont="1" applyAlignment="1" applyProtection="1">
      <alignment horizontal="left"/>
      <protection locked="0"/>
    </xf>
    <xf numFmtId="174" fontId="59" fillId="0" borderId="0" xfId="0" applyFont="1" applyAlignment="1" applyProtection="1">
      <alignment horizontal="center"/>
      <protection locked="0"/>
    </xf>
    <xf numFmtId="178" fontId="59" fillId="0" borderId="0" xfId="0" applyNumberFormat="1" applyFont="1" applyProtection="1">
      <protection locked="0"/>
    </xf>
    <xf numFmtId="174" fontId="60" fillId="0" borderId="0" xfId="0" applyFont="1" applyAlignment="1" applyProtection="1">
      <alignment horizontal="center" wrapText="1"/>
      <protection locked="0"/>
    </xf>
    <xf numFmtId="178" fontId="60" fillId="0" borderId="0" xfId="0" applyNumberFormat="1" applyFont="1" applyAlignment="1" applyProtection="1">
      <alignment horizontal="center" wrapText="1"/>
      <protection locked="0"/>
    </xf>
    <xf numFmtId="0" fontId="59" fillId="0" borderId="0" xfId="0" applyNumberFormat="1" applyFont="1" applyAlignment="1" applyProtection="1">
      <alignment horizontal="left"/>
      <protection locked="0"/>
    </xf>
    <xf numFmtId="0" fontId="60" fillId="0" borderId="0" xfId="0" applyNumberFormat="1" applyFont="1" applyAlignment="1" applyProtection="1">
      <alignment horizontal="left"/>
      <protection locked="0"/>
    </xf>
    <xf numFmtId="178" fontId="59" fillId="0" borderId="0" xfId="0" applyNumberFormat="1" applyFont="1" applyAlignment="1" applyProtection="1">
      <alignment horizontal="center"/>
      <protection locked="0"/>
    </xf>
    <xf numFmtId="174" fontId="61" fillId="0" borderId="0" xfId="0" applyFont="1" applyAlignment="1" applyProtection="1">
      <alignment horizontal="left"/>
      <protection locked="0"/>
    </xf>
    <xf numFmtId="182" fontId="59" fillId="0" borderId="0" xfId="0" applyNumberFormat="1" applyFont="1" applyProtection="1">
      <protection locked="0"/>
    </xf>
    <xf numFmtId="0" fontId="59" fillId="0" borderId="0" xfId="0" applyNumberFormat="1" applyFont="1" applyProtection="1">
      <protection locked="0"/>
    </xf>
    <xf numFmtId="0" fontId="59" fillId="0" borderId="0" xfId="0" applyNumberFormat="1" applyFont="1"/>
    <xf numFmtId="174" fontId="61" fillId="0" borderId="0" xfId="0" applyFont="1" applyProtection="1">
      <protection locked="0"/>
    </xf>
    <xf numFmtId="178" fontId="60" fillId="0" borderId="0" xfId="0" applyNumberFormat="1" applyFont="1" applyProtection="1">
      <protection locked="0"/>
    </xf>
    <xf numFmtId="174" fontId="32" fillId="0" borderId="0" xfId="0" applyFont="1" applyAlignment="1">
      <alignment horizontal="center" vertical="top"/>
    </xf>
    <xf numFmtId="178" fontId="114" fillId="32" borderId="0" xfId="18" applyNumberFormat="1" applyFont="1" applyFill="1" applyAlignment="1">
      <alignment vertical="center"/>
    </xf>
    <xf numFmtId="178" fontId="2" fillId="32" borderId="0" xfId="18" applyNumberFormat="1" applyFont="1" applyFill="1"/>
    <xf numFmtId="0" fontId="77" fillId="54" borderId="0" xfId="184" applyFont="1" applyFill="1" applyAlignment="1">
      <alignment horizontal="left"/>
      <protection/>
    </xf>
    <xf numFmtId="0" fontId="5" fillId="54" borderId="0" xfId="184" applyFill="1">
      <alignment/>
      <protection/>
    </xf>
    <xf numFmtId="0" fontId="5" fillId="54" borderId="0" xfId="184" applyFill="1" applyAlignment="1">
      <alignment horizontal="center" wrapText="1"/>
      <protection/>
    </xf>
    <xf numFmtId="0" fontId="5" fillId="54" borderId="0" xfId="184" applyFill="1" applyAlignment="1">
      <alignment horizontal="center"/>
      <protection/>
    </xf>
    <xf numFmtId="49" fontId="5" fillId="32" borderId="0" xfId="184" applyNumberFormat="1" applyFill="1">
      <alignment/>
      <protection/>
    </xf>
    <xf numFmtId="1" fontId="5" fillId="32" borderId="0" xfId="184" applyNumberFormat="1" applyFill="1" applyAlignment="1">
      <alignment horizontal="center"/>
      <protection/>
    </xf>
    <xf numFmtId="178" fontId="12" fillId="32" borderId="0" xfId="180" applyNumberFormat="1" applyFont="1" applyFill="1" applyBorder="1" applyAlignment="1">
      <alignment/>
    </xf>
    <xf numFmtId="49" fontId="5" fillId="54" borderId="0" xfId="184" applyNumberFormat="1" applyFill="1" applyAlignment="1">
      <alignment horizontal="left"/>
      <protection/>
    </xf>
    <xf numFmtId="1" fontId="5" fillId="54" borderId="0" xfId="184" applyNumberFormat="1" applyFill="1" applyAlignment="1">
      <alignment horizontal="center"/>
      <protection/>
    </xf>
    <xf numFmtId="178" fontId="12" fillId="54" borderId="0" xfId="180" applyNumberFormat="1" applyFont="1" applyFill="1" applyBorder="1" applyAlignment="1">
      <alignment/>
    </xf>
    <xf numFmtId="0" fontId="5" fillId="54" borderId="0" xfId="184" applyFill="1" applyAlignment="1">
      <alignment wrapText="1"/>
      <protection/>
    </xf>
    <xf numFmtId="178" fontId="0" fillId="54" borderId="11" xfId="18" applyNumberFormat="1" applyFont="1" applyFill="1" applyBorder="1" applyAlignment="1">
      <alignment/>
    </xf>
    <xf numFmtId="0" fontId="27" fillId="54" borderId="0" xfId="184" applyFont="1" applyFill="1" applyAlignment="1">
      <alignment horizontal="left"/>
      <protection/>
    </xf>
    <xf numFmtId="170" fontId="0" fillId="54" borderId="48" xfId="0" applyNumberFormat="1" applyFont="1" applyFill="1" applyBorder="1"/>
    <xf numFmtId="0" fontId="27" fillId="0" borderId="0" xfId="184" applyFont="1" applyAlignment="1">
      <alignment horizontal="left"/>
      <protection/>
    </xf>
    <xf numFmtId="0" fontId="5" fillId="0" borderId="0" xfId="184">
      <alignment/>
      <protection/>
    </xf>
    <xf numFmtId="184" fontId="32" fillId="32" borderId="0" xfId="18" applyNumberFormat="1" applyFont="1" applyFill="1"/>
    <xf numFmtId="37" fontId="32" fillId="0" borderId="0" xfId="0" applyNumberFormat="1" applyFont="1"/>
    <xf numFmtId="178" fontId="32" fillId="32" borderId="0" xfId="18" applyNumberFormat="1" applyFont="1" applyFill="1" applyAlignment="1">
      <alignment/>
    </xf>
    <xf numFmtId="178" fontId="32" fillId="32" borderId="0" xfId="18" applyNumberFormat="1" applyFont="1" applyFill="1" applyBorder="1" applyAlignment="1">
      <alignment/>
    </xf>
    <xf numFmtId="43" fontId="32" fillId="32" borderId="0" xfId="18" applyFont="1" applyFill="1" applyAlignment="1">
      <alignment/>
    </xf>
    <xf numFmtId="174" fontId="32" fillId="0" borderId="0" xfId="0" applyFont="1" applyProtection="1">
      <protection/>
    </xf>
    <xf numFmtId="43" fontId="32" fillId="0" borderId="0" xfId="18" applyFont="1" applyFill="1" applyBorder="1" applyAlignment="1">
      <alignment horizontal="right"/>
    </xf>
    <xf numFmtId="10" fontId="32" fillId="0" borderId="0" xfId="0" applyNumberFormat="1" applyFont="1" applyAlignment="1">
      <alignment horizontal="right"/>
    </xf>
    <xf numFmtId="170" fontId="53" fillId="0" borderId="0" xfId="0" applyNumberFormat="1" applyFont="1" applyAlignment="1">
      <alignment horizontal="center" vertical="center"/>
    </xf>
    <xf numFmtId="170" fontId="52" fillId="0" borderId="0" xfId="0" applyNumberFormat="1" applyFont="1" applyAlignment="1">
      <alignment horizontal="center" vertical="center"/>
    </xf>
    <xf numFmtId="170" fontId="144" fillId="0" borderId="0" xfId="0" applyNumberFormat="1" applyFont="1" applyAlignment="1">
      <alignment horizontal="center" vertical="center"/>
    </xf>
    <xf numFmtId="170" fontId="52" fillId="0" borderId="0" xfId="18" applyNumberFormat="1" applyFont="1" applyFill="1" applyAlignment="1">
      <alignment horizontal="center" vertical="center"/>
    </xf>
    <xf numFmtId="170" fontId="54" fillId="0" borderId="0" xfId="18" applyNumberFormat="1" applyFont="1" applyFill="1" applyAlignment="1">
      <alignment horizontal="center" vertical="center"/>
    </xf>
    <xf numFmtId="170" fontId="144" fillId="58" borderId="0" xfId="0" applyNumberFormat="1" applyFont="1" applyFill="1" applyAlignment="1">
      <alignment horizontal="center" vertical="center"/>
    </xf>
    <xf numFmtId="170" fontId="52" fillId="0" borderId="0" xfId="18" applyNumberFormat="1" applyFont="1" applyAlignment="1">
      <alignment horizontal="center" vertical="center"/>
    </xf>
    <xf numFmtId="170" fontId="58" fillId="51" borderId="2" xfId="0" applyNumberFormat="1" applyFont="1" applyFill="1" applyBorder="1" applyAlignment="1">
      <alignment horizontal="center" vertical="center"/>
    </xf>
    <xf numFmtId="170" fontId="58" fillId="51" borderId="2" xfId="0" applyNumberFormat="1" applyFont="1" applyFill="1" applyBorder="1" applyAlignment="1">
      <alignment vertical="center"/>
    </xf>
    <xf numFmtId="170" fontId="51" fillId="51" borderId="0" xfId="0" applyNumberFormat="1" applyFont="1" applyFill="1" applyAlignment="1">
      <alignment vertical="center"/>
    </xf>
    <xf numFmtId="170" fontId="51" fillId="0" borderId="0" xfId="0" applyNumberFormat="1" applyFont="1" applyAlignment="1">
      <alignment vertical="center"/>
    </xf>
    <xf numFmtId="170" fontId="51" fillId="32" borderId="0" xfId="0" applyNumberFormat="1" applyFont="1" applyFill="1" applyAlignment="1">
      <alignment vertical="center"/>
    </xf>
    <xf numFmtId="170" fontId="52" fillId="0" borderId="0" xfId="18" applyNumberFormat="1" applyFont="1" applyBorder="1" applyAlignment="1">
      <alignment horizontal="center" vertical="center"/>
    </xf>
    <xf numFmtId="170" fontId="52" fillId="0" borderId="11" xfId="18" applyNumberFormat="1" applyFont="1" applyBorder="1" applyAlignment="1">
      <alignment horizontal="center" vertical="center"/>
    </xf>
    <xf numFmtId="174" fontId="12" fillId="0" borderId="0" xfId="0" applyFont="1" applyAlignment="1">
      <alignment horizontal="left"/>
    </xf>
    <xf numFmtId="175" fontId="32" fillId="0" borderId="0" xfId="0" applyNumberFormat="1" applyFont="1"/>
    <xf numFmtId="5" fontId="5" fillId="0" borderId="0" xfId="0" applyNumberFormat="1" applyFont="1"/>
    <xf numFmtId="170" fontId="32" fillId="32" borderId="0" xfId="0" applyNumberFormat="1" applyFont="1" applyFill="1" applyAlignment="1">
      <alignment horizontal="right"/>
    </xf>
    <xf numFmtId="182" fontId="114" fillId="0" borderId="0" xfId="148" applyNumberFormat="1" applyFont="1">
      <alignment/>
      <protection/>
    </xf>
    <xf numFmtId="189" fontId="114" fillId="32" borderId="0" xfId="153" applyNumberFormat="1" applyFont="1" applyFill="1" applyAlignment="1">
      <alignment horizontal="center"/>
      <protection/>
    </xf>
    <xf numFmtId="37" fontId="114" fillId="32" borderId="0" xfId="153" applyNumberFormat="1" applyFont="1" applyFill="1" applyAlignment="1">
      <alignment horizontal="center"/>
      <protection/>
    </xf>
    <xf numFmtId="178" fontId="12" fillId="0" borderId="0" xfId="149" applyNumberFormat="1" applyFont="1" applyFill="1"/>
    <xf numFmtId="174" fontId="32" fillId="0" borderId="0" xfId="0" applyFont="1" applyAlignment="1">
      <alignment horizontal="left"/>
    </xf>
    <xf numFmtId="42" fontId="31" fillId="0" borderId="2" xfId="155" applyNumberFormat="1" applyFont="1" applyBorder="1"/>
    <xf numFmtId="174" fontId="32" fillId="0" borderId="0" xfId="159" applyFont="1">
      <alignment/>
    </xf>
    <xf numFmtId="164" fontId="32" fillId="0" borderId="0" xfId="0" applyNumberFormat="1" applyFont="1" applyAlignment="1">
      <alignment horizontal="center"/>
    </xf>
    <xf numFmtId="37" fontId="12" fillId="32" borderId="0" xfId="0" applyNumberFormat="1" applyFont="1" applyFill="1"/>
    <xf numFmtId="0" fontId="12" fillId="32" borderId="0" xfId="0" applyNumberFormat="1" applyFont="1" applyFill="1"/>
    <xf numFmtId="0" fontId="114" fillId="56" borderId="0" xfId="148" applyFont="1" applyFill="1">
      <alignment/>
      <protection/>
    </xf>
    <xf numFmtId="174" fontId="0" fillId="56" borderId="0" xfId="0" applyFill="1"/>
    <xf numFmtId="0" fontId="114" fillId="32" borderId="0" xfId="194" applyFont="1" applyFill="1" applyAlignment="1">
      <alignment horizontal="center"/>
      <protection/>
    </xf>
    <xf numFmtId="189" fontId="114" fillId="32" borderId="0" xfId="194" applyNumberFormat="1" applyFont="1" applyFill="1" applyAlignment="1">
      <alignment horizontal="center"/>
      <protection/>
    </xf>
    <xf numFmtId="178" fontId="12" fillId="33" borderId="0" xfId="18" applyNumberFormat="1" applyFont="1" applyFill="1" applyBorder="1" applyAlignment="1">
      <alignment/>
    </xf>
    <xf numFmtId="174" fontId="12" fillId="33" borderId="0" xfId="0" applyFont="1" applyFill="1"/>
    <xf numFmtId="0" fontId="114" fillId="0" borderId="0" xfId="0" applyNumberFormat="1" applyFont="1" applyAlignment="1">
      <alignment horizontal="left"/>
    </xf>
    <xf numFmtId="0" fontId="114" fillId="0" borderId="0" xfId="254" applyFont="1">
      <alignment/>
      <protection/>
    </xf>
    <xf numFmtId="0" fontId="114" fillId="32" borderId="0" xfId="254" applyFont="1" applyFill="1">
      <alignment/>
      <protection/>
    </xf>
    <xf numFmtId="178" fontId="114" fillId="32" borderId="0" xfId="18" applyNumberFormat="1" applyFont="1" applyFill="1"/>
    <xf numFmtId="174" fontId="114" fillId="32" borderId="0" xfId="0" applyFont="1" applyFill="1" applyAlignment="1">
      <alignment horizontal="left"/>
    </xf>
    <xf numFmtId="0" fontId="114" fillId="32" borderId="0" xfId="148" applyFont="1" applyFill="1" applyAlignment="1">
      <alignment horizontal="left" vertical="center" wrapText="1"/>
      <protection/>
    </xf>
    <xf numFmtId="0" fontId="145" fillId="32" borderId="0" xfId="177" applyFont="1" applyFill="1">
      <alignment/>
      <protection/>
    </xf>
    <xf numFmtId="174" fontId="114" fillId="0" borderId="0" xfId="148" applyNumberFormat="1" applyFont="1">
      <alignment/>
      <protection/>
    </xf>
    <xf numFmtId="0" fontId="2" fillId="0" borderId="0" xfId="177" applyFont="1">
      <alignment/>
      <protection/>
    </xf>
    <xf numFmtId="17" fontId="2" fillId="0" borderId="0" xfId="177" applyNumberFormat="1">
      <alignment/>
      <protection/>
    </xf>
    <xf numFmtId="16" fontId="2" fillId="0" borderId="0" xfId="177" applyNumberFormat="1">
      <alignment/>
      <protection/>
    </xf>
    <xf numFmtId="174" fontId="32" fillId="59" borderId="0" xfId="0" applyFont="1" applyFill="1"/>
    <xf numFmtId="43" fontId="51" fillId="0" borderId="0" xfId="18" applyFont="1" applyAlignment="1">
      <alignment horizontal="left" vertical="center"/>
    </xf>
    <xf numFmtId="175" fontId="31" fillId="0" borderId="2" xfId="154" applyNumberFormat="1" applyFont="1" applyBorder="1"/>
    <xf numFmtId="175" fontId="31" fillId="0" borderId="2" xfId="154" applyNumberFormat="1" applyFont="1" applyFill="1" applyBorder="1"/>
    <xf numFmtId="164" fontId="31" fillId="0" borderId="2" xfId="153" applyNumberFormat="1" applyFont="1" applyBorder="1">
      <alignment/>
      <protection/>
    </xf>
    <xf numFmtId="10" fontId="31" fillId="0" borderId="27" xfId="153" applyNumberFormat="1" applyFont="1" applyBorder="1">
      <alignment/>
      <protection/>
    </xf>
    <xf numFmtId="0" fontId="2" fillId="0" borderId="0" xfId="177" applyFont="1">
      <alignment/>
      <protection/>
    </xf>
    <xf numFmtId="4" fontId="32" fillId="0" borderId="0" xfId="0" applyNumberFormat="1" applyFont="1" applyAlignment="1">
      <alignment horizontal="left"/>
    </xf>
    <xf numFmtId="178" fontId="108" fillId="0" borderId="2" xfId="148" applyNumberFormat="1" applyFont="1" applyBorder="1">
      <alignment/>
      <protection/>
    </xf>
    <xf numFmtId="178" fontId="114" fillId="0" borderId="0" xfId="149" applyNumberFormat="1" applyFont="1" applyBorder="1"/>
    <xf numFmtId="42" fontId="31" fillId="0" borderId="0" xfId="155" applyNumberFormat="1" applyFont="1" applyBorder="1"/>
    <xf numFmtId="10" fontId="31" fillId="0" borderId="0" xfId="155" applyNumberFormat="1" applyFont="1" applyBorder="1" applyAlignment="1">
      <alignment horizontal="center"/>
    </xf>
    <xf numFmtId="174" fontId="12" fillId="59" borderId="0" xfId="0" applyFont="1" applyFill="1"/>
    <xf numFmtId="0" fontId="2" fillId="0" borderId="0" xfId="177" applyFont="1">
      <alignment/>
      <protection/>
    </xf>
    <xf numFmtId="177" fontId="32" fillId="0" borderId="0" xfId="0" applyNumberFormat="1" applyFont="1"/>
    <xf numFmtId="175" fontId="32" fillId="32" borderId="11" xfId="16" applyNumberFormat="1" applyFont="1" applyFill="1" applyBorder="1" applyAlignment="1">
      <alignment/>
    </xf>
    <xf numFmtId="0" fontId="2" fillId="32" borderId="11" xfId="177" applyFont="1" applyFill="1" applyBorder="1" applyAlignment="1">
      <alignment horizontal="center"/>
      <protection/>
    </xf>
    <xf numFmtId="0" fontId="2" fillId="0" borderId="0" xfId="177" applyFont="1">
      <alignment/>
      <protection/>
    </xf>
    <xf numFmtId="9" fontId="32" fillId="0" borderId="0" xfId="0" applyNumberFormat="1" applyFont="1"/>
    <xf numFmtId="9" fontId="32" fillId="32" borderId="0" xfId="0" applyNumberFormat="1" applyFont="1" applyFill="1"/>
    <xf numFmtId="171" fontId="32" fillId="0" borderId="0" xfId="15" applyNumberFormat="1" applyFont="1" applyFill="1"/>
    <xf numFmtId="41" fontId="12" fillId="32" borderId="10" xfId="18" applyNumberFormat="1" applyFont="1" applyFill="1" applyBorder="1" applyAlignment="1">
      <alignment/>
    </xf>
    <xf numFmtId="0" fontId="35" fillId="0" borderId="0" xfId="0" applyNumberFormat="1" applyFont="1" applyAlignment="1">
      <alignment horizontal="center"/>
    </xf>
    <xf numFmtId="0" fontId="32" fillId="0" borderId="0" xfId="0" applyNumberFormat="1" applyFont="1" applyAlignment="1">
      <alignment vertical="top" wrapText="1"/>
    </xf>
    <xf numFmtId="0" fontId="32" fillId="0" borderId="0" xfId="0" applyNumberFormat="1" applyFont="1" applyAlignment="1">
      <alignment horizontal="left"/>
    </xf>
    <xf numFmtId="0" fontId="32" fillId="0" borderId="0" xfId="0" applyNumberFormat="1" applyFont="1" applyAlignment="1">
      <alignment horizontal="left" wrapText="1"/>
    </xf>
    <xf numFmtId="0" fontId="32" fillId="0" borderId="0" xfId="0" applyNumberFormat="1" applyFont="1" applyAlignment="1">
      <alignment horizontal="left" wrapText="1"/>
    </xf>
    <xf numFmtId="174" fontId="32" fillId="0" borderId="0" xfId="0" applyFont="1" applyAlignment="1">
      <alignment vertical="top" wrapText="1"/>
    </xf>
    <xf numFmtId="174" fontId="32" fillId="0" borderId="0" xfId="0" applyFont="1"/>
    <xf numFmtId="0" fontId="32" fillId="0" borderId="0" xfId="0" applyNumberFormat="1" applyFont="1" applyAlignment="1">
      <alignment horizontal="left" vertical="top" wrapText="1"/>
    </xf>
    <xf numFmtId="0" fontId="32" fillId="0" borderId="0" xfId="0" applyNumberFormat="1" applyFont="1" applyAlignment="1">
      <alignment horizontal="left" vertical="top" wrapText="1"/>
    </xf>
    <xf numFmtId="174" fontId="32" fillId="0" borderId="0" xfId="0" applyFont="1" applyAlignment="1">
      <alignment horizontal="left" vertical="top" wrapText="1"/>
    </xf>
    <xf numFmtId="0" fontId="32" fillId="0" borderId="0" xfId="99" applyFont="1" applyAlignment="1">
      <alignment horizontal="left" wrapText="1"/>
      <protection/>
    </xf>
    <xf numFmtId="0" fontId="32" fillId="0" borderId="0" xfId="99" applyFont="1" applyAlignment="1">
      <alignment horizontal="left"/>
      <protection/>
    </xf>
    <xf numFmtId="0" fontId="33" fillId="0" borderId="0" xfId="99" applyFont="1" applyAlignment="1">
      <alignment horizontal="center"/>
      <protection/>
    </xf>
    <xf numFmtId="49" fontId="4" fillId="0" borderId="0" xfId="148" applyNumberFormat="1" applyFont="1" applyAlignment="1">
      <alignment horizontal="center"/>
      <protection/>
    </xf>
    <xf numFmtId="0" fontId="4" fillId="0" borderId="0" xfId="148" applyFont="1" applyAlignment="1">
      <alignment horizontal="center"/>
      <protection/>
    </xf>
    <xf numFmtId="0" fontId="69" fillId="0" borderId="0" xfId="148" applyFont="1" applyAlignment="1">
      <alignment horizontal="center"/>
      <protection/>
    </xf>
    <xf numFmtId="0" fontId="12" fillId="0" borderId="0" xfId="148" applyFont="1" applyAlignment="1">
      <alignment horizontal="left" wrapText="1"/>
      <protection/>
    </xf>
    <xf numFmtId="0" fontId="12" fillId="0" borderId="0" xfId="0" applyNumberFormat="1" applyFont="1" applyAlignment="1">
      <alignment horizontal="left" vertical="top" wrapText="1"/>
    </xf>
    <xf numFmtId="0" fontId="51" fillId="0" borderId="0" xfId="0" applyNumberFormat="1" applyFont="1" applyAlignment="1">
      <alignment horizontal="left" vertical="top" wrapText="1"/>
    </xf>
    <xf numFmtId="174" fontId="51" fillId="0" borderId="0" xfId="0" applyFont="1" applyAlignment="1">
      <alignment horizontal="left" vertical="top" wrapText="1"/>
    </xf>
    <xf numFmtId="174" fontId="51" fillId="0" borderId="0" xfId="0" applyFont="1" applyAlignment="1">
      <alignment horizontal="left" vertical="center"/>
    </xf>
    <xf numFmtId="0" fontId="103" fillId="40" borderId="30" xfId="164" applyFont="1" applyFill="1" applyBorder="1" applyAlignment="1">
      <alignment horizontal="center"/>
      <protection/>
    </xf>
    <xf numFmtId="0" fontId="103" fillId="40" borderId="58" xfId="164" applyFont="1" applyFill="1" applyBorder="1" applyAlignment="1">
      <alignment horizontal="center"/>
      <protection/>
    </xf>
    <xf numFmtId="0" fontId="103" fillId="40" borderId="31" xfId="164" applyFont="1" applyFill="1" applyBorder="1" applyAlignment="1">
      <alignment horizontal="center"/>
      <protection/>
    </xf>
    <xf numFmtId="0" fontId="103" fillId="32" borderId="30" xfId="164" applyFont="1" applyFill="1" applyBorder="1" applyAlignment="1">
      <alignment horizontal="center"/>
      <protection/>
    </xf>
    <xf numFmtId="0" fontId="103" fillId="32" borderId="31" xfId="164" applyFont="1" applyFill="1" applyBorder="1" applyAlignment="1">
      <alignment horizontal="center"/>
      <protection/>
    </xf>
    <xf numFmtId="174" fontId="51" fillId="0" borderId="0" xfId="0" applyFont="1" applyAlignment="1">
      <alignment horizontal="center" vertical="center"/>
    </xf>
    <xf numFmtId="0" fontId="27" fillId="0" borderId="0" xfId="148" applyFont="1" applyAlignment="1">
      <alignment horizontal="center"/>
      <protection/>
    </xf>
    <xf numFmtId="0" fontId="7" fillId="0" borderId="0" xfId="148" applyFont="1" applyAlignment="1">
      <alignment horizontal="center"/>
      <protection/>
    </xf>
    <xf numFmtId="0" fontId="27" fillId="0" borderId="0" xfId="148" applyFont="1" applyAlignment="1">
      <alignment horizontal="left" wrapText="1"/>
      <protection/>
    </xf>
    <xf numFmtId="0" fontId="80" fillId="0" borderId="0" xfId="148" applyFont="1" applyAlignment="1">
      <alignment horizontal="left" wrapText="1"/>
      <protection/>
    </xf>
    <xf numFmtId="0" fontId="27" fillId="0" borderId="30" xfId="148" applyFont="1" applyBorder="1" applyAlignment="1">
      <alignment horizontal="center"/>
      <protection/>
    </xf>
    <xf numFmtId="0" fontId="27" fillId="0" borderId="58" xfId="148" applyFont="1" applyBorder="1" applyAlignment="1">
      <alignment horizontal="center"/>
      <protection/>
    </xf>
    <xf numFmtId="0" fontId="27" fillId="0" borderId="31" xfId="148" applyFont="1" applyBorder="1" applyAlignment="1">
      <alignment horizontal="center"/>
      <protection/>
    </xf>
    <xf numFmtId="0" fontId="27" fillId="0" borderId="34" xfId="148" applyFont="1" applyBorder="1" applyAlignment="1">
      <alignment horizontal="center"/>
      <protection/>
    </xf>
    <xf numFmtId="0" fontId="27" fillId="0" borderId="35" xfId="148" applyFont="1" applyBorder="1" applyAlignment="1">
      <alignment horizontal="center"/>
      <protection/>
    </xf>
    <xf numFmtId="0" fontId="27" fillId="0" borderId="36" xfId="148" applyFont="1" applyBorder="1" applyAlignment="1">
      <alignment horizontal="center"/>
      <protection/>
    </xf>
    <xf numFmtId="0" fontId="27" fillId="0" borderId="55" xfId="148" applyFont="1" applyBorder="1" applyAlignment="1">
      <alignment horizontal="center"/>
      <protection/>
    </xf>
    <xf numFmtId="0" fontId="27" fillId="0" borderId="6" xfId="148" applyFont="1" applyBorder="1" applyAlignment="1">
      <alignment horizontal="center"/>
      <protection/>
    </xf>
    <xf numFmtId="0" fontId="27" fillId="0" borderId="56" xfId="148" applyFont="1" applyBorder="1" applyAlignment="1">
      <alignment horizontal="center"/>
      <protection/>
    </xf>
    <xf numFmtId="0" fontId="103" fillId="0" borderId="30" xfId="164" applyFont="1" applyBorder="1" applyAlignment="1">
      <alignment horizontal="center"/>
      <protection/>
    </xf>
    <xf numFmtId="0" fontId="103" fillId="0" borderId="31" xfId="164" applyFont="1" applyBorder="1" applyAlignment="1">
      <alignment horizontal="center"/>
      <protection/>
    </xf>
    <xf numFmtId="0" fontId="112" fillId="0" borderId="0" xfId="170" applyFont="1" applyAlignment="1">
      <alignment horizontal="center"/>
      <protection/>
    </xf>
    <xf numFmtId="174" fontId="51" fillId="0" borderId="0" xfId="0" applyFont="1" applyAlignment="1">
      <alignment horizontal="left" vertical="center" wrapText="1"/>
    </xf>
    <xf numFmtId="0" fontId="5" fillId="0" borderId="0" xfId="145" applyFont="1" applyAlignment="1">
      <alignment horizontal="left" vertical="top" wrapText="1"/>
      <protection/>
    </xf>
    <xf numFmtId="0" fontId="67" fillId="0" borderId="0" xfId="145" applyFont="1" applyAlignment="1">
      <alignment horizontal="left" vertical="top" wrapText="1"/>
      <protection/>
    </xf>
    <xf numFmtId="0" fontId="5" fillId="0" borderId="0" xfId="153" applyAlignment="1">
      <alignment horizontal="center"/>
      <protection/>
    </xf>
    <xf numFmtId="49" fontId="7" fillId="0" borderId="0" xfId="0" applyNumberFormat="1" applyFont="1" applyAlignment="1">
      <alignment horizontal="center"/>
    </xf>
    <xf numFmtId="3" fontId="12" fillId="0" borderId="0" xfId="0" applyNumberFormat="1" applyFont="1" applyAlignment="1">
      <alignment horizontal="center"/>
    </xf>
    <xf numFmtId="174" fontId="12" fillId="0" borderId="0" xfId="0" applyFont="1" applyAlignment="1">
      <alignment horizontal="left" wrapText="1"/>
    </xf>
    <xf numFmtId="174" fontId="12" fillId="0" borderId="0" xfId="0" applyFont="1" applyAlignment="1">
      <alignment horizontal="left"/>
    </xf>
    <xf numFmtId="174" fontId="12" fillId="0" borderId="23" xfId="0" applyFont="1" applyBorder="1" applyAlignment="1">
      <alignment horizontal="center"/>
    </xf>
    <xf numFmtId="174" fontId="12" fillId="0" borderId="2" xfId="0" applyFont="1" applyBorder="1" applyAlignment="1">
      <alignment horizontal="center"/>
    </xf>
    <xf numFmtId="174" fontId="12" fillId="0" borderId="29" xfId="0" applyFont="1" applyBorder="1" applyAlignment="1">
      <alignment horizontal="center"/>
    </xf>
    <xf numFmtId="174" fontId="7" fillId="0" borderId="0" xfId="0" applyFont="1" applyAlignment="1">
      <alignment horizontal="center"/>
    </xf>
    <xf numFmtId="3" fontId="12" fillId="0" borderId="0" xfId="0" applyNumberFormat="1" applyFont="1" applyAlignment="1" applyProtection="1">
      <alignment horizontal="center"/>
      <protection locked="0"/>
    </xf>
    <xf numFmtId="174" fontId="33" fillId="0" borderId="0" xfId="0" applyFont="1" applyAlignment="1">
      <alignment horizontal="center"/>
    </xf>
    <xf numFmtId="3" fontId="32" fillId="0" borderId="0" xfId="0" applyNumberFormat="1" applyFont="1" applyAlignment="1" applyProtection="1">
      <alignment horizontal="center"/>
      <protection locked="0"/>
    </xf>
    <xf numFmtId="0" fontId="12" fillId="0" borderId="0" xfId="0" applyNumberFormat="1" applyFont="1" applyAlignment="1" applyProtection="1">
      <alignment horizontal="center"/>
      <protection locked="0"/>
    </xf>
    <xf numFmtId="174" fontId="33" fillId="0" borderId="0" xfId="0" applyFont="1" applyAlignment="1">
      <alignment horizontal="center" vertical="center"/>
    </xf>
    <xf numFmtId="0" fontId="60" fillId="0" borderId="0" xfId="0" applyNumberFormat="1" applyFont="1" applyAlignment="1" applyProtection="1">
      <alignment horizontal="center"/>
      <protection locked="0"/>
    </xf>
    <xf numFmtId="174" fontId="32" fillId="0" borderId="0" xfId="0" applyFont="1" applyAlignment="1">
      <alignment horizontal="left" vertical="top" wrapText="1"/>
    </xf>
    <xf numFmtId="0" fontId="114" fillId="0" borderId="0" xfId="0" applyNumberFormat="1" applyFont="1" applyAlignment="1">
      <alignment horizontal="left" vertical="top" wrapText="1"/>
    </xf>
    <xf numFmtId="0" fontId="2" fillId="0" borderId="0" xfId="177" applyAlignment="1">
      <alignment horizontal="center"/>
      <protection/>
    </xf>
    <xf numFmtId="0" fontId="2" fillId="0" borderId="11" xfId="177" applyBorder="1" applyAlignment="1">
      <alignment horizontal="center"/>
      <protection/>
    </xf>
    <xf numFmtId="0" fontId="2" fillId="0" borderId="2" xfId="177" applyBorder="1" applyAlignment="1">
      <alignment horizontal="center"/>
      <protection/>
    </xf>
    <xf numFmtId="0" fontId="114" fillId="0" borderId="0" xfId="0" applyNumberFormat="1" applyFont="1" applyAlignment="1">
      <alignment vertical="top" wrapText="1"/>
    </xf>
    <xf numFmtId="174" fontId="52" fillId="0" borderId="0" xfId="0" applyFont="1" applyAlignment="1">
      <alignment vertical="top" wrapText="1"/>
    </xf>
    <xf numFmtId="174" fontId="52" fillId="0" borderId="0" xfId="0" applyFont="1" applyAlignment="1">
      <alignment horizontal="left" vertical="top" wrapText="1"/>
    </xf>
    <xf numFmtId="174" fontId="108" fillId="0" borderId="0" xfId="0" applyFont="1" applyAlignment="1">
      <alignment horizontal="center"/>
    </xf>
    <xf numFmtId="174" fontId="114" fillId="0" borderId="0" xfId="0" applyFont="1" applyAlignment="1">
      <alignment horizontal="center"/>
    </xf>
    <xf numFmtId="0" fontId="114" fillId="0" borderId="0" xfId="252" applyFont="1" applyAlignment="1">
      <alignment horizontal="left" vertical="top" wrapText="1"/>
      <protection/>
    </xf>
    <xf numFmtId="0" fontId="114" fillId="0" borderId="0" xfId="148" applyFont="1" applyAlignment="1">
      <alignment horizontal="left" vertical="top" wrapText="1"/>
      <protection/>
    </xf>
    <xf numFmtId="0" fontId="114" fillId="0" borderId="57" xfId="153" applyFont="1" applyBorder="1" applyAlignment="1">
      <alignment horizontal="center" vertical="center"/>
      <protection/>
    </xf>
    <xf numFmtId="0" fontId="114" fillId="0" borderId="28" xfId="153" applyFont="1" applyBorder="1" applyAlignment="1">
      <alignment horizontal="center" vertical="center"/>
      <protection/>
    </xf>
    <xf numFmtId="0" fontId="114" fillId="0" borderId="53" xfId="153" applyFont="1" applyBorder="1" applyAlignment="1">
      <alignment horizontal="center" vertical="center"/>
      <protection/>
    </xf>
    <xf numFmtId="0" fontId="114" fillId="0" borderId="57" xfId="153" applyFont="1" applyBorder="1" applyAlignment="1">
      <alignment horizontal="center" vertical="center" wrapText="1"/>
      <protection/>
    </xf>
    <xf numFmtId="0" fontId="114" fillId="0" borderId="28" xfId="153" applyFont="1" applyBorder="1" applyAlignment="1">
      <alignment horizontal="center" vertical="center" wrapText="1"/>
      <protection/>
    </xf>
    <xf numFmtId="0" fontId="114" fillId="0" borderId="53" xfId="153" applyFont="1" applyBorder="1" applyAlignment="1">
      <alignment horizontal="center" vertical="center" wrapText="1"/>
      <protection/>
    </xf>
    <xf numFmtId="174" fontId="12" fillId="0" borderId="0" xfId="0" applyFont="1" applyAlignment="1">
      <alignment horizontal="left" vertical="center" wrapText="1"/>
    </xf>
    <xf numFmtId="174" fontId="5" fillId="0" borderId="0" xfId="0" applyFont="1" applyAlignment="1">
      <alignment horizontal="left" vertical="center" wrapText="1"/>
    </xf>
  </cellXfs>
  <cellStyles count="241">
    <cellStyle name="Normal" xfId="0" builtinId="0"/>
    <cellStyle name="Percent" xfId="15" builtinId="5"/>
    <cellStyle name="Currency" xfId="16" builtinId="4"/>
    <cellStyle name="Currency [0]" xfId="17" builtinId="7"/>
    <cellStyle name="Comma" xfId="18" builtinId="3"/>
    <cellStyle name="Comma [0]" xfId="19" builtinId="6"/>
    <cellStyle name="20% - Accent1" xfId="20" builtinId="30"/>
    <cellStyle name="20% - Accent2" xfId="21" builtinId="34"/>
    <cellStyle name="20% - Accent3" xfId="22" builtinId="38"/>
    <cellStyle name="20% - Accent4" xfId="23" builtinId="42"/>
    <cellStyle name="20% - Accent5" xfId="24" builtinId="46"/>
    <cellStyle name="20% - Accent6" xfId="25" builtinId="50"/>
    <cellStyle name="40% - Accent1" xfId="26" builtinId="31"/>
    <cellStyle name="40% - Accent2" xfId="27" builtinId="35"/>
    <cellStyle name="40% - Accent3" xfId="28" builtinId="39"/>
    <cellStyle name="40% - Accent4" xfId="29" builtinId="43"/>
    <cellStyle name="40% - Accent5" xfId="30" builtinId="47"/>
    <cellStyle name="40% - Accent6" xfId="31" builtinId="51"/>
    <cellStyle name="60% - Accent1" xfId="32" builtinId="32"/>
    <cellStyle name="60% - Accent2" xfId="33" builtinId="36"/>
    <cellStyle name="60% - Accent3" xfId="34" builtinId="40"/>
    <cellStyle name="60% - Accent4" xfId="35" builtinId="44"/>
    <cellStyle name="60% - Accent5" xfId="36" builtinId="48"/>
    <cellStyle name="60% - Accent6" xfId="37" builtinId="52"/>
    <cellStyle name="Accent1" xfId="38" builtinId="29"/>
    <cellStyle name="Accent2" xfId="39" builtinId="33"/>
    <cellStyle name="Accent3" xfId="40" builtinId="37"/>
    <cellStyle name="Accent4" xfId="41" builtinId="41"/>
    <cellStyle name="Accent5" xfId="42" builtinId="45"/>
    <cellStyle name="Accent6" xfId="43" builtinId="49"/>
    <cellStyle name="Bad" xfId="44" builtinId="27"/>
    <cellStyle name="C00A" xfId="45"/>
    <cellStyle name="C00B" xfId="46"/>
    <cellStyle name="C00L" xfId="47"/>
    <cellStyle name="C01A" xfId="48"/>
    <cellStyle name="C01B" xfId="49"/>
    <cellStyle name="C01H" xfId="50"/>
    <cellStyle name="C01L" xfId="51"/>
    <cellStyle name="C02A" xfId="52"/>
    <cellStyle name="C02B" xfId="53"/>
    <cellStyle name="C02H" xfId="54"/>
    <cellStyle name="C02L" xfId="55"/>
    <cellStyle name="C03A" xfId="56"/>
    <cellStyle name="C03B" xfId="57"/>
    <cellStyle name="C03H" xfId="58"/>
    <cellStyle name="C03L" xfId="59"/>
    <cellStyle name="C04A" xfId="60"/>
    <cellStyle name="C04B" xfId="61"/>
    <cellStyle name="C04H" xfId="62"/>
    <cellStyle name="C04L" xfId="63"/>
    <cellStyle name="C05A" xfId="64"/>
    <cellStyle name="C05B" xfId="65"/>
    <cellStyle name="C05H" xfId="66"/>
    <cellStyle name="C05L" xfId="67"/>
    <cellStyle name="C06A" xfId="68"/>
    <cellStyle name="C06B" xfId="69"/>
    <cellStyle name="C06H" xfId="70"/>
    <cellStyle name="C06L" xfId="71"/>
    <cellStyle name="C07A" xfId="72"/>
    <cellStyle name="C07B" xfId="73"/>
    <cellStyle name="C07H" xfId="74"/>
    <cellStyle name="C07L" xfId="75"/>
    <cellStyle name="Calculation" xfId="76" builtinId="22"/>
    <cellStyle name="Check Cell" xfId="77" builtinId="23"/>
    <cellStyle name="Comma 2" xfId="78"/>
    <cellStyle name="Comma 2 2" xfId="79"/>
    <cellStyle name="Comma0" xfId="80"/>
    <cellStyle name="Currency0" xfId="81"/>
    <cellStyle name="Date" xfId="82"/>
    <cellStyle name="Explanatory Text" xfId="83" builtinId="53"/>
    <cellStyle name="Fixed" xfId="84"/>
    <cellStyle name="Good" xfId="85" builtinId="26"/>
    <cellStyle name="Heading 1" xfId="86" builtinId="16"/>
    <cellStyle name="Heading 2" xfId="87" builtinId="17"/>
    <cellStyle name="Heading 3" xfId="88" builtinId="18"/>
    <cellStyle name="Heading 4" xfId="89" builtinId="19"/>
    <cellStyle name="Heading1" xfId="90"/>
    <cellStyle name="Heading2" xfId="91"/>
    <cellStyle name="Input" xfId="92" builtinId="20"/>
    <cellStyle name="Linked Cell" xfId="93" builtinId="24"/>
    <cellStyle name="Neutral" xfId="94" builtinId="28"/>
    <cellStyle name="Normal 2" xfId="95"/>
    <cellStyle name="Normal 2 2" xfId="96"/>
    <cellStyle name="Normal 3" xfId="97"/>
    <cellStyle name="Normal 3 2" xfId="98"/>
    <cellStyle name="Normal_ATSI Attachment H-20A-Appendix A- Schedule 1A_7-29-2010 " xfId="99"/>
    <cellStyle name="Note" xfId="100" builtinId="10"/>
    <cellStyle name="Output" xfId="101" builtinId="21"/>
    <cellStyle name="Percent 2 2" xfId="102"/>
    <cellStyle name="PSChar" xfId="103"/>
    <cellStyle name="PSDate" xfId="104"/>
    <cellStyle name="PSDec" xfId="105"/>
    <cellStyle name="PSdesc" xfId="106"/>
    <cellStyle name="PSHeading" xfId="107"/>
    <cellStyle name="PSInt" xfId="108"/>
    <cellStyle name="PSSpacer" xfId="109"/>
    <cellStyle name="PStest" xfId="110"/>
    <cellStyle name="R00A" xfId="111"/>
    <cellStyle name="R00B" xfId="112"/>
    <cellStyle name="R00L" xfId="113"/>
    <cellStyle name="R01A" xfId="114"/>
    <cellStyle name="R01B" xfId="115"/>
    <cellStyle name="R01H" xfId="116"/>
    <cellStyle name="R01L" xfId="117"/>
    <cellStyle name="R02A" xfId="118"/>
    <cellStyle name="R02B" xfId="119"/>
    <cellStyle name="R02H" xfId="120"/>
    <cellStyle name="R02L" xfId="121"/>
    <cellStyle name="R03A" xfId="122"/>
    <cellStyle name="R03B" xfId="123"/>
    <cellStyle name="R03H" xfId="124"/>
    <cellStyle name="R03L" xfId="125"/>
    <cellStyle name="R04A" xfId="126"/>
    <cellStyle name="R04B" xfId="127"/>
    <cellStyle name="R04H" xfId="128"/>
    <cellStyle name="R04L" xfId="129"/>
    <cellStyle name="R05A" xfId="130"/>
    <cellStyle name="R05B" xfId="131"/>
    <cellStyle name="R05H" xfId="132"/>
    <cellStyle name="R05L" xfId="133"/>
    <cellStyle name="R06A" xfId="134"/>
    <cellStyle name="R06B" xfId="135"/>
    <cellStyle name="R06H" xfId="136"/>
    <cellStyle name="R06L" xfId="137"/>
    <cellStyle name="R07A" xfId="138"/>
    <cellStyle name="R07B" xfId="139"/>
    <cellStyle name="R07H" xfId="140"/>
    <cellStyle name="R07L" xfId="141"/>
    <cellStyle name="Title" xfId="142" builtinId="15"/>
    <cellStyle name="Total" xfId="143" builtinId="25"/>
    <cellStyle name="Warning Text" xfId="144" builtinId="11"/>
    <cellStyle name="Normal 4" xfId="145"/>
    <cellStyle name="Percent 2" xfId="146"/>
    <cellStyle name="Currency 2" xfId="147"/>
    <cellStyle name="Normal 5" xfId="148"/>
    <cellStyle name="Comma 3" xfId="149"/>
    <cellStyle name="Percent 3" xfId="150"/>
    <cellStyle name="Normal_21 Exh B" xfId="151"/>
    <cellStyle name="Comma 2 3" xfId="152"/>
    <cellStyle name="Normal 6" xfId="153"/>
    <cellStyle name="Currency 3" xfId="154"/>
    <cellStyle name="Comma 3 2" xfId="155"/>
    <cellStyle name="Comma 4" xfId="156"/>
    <cellStyle name="Percent 2 2 2" xfId="157"/>
    <cellStyle name="Currency 2 2" xfId="158"/>
    <cellStyle name="Normal_Attachment Os for 2002 True-up" xfId="159"/>
    <cellStyle name="Normal 10 2" xfId="160"/>
    <cellStyle name="Normal 20" xfId="161"/>
    <cellStyle name="Comma 20" xfId="162"/>
    <cellStyle name="Comma 21" xfId="163"/>
    <cellStyle name="Normal 7" xfId="164"/>
    <cellStyle name="Comma 5" xfId="165"/>
    <cellStyle name="Normal 8" xfId="166"/>
    <cellStyle name="Comma 6" xfId="167"/>
    <cellStyle name="Normal 9" xfId="168"/>
    <cellStyle name="Comma 7" xfId="169"/>
    <cellStyle name="Normal 2 3" xfId="170"/>
    <cellStyle name="Comma 2 4" xfId="171"/>
    <cellStyle name="SAPBEXstdData" xfId="172"/>
    <cellStyle name="SAPBEXstdItem" xfId="173"/>
    <cellStyle name="SAPBEXaggData" xfId="174"/>
    <cellStyle name="Comma [0] 2" xfId="175"/>
    <cellStyle name="Comma 8" xfId="176"/>
    <cellStyle name="Normal 10" xfId="177"/>
    <cellStyle name="Comma 9" xfId="178"/>
    <cellStyle name="C05L 2" xfId="179"/>
    <cellStyle name="Comma 2 2 2" xfId="180"/>
    <cellStyle name="Heading 2 2" xfId="181"/>
    <cellStyle name="Normal 2 2 2" xfId="182"/>
    <cellStyle name="Normal 3 3" xfId="183"/>
    <cellStyle name="Normal 3 2 2" xfId="184"/>
    <cellStyle name="PSChar 2" xfId="185"/>
    <cellStyle name="PSDate 2" xfId="186"/>
    <cellStyle name="PSDec 2" xfId="187"/>
    <cellStyle name="PSHeading 2" xfId="188"/>
    <cellStyle name="PSInt 2" xfId="189"/>
    <cellStyle name="PSSpacer 2" xfId="190"/>
    <cellStyle name="R05L 2" xfId="191"/>
    <cellStyle name="Normal 4 2" xfId="192"/>
    <cellStyle name="Percent 2 3" xfId="193"/>
    <cellStyle name="Normal 6 2" xfId="194"/>
    <cellStyle name="Normal 7 2" xfId="195"/>
    <cellStyle name="Comma 5 2" xfId="196"/>
    <cellStyle name="Normal 9 2" xfId="197"/>
    <cellStyle name="Comma 7 2" xfId="198"/>
    <cellStyle name="Comma [0] 2 2" xfId="199"/>
    <cellStyle name="Comma 8 2" xfId="200"/>
    <cellStyle name="Normal 10 3" xfId="201"/>
    <cellStyle name="Comma 9 2" xfId="202"/>
    <cellStyle name="Normal 11" xfId="203"/>
    <cellStyle name="Title 2" xfId="204"/>
    <cellStyle name="Heading 1 2" xfId="205"/>
    <cellStyle name="Heading 2 3" xfId="206"/>
    <cellStyle name="Heading 3 2" xfId="207"/>
    <cellStyle name="Heading 4 2" xfId="208"/>
    <cellStyle name="Good 2" xfId="209"/>
    <cellStyle name="Bad 2" xfId="210"/>
    <cellStyle name="Neutral 2" xfId="211"/>
    <cellStyle name="Input 2" xfId="212"/>
    <cellStyle name="Output 2" xfId="213"/>
    <cellStyle name="Calculation 2" xfId="214"/>
    <cellStyle name="Linked Cell 2" xfId="215"/>
    <cellStyle name="Check Cell 2" xfId="216"/>
    <cellStyle name="Warning Text 2" xfId="217"/>
    <cellStyle name="Note 2" xfId="218"/>
    <cellStyle name="Explanatory Text 2" xfId="219"/>
    <cellStyle name="Total 2" xfId="220"/>
    <cellStyle name="Accent1 2" xfId="221"/>
    <cellStyle name="20% - Accent1 2" xfId="222"/>
    <cellStyle name="40% - Accent1 2" xfId="223"/>
    <cellStyle name="60% - Accent1 2" xfId="224"/>
    <cellStyle name="Accent2 2" xfId="225"/>
    <cellStyle name="20% - Accent2 2" xfId="226"/>
    <cellStyle name="40% - Accent2 2" xfId="227"/>
    <cellStyle name="60% - Accent2 2" xfId="228"/>
    <cellStyle name="Accent3 2" xfId="229"/>
    <cellStyle name="20% - Accent3 2" xfId="230"/>
    <cellStyle name="40% - Accent3 2" xfId="231"/>
    <cellStyle name="60% - Accent3 2" xfId="232"/>
    <cellStyle name="Accent4 2" xfId="233"/>
    <cellStyle name="20% - Accent4 2" xfId="234"/>
    <cellStyle name="40% - Accent4 2" xfId="235"/>
    <cellStyle name="60% - Accent4 2" xfId="236"/>
    <cellStyle name="Accent5 2" xfId="237"/>
    <cellStyle name="20% - Accent5 2" xfId="238"/>
    <cellStyle name="40% - Accent5 2" xfId="239"/>
    <cellStyle name="60% - Accent5 2" xfId="240"/>
    <cellStyle name="Accent6 2" xfId="241"/>
    <cellStyle name="20% - Accent6 2" xfId="242"/>
    <cellStyle name="40% - Accent6 2" xfId="243"/>
    <cellStyle name="60% - Accent6 2" xfId="244"/>
    <cellStyle name="Comma 10" xfId="245"/>
    <cellStyle name="Comma 11" xfId="246"/>
    <cellStyle name="Normal 12" xfId="247"/>
    <cellStyle name="Normal 3 4" xfId="248"/>
    <cellStyle name="Comma 2 5" xfId="249"/>
    <cellStyle name="Comma [0] 2 3" xfId="250"/>
    <cellStyle name="Normal 2 4" xfId="251"/>
    <cellStyle name="Normal 5 2" xfId="252"/>
    <cellStyle name="Normal 2 3 2" xfId="253"/>
    <cellStyle name="Normal 6 5" xfId="25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 Id="rId9" Type="http://schemas.openxmlformats.org/officeDocument/2006/relationships/worksheet" Target="worksheets/sheet7.xml" /><Relationship Id="rId8" Type="http://schemas.openxmlformats.org/officeDocument/2006/relationships/worksheet" Target="worksheets/sheet6.xml" /><Relationship Id="rId36" Type="http://schemas.openxmlformats.org/officeDocument/2006/relationships/sharedStrings" Target="sharedStrings.xml" /><Relationship Id="rId34" Type="http://schemas.openxmlformats.org/officeDocument/2006/relationships/worksheet" Target="worksheets/sheet32.xml" /><Relationship Id="rId35" Type="http://schemas.openxmlformats.org/officeDocument/2006/relationships/worksheet" Target="worksheets/sheet33.xml" /><Relationship Id="rId6" Type="http://schemas.openxmlformats.org/officeDocument/2006/relationships/worksheet" Target="worksheets/sheet4.xml" /><Relationship Id="rId37" Type="http://schemas.openxmlformats.org/officeDocument/2006/relationships/calcChain" Target="calcChain.xml" /><Relationship Id="rId5" Type="http://schemas.openxmlformats.org/officeDocument/2006/relationships/worksheet" Target="worksheets/sheet3.xml" /><Relationship Id="rId31" Type="http://schemas.openxmlformats.org/officeDocument/2006/relationships/worksheet" Target="worksheets/sheet29.xml" /><Relationship Id="rId4" Type="http://schemas.openxmlformats.org/officeDocument/2006/relationships/worksheet" Target="worksheets/sheet2.xml" /><Relationship Id="rId33" Type="http://schemas.openxmlformats.org/officeDocument/2006/relationships/worksheet" Target="worksheets/sheet31.xml" /><Relationship Id="rId27" Type="http://schemas.openxmlformats.org/officeDocument/2006/relationships/worksheet" Target="worksheets/sheet25.xml" /><Relationship Id="rId2" Type="http://schemas.openxmlformats.org/officeDocument/2006/relationships/styles" Target="styles.xml" /><Relationship Id="rId1" Type="http://schemas.openxmlformats.org/officeDocument/2006/relationships/theme" Target="theme/theme1.xml" /><Relationship Id="rId7" Type="http://schemas.openxmlformats.org/officeDocument/2006/relationships/worksheet" Target="worksheets/sheet5.xml" /><Relationship Id="rId3" Type="http://schemas.openxmlformats.org/officeDocument/2006/relationships/worksheet" Target="worksheets/sheet1.xml" /><Relationship Id="rId30" Type="http://schemas.openxmlformats.org/officeDocument/2006/relationships/worksheet" Target="worksheets/sheet28.xml" /><Relationship Id="rId21" Type="http://schemas.openxmlformats.org/officeDocument/2006/relationships/worksheet" Target="worksheets/sheet19.xml" /><Relationship Id="rId32" Type="http://schemas.openxmlformats.org/officeDocument/2006/relationships/worksheet" Target="worksheets/sheet30.xml" /><Relationship Id="rId16" Type="http://schemas.openxmlformats.org/officeDocument/2006/relationships/worksheet" Target="worksheets/sheet14.xml" /><Relationship Id="rId22" Type="http://schemas.openxmlformats.org/officeDocument/2006/relationships/worksheet" Target="worksheets/sheet20.xml" /><Relationship Id="rId24" Type="http://schemas.openxmlformats.org/officeDocument/2006/relationships/worksheet" Target="worksheets/sheet22.xml" /><Relationship Id="rId14" Type="http://schemas.openxmlformats.org/officeDocument/2006/relationships/worksheet" Target="worksheets/sheet12.xml" /><Relationship Id="rId28" Type="http://schemas.openxmlformats.org/officeDocument/2006/relationships/worksheet" Target="worksheets/sheet26.xml" /><Relationship Id="rId29" Type="http://schemas.openxmlformats.org/officeDocument/2006/relationships/worksheet" Target="worksheets/sheet27.xml" /><Relationship Id="rId18" Type="http://schemas.openxmlformats.org/officeDocument/2006/relationships/worksheet" Target="worksheets/sheet16.xml" /><Relationship Id="rId19" Type="http://schemas.openxmlformats.org/officeDocument/2006/relationships/worksheet" Target="worksheets/sheet17.xml" /><Relationship Id="rId23" Type="http://schemas.openxmlformats.org/officeDocument/2006/relationships/worksheet" Target="worksheets/sheet21.xml" /><Relationship Id="rId25" Type="http://schemas.openxmlformats.org/officeDocument/2006/relationships/worksheet" Target="worksheets/sheet23.xml" /><Relationship Id="rId26" Type="http://schemas.openxmlformats.org/officeDocument/2006/relationships/worksheet" Target="worksheets/sheet24.xml" /><Relationship Id="rId15" Type="http://schemas.openxmlformats.org/officeDocument/2006/relationships/worksheet" Target="worksheets/sheet13.xml" /><Relationship Id="rId20" Type="http://schemas.openxmlformats.org/officeDocument/2006/relationships/worksheet" Target="worksheets/sheet18.xml" /><Relationship Id="rId17" Type="http://schemas.openxmlformats.org/officeDocument/2006/relationships/worksheet" Target="worksheets/sheet1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4" Type="http://schemas.openxmlformats.org/officeDocument/2006/relationships/printerSettings" Target="../printerSettings/printerSettings4.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2" Type="http://schemas.openxmlformats.org/officeDocument/2006/relationships/printerSettings" Target="../printerSettings/printerSettings34.bin" /><Relationship Id="rId3" Type="http://schemas.openxmlformats.org/officeDocument/2006/relationships/printerSettings" Target="../printerSettings/printerSettings35.bin" /><Relationship Id="rId1" Type="http://schemas.openxmlformats.org/officeDocument/2006/relationships/printerSettings" Target="../printerSettings/printerSettings33.bin" /></Relationships>
</file>

<file path=xl/worksheets/_rels/sheet11.xml.rels><?xml version="1.0" encoding="UTF-8" standalone="yes"?><Relationships xmlns="http://schemas.openxmlformats.org/package/2006/relationships"><Relationship Id="rId2" Type="http://schemas.openxmlformats.org/officeDocument/2006/relationships/printerSettings" Target="../printerSettings/printerSettings37.bin" /><Relationship Id="rId3" Type="http://schemas.openxmlformats.org/officeDocument/2006/relationships/printerSettings" Target="../printerSettings/printerSettings38.bin" /><Relationship Id="rId1" Type="http://schemas.openxmlformats.org/officeDocument/2006/relationships/printerSettings" Target="../printerSettings/printerSettings36.bin" /></Relationships>
</file>

<file path=xl/worksheets/_rels/sheet12.xml.rels><?xml version="1.0" encoding="UTF-8" standalone="yes"?><Relationships xmlns="http://schemas.openxmlformats.org/package/2006/relationships"><Relationship Id="rId2" Type="http://schemas.openxmlformats.org/officeDocument/2006/relationships/printerSettings" Target="../printerSettings/printerSettings40.bin" /><Relationship Id="rId3" Type="http://schemas.openxmlformats.org/officeDocument/2006/relationships/printerSettings" Target="../printerSettings/printerSettings41.bin" /><Relationship Id="rId1" Type="http://schemas.openxmlformats.org/officeDocument/2006/relationships/printerSettings" Target="../printerSettings/printerSettings39.bin" /></Relationships>
</file>

<file path=xl/worksheets/_rels/sheet13.xml.rels><?xml version="1.0" encoding="UTF-8" standalone="yes"?><Relationships xmlns="http://schemas.openxmlformats.org/package/2006/relationships"><Relationship Id="rId4" Type="http://schemas.openxmlformats.org/officeDocument/2006/relationships/printerSettings" Target="../printerSettings/printerSettings45.bin" /><Relationship Id="rId2" Type="http://schemas.openxmlformats.org/officeDocument/2006/relationships/printerSettings" Target="../printerSettings/printerSettings43.bin" /><Relationship Id="rId3" Type="http://schemas.openxmlformats.org/officeDocument/2006/relationships/printerSettings" Target="../printerSettings/printerSettings44.bin" /><Relationship Id="rId1" Type="http://schemas.openxmlformats.org/officeDocument/2006/relationships/printerSettings" Target="../printerSettings/printerSettings42.bin" /></Relationships>
</file>

<file path=xl/worksheets/_rels/sheet14.xml.rels><?xml version="1.0" encoding="UTF-8" standalone="yes"?><Relationships xmlns="http://schemas.openxmlformats.org/package/2006/relationships"><Relationship Id="rId4" Type="http://schemas.openxmlformats.org/officeDocument/2006/relationships/printerSettings" Target="../printerSettings/printerSettings49.bin" /><Relationship Id="rId2" Type="http://schemas.openxmlformats.org/officeDocument/2006/relationships/printerSettings" Target="../printerSettings/printerSettings47.bin" /><Relationship Id="rId3" Type="http://schemas.openxmlformats.org/officeDocument/2006/relationships/printerSettings" Target="../printerSettings/printerSettings48.bin" /><Relationship Id="rId1" Type="http://schemas.openxmlformats.org/officeDocument/2006/relationships/printerSettings" Target="../printerSettings/printerSettings46.bin" /></Relationships>
</file>

<file path=xl/worksheets/_rels/sheet15.xml.rels><?xml version="1.0" encoding="UTF-8" standalone="yes"?><Relationships xmlns="http://schemas.openxmlformats.org/package/2006/relationships"><Relationship Id="rId2" Type="http://schemas.openxmlformats.org/officeDocument/2006/relationships/printerSettings" Target="../printerSettings/printerSettings51.bin" /><Relationship Id="rId3" Type="http://schemas.openxmlformats.org/officeDocument/2006/relationships/printerSettings" Target="../printerSettings/printerSettings52.bin" /><Relationship Id="rId1" Type="http://schemas.openxmlformats.org/officeDocument/2006/relationships/printerSettings" Target="../printerSettings/printerSettings50.bin" /></Relationships>
</file>

<file path=xl/worksheets/_rels/sheet16.xml.rels><?xml version="1.0" encoding="UTF-8" standalone="yes"?><Relationships xmlns="http://schemas.openxmlformats.org/package/2006/relationships"><Relationship Id="rId2" Type="http://schemas.openxmlformats.org/officeDocument/2006/relationships/printerSettings" Target="../printerSettings/printerSettings54.bin" /><Relationship Id="rId3" Type="http://schemas.openxmlformats.org/officeDocument/2006/relationships/printerSettings" Target="../printerSettings/printerSettings55.bin" /><Relationship Id="rId1" Type="http://schemas.openxmlformats.org/officeDocument/2006/relationships/printerSettings" Target="../printerSettings/printerSettings53.bin" /></Relationships>
</file>

<file path=xl/worksheets/_rels/sheet17.xml.rels><?xml version="1.0" encoding="UTF-8" standalone="yes"?><Relationships xmlns="http://schemas.openxmlformats.org/package/2006/relationships"><Relationship Id="rId4" Type="http://schemas.openxmlformats.org/officeDocument/2006/relationships/printerSettings" Target="../printerSettings/printerSettings59.bin" /><Relationship Id="rId2" Type="http://schemas.openxmlformats.org/officeDocument/2006/relationships/printerSettings" Target="../printerSettings/printerSettings57.bin" /><Relationship Id="rId3" Type="http://schemas.openxmlformats.org/officeDocument/2006/relationships/printerSettings" Target="../printerSettings/printerSettings58.bin" /><Relationship Id="rId1" Type="http://schemas.openxmlformats.org/officeDocument/2006/relationships/printerSettings" Target="../printerSettings/printerSettings56.bin" /></Relationships>
</file>

<file path=xl/worksheets/_rels/sheet18.xml.rels><?xml version="1.0" encoding="UTF-8" standalone="yes"?><Relationships xmlns="http://schemas.openxmlformats.org/package/2006/relationships"><Relationship Id="rId2" Type="http://schemas.openxmlformats.org/officeDocument/2006/relationships/printerSettings" Target="../printerSettings/printerSettings61.bin" /><Relationship Id="rId3" Type="http://schemas.openxmlformats.org/officeDocument/2006/relationships/printerSettings" Target="../printerSettings/printerSettings62.bin" /><Relationship Id="rId1" Type="http://schemas.openxmlformats.org/officeDocument/2006/relationships/printerSettings" Target="../printerSettings/printerSettings60.bin" /></Relationships>
</file>

<file path=xl/worksheets/_rels/sheet19.xml.rels><?xml version="1.0" encoding="UTF-8" standalone="yes"?><Relationships xmlns="http://schemas.openxmlformats.org/package/2006/relationships"><Relationship Id="rId4" Type="http://schemas.openxmlformats.org/officeDocument/2006/relationships/printerSettings" Target="../printerSettings/printerSettings66.bin" /><Relationship Id="rId2" Type="http://schemas.openxmlformats.org/officeDocument/2006/relationships/printerSettings" Target="../printerSettings/printerSettings64.bin" /><Relationship Id="rId3" Type="http://schemas.openxmlformats.org/officeDocument/2006/relationships/printerSettings" Target="../printerSettings/printerSettings65.bin" /><Relationship Id="rId1" Type="http://schemas.openxmlformats.org/officeDocument/2006/relationships/printerSettings" Target="../printerSettings/printerSettings63.bin" /></Relationships>
</file>

<file path=xl/worksheets/_rels/sheet2.xml.rels><?xml version="1.0" encoding="UTF-8" standalone="yes"?><Relationships xmlns="http://schemas.openxmlformats.org/package/2006/relationships"><Relationship Id="rId4" Type="http://schemas.openxmlformats.org/officeDocument/2006/relationships/printerSettings" Target="../printerSettings/printerSettings8.bin" /><Relationship Id="rId2" Type="http://schemas.openxmlformats.org/officeDocument/2006/relationships/printerSettings" Target="../printerSettings/printerSettings6.bin" /><Relationship Id="rId3" Type="http://schemas.openxmlformats.org/officeDocument/2006/relationships/printerSettings" Target="../printerSettings/printerSettings7.bin" /><Relationship Id="rId1" Type="http://schemas.openxmlformats.org/officeDocument/2006/relationships/printerSettings" Target="../printerSettings/printerSettings5.bin" /></Relationships>
</file>

<file path=xl/worksheets/_rels/sheet20.xml.rels><?xml version="1.0" encoding="UTF-8" standalone="yes"?><Relationships xmlns="http://schemas.openxmlformats.org/package/2006/relationships"><Relationship Id="rId2" Type="http://schemas.openxmlformats.org/officeDocument/2006/relationships/printerSettings" Target="../printerSettings/printerSettings68.bin" /><Relationship Id="rId3" Type="http://schemas.openxmlformats.org/officeDocument/2006/relationships/printerSettings" Target="../printerSettings/printerSettings69.bin" /><Relationship Id="rId1" Type="http://schemas.openxmlformats.org/officeDocument/2006/relationships/printerSettings" Target="../printerSettings/printerSettings67.bin" /></Relationships>
</file>

<file path=xl/worksheets/_rels/sheet21.xml.rels><?xml version="1.0" encoding="UTF-8" standalone="yes"?><Relationships xmlns="http://schemas.openxmlformats.org/package/2006/relationships"><Relationship Id="rId2" Type="http://schemas.openxmlformats.org/officeDocument/2006/relationships/printerSettings" Target="../printerSettings/printerSettings71.bin" /><Relationship Id="rId3" Type="http://schemas.openxmlformats.org/officeDocument/2006/relationships/printerSettings" Target="../printerSettings/printerSettings72.bin" /><Relationship Id="rId1" Type="http://schemas.openxmlformats.org/officeDocument/2006/relationships/printerSettings" Target="../printerSettings/printerSettings70.bin" /></Relationships>
</file>

<file path=xl/worksheets/_rels/sheet22.xml.rels><?xml version="1.0" encoding="UTF-8" standalone="yes"?><Relationships xmlns="http://schemas.openxmlformats.org/package/2006/relationships"><Relationship Id="rId2" Type="http://schemas.openxmlformats.org/officeDocument/2006/relationships/printerSettings" Target="../printerSettings/printerSettings74.bin" /><Relationship Id="rId3" Type="http://schemas.openxmlformats.org/officeDocument/2006/relationships/printerSettings" Target="../printerSettings/printerSettings75.bin" /><Relationship Id="rId1" Type="http://schemas.openxmlformats.org/officeDocument/2006/relationships/printerSettings" Target="../printerSettings/printerSettings73.bin" /></Relationships>
</file>

<file path=xl/worksheets/_rels/sheet23.xml.rels><?xml version="1.0" encoding="UTF-8" standalone="yes"?><Relationships xmlns="http://schemas.openxmlformats.org/package/2006/relationships"><Relationship Id="rId2" Type="http://schemas.openxmlformats.org/officeDocument/2006/relationships/printerSettings" Target="../printerSettings/printerSettings77.bin" /><Relationship Id="rId3" Type="http://schemas.openxmlformats.org/officeDocument/2006/relationships/printerSettings" Target="../printerSettings/printerSettings78.bin" /><Relationship Id="rId1" Type="http://schemas.openxmlformats.org/officeDocument/2006/relationships/printerSettings" Target="../printerSettings/printerSettings76.bin" /></Relationships>
</file>

<file path=xl/worksheets/_rels/sheet24.xml.rels><?xml version="1.0" encoding="UTF-8" standalone="yes"?><Relationships xmlns="http://schemas.openxmlformats.org/package/2006/relationships"><Relationship Id="rId1" Type="http://schemas.openxmlformats.org/officeDocument/2006/relationships/printerSettings" Target="../printerSettings/printerSettings79.bin" /></Relationships>
</file>

<file path=xl/worksheets/_rels/sheet25.xml.rels><?xml version="1.0" encoding="UTF-8" standalone="yes"?><Relationships xmlns="http://schemas.openxmlformats.org/package/2006/relationships"><Relationship Id="rId1" Type="http://schemas.openxmlformats.org/officeDocument/2006/relationships/printerSettings" Target="../printerSettings/printerSettings80.bin" /></Relationships>
</file>

<file path=xl/worksheets/_rels/sheet26.xml.rels><?xml version="1.0" encoding="UTF-8" standalone="yes"?><Relationships xmlns="http://schemas.openxmlformats.org/package/2006/relationships"><Relationship Id="rId2" Type="http://schemas.openxmlformats.org/officeDocument/2006/relationships/printerSettings" Target="../printerSettings/printerSettings82.bin" /><Relationship Id="rId3" Type="http://schemas.openxmlformats.org/officeDocument/2006/relationships/printerSettings" Target="../printerSettings/printerSettings83.bin" /><Relationship Id="rId1" Type="http://schemas.openxmlformats.org/officeDocument/2006/relationships/printerSettings" Target="../printerSettings/printerSettings81.bin" /></Relationships>
</file>

<file path=xl/worksheets/_rels/sheet27.xml.rels><?xml version="1.0" encoding="UTF-8" standalone="yes"?><Relationships xmlns="http://schemas.openxmlformats.org/package/2006/relationships"><Relationship Id="rId2" Type="http://schemas.openxmlformats.org/officeDocument/2006/relationships/printerSettings" Target="../printerSettings/printerSettings85.bin" /><Relationship Id="rId3" Type="http://schemas.openxmlformats.org/officeDocument/2006/relationships/printerSettings" Target="../printerSettings/printerSettings86.bin" /><Relationship Id="rId1" Type="http://schemas.openxmlformats.org/officeDocument/2006/relationships/printerSettings" Target="../printerSettings/printerSettings84.bin" /></Relationships>
</file>

<file path=xl/worksheets/_rels/sheet28.xml.rels><?xml version="1.0" encoding="UTF-8" standalone="yes"?><Relationships xmlns="http://schemas.openxmlformats.org/package/2006/relationships"><Relationship Id="rId2" Type="http://schemas.openxmlformats.org/officeDocument/2006/relationships/printerSettings" Target="../printerSettings/printerSettings88.bin" /><Relationship Id="rId3" Type="http://schemas.openxmlformats.org/officeDocument/2006/relationships/printerSettings" Target="../printerSettings/printerSettings89.bin" /><Relationship Id="rId1" Type="http://schemas.openxmlformats.org/officeDocument/2006/relationships/printerSettings" Target="../printerSettings/printerSettings87.bin" /></Relationships>
</file>

<file path=xl/worksheets/_rels/sheet29.xml.rels><?xml version="1.0" encoding="UTF-8" standalone="yes"?><Relationships xmlns="http://schemas.openxmlformats.org/package/2006/relationships"><Relationship Id="rId2" Type="http://schemas.openxmlformats.org/officeDocument/2006/relationships/printerSettings" Target="../printerSettings/printerSettings91.bin" /><Relationship Id="rId3" Type="http://schemas.openxmlformats.org/officeDocument/2006/relationships/printerSettings" Target="../printerSettings/printerSettings92.bin" /><Relationship Id="rId1" Type="http://schemas.openxmlformats.org/officeDocument/2006/relationships/printerSettings" Target="../printerSettings/printerSettings90.bin" /></Relationships>
</file>

<file path=xl/worksheets/_rels/sheet3.xml.rels><?xml version="1.0" encoding="UTF-8" standalone="yes"?><Relationships xmlns="http://schemas.openxmlformats.org/package/2006/relationships"><Relationship Id="rId2" Type="http://schemas.openxmlformats.org/officeDocument/2006/relationships/printerSettings" Target="../printerSettings/printerSettings10.bin" /><Relationship Id="rId3" Type="http://schemas.openxmlformats.org/officeDocument/2006/relationships/printerSettings" Target="../printerSettings/printerSettings11.bin" /><Relationship Id="rId1" Type="http://schemas.openxmlformats.org/officeDocument/2006/relationships/printerSettings" Target="../printerSettings/printerSettings9.bin" /></Relationships>
</file>

<file path=xl/worksheets/_rels/sheet30.xml.rels><?xml version="1.0" encoding="UTF-8" standalone="yes"?><Relationships xmlns="http://schemas.openxmlformats.org/package/2006/relationships"><Relationship Id="rId2" Type="http://schemas.openxmlformats.org/officeDocument/2006/relationships/printerSettings" Target="../printerSettings/printerSettings94.bin" /><Relationship Id="rId3" Type="http://schemas.openxmlformats.org/officeDocument/2006/relationships/printerSettings" Target="../printerSettings/printerSettings95.bin" /><Relationship Id="rId1" Type="http://schemas.openxmlformats.org/officeDocument/2006/relationships/printerSettings" Target="../printerSettings/printerSettings93.bin" /></Relationships>
</file>

<file path=xl/worksheets/_rels/sheet31.xml.rels><?xml version="1.0" encoding="UTF-8" standalone="yes"?><Relationships xmlns="http://schemas.openxmlformats.org/package/2006/relationships"><Relationship Id="rId2" Type="http://schemas.openxmlformats.org/officeDocument/2006/relationships/printerSettings" Target="../printerSettings/printerSettings97.bin" /><Relationship Id="rId3" Type="http://schemas.openxmlformats.org/officeDocument/2006/relationships/printerSettings" Target="../printerSettings/printerSettings98.bin" /><Relationship Id="rId1" Type="http://schemas.openxmlformats.org/officeDocument/2006/relationships/printerSettings" Target="../printerSettings/printerSettings96.bin" /></Relationships>
</file>

<file path=xl/worksheets/_rels/sheet32.xml.rels><?xml version="1.0" encoding="UTF-8" standalone="yes"?><Relationships xmlns="http://schemas.openxmlformats.org/package/2006/relationships"><Relationship Id="rId2" Type="http://schemas.openxmlformats.org/officeDocument/2006/relationships/printerSettings" Target="../printerSettings/printerSettings100.bin" /><Relationship Id="rId3" Type="http://schemas.openxmlformats.org/officeDocument/2006/relationships/printerSettings" Target="../printerSettings/printerSettings101.bin" /><Relationship Id="rId1" Type="http://schemas.openxmlformats.org/officeDocument/2006/relationships/printerSettings" Target="../printerSettings/printerSettings99.bin" /></Relationships>
</file>

<file path=xl/worksheets/_rels/sheet33.xml.rels><?xml version="1.0" encoding="UTF-8" standalone="yes"?><Relationships xmlns="http://schemas.openxmlformats.org/package/2006/relationships"><Relationship Id="rId2" Type="http://schemas.openxmlformats.org/officeDocument/2006/relationships/printerSettings" Target="../printerSettings/printerSettings103.bin" /><Relationship Id="rId3" Type="http://schemas.openxmlformats.org/officeDocument/2006/relationships/printerSettings" Target="../printerSettings/printerSettings104.bin" /><Relationship Id="rId1" Type="http://schemas.openxmlformats.org/officeDocument/2006/relationships/printerSettings" Target="../printerSettings/printerSettings102.bin" /></Relationships>
</file>

<file path=xl/worksheets/_rels/sheet4.xml.rels><?xml version="1.0" encoding="UTF-8" standalone="yes"?><Relationships xmlns="http://schemas.openxmlformats.org/package/2006/relationships"><Relationship Id="rId4" Type="http://schemas.openxmlformats.org/officeDocument/2006/relationships/printerSettings" Target="../printerSettings/printerSettings15.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 Id="rId1" Type="http://schemas.openxmlformats.org/officeDocument/2006/relationships/printerSettings" Target="../printerSettings/printerSettings12.bin" /></Relationships>
</file>

<file path=xl/worksheets/_rels/sheet5.xml.rels><?xml version="1.0" encoding="UTF-8" standalone="yes"?><Relationships xmlns="http://schemas.openxmlformats.org/package/2006/relationships"><Relationship Id="rId4" Type="http://schemas.openxmlformats.org/officeDocument/2006/relationships/printerSettings" Target="../printerSettings/printerSettings19.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 Id="rId1" Type="http://schemas.openxmlformats.org/officeDocument/2006/relationships/printerSettings" Target="../printerSettings/printerSettings16.bin" /></Relationships>
</file>

<file path=xl/worksheets/_rels/sheet6.xml.rels><?xml version="1.0" encoding="UTF-8" standalone="yes"?><Relationships xmlns="http://schemas.openxmlformats.org/package/2006/relationships"><Relationship Id="rId4" Type="http://schemas.openxmlformats.org/officeDocument/2006/relationships/printerSettings" Target="../printerSettings/printerSettings23.bin" /><Relationship Id="rId2" Type="http://schemas.openxmlformats.org/officeDocument/2006/relationships/printerSettings" Target="../printerSettings/printerSettings21.bin" /><Relationship Id="rId3" Type="http://schemas.openxmlformats.org/officeDocument/2006/relationships/printerSettings" Target="../printerSettings/printerSettings22.bin" /><Relationship Id="rId1" Type="http://schemas.openxmlformats.org/officeDocument/2006/relationships/printerSettings" Target="../printerSettings/printerSettings20.bin" /></Relationships>
</file>

<file path=xl/worksheets/_rels/sheet7.xml.rels><?xml version="1.0" encoding="UTF-8" standalone="yes"?><Relationships xmlns="http://schemas.openxmlformats.org/package/2006/relationships"><Relationship Id="rId2" Type="http://schemas.openxmlformats.org/officeDocument/2006/relationships/printerSettings" Target="../printerSettings/printerSettings25.bin" /><Relationship Id="rId3" Type="http://schemas.openxmlformats.org/officeDocument/2006/relationships/printerSettings" Target="../printerSettings/printerSettings26.bin" /><Relationship Id="rId1" Type="http://schemas.openxmlformats.org/officeDocument/2006/relationships/printerSettings" Target="../printerSettings/printerSettings24.bin" /></Relationships>
</file>

<file path=xl/worksheets/_rels/sheet8.xml.rels><?xml version="1.0" encoding="UTF-8" standalone="yes"?><Relationships xmlns="http://schemas.openxmlformats.org/package/2006/relationships"><Relationship Id="rId2" Type="http://schemas.openxmlformats.org/officeDocument/2006/relationships/printerSettings" Target="../printerSettings/printerSettings28.bin" /><Relationship Id="rId3" Type="http://schemas.openxmlformats.org/officeDocument/2006/relationships/printerSettings" Target="../printerSettings/printerSettings29.bin" /><Relationship Id="rId1" Type="http://schemas.openxmlformats.org/officeDocument/2006/relationships/printerSettings" Target="../printerSettings/printerSettings27.bin" /></Relationships>
</file>

<file path=xl/worksheets/_rels/sheet9.xml.rels><?xml version="1.0" encoding="UTF-8" standalone="yes"?><Relationships xmlns="http://schemas.openxmlformats.org/package/2006/relationships"><Relationship Id="rId2" Type="http://schemas.openxmlformats.org/officeDocument/2006/relationships/printerSettings" Target="../printerSettings/printerSettings31.bin" /><Relationship Id="rId3" Type="http://schemas.openxmlformats.org/officeDocument/2006/relationships/printerSettings" Target="../printerSettings/printerSettings32.bin" /><Relationship Id="rId1" Type="http://schemas.openxmlformats.org/officeDocument/2006/relationships/printerSettings" Target="../printerSettings/printerSettings3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dimension ref="A1:U378"/>
  <sheetViews>
    <sheetView tabSelected="1" view="pageBreakPreview" zoomScale="70" zoomScaleNormal="80" zoomScaleSheetLayoutView="70" zoomScalePageLayoutView="80" workbookViewId="0" topLeftCell="A1"/>
  </sheetViews>
  <sheetFormatPr defaultColWidth="8.88555555555556" defaultRowHeight="15.75"/>
  <cols>
    <col min="1" max="1" width="5.88888888888889" style="558" bestFit="1" customWidth="1"/>
    <col min="2" max="2" width="36.6666666666667" style="558" customWidth="1"/>
    <col min="3" max="3" width="42" style="558" customWidth="1"/>
    <col min="4" max="4" width="17.2222222222222" style="558" customWidth="1"/>
    <col min="5" max="5" width="10.2222222222222" style="558" customWidth="1"/>
    <col min="6" max="6" width="11.5555555555556" style="558" customWidth="1"/>
    <col min="7" max="7" width="9.88888888888889" style="558" customWidth="1"/>
    <col min="8" max="8" width="4.11111111111111" style="558" customWidth="1"/>
    <col min="9" max="9" width="16" style="558" customWidth="1"/>
    <col min="10" max="10" width="12.3333333333333" style="558" customWidth="1"/>
    <col min="11" max="11" width="22.6666666666667" style="558" customWidth="1"/>
    <col min="12" max="12" width="23.5555555555556" style="694" customWidth="1"/>
    <col min="13" max="13" width="10.8888888888889" style="558" customWidth="1"/>
    <col min="14" max="14" width="15.8888888888889" style="558" customWidth="1"/>
    <col min="15" max="15" width="10.5555555555556" style="558" customWidth="1"/>
    <col min="16" max="16" width="19.6666666666667" style="558" customWidth="1"/>
    <col min="17" max="16384" width="8.88888888888889" style="558"/>
  </cols>
  <sheetData>
    <row r="1" spans="2:14" ht="16.5" customHeight="1">
      <c r="B1" s="559"/>
      <c r="C1" s="559"/>
      <c r="D1" s="560"/>
      <c r="E1" s="559"/>
      <c r="F1" s="559"/>
      <c r="G1" s="559"/>
      <c r="H1" s="559"/>
      <c r="I1" s="559"/>
      <c r="K1" s="561" t="s">
        <v>722</v>
      </c>
      <c r="L1" s="559"/>
      <c r="M1" s="559"/>
      <c r="N1" s="559"/>
    </row>
    <row r="2" spans="2:14" ht="16.5" customHeight="1">
      <c r="B2" s="559"/>
      <c r="C2" s="559"/>
      <c r="D2" s="560"/>
      <c r="E2" s="559"/>
      <c r="F2" s="559"/>
      <c r="G2" s="559"/>
      <c r="H2" s="559"/>
      <c r="I2" s="559"/>
      <c r="J2" s="559"/>
      <c r="K2" s="561" t="s">
        <v>0</v>
      </c>
      <c r="L2" s="559"/>
      <c r="M2" s="559"/>
      <c r="N2" s="559"/>
    </row>
    <row r="3" spans="2:14" ht="16.5" customHeight="1">
      <c r="B3" s="559"/>
      <c r="C3" s="559"/>
      <c r="D3" s="560"/>
      <c r="E3" s="559"/>
      <c r="F3" s="559"/>
      <c r="G3" s="559"/>
      <c r="H3" s="559"/>
      <c r="I3" s="559"/>
      <c r="J3" s="559"/>
      <c r="K3" s="559"/>
      <c r="L3" s="559"/>
      <c r="M3" s="559"/>
      <c r="N3" s="559"/>
    </row>
    <row r="4" spans="2:14" ht="15.75">
      <c r="B4" s="559" t="s">
        <v>1</v>
      </c>
      <c r="C4" s="559"/>
      <c r="D4" s="560" t="s">
        <v>2</v>
      </c>
      <c r="E4" s="559"/>
      <c r="F4" s="559"/>
      <c r="G4" s="559"/>
      <c r="H4" s="562"/>
      <c r="I4" s="563"/>
      <c r="J4" s="562"/>
      <c r="K4" s="699" t="s">
        <v>1457</v>
      </c>
      <c r="L4" s="559"/>
      <c r="M4" s="559"/>
      <c r="N4" s="559"/>
    </row>
    <row r="5" spans="2:14" ht="15.75">
      <c r="B5" s="559"/>
      <c r="C5" s="564"/>
      <c r="D5" s="564" t="s">
        <v>4</v>
      </c>
      <c r="E5" s="564"/>
      <c r="F5" s="564"/>
      <c r="G5" s="564"/>
      <c r="H5" s="559"/>
      <c r="I5" s="559"/>
      <c r="J5" s="559"/>
      <c r="K5" s="559"/>
      <c r="L5" s="559"/>
      <c r="M5" s="559"/>
      <c r="N5" s="559"/>
    </row>
    <row r="6" spans="2:14" ht="15.75">
      <c r="B6" s="559"/>
      <c r="C6" s="559"/>
      <c r="D6" s="559"/>
      <c r="E6" s="559"/>
      <c r="F6" s="559"/>
      <c r="G6" s="559"/>
      <c r="H6" s="559"/>
      <c r="I6" s="559"/>
      <c r="J6" s="559"/>
      <c r="K6" s="559"/>
      <c r="L6" s="559"/>
      <c r="M6" s="559"/>
      <c r="N6" s="559"/>
    </row>
    <row r="7" spans="1:14" ht="15.75">
      <c r="A7" s="565"/>
      <c r="B7" s="559"/>
      <c r="C7" s="559"/>
      <c r="D7" s="566" t="s">
        <v>984</v>
      </c>
      <c r="E7" s="559"/>
      <c r="F7" s="559"/>
      <c r="G7" s="559"/>
      <c r="H7" s="559"/>
      <c r="I7" s="559"/>
      <c r="J7" s="559"/>
      <c r="K7" s="559"/>
      <c r="L7" s="559"/>
      <c r="M7" s="559"/>
      <c r="N7" s="559"/>
    </row>
    <row r="8" spans="1:14" ht="15.75">
      <c r="A8" s="565"/>
      <c r="B8" s="565" t="s">
        <v>22</v>
      </c>
      <c r="C8" s="565" t="s">
        <v>23</v>
      </c>
      <c r="D8" s="565" t="s">
        <v>24</v>
      </c>
      <c r="E8" s="564" t="s">
        <v>3</v>
      </c>
      <c r="F8" s="564"/>
      <c r="G8" s="567" t="s">
        <v>25</v>
      </c>
      <c r="H8" s="564"/>
      <c r="I8" s="568" t="s">
        <v>26</v>
      </c>
      <c r="J8" s="559"/>
      <c r="K8" s="559"/>
      <c r="L8" s="559"/>
      <c r="M8" s="559"/>
      <c r="N8" s="559"/>
    </row>
    <row r="9" spans="1:14" ht="15.75">
      <c r="A9" s="565" t="s">
        <v>5</v>
      </c>
      <c r="B9" s="559"/>
      <c r="C9" s="559"/>
      <c r="D9" s="566"/>
      <c r="E9" s="559"/>
      <c r="F9" s="559"/>
      <c r="G9" s="559"/>
      <c r="H9" s="559"/>
      <c r="I9" s="565" t="s">
        <v>6</v>
      </c>
      <c r="J9" s="559"/>
      <c r="K9" s="559"/>
      <c r="L9" s="559"/>
      <c r="M9" s="559"/>
      <c r="N9" s="559"/>
    </row>
    <row r="10" spans="1:14" ht="16.5" thickBot="1">
      <c r="A10" s="569" t="s">
        <v>7</v>
      </c>
      <c r="B10" s="559"/>
      <c r="C10" s="559"/>
      <c r="D10" s="559"/>
      <c r="E10" s="559"/>
      <c r="F10" s="559"/>
      <c r="G10" s="565"/>
      <c r="H10" s="559"/>
      <c r="I10" s="569" t="s">
        <v>8</v>
      </c>
      <c r="J10" s="559"/>
      <c r="K10" s="561"/>
      <c r="L10" s="559"/>
      <c r="M10" s="559"/>
      <c r="N10" s="559"/>
    </row>
    <row r="11" spans="1:14" ht="15.75">
      <c r="A11" s="565">
        <v>1</v>
      </c>
      <c r="B11" s="559" t="s">
        <v>938</v>
      </c>
      <c r="C11" s="559"/>
      <c r="D11" s="564"/>
      <c r="E11" s="559"/>
      <c r="F11" s="559"/>
      <c r="G11" s="559"/>
      <c r="H11" s="559"/>
      <c r="I11" s="570">
        <f>I187</f>
        <v>603560489.45154989</v>
      </c>
      <c r="J11" s="3"/>
      <c r="K11" s="570"/>
      <c r="L11" s="559"/>
      <c r="M11" s="559"/>
      <c r="N11" s="559"/>
    </row>
    <row r="12" spans="1:14" ht="15.75">
      <c r="A12" s="565"/>
      <c r="B12" s="559"/>
      <c r="C12" s="559"/>
      <c r="D12" s="559"/>
      <c r="E12" s="559"/>
      <c r="F12" s="559"/>
      <c r="G12" s="571"/>
      <c r="H12" s="559"/>
      <c r="I12" s="564"/>
      <c r="J12" s="559"/>
      <c r="K12" s="570"/>
      <c r="L12" s="559"/>
      <c r="M12" s="559"/>
      <c r="N12" s="559"/>
    </row>
    <row r="13" spans="1:14" ht="16.5" thickBot="1">
      <c r="A13" s="565" t="s">
        <v>3</v>
      </c>
      <c r="B13" s="559" t="s">
        <v>114</v>
      </c>
      <c r="C13" s="564" t="s">
        <v>9</v>
      </c>
      <c r="D13" s="569" t="s">
        <v>10</v>
      </c>
      <c r="E13" s="564"/>
      <c r="F13" s="572" t="s">
        <v>11</v>
      </c>
      <c r="G13" s="572"/>
      <c r="H13" s="559"/>
      <c r="I13" s="564"/>
      <c r="J13" s="559"/>
      <c r="K13" s="570"/>
      <c r="L13" s="559"/>
      <c r="M13" s="559"/>
      <c r="N13" s="559"/>
    </row>
    <row r="14" spans="1:14" ht="15.75">
      <c r="A14" s="565">
        <v>2</v>
      </c>
      <c r="B14" s="559" t="s">
        <v>590</v>
      </c>
      <c r="C14" s="564" t="s">
        <v>656</v>
      </c>
      <c r="D14" s="573">
        <f>I260</f>
        <v>450924.96</v>
      </c>
      <c r="E14" s="564"/>
      <c r="F14" s="564" t="s">
        <v>13</v>
      </c>
      <c r="G14" s="574">
        <f>I216</f>
        <v>1</v>
      </c>
      <c r="H14" s="559"/>
      <c r="I14" s="575">
        <f>+G14*D14</f>
        <v>450924.96</v>
      </c>
      <c r="K14" s="570"/>
      <c r="L14" s="559"/>
      <c r="M14" s="559"/>
      <c r="N14" s="559"/>
    </row>
    <row r="15" spans="1:14" ht="15.75">
      <c r="A15" s="565">
        <v>3</v>
      </c>
      <c r="B15" s="559" t="s">
        <v>12</v>
      </c>
      <c r="C15" s="564" t="s">
        <v>657</v>
      </c>
      <c r="D15" s="576">
        <f>I262</f>
        <v>3761088</v>
      </c>
      <c r="E15" s="564"/>
      <c r="F15" s="564" t="s">
        <v>13</v>
      </c>
      <c r="G15" s="574">
        <f>I216</f>
        <v>1</v>
      </c>
      <c r="H15" s="564"/>
      <c r="I15" s="575">
        <f>+G15*D15</f>
        <v>3761088</v>
      </c>
      <c r="J15" s="3"/>
      <c r="K15" s="570"/>
      <c r="L15" s="559"/>
      <c r="M15" s="559"/>
      <c r="N15" s="559"/>
    </row>
    <row r="16" spans="1:14" ht="15.75">
      <c r="A16" s="565">
        <v>4</v>
      </c>
      <c r="B16" s="559" t="s">
        <v>702</v>
      </c>
      <c r="C16" s="564" t="s">
        <v>658</v>
      </c>
      <c r="D16" s="576">
        <f>I264</f>
        <v>6409900</v>
      </c>
      <c r="E16" s="564"/>
      <c r="F16" s="564" t="str">
        <f t="shared" si="0" ref="F16:G18">+F15</f>
        <v>TP</v>
      </c>
      <c r="G16" s="574">
        <f t="shared" si="0"/>
        <v>1</v>
      </c>
      <c r="H16" s="564"/>
      <c r="I16" s="575">
        <f>+G16*D16</f>
        <v>6409900</v>
      </c>
      <c r="J16" s="1090"/>
      <c r="K16" s="570"/>
      <c r="L16" s="559"/>
      <c r="M16" s="559"/>
      <c r="N16" s="559"/>
    </row>
    <row r="17" spans="1:14" ht="15.75">
      <c r="A17" s="565">
        <v>5</v>
      </c>
      <c r="B17" s="564" t="s">
        <v>14</v>
      </c>
      <c r="C17" s="564"/>
      <c r="D17" s="577">
        <v>0</v>
      </c>
      <c r="E17" s="564"/>
      <c r="F17" s="564" t="str">
        <f t="shared" si="0"/>
        <v>TP</v>
      </c>
      <c r="G17" s="574">
        <f t="shared" si="0"/>
        <v>1</v>
      </c>
      <c r="H17" s="564"/>
      <c r="I17" s="575">
        <f>+G17*D17</f>
        <v>0</v>
      </c>
      <c r="J17" s="1090"/>
      <c r="K17" s="570"/>
      <c r="L17" s="564"/>
      <c r="N17" s="559"/>
    </row>
    <row r="18" spans="1:14" ht="15.75">
      <c r="A18" s="565">
        <v>6</v>
      </c>
      <c r="B18" s="564" t="s">
        <v>15</v>
      </c>
      <c r="C18" s="564"/>
      <c r="D18" s="577">
        <v>0</v>
      </c>
      <c r="E18" s="564"/>
      <c r="F18" s="564" t="str">
        <f t="shared" si="0"/>
        <v>TP</v>
      </c>
      <c r="G18" s="574">
        <f t="shared" si="0"/>
        <v>1</v>
      </c>
      <c r="H18" s="564"/>
      <c r="I18" s="575">
        <f>+G18*D18</f>
        <v>0</v>
      </c>
      <c r="J18" s="1090"/>
      <c r="K18" s="570"/>
      <c r="L18" s="564"/>
      <c r="N18" s="654"/>
    </row>
    <row r="19" spans="1:14" ht="18">
      <c r="A19" s="565">
        <v>7</v>
      </c>
      <c r="B19" s="564" t="s">
        <v>651</v>
      </c>
      <c r="C19" s="564" t="s">
        <v>705</v>
      </c>
      <c r="D19" s="578">
        <f>'Attachment 11 - TEC'!N90</f>
        <v>28775055.900652684</v>
      </c>
      <c r="E19" s="564"/>
      <c r="F19" s="564" t="s">
        <v>13</v>
      </c>
      <c r="G19" s="574">
        <f>G18</f>
        <v>1</v>
      </c>
      <c r="H19" s="564"/>
      <c r="I19" s="579">
        <f>D19*G19</f>
        <v>28775055.900652684</v>
      </c>
      <c r="J19" s="1090"/>
      <c r="K19" s="570"/>
      <c r="L19" s="564"/>
      <c r="N19" s="559"/>
    </row>
    <row r="20" spans="1:14" ht="15.75">
      <c r="A20" s="565">
        <v>8</v>
      </c>
      <c r="B20" s="559" t="s">
        <v>635</v>
      </c>
      <c r="C20" s="559"/>
      <c r="D20" s="580">
        <f>SUM(D14:D19)</f>
        <v>39396968.860652685</v>
      </c>
      <c r="E20" s="564"/>
      <c r="F20" s="564"/>
      <c r="G20" s="574"/>
      <c r="H20" s="564"/>
      <c r="I20" s="581">
        <f>SUM(I14:I19)</f>
        <v>39396968.860652685</v>
      </c>
      <c r="J20" s="559"/>
      <c r="K20" s="584"/>
      <c r="L20" s="559"/>
      <c r="N20" s="559"/>
    </row>
    <row r="21" spans="1:14" ht="15.75">
      <c r="A21" s="565"/>
      <c r="B21" s="559"/>
      <c r="C21" s="559"/>
      <c r="D21" s="580"/>
      <c r="E21" s="564"/>
      <c r="F21" s="564"/>
      <c r="G21" s="574"/>
      <c r="H21" s="564"/>
      <c r="I21" s="581"/>
      <c r="J21" s="570"/>
      <c r="K21" s="584"/>
      <c r="L21" s="559"/>
      <c r="N21" s="559"/>
    </row>
    <row r="22" spans="1:14" ht="15.75">
      <c r="A22" s="565">
        <v>9</v>
      </c>
      <c r="B22" s="582" t="s">
        <v>637</v>
      </c>
      <c r="C22" s="559" t="s">
        <v>706</v>
      </c>
      <c r="D22" s="583"/>
      <c r="E22" s="564"/>
      <c r="F22" s="564"/>
      <c r="G22" s="574"/>
      <c r="H22" s="564"/>
      <c r="I22" s="584">
        <f>-'Attachment 13 - Rev Req True-up'!H51</f>
        <v>3445323.4484269563</v>
      </c>
      <c r="J22" s="559"/>
      <c r="K22" s="570"/>
      <c r="L22" s="570"/>
      <c r="N22" s="559"/>
    </row>
    <row r="23" spans="1:14" ht="15.75">
      <c r="A23" s="565"/>
      <c r="B23" s="559"/>
      <c r="C23" s="559"/>
      <c r="D23" s="583"/>
      <c r="E23" s="564"/>
      <c r="F23" s="564"/>
      <c r="G23" s="574"/>
      <c r="H23" s="564"/>
      <c r="I23" s="575"/>
      <c r="J23" s="3"/>
      <c r="K23" s="570"/>
      <c r="L23" s="559"/>
      <c r="N23" s="559"/>
    </row>
    <row r="24" spans="1:14" ht="15.75">
      <c r="A24" s="565">
        <v>10</v>
      </c>
      <c r="B24" s="559" t="s">
        <v>636</v>
      </c>
      <c r="C24" s="559" t="s">
        <v>652</v>
      </c>
      <c r="D24" s="585"/>
      <c r="E24" s="564"/>
      <c r="F24" s="564"/>
      <c r="G24" s="564"/>
      <c r="H24" s="564"/>
      <c r="I24" s="586">
        <f>(I11-I20+I22)</f>
        <v>567608844.03932416</v>
      </c>
      <c r="J24" s="3"/>
      <c r="K24" s="584"/>
      <c r="L24" s="559"/>
      <c r="N24" s="559"/>
    </row>
    <row r="25" spans="1:14" ht="15.75">
      <c r="A25" s="565"/>
      <c r="B25" s="559"/>
      <c r="C25" s="559"/>
      <c r="D25" s="585"/>
      <c r="E25" s="564"/>
      <c r="F25" s="564"/>
      <c r="G25" s="564"/>
      <c r="H25" s="564"/>
      <c r="I25" s="586"/>
      <c r="J25" s="3"/>
      <c r="K25" s="570"/>
      <c r="L25" s="559"/>
      <c r="N25" s="559"/>
    </row>
    <row r="26" spans="1:14" ht="15.75">
      <c r="A26" s="565"/>
      <c r="B26" s="559"/>
      <c r="C26" s="559"/>
      <c r="D26" s="585"/>
      <c r="E26" s="564"/>
      <c r="F26" s="564"/>
      <c r="G26" s="564"/>
      <c r="H26" s="564"/>
      <c r="I26" s="586"/>
      <c r="J26" s="559"/>
      <c r="L26" s="559"/>
      <c r="N26" s="559"/>
    </row>
    <row r="27" spans="1:14" ht="15.75">
      <c r="A27" s="565"/>
      <c r="C27" s="564"/>
      <c r="I27" s="564"/>
      <c r="J27" s="559"/>
      <c r="K27" s="570"/>
      <c r="L27" s="559"/>
      <c r="N27" s="559"/>
    </row>
    <row r="28" spans="1:14" ht="16.5" thickBot="1">
      <c r="A28" s="565"/>
      <c r="B28" s="559" t="s">
        <v>16</v>
      </c>
      <c r="C28" s="559"/>
      <c r="D28" s="564"/>
      <c r="E28" s="559"/>
      <c r="F28" s="559"/>
      <c r="G28" s="559"/>
      <c r="H28" s="559"/>
      <c r="I28" s="587" t="s">
        <v>10</v>
      </c>
      <c r="J28" s="565"/>
      <c r="K28" s="570"/>
      <c r="L28" s="559"/>
      <c r="N28" s="559"/>
    </row>
    <row r="29" spans="1:14" ht="15.75">
      <c r="A29" s="565">
        <v>11</v>
      </c>
      <c r="B29" s="559" t="s">
        <v>227</v>
      </c>
      <c r="D29" s="564"/>
      <c r="E29" s="559"/>
      <c r="F29" s="559"/>
      <c r="G29" s="559" t="s">
        <v>17</v>
      </c>
      <c r="H29" s="559"/>
      <c r="I29" s="1089">
        <v>5908.50</v>
      </c>
      <c r="J29" s="1162"/>
      <c r="K29" s="570"/>
      <c r="L29" s="2"/>
      <c r="N29" s="559"/>
    </row>
    <row r="30" spans="1:14" ht="15.75">
      <c r="A30" s="565">
        <v>12</v>
      </c>
      <c r="B30" s="559" t="s">
        <v>922</v>
      </c>
      <c r="C30" s="564"/>
      <c r="D30" s="564"/>
      <c r="E30" s="564"/>
      <c r="F30" s="564"/>
      <c r="G30" s="559" t="s">
        <v>935</v>
      </c>
      <c r="H30" s="564"/>
      <c r="I30" s="1089">
        <v>4892.6000000000004</v>
      </c>
      <c r="J30" s="1162"/>
      <c r="K30" s="570"/>
      <c r="L30" s="2"/>
      <c r="M30" s="559"/>
      <c r="N30" s="559"/>
    </row>
    <row r="31" spans="1:14" ht="16.5" customHeight="1">
      <c r="A31" s="565"/>
      <c r="B31" s="559"/>
      <c r="C31" s="559"/>
      <c r="D31" s="559"/>
      <c r="E31" s="559"/>
      <c r="F31" s="559"/>
      <c r="G31" s="559"/>
      <c r="H31" s="559"/>
      <c r="I31" s="564"/>
      <c r="J31" s="559"/>
      <c r="K31" s="564"/>
      <c r="L31" s="559"/>
      <c r="M31" s="559"/>
      <c r="N31" s="559"/>
    </row>
    <row r="32" spans="1:14" ht="16.5" thickBot="1">
      <c r="A32" s="565"/>
      <c r="B32" s="559"/>
      <c r="C32" s="559"/>
      <c r="D32" s="569" t="s">
        <v>10</v>
      </c>
      <c r="F32" s="559"/>
      <c r="G32" s="559"/>
      <c r="H32" s="559"/>
      <c r="I32" s="564"/>
      <c r="J32" s="559"/>
      <c r="K32" s="559"/>
      <c r="L32" s="559"/>
      <c r="M32" s="559"/>
      <c r="N32" s="559"/>
    </row>
    <row r="33" spans="1:14" ht="15.75">
      <c r="A33" s="565">
        <v>13</v>
      </c>
      <c r="B33" s="559" t="s">
        <v>882</v>
      </c>
      <c r="C33" s="559" t="s">
        <v>650</v>
      </c>
      <c r="D33" s="588">
        <f>IF(I29&gt;0,(I24/I29),0)</f>
        <v>96066.487947757327</v>
      </c>
      <c r="F33" s="589"/>
      <c r="G33" s="559"/>
      <c r="H33" s="559"/>
      <c r="J33" s="559"/>
      <c r="K33" s="559"/>
      <c r="L33" s="558"/>
      <c r="M33" s="559"/>
      <c r="N33" s="559"/>
    </row>
    <row r="34" spans="1:13" ht="15.75">
      <c r="A34" s="565"/>
      <c r="B34" s="559"/>
      <c r="C34" s="559"/>
      <c r="D34" s="590"/>
      <c r="F34" s="591"/>
      <c r="G34" s="559"/>
      <c r="H34" s="559"/>
      <c r="J34" s="559"/>
      <c r="K34" s="559"/>
      <c r="L34" s="559"/>
      <c r="M34" s="559"/>
    </row>
    <row r="35" spans="1:13" ht="15.75">
      <c r="A35" s="565"/>
      <c r="B35" s="559"/>
      <c r="C35" s="559"/>
      <c r="D35" s="592" t="s">
        <v>923</v>
      </c>
      <c r="E35" s="591"/>
      <c r="F35" s="593"/>
      <c r="G35" s="594"/>
      <c r="H35" s="559"/>
      <c r="I35" s="595" t="s">
        <v>924</v>
      </c>
      <c r="J35" s="559"/>
      <c r="K35" s="559"/>
      <c r="L35" s="559"/>
      <c r="M35" s="559"/>
    </row>
    <row r="36" spans="1:13" ht="16.5" thickBot="1">
      <c r="A36" s="565"/>
      <c r="B36" s="559"/>
      <c r="C36" s="559"/>
      <c r="D36" s="596" t="s">
        <v>10</v>
      </c>
      <c r="E36" s="565"/>
      <c r="F36" s="565"/>
      <c r="G36" s="565"/>
      <c r="H36" s="565"/>
      <c r="I36" s="597" t="str">
        <f>D36</f>
        <v>Total</v>
      </c>
      <c r="K36" s="559"/>
      <c r="L36" s="559"/>
      <c r="M36" s="559"/>
    </row>
    <row r="37" spans="1:13" ht="15.75">
      <c r="A37" s="565">
        <v>14</v>
      </c>
      <c r="B37" s="559" t="s">
        <v>925</v>
      </c>
      <c r="C37" s="559" t="s">
        <v>926</v>
      </c>
      <c r="D37" s="598">
        <f>I24/I30</f>
        <v>116013.74402962108</v>
      </c>
      <c r="E37" s="599"/>
      <c r="F37" s="600"/>
      <c r="G37" s="601"/>
      <c r="H37" s="601"/>
      <c r="I37" s="1095">
        <f>I24/I30</f>
        <v>116013.74402962108</v>
      </c>
      <c r="J37" s="3"/>
      <c r="K37" s="561"/>
      <c r="L37" s="559"/>
      <c r="M37" s="559"/>
    </row>
    <row r="38" spans="1:13" ht="15.75">
      <c r="A38" s="565">
        <v>15</v>
      </c>
      <c r="B38" s="559" t="s">
        <v>927</v>
      </c>
      <c r="C38" s="559" t="s">
        <v>928</v>
      </c>
      <c r="D38" s="601">
        <f>D37/12</f>
        <v>9667.8120024684231</v>
      </c>
      <c r="E38" s="599"/>
      <c r="F38" s="601"/>
      <c r="G38" s="601"/>
      <c r="H38" s="601"/>
      <c r="I38" s="602">
        <f>I37/12</f>
        <v>9667.8120024684231</v>
      </c>
      <c r="J38" s="3"/>
      <c r="K38" s="561"/>
      <c r="L38" s="559"/>
      <c r="M38" s="559"/>
    </row>
    <row r="39" spans="1:13" ht="15.75">
      <c r="A39" s="565">
        <v>16</v>
      </c>
      <c r="B39" s="559" t="s">
        <v>929</v>
      </c>
      <c r="C39" s="560" t="s">
        <v>930</v>
      </c>
      <c r="D39" s="601">
        <f>D37/52</f>
        <v>2231.0335390311748</v>
      </c>
      <c r="E39" s="599"/>
      <c r="F39" s="602"/>
      <c r="G39" s="603"/>
      <c r="H39" s="601"/>
      <c r="I39" s="602">
        <f>I37/52</f>
        <v>2231.0335390311748</v>
      </c>
      <c r="J39" s="3"/>
      <c r="K39" s="604"/>
      <c r="L39" s="559"/>
      <c r="M39" s="559"/>
    </row>
    <row r="40" spans="1:13" ht="15.75">
      <c r="A40" s="565">
        <v>17</v>
      </c>
      <c r="B40" s="559" t="s">
        <v>931</v>
      </c>
      <c r="C40" s="560" t="s">
        <v>932</v>
      </c>
      <c r="D40" s="601">
        <f>D39/5</f>
        <v>446.20670780623493</v>
      </c>
      <c r="E40" s="599"/>
      <c r="F40" s="602"/>
      <c r="G40" s="603"/>
      <c r="H40" s="601"/>
      <c r="I40" s="602">
        <f>I39/7</f>
        <v>318.71907700445354</v>
      </c>
      <c r="J40" s="3"/>
      <c r="K40" s="604"/>
      <c r="L40" s="559"/>
      <c r="M40" s="559"/>
    </row>
    <row r="41" spans="1:13" ht="15.75">
      <c r="A41" s="565">
        <v>18</v>
      </c>
      <c r="B41" s="559" t="s">
        <v>933</v>
      </c>
      <c r="C41" s="559" t="s">
        <v>934</v>
      </c>
      <c r="D41" s="601">
        <f>D37/4160</f>
        <v>27.887919237889683</v>
      </c>
      <c r="E41" s="599"/>
      <c r="F41" s="602"/>
      <c r="G41" s="603"/>
      <c r="H41" s="601"/>
      <c r="I41" s="603">
        <f>I37/8760</f>
        <v>13.243578085573184</v>
      </c>
      <c r="J41" s="3"/>
      <c r="K41" s="604"/>
      <c r="L41" s="559"/>
      <c r="M41" s="559"/>
    </row>
    <row r="42" spans="1:13" ht="15.75">
      <c r="A42" s="565"/>
      <c r="B42" s="559"/>
      <c r="C42" s="559"/>
      <c r="D42" s="600"/>
      <c r="E42" s="599"/>
      <c r="F42" s="599"/>
      <c r="G42" s="605"/>
      <c r="H42" s="600"/>
      <c r="I42" s="606"/>
      <c r="J42" s="607"/>
      <c r="K42" s="559" t="s">
        <v>3</v>
      </c>
      <c r="L42" s="559"/>
      <c r="M42" s="559"/>
    </row>
    <row r="43" spans="1:13" ht="15.75">
      <c r="A43" s="565"/>
      <c r="B43" s="559"/>
      <c r="C43" s="559"/>
      <c r="D43" s="600"/>
      <c r="E43" s="600"/>
      <c r="F43" s="605"/>
      <c r="G43" s="599"/>
      <c r="H43" s="600"/>
      <c r="I43" s="606"/>
      <c r="J43" s="559"/>
      <c r="K43" s="559" t="s">
        <v>3</v>
      </c>
      <c r="L43" s="559"/>
      <c r="M43" s="559"/>
    </row>
    <row r="44" spans="2:13" ht="16.5" customHeight="1">
      <c r="B44" s="559"/>
      <c r="C44" s="559"/>
      <c r="D44" s="560"/>
      <c r="E44" s="559"/>
      <c r="F44" s="559"/>
      <c r="G44" s="559"/>
      <c r="H44" s="559"/>
      <c r="I44" s="559"/>
      <c r="K44" s="561" t="str">
        <f>K1</f>
        <v>Attachment  H-28A</v>
      </c>
      <c r="L44" s="559"/>
      <c r="M44" s="559"/>
    </row>
    <row r="45" spans="2:13" ht="16.5" customHeight="1">
      <c r="B45" s="559"/>
      <c r="C45" s="559"/>
      <c r="D45" s="560"/>
      <c r="E45" s="559"/>
      <c r="F45" s="559"/>
      <c r="G45" s="559"/>
      <c r="H45" s="559"/>
      <c r="I45" s="559"/>
      <c r="J45" s="559"/>
      <c r="K45" s="561" t="s">
        <v>21</v>
      </c>
      <c r="L45" s="559"/>
      <c r="M45" s="559"/>
    </row>
    <row r="46" spans="2:13" ht="16.5" customHeight="1">
      <c r="B46" s="559"/>
      <c r="C46" s="559"/>
      <c r="D46" s="560"/>
      <c r="E46" s="559"/>
      <c r="F46" s="559"/>
      <c r="G46" s="559"/>
      <c r="H46" s="559"/>
      <c r="I46" s="559"/>
      <c r="J46" s="559"/>
      <c r="K46" s="561"/>
      <c r="L46" s="559"/>
      <c r="M46" s="559"/>
    </row>
    <row r="47" spans="2:13" ht="15.75">
      <c r="B47" s="559" t="s">
        <v>1</v>
      </c>
      <c r="C47" s="559"/>
      <c r="D47" s="560" t="s">
        <v>2</v>
      </c>
      <c r="E47" s="559"/>
      <c r="F47" s="559"/>
      <c r="G47" s="559"/>
      <c r="H47" s="559"/>
      <c r="J47" s="559"/>
      <c r="K47" s="561" t="str">
        <f>K4</f>
        <v>For the 12 months ended 12/31/2026</v>
      </c>
      <c r="L47" s="559"/>
      <c r="M47" s="559"/>
    </row>
    <row r="48" spans="2:13" ht="15.75">
      <c r="B48" s="559"/>
      <c r="C48" s="564" t="s">
        <v>3</v>
      </c>
      <c r="D48" s="564" t="s">
        <v>4</v>
      </c>
      <c r="E48" s="564"/>
      <c r="F48" s="564"/>
      <c r="G48" s="564"/>
      <c r="H48" s="559"/>
      <c r="I48" s="559"/>
      <c r="J48" s="559"/>
      <c r="K48" s="559"/>
      <c r="L48" s="559"/>
      <c r="M48" s="559"/>
    </row>
    <row r="49" spans="2:13" ht="15.75">
      <c r="B49" s="559"/>
      <c r="C49" s="564"/>
      <c r="D49" s="564"/>
      <c r="E49" s="564"/>
      <c r="F49" s="564"/>
      <c r="G49" s="564"/>
      <c r="H49" s="559"/>
      <c r="I49" s="559"/>
      <c r="J49" s="559"/>
      <c r="K49" s="559"/>
      <c r="L49" s="559"/>
      <c r="M49" s="559"/>
    </row>
    <row r="50" spans="2:13" ht="15.75">
      <c r="B50" s="559"/>
      <c r="C50" s="559"/>
      <c r="D50" s="564" t="str">
        <f>D7</f>
        <v>Mid-Atlantic Interstate Transmission, LLC</v>
      </c>
      <c r="E50" s="564"/>
      <c r="F50" s="564"/>
      <c r="G50" s="564"/>
      <c r="H50" s="564"/>
      <c r="I50" s="564"/>
      <c r="J50" s="564"/>
      <c r="K50" s="564"/>
      <c r="L50" s="564"/>
      <c r="M50" s="564"/>
    </row>
    <row r="51" spans="2:13" ht="15.75">
      <c r="B51" s="565" t="s">
        <v>22</v>
      </c>
      <c r="C51" s="565" t="s">
        <v>23</v>
      </c>
      <c r="D51" s="565" t="s">
        <v>24</v>
      </c>
      <c r="E51" s="564" t="s">
        <v>3</v>
      </c>
      <c r="F51" s="564"/>
      <c r="G51" s="567" t="s">
        <v>25</v>
      </c>
      <c r="H51" s="564"/>
      <c r="I51" s="568" t="s">
        <v>26</v>
      </c>
      <c r="J51" s="564"/>
      <c r="K51" s="568"/>
      <c r="L51" s="565"/>
      <c r="M51" s="564"/>
    </row>
    <row r="52" spans="2:13" ht="15.75">
      <c r="B52" s="559"/>
      <c r="C52" s="608"/>
      <c r="D52" s="564"/>
      <c r="E52" s="564"/>
      <c r="F52" s="564"/>
      <c r="G52" s="565"/>
      <c r="H52" s="564"/>
      <c r="I52" s="609" t="s">
        <v>28</v>
      </c>
      <c r="J52" s="564"/>
      <c r="K52" s="610"/>
      <c r="L52" s="565"/>
      <c r="M52" s="565"/>
    </row>
    <row r="53" spans="1:13" ht="15.75">
      <c r="A53" s="565" t="s">
        <v>5</v>
      </c>
      <c r="B53" s="559"/>
      <c r="C53" s="608" t="s">
        <v>369</v>
      </c>
      <c r="D53" s="609" t="s">
        <v>29</v>
      </c>
      <c r="E53" s="611"/>
      <c r="F53" s="609" t="s">
        <v>30</v>
      </c>
      <c r="H53" s="611"/>
      <c r="I53" s="565" t="s">
        <v>31</v>
      </c>
      <c r="J53" s="564"/>
      <c r="K53" s="612"/>
      <c r="L53" s="565"/>
      <c r="M53" s="565"/>
    </row>
    <row r="54" spans="1:13" ht="16.5" thickBot="1">
      <c r="A54" s="569" t="s">
        <v>7</v>
      </c>
      <c r="B54" s="613" t="s">
        <v>32</v>
      </c>
      <c r="C54" s="564"/>
      <c r="D54" s="564"/>
      <c r="E54" s="564"/>
      <c r="F54" s="564"/>
      <c r="G54" s="564"/>
      <c r="H54" s="564"/>
      <c r="I54" s="564"/>
      <c r="J54" s="564"/>
      <c r="K54" s="564"/>
      <c r="L54" s="564"/>
      <c r="M54" s="564"/>
    </row>
    <row r="55" spans="1:13" ht="15.75">
      <c r="A55" s="565"/>
      <c r="B55" s="559" t="s">
        <v>33</v>
      </c>
      <c r="C55" s="564"/>
      <c r="D55" s="564"/>
      <c r="E55" s="564"/>
      <c r="F55" s="564"/>
      <c r="G55" s="564"/>
      <c r="H55" s="564"/>
      <c r="I55" s="564"/>
      <c r="J55" s="564"/>
      <c r="L55" s="564"/>
      <c r="M55" s="564"/>
    </row>
    <row r="56" spans="1:13" ht="15.75">
      <c r="A56" s="565">
        <v>1</v>
      </c>
      <c r="B56" s="559" t="s">
        <v>34</v>
      </c>
      <c r="C56" s="564" t="s">
        <v>714</v>
      </c>
      <c r="D56" s="576">
        <f>'Attachment 3 - Gross Plant'!E22</f>
        <v>0</v>
      </c>
      <c r="E56" s="564"/>
      <c r="F56" s="564" t="s">
        <v>35</v>
      </c>
      <c r="G56" s="614" t="s">
        <v>3</v>
      </c>
      <c r="H56" s="564"/>
      <c r="I56" s="564" t="s">
        <v>3</v>
      </c>
      <c r="J56" s="564"/>
      <c r="K56" s="605"/>
      <c r="L56" s="558"/>
      <c r="M56" s="564"/>
    </row>
    <row r="57" spans="1:13" ht="15.75">
      <c r="A57" s="565">
        <v>2</v>
      </c>
      <c r="B57" s="559" t="s">
        <v>36</v>
      </c>
      <c r="C57" s="564" t="s">
        <v>715</v>
      </c>
      <c r="D57" s="576">
        <f>'Attachment 3 - Gross Plant'!F22</f>
        <v>4285379912.4817791</v>
      </c>
      <c r="E57" s="564"/>
      <c r="F57" s="564" t="s">
        <v>13</v>
      </c>
      <c r="G57" s="614">
        <f>I216</f>
        <v>1</v>
      </c>
      <c r="H57" s="564"/>
      <c r="I57" s="615">
        <f>+G57*D57</f>
        <v>4285379912.4817791</v>
      </c>
      <c r="J57" s="737"/>
      <c r="K57" s="605"/>
      <c r="L57" s="558"/>
      <c r="M57" s="564"/>
    </row>
    <row r="58" spans="1:13" ht="15.75">
      <c r="A58" s="565">
        <v>3</v>
      </c>
      <c r="B58" s="559" t="s">
        <v>37</v>
      </c>
      <c r="C58" s="564" t="s">
        <v>716</v>
      </c>
      <c r="D58" s="576">
        <f>'Attachment 3 - Gross Plant'!G22</f>
        <v>0</v>
      </c>
      <c r="E58" s="564"/>
      <c r="F58" s="564" t="s">
        <v>35</v>
      </c>
      <c r="G58" s="614" t="s">
        <v>3</v>
      </c>
      <c r="H58" s="564"/>
      <c r="I58" s="615" t="s">
        <v>3</v>
      </c>
      <c r="J58" s="564"/>
      <c r="K58" s="605"/>
      <c r="L58" s="558"/>
      <c r="M58" s="564"/>
    </row>
    <row r="59" spans="1:13" ht="15.75">
      <c r="A59" s="565">
        <v>4</v>
      </c>
      <c r="B59" s="559" t="s">
        <v>38</v>
      </c>
      <c r="C59" s="564" t="s">
        <v>717</v>
      </c>
      <c r="D59" s="576">
        <f>'Attachment 3 - Gross Plant'!H22+'Attachment 3 - Gross Plant'!I22</f>
        <v>162993903.05921808</v>
      </c>
      <c r="E59" s="564"/>
      <c r="F59" s="564" t="s">
        <v>39</v>
      </c>
      <c r="G59" s="614">
        <f>I233</f>
        <v>1</v>
      </c>
      <c r="H59" s="564"/>
      <c r="I59" s="615">
        <f>+G59*D59</f>
        <v>162993903.05921808</v>
      </c>
      <c r="J59" s="737"/>
      <c r="K59" s="605"/>
      <c r="L59" s="558"/>
      <c r="M59" s="565"/>
    </row>
    <row r="60" spans="1:13" ht="16.5" thickBot="1">
      <c r="A60" s="565">
        <v>5</v>
      </c>
      <c r="B60" s="559" t="s">
        <v>40</v>
      </c>
      <c r="C60" s="564" t="s">
        <v>859</v>
      </c>
      <c r="D60" s="616">
        <f>'Attachment 3 - Gross Plant'!J22</f>
        <v>0</v>
      </c>
      <c r="E60" s="564"/>
      <c r="F60" s="564" t="s">
        <v>41</v>
      </c>
      <c r="G60" s="614">
        <f>K238</f>
        <v>0</v>
      </c>
      <c r="H60" s="564"/>
      <c r="I60" s="617">
        <f>+G60*D60</f>
        <v>0</v>
      </c>
      <c r="J60" s="564"/>
      <c r="K60" s="605"/>
      <c r="L60" s="558"/>
      <c r="M60" s="565"/>
    </row>
    <row r="61" spans="1:13" ht="15.75">
      <c r="A61" s="565">
        <v>6</v>
      </c>
      <c r="B61" s="559" t="s">
        <v>42</v>
      </c>
      <c r="C61" s="564"/>
      <c r="D61" s="615">
        <f>SUM(D56:D60)</f>
        <v>4448373815.5409975</v>
      </c>
      <c r="E61" s="564"/>
      <c r="F61" s="564" t="s">
        <v>43</v>
      </c>
      <c r="G61" s="618">
        <f>IF(I61&gt;0,I61/D61,0)</f>
        <v>1</v>
      </c>
      <c r="H61" s="564"/>
      <c r="I61" s="615">
        <f>SUM(I56:I60)</f>
        <v>4448373815.5409975</v>
      </c>
      <c r="J61" s="737"/>
      <c r="K61" s="619"/>
      <c r="L61" s="564"/>
      <c r="M61" s="564"/>
    </row>
    <row r="62" spans="2:13" ht="15.75">
      <c r="B62" s="559"/>
      <c r="C62" s="564"/>
      <c r="D62" s="615"/>
      <c r="E62" s="564"/>
      <c r="F62" s="564"/>
      <c r="G62" s="618"/>
      <c r="H62" s="564"/>
      <c r="I62" s="615"/>
      <c r="J62" s="564"/>
      <c r="K62" s="619"/>
      <c r="L62" s="564"/>
      <c r="M62" s="564"/>
    </row>
    <row r="63" spans="2:13" ht="15.75">
      <c r="B63" s="559" t="s">
        <v>44</v>
      </c>
      <c r="C63" s="564"/>
      <c r="D63" s="615"/>
      <c r="E63" s="564"/>
      <c r="F63" s="564"/>
      <c r="G63" s="564"/>
      <c r="H63" s="564"/>
      <c r="I63" s="615"/>
      <c r="J63" s="564"/>
      <c r="K63" s="605"/>
      <c r="L63" s="558"/>
      <c r="M63" s="564"/>
    </row>
    <row r="64" spans="1:13" ht="15.75">
      <c r="A64" s="565">
        <v>7</v>
      </c>
      <c r="B64" s="559" t="str">
        <f>+B56</f>
        <v xml:space="preserve">  Production</v>
      </c>
      <c r="C64" s="564" t="s">
        <v>718</v>
      </c>
      <c r="D64" s="576">
        <f>'Attachment 4 - Accum Depr'!E22</f>
        <v>0</v>
      </c>
      <c r="E64" s="564"/>
      <c r="F64" s="564" t="str">
        <f t="shared" si="1" ref="F64:G68">+F56</f>
        <v>NA</v>
      </c>
      <c r="G64" s="614" t="str">
        <f t="shared" si="1"/>
        <v xml:space="preserve"> </v>
      </c>
      <c r="H64" s="564"/>
      <c r="I64" s="615" t="s">
        <v>3</v>
      </c>
      <c r="J64" s="564"/>
      <c r="K64" s="605"/>
      <c r="L64" s="558"/>
      <c r="M64" s="564"/>
    </row>
    <row r="65" spans="1:13" ht="15.75">
      <c r="A65" s="565">
        <v>8</v>
      </c>
      <c r="B65" s="559" t="str">
        <f>+B57</f>
        <v xml:space="preserve">  Transmission</v>
      </c>
      <c r="C65" s="564" t="s">
        <v>719</v>
      </c>
      <c r="D65" s="576">
        <f>'Attachment 4 - Accum Depr'!F22</f>
        <v>425746561.51011574</v>
      </c>
      <c r="E65" s="564"/>
      <c r="F65" s="564" t="str">
        <f t="shared" si="1"/>
        <v>TP</v>
      </c>
      <c r="G65" s="614">
        <f>+G57</f>
        <v>1</v>
      </c>
      <c r="H65" s="564"/>
      <c r="I65" s="615">
        <f>+G65*D65</f>
        <v>425746561.51011574</v>
      </c>
      <c r="J65" s="737"/>
      <c r="K65" s="605"/>
      <c r="L65" s="564"/>
      <c r="M65" s="564"/>
    </row>
    <row r="66" spans="1:13" ht="15.75">
      <c r="A66" s="565">
        <v>9</v>
      </c>
      <c r="B66" s="559" t="str">
        <f>+B58</f>
        <v xml:space="preserve">  Distribution</v>
      </c>
      <c r="C66" s="564" t="s">
        <v>720</v>
      </c>
      <c r="D66" s="576">
        <f>'Attachment 4 - Accum Depr'!G22</f>
        <v>0</v>
      </c>
      <c r="E66" s="564"/>
      <c r="F66" s="564" t="str">
        <f t="shared" si="1"/>
        <v>NA</v>
      </c>
      <c r="G66" s="614" t="str">
        <f t="shared" si="1"/>
        <v xml:space="preserve"> </v>
      </c>
      <c r="H66" s="564"/>
      <c r="I66" s="615" t="s">
        <v>3</v>
      </c>
      <c r="J66" s="564"/>
      <c r="K66" s="605"/>
      <c r="L66" s="564"/>
      <c r="M66" s="564"/>
    </row>
    <row r="67" spans="1:13" ht="15.75">
      <c r="A67" s="565">
        <v>10</v>
      </c>
      <c r="B67" s="559" t="str">
        <f>+B59</f>
        <v xml:space="preserve">  General &amp; Intangible</v>
      </c>
      <c r="C67" s="564" t="s">
        <v>721</v>
      </c>
      <c r="D67" s="576">
        <f>'Attachment 4 - Accum Depr'!H22+'Attachment 4 - Accum Depr'!I22</f>
        <v>39936378.533086218</v>
      </c>
      <c r="E67" s="564"/>
      <c r="F67" s="564" t="str">
        <f>F59</f>
        <v>W/S</v>
      </c>
      <c r="G67" s="614">
        <f>G59</f>
        <v>1</v>
      </c>
      <c r="H67" s="564"/>
      <c r="I67" s="615">
        <f>+G67*D67</f>
        <v>39936378.533086218</v>
      </c>
      <c r="J67" s="737"/>
      <c r="K67" s="605"/>
      <c r="L67" s="558"/>
      <c r="M67" s="565"/>
    </row>
    <row r="68" spans="1:13" ht="16.5" thickBot="1">
      <c r="A68" s="565">
        <v>11</v>
      </c>
      <c r="B68" s="559" t="str">
        <f>+B60</f>
        <v xml:space="preserve">  Common</v>
      </c>
      <c r="C68" s="564" t="s">
        <v>860</v>
      </c>
      <c r="D68" s="616">
        <f>'Attachment 4 - Accum Depr'!J22</f>
        <v>0</v>
      </c>
      <c r="E68" s="564"/>
      <c r="F68" s="564" t="str">
        <f t="shared" si="1"/>
        <v>CE</v>
      </c>
      <c r="G68" s="614">
        <f t="shared" si="1"/>
        <v>0</v>
      </c>
      <c r="H68" s="564"/>
      <c r="I68" s="617">
        <f>+G68*D68</f>
        <v>0</v>
      </c>
      <c r="J68" s="564"/>
      <c r="K68" s="605"/>
      <c r="L68" s="564"/>
      <c r="M68" s="565"/>
    </row>
    <row r="69" spans="1:13" ht="15.75">
      <c r="A69" s="565">
        <v>12</v>
      </c>
      <c r="B69" s="559" t="s">
        <v>181</v>
      </c>
      <c r="C69" s="564"/>
      <c r="D69" s="615">
        <f>SUM(D64:D68)</f>
        <v>465682940.04320198</v>
      </c>
      <c r="E69" s="564"/>
      <c r="F69" s="564"/>
      <c r="G69" s="564"/>
      <c r="H69" s="564"/>
      <c r="I69" s="615">
        <f>SUM(I64:I68)</f>
        <v>465682940.04320198</v>
      </c>
      <c r="J69" s="737"/>
      <c r="K69" s="605"/>
      <c r="L69" s="620"/>
      <c r="M69" s="564"/>
    </row>
    <row r="70" spans="1:13" ht="15.75">
      <c r="A70" s="565"/>
      <c r="C70" s="564" t="s">
        <v>3</v>
      </c>
      <c r="E70" s="564"/>
      <c r="F70" s="564"/>
      <c r="G70" s="618"/>
      <c r="H70" s="564"/>
      <c r="I70" s="588"/>
      <c r="J70" s="564"/>
      <c r="K70" s="619"/>
      <c r="L70" s="564"/>
      <c r="M70" s="564"/>
    </row>
    <row r="71" spans="1:13" ht="15.75">
      <c r="A71" s="565"/>
      <c r="B71" s="559" t="s">
        <v>47</v>
      </c>
      <c r="C71" s="564"/>
      <c r="D71" s="564"/>
      <c r="E71" s="564"/>
      <c r="F71" s="564"/>
      <c r="G71" s="564"/>
      <c r="H71" s="564"/>
      <c r="I71" s="588"/>
      <c r="J71" s="564"/>
      <c r="K71" s="605"/>
      <c r="L71" s="564"/>
      <c r="M71" s="564"/>
    </row>
    <row r="72" spans="1:13" ht="15.75">
      <c r="A72" s="565">
        <v>13</v>
      </c>
      <c r="B72" s="559" t="str">
        <f>+B64</f>
        <v xml:space="preserve">  Production</v>
      </c>
      <c r="C72" s="564" t="s">
        <v>166</v>
      </c>
      <c r="D72" s="615">
        <f>D56-D64</f>
        <v>0</v>
      </c>
      <c r="E72" s="564"/>
      <c r="F72" s="564"/>
      <c r="G72" s="618"/>
      <c r="H72" s="564"/>
      <c r="I72" s="615" t="s">
        <v>3</v>
      </c>
      <c r="J72" s="564"/>
      <c r="K72" s="619"/>
      <c r="L72" s="564"/>
      <c r="M72" s="564"/>
    </row>
    <row r="73" spans="1:13" ht="15.75">
      <c r="A73" s="565">
        <v>14</v>
      </c>
      <c r="B73" s="559" t="str">
        <f>+B65</f>
        <v xml:space="preserve">  Transmission</v>
      </c>
      <c r="C73" s="564" t="s">
        <v>167</v>
      </c>
      <c r="D73" s="615">
        <f>D57-D65</f>
        <v>3859633350.9716635</v>
      </c>
      <c r="E73" s="564"/>
      <c r="F73" s="564"/>
      <c r="G73" s="614"/>
      <c r="H73" s="564"/>
      <c r="I73" s="615">
        <f>I57-I65</f>
        <v>3859633350.9716635</v>
      </c>
      <c r="J73" s="737"/>
      <c r="K73" s="605"/>
      <c r="L73" s="564"/>
      <c r="M73" s="564"/>
    </row>
    <row r="74" spans="1:13" ht="15.75">
      <c r="A74" s="565">
        <v>15</v>
      </c>
      <c r="B74" s="559" t="str">
        <f>+B66</f>
        <v xml:space="preserve">  Distribution</v>
      </c>
      <c r="C74" s="564" t="s">
        <v>168</v>
      </c>
      <c r="D74" s="615">
        <f>D58-D66</f>
        <v>0</v>
      </c>
      <c r="E74" s="564"/>
      <c r="F74" s="564"/>
      <c r="G74" s="618"/>
      <c r="H74" s="564"/>
      <c r="I74" s="615" t="s">
        <v>3</v>
      </c>
      <c r="J74" s="564"/>
      <c r="K74" s="621"/>
      <c r="L74" s="564"/>
      <c r="M74" s="564"/>
    </row>
    <row r="75" spans="1:13" ht="15.75">
      <c r="A75" s="565">
        <v>16</v>
      </c>
      <c r="B75" s="559" t="str">
        <f>+B67</f>
        <v xml:space="preserve">  General &amp; Intangible</v>
      </c>
      <c r="C75" s="564" t="s">
        <v>169</v>
      </c>
      <c r="D75" s="576">
        <f>D59-D67</f>
        <v>123057524.52613187</v>
      </c>
      <c r="E75" s="564"/>
      <c r="F75" s="564"/>
      <c r="G75" s="618"/>
      <c r="H75" s="564"/>
      <c r="I75" s="615">
        <f>I59-I67</f>
        <v>123057524.52613187</v>
      </c>
      <c r="J75" s="737"/>
      <c r="K75" s="618"/>
      <c r="L75" s="564"/>
      <c r="M75" s="565"/>
    </row>
    <row r="76" spans="1:13" ht="16.5" thickBot="1">
      <c r="A76" s="565">
        <v>17</v>
      </c>
      <c r="B76" s="559" t="str">
        <f>+B68</f>
        <v xml:space="preserve">  Common</v>
      </c>
      <c r="C76" s="564" t="s">
        <v>170</v>
      </c>
      <c r="D76" s="617">
        <f>D60-D68</f>
        <v>0</v>
      </c>
      <c r="E76" s="564"/>
      <c r="F76" s="564"/>
      <c r="G76" s="618"/>
      <c r="H76" s="564"/>
      <c r="I76" s="617">
        <f>I60-I68</f>
        <v>0</v>
      </c>
      <c r="J76" s="564"/>
      <c r="K76" s="618"/>
      <c r="L76" s="564"/>
      <c r="M76" s="565"/>
    </row>
    <row r="77" spans="1:13" ht="15.75">
      <c r="A77" s="565">
        <v>18</v>
      </c>
      <c r="B77" s="559" t="s">
        <v>48</v>
      </c>
      <c r="C77" s="564"/>
      <c r="D77" s="615">
        <f>SUM(D72:D76)</f>
        <v>3982690875.4977951</v>
      </c>
      <c r="E77" s="564"/>
      <c r="F77" s="564" t="s">
        <v>49</v>
      </c>
      <c r="G77" s="618">
        <f>IF(I77&gt;0,I77/D77,0)</f>
        <v>1</v>
      </c>
      <c r="H77" s="564"/>
      <c r="I77" s="615">
        <f>SUM(I72:I76)</f>
        <v>3982690875.4977951</v>
      </c>
      <c r="J77" s="737"/>
      <c r="K77" s="564"/>
      <c r="L77" s="585"/>
      <c r="M77" s="564"/>
    </row>
    <row r="78" spans="1:13" ht="15.75">
      <c r="A78" s="565"/>
      <c r="C78" s="564"/>
      <c r="D78" s="615"/>
      <c r="E78" s="564"/>
      <c r="H78" s="564"/>
      <c r="I78" s="615"/>
      <c r="J78" s="564"/>
      <c r="K78" s="618"/>
      <c r="L78" s="564"/>
      <c r="M78" s="564"/>
    </row>
    <row r="79" spans="1:13" ht="15.75">
      <c r="A79" s="565"/>
      <c r="B79" s="559" t="s">
        <v>880</v>
      </c>
      <c r="C79" s="564"/>
      <c r="D79" s="615"/>
      <c r="E79" s="564"/>
      <c r="F79" s="564"/>
      <c r="G79" s="564"/>
      <c r="H79" s="564"/>
      <c r="I79" s="615"/>
      <c r="J79" s="564"/>
      <c r="K79" s="564"/>
      <c r="L79" s="558"/>
      <c r="M79" s="564"/>
    </row>
    <row r="80" spans="1:13" ht="15.75">
      <c r="A80" s="565">
        <v>19</v>
      </c>
      <c r="B80" s="559" t="s">
        <v>50</v>
      </c>
      <c r="C80" s="737" t="s">
        <v>1214</v>
      </c>
      <c r="D80" s="576">
        <f>'Attachment 5 - ADIT'!E13</f>
        <v>0</v>
      </c>
      <c r="E80" s="564"/>
      <c r="F80" s="564" t="str">
        <f>+F64</f>
        <v>NA</v>
      </c>
      <c r="G80" s="622"/>
      <c r="H80" s="564"/>
      <c r="I80" s="615"/>
      <c r="J80" s="564"/>
      <c r="K80" s="618"/>
      <c r="L80" s="623"/>
      <c r="M80" s="565"/>
    </row>
    <row r="81" spans="1:13" ht="15.75">
      <c r="A81" s="565">
        <v>20</v>
      </c>
      <c r="B81" s="559" t="s">
        <v>52</v>
      </c>
      <c r="C81" s="737" t="s">
        <v>1215</v>
      </c>
      <c r="D81" s="576">
        <f>'Attachment 5 - ADIT'!F13</f>
        <v>-581447347.34709883</v>
      </c>
      <c r="E81" s="564"/>
      <c r="F81" s="564" t="s">
        <v>53</v>
      </c>
      <c r="G81" s="614">
        <f>+G77</f>
        <v>1</v>
      </c>
      <c r="H81" s="564"/>
      <c r="I81" s="615">
        <f t="shared" si="2" ref="I81:I86">D81*G81</f>
        <v>-581447347.34709883</v>
      </c>
      <c r="J81" s="737"/>
      <c r="K81" s="618"/>
      <c r="L81" s="623"/>
      <c r="M81" s="565"/>
    </row>
    <row r="82" spans="1:13" ht="15.75">
      <c r="A82" s="565">
        <v>21</v>
      </c>
      <c r="B82" s="559" t="s">
        <v>54</v>
      </c>
      <c r="C82" s="737" t="s">
        <v>1216</v>
      </c>
      <c r="D82" s="624">
        <f>'Attachment 5 - ADIT'!G13</f>
        <v>-2653769.0602634232</v>
      </c>
      <c r="E82" s="564"/>
      <c r="F82" s="564" t="s">
        <v>53</v>
      </c>
      <c r="G82" s="614">
        <f>+G81</f>
        <v>1</v>
      </c>
      <c r="H82" s="564"/>
      <c r="I82" s="615">
        <f t="shared" si="2"/>
        <v>-2653769.0602634232</v>
      </c>
      <c r="J82" s="737"/>
      <c r="K82" s="618"/>
      <c r="L82" s="623"/>
      <c r="M82" s="565"/>
    </row>
    <row r="83" spans="1:13" ht="15.75">
      <c r="A83" s="565">
        <v>22</v>
      </c>
      <c r="B83" s="559" t="s">
        <v>55</v>
      </c>
      <c r="C83" s="737" t="s">
        <v>1217</v>
      </c>
      <c r="D83" s="624">
        <f>'Attachment 5 - ADIT'!H13</f>
        <v>41881222.2458134</v>
      </c>
      <c r="E83" s="564"/>
      <c r="F83" s="564" t="str">
        <f>+F82</f>
        <v>NP</v>
      </c>
      <c r="G83" s="614">
        <f>+G82</f>
        <v>1</v>
      </c>
      <c r="H83" s="564"/>
      <c r="I83" s="615">
        <f t="shared" si="2"/>
        <v>41881222.2458134</v>
      </c>
      <c r="J83" s="737"/>
      <c r="K83" s="618"/>
      <c r="L83" s="623"/>
      <c r="M83" s="565"/>
    </row>
    <row r="84" spans="1:13" ht="15.75">
      <c r="A84" s="565">
        <v>23</v>
      </c>
      <c r="B84" s="558" t="s">
        <v>56</v>
      </c>
      <c r="C84" s="737" t="s">
        <v>1218</v>
      </c>
      <c r="D84" s="624">
        <f>'Attachment 5 - ADIT'!I13</f>
        <v>0</v>
      </c>
      <c r="E84" s="564"/>
      <c r="F84" s="564" t="s">
        <v>53</v>
      </c>
      <c r="G84" s="614">
        <f>+G82</f>
        <v>1</v>
      </c>
      <c r="H84" s="564"/>
      <c r="I84" s="625">
        <f t="shared" si="2"/>
        <v>0</v>
      </c>
      <c r="J84" s="737"/>
      <c r="K84" s="618"/>
      <c r="L84" s="1149"/>
      <c r="M84" s="565"/>
    </row>
    <row r="85" spans="1:13" ht="15.75">
      <c r="A85" s="565">
        <v>24</v>
      </c>
      <c r="B85" s="559" t="s">
        <v>748</v>
      </c>
      <c r="C85" s="558" t="s">
        <v>1171</v>
      </c>
      <c r="D85" s="624">
        <f>-'Attachment 14 - Other Rate Base'!H65</f>
        <v>0</v>
      </c>
      <c r="E85" s="564"/>
      <c r="F85" s="564" t="s">
        <v>411</v>
      </c>
      <c r="G85" s="614">
        <v>1</v>
      </c>
      <c r="H85" s="564"/>
      <c r="I85" s="625">
        <f t="shared" si="2"/>
        <v>0</v>
      </c>
      <c r="J85" s="737"/>
      <c r="K85" s="618"/>
      <c r="L85" s="623"/>
      <c r="M85" s="565"/>
    </row>
    <row r="86" spans="1:13" ht="15.75">
      <c r="A86" s="565">
        <v>25</v>
      </c>
      <c r="B86" s="559" t="s">
        <v>749</v>
      </c>
      <c r="C86" s="558" t="s">
        <v>1172</v>
      </c>
      <c r="D86" s="624">
        <f>-'Attachment 14 - Other Rate Base'!H66</f>
        <v>0</v>
      </c>
      <c r="E86" s="564"/>
      <c r="F86" s="564" t="s">
        <v>411</v>
      </c>
      <c r="G86" s="614">
        <v>1</v>
      </c>
      <c r="H86" s="564"/>
      <c r="I86" s="625">
        <f t="shared" si="2"/>
        <v>0</v>
      </c>
      <c r="J86" s="737"/>
      <c r="K86" s="618"/>
      <c r="L86" s="623"/>
      <c r="M86" s="565"/>
    </row>
    <row r="87" spans="1:13" ht="15.75">
      <c r="A87" s="565">
        <v>26</v>
      </c>
      <c r="B87" s="558" t="s">
        <v>370</v>
      </c>
      <c r="C87" s="558" t="s">
        <v>1208</v>
      </c>
      <c r="D87" s="624">
        <f>'Attachment 18 - CWIP'!E22</f>
        <v>0</v>
      </c>
      <c r="E87" s="564"/>
      <c r="F87" s="564" t="s">
        <v>411</v>
      </c>
      <c r="G87" s="614">
        <v>1</v>
      </c>
      <c r="H87" s="564"/>
      <c r="I87" s="625">
        <f>D87</f>
        <v>0</v>
      </c>
      <c r="J87" s="737"/>
      <c r="K87" s="618"/>
      <c r="L87" s="564"/>
      <c r="M87" s="565"/>
    </row>
    <row r="88" spans="1:21" ht="15.75">
      <c r="A88" s="565">
        <v>27</v>
      </c>
      <c r="B88" s="558" t="s">
        <v>371</v>
      </c>
      <c r="C88" s="558" t="s">
        <v>881</v>
      </c>
      <c r="D88" s="624">
        <f>'Attach 16a Reg Asset-Storms'!H20+'Attach 16b Reg Asset-Veg Mgmt'!H20+'Attach 16c Reg Asset-start Cost'!H20</f>
        <v>0</v>
      </c>
      <c r="E88" s="564"/>
      <c r="F88" s="564" t="s">
        <v>411</v>
      </c>
      <c r="G88" s="614">
        <f>G87</f>
        <v>1</v>
      </c>
      <c r="H88" s="564"/>
      <c r="I88" s="625">
        <f>D88</f>
        <v>0</v>
      </c>
      <c r="J88" s="737"/>
      <c r="K88" s="618"/>
      <c r="L88" s="729"/>
      <c r="M88" s="729"/>
      <c r="N88" s="729"/>
      <c r="O88" s="729"/>
      <c r="P88" s="729"/>
      <c r="Q88" s="729"/>
      <c r="R88" s="729"/>
      <c r="S88" s="729"/>
      <c r="T88" s="729"/>
      <c r="U88" s="729"/>
    </row>
    <row r="89" spans="1:21" ht="16.5" thickBot="1">
      <c r="A89" s="565">
        <v>28</v>
      </c>
      <c r="B89" s="558" t="s">
        <v>372</v>
      </c>
      <c r="C89" s="558" t="s">
        <v>861</v>
      </c>
      <c r="D89" s="616">
        <f>'Attachment 17 - Abandoned Plant'!H20</f>
        <v>0</v>
      </c>
      <c r="E89" s="564"/>
      <c r="F89" s="564" t="s">
        <v>411</v>
      </c>
      <c r="G89" s="614">
        <f>G88</f>
        <v>1</v>
      </c>
      <c r="H89" s="564"/>
      <c r="I89" s="616">
        <f>D89</f>
        <v>0</v>
      </c>
      <c r="J89" s="737"/>
      <c r="K89" s="618"/>
      <c r="L89" s="730"/>
      <c r="M89" s="730"/>
      <c r="N89" s="730"/>
      <c r="O89" s="730"/>
      <c r="P89" s="730"/>
      <c r="Q89" s="730"/>
      <c r="R89" s="730"/>
      <c r="S89" s="730"/>
      <c r="T89" s="730"/>
      <c r="U89" s="730"/>
    </row>
    <row r="90" spans="1:14" ht="15.75">
      <c r="A90" s="565">
        <v>29</v>
      </c>
      <c r="B90" s="559" t="s">
        <v>373</v>
      </c>
      <c r="C90" s="564"/>
      <c r="D90" s="576">
        <f>SUM(D80:D89)</f>
        <v>-542219894.16154885</v>
      </c>
      <c r="E90" s="626"/>
      <c r="F90" s="626"/>
      <c r="G90" s="626"/>
      <c r="H90" s="626"/>
      <c r="I90" s="615">
        <f>SUM(I80:I89)</f>
        <v>-542219894.16154885</v>
      </c>
      <c r="J90" s="737"/>
      <c r="K90" s="564"/>
      <c r="L90" s="620"/>
      <c r="M90" s="564"/>
      <c r="N90" s="624"/>
    </row>
    <row r="91" spans="1:13" ht="15.75">
      <c r="A91" s="565"/>
      <c r="C91" s="564"/>
      <c r="D91" s="615"/>
      <c r="E91" s="564"/>
      <c r="F91" s="564"/>
      <c r="G91" s="618"/>
      <c r="H91" s="564"/>
      <c r="I91" s="615"/>
      <c r="J91" s="564"/>
      <c r="K91" s="618"/>
      <c r="L91" s="564"/>
      <c r="M91" s="564"/>
    </row>
    <row r="92" spans="1:13" ht="15.75">
      <c r="A92" s="565">
        <v>30</v>
      </c>
      <c r="B92" s="559" t="s">
        <v>57</v>
      </c>
      <c r="C92" s="564" t="s">
        <v>1173</v>
      </c>
      <c r="D92" s="576">
        <f>'Attachment 14 - Other Rate Base'!E10</f>
        <v>0</v>
      </c>
      <c r="E92" s="564"/>
      <c r="F92" s="564" t="str">
        <f>+F65</f>
        <v>TP</v>
      </c>
      <c r="G92" s="614">
        <f>+G65</f>
        <v>1</v>
      </c>
      <c r="H92" s="564"/>
      <c r="I92" s="615">
        <f>+G92*D92</f>
        <v>0</v>
      </c>
      <c r="J92" s="564"/>
      <c r="K92" s="564"/>
      <c r="L92" s="564"/>
      <c r="M92" s="564"/>
    </row>
    <row r="93" spans="1:13" ht="15.75">
      <c r="A93" s="565"/>
      <c r="B93" s="559"/>
      <c r="C93" s="564"/>
      <c r="D93" s="588"/>
      <c r="E93" s="564"/>
      <c r="F93" s="564"/>
      <c r="G93" s="564"/>
      <c r="H93" s="564"/>
      <c r="I93" s="615"/>
      <c r="J93" s="564"/>
      <c r="K93" s="564"/>
      <c r="L93" s="564"/>
      <c r="M93" s="564"/>
    </row>
    <row r="94" spans="1:13" ht="15.75">
      <c r="A94" s="565">
        <v>31</v>
      </c>
      <c r="B94" s="559" t="s">
        <v>171</v>
      </c>
      <c r="C94" s="564" t="s">
        <v>3</v>
      </c>
      <c r="D94" s="588"/>
      <c r="E94" s="564"/>
      <c r="F94" s="564"/>
      <c r="G94" s="564"/>
      <c r="H94" s="564"/>
      <c r="I94" s="588"/>
      <c r="J94" s="564"/>
      <c r="K94" s="564"/>
      <c r="L94" s="564"/>
      <c r="M94" s="564"/>
    </row>
    <row r="95" spans="1:13" ht="15.75">
      <c r="A95" s="565">
        <v>32</v>
      </c>
      <c r="B95" s="3" t="s">
        <v>1213</v>
      </c>
      <c r="C95" s="1121" t="s">
        <v>910</v>
      </c>
      <c r="D95" s="577">
        <f>(D144-D140-D141-4002825)/8</f>
        <v>16629292.420060117</v>
      </c>
      <c r="E95" s="737"/>
      <c r="F95" s="564"/>
      <c r="G95" s="618"/>
      <c r="H95" s="564"/>
      <c r="I95" s="577">
        <f>(I144-I140-I141-4002825)/8</f>
        <v>16235884.493810115</v>
      </c>
      <c r="J95" s="1122"/>
      <c r="K95" s="1122"/>
      <c r="L95" s="5"/>
      <c r="M95" s="565"/>
    </row>
    <row r="96" spans="1:13" ht="15.75">
      <c r="A96" s="565">
        <v>33</v>
      </c>
      <c r="B96" s="559" t="s">
        <v>172</v>
      </c>
      <c r="C96" s="564" t="s">
        <v>1174</v>
      </c>
      <c r="D96" s="576">
        <f>'Attachment 14 - Other Rate Base'!E11</f>
        <v>0</v>
      </c>
      <c r="E96" s="564"/>
      <c r="F96" s="564" t="s">
        <v>58</v>
      </c>
      <c r="G96" s="614">
        <f>I225</f>
        <v>0.97096363012970388</v>
      </c>
      <c r="H96" s="564"/>
      <c r="I96" s="615">
        <f>+G96*D96</f>
        <v>0</v>
      </c>
      <c r="J96" s="564"/>
      <c r="K96" s="618"/>
      <c r="L96" s="628"/>
      <c r="M96" s="565"/>
    </row>
    <row r="97" spans="1:13" ht="16.5" thickBot="1">
      <c r="A97" s="565">
        <v>34</v>
      </c>
      <c r="B97" s="559" t="s">
        <v>59</v>
      </c>
      <c r="C97" s="564" t="s">
        <v>1175</v>
      </c>
      <c r="D97" s="616">
        <f>'Attachment 14 - Other Rate Base'!E12</f>
        <v>886604</v>
      </c>
      <c r="E97" s="564"/>
      <c r="F97" s="564" t="s">
        <v>60</v>
      </c>
      <c r="G97" s="614">
        <f>+G61</f>
        <v>1</v>
      </c>
      <c r="H97" s="564"/>
      <c r="I97" s="616">
        <f>+G97*D97</f>
        <v>886604</v>
      </c>
      <c r="J97" s="737"/>
      <c r="K97" s="618"/>
      <c r="L97" s="628"/>
      <c r="M97" s="565"/>
    </row>
    <row r="98" spans="1:13" ht="15.75">
      <c r="A98" s="565">
        <v>35</v>
      </c>
      <c r="B98" s="559" t="s">
        <v>374</v>
      </c>
      <c r="C98" s="559"/>
      <c r="D98" s="576">
        <f>SUM(D95:D97)</f>
        <v>17515896.420060117</v>
      </c>
      <c r="E98" s="559"/>
      <c r="F98" s="559"/>
      <c r="G98" s="559"/>
      <c r="H98" s="559"/>
      <c r="I98" s="615">
        <f>SUM(I95:I97)</f>
        <v>17122488.493810117</v>
      </c>
      <c r="J98" s="3"/>
      <c r="K98" s="559"/>
      <c r="L98" s="560"/>
      <c r="M98" s="564"/>
    </row>
    <row r="99" spans="3:13" ht="16.5" thickBot="1">
      <c r="C99" s="564"/>
      <c r="D99" s="617"/>
      <c r="E99" s="564"/>
      <c r="F99" s="564"/>
      <c r="G99" s="564"/>
      <c r="H99" s="564"/>
      <c r="I99" s="617"/>
      <c r="J99" s="564"/>
      <c r="K99" s="564"/>
      <c r="L99" s="564"/>
      <c r="M99" s="564"/>
    </row>
    <row r="100" spans="1:13" ht="16.5" thickBot="1">
      <c r="A100" s="565">
        <v>36</v>
      </c>
      <c r="B100" s="559" t="s">
        <v>375</v>
      </c>
      <c r="C100" s="564"/>
      <c r="D100" s="629">
        <f>+D98+D92+D90+D77</f>
        <v>3457986877.7563062</v>
      </c>
      <c r="E100" s="564"/>
      <c r="F100" s="564"/>
      <c r="G100" s="618"/>
      <c r="H100" s="564"/>
      <c r="I100" s="629">
        <f>+I98+I92+I90+I77</f>
        <v>3457593469.8300562</v>
      </c>
      <c r="J100" s="737"/>
      <c r="K100" s="618"/>
      <c r="L100" s="564"/>
      <c r="M100" s="564"/>
    </row>
    <row r="101" spans="1:13" ht="16.5" thickTop="1">
      <c r="A101" s="565"/>
      <c r="B101" s="559"/>
      <c r="C101" s="564"/>
      <c r="D101" s="606"/>
      <c r="E101" s="564"/>
      <c r="F101" s="564"/>
      <c r="G101" s="618"/>
      <c r="H101" s="564"/>
      <c r="I101" s="564"/>
      <c r="J101" s="564"/>
      <c r="K101" s="618"/>
      <c r="L101" s="564"/>
      <c r="M101" s="564"/>
    </row>
    <row r="102" spans="1:13" ht="34.5" customHeight="1">
      <c r="A102" s="712"/>
      <c r="B102" s="1171"/>
      <c r="C102" s="1172"/>
      <c r="D102" s="1172"/>
      <c r="E102" s="1172"/>
      <c r="F102" s="1172"/>
      <c r="G102" s="1172"/>
      <c r="H102" s="1172"/>
      <c r="I102" s="1172"/>
      <c r="J102" s="1172"/>
      <c r="K102" s="1172"/>
      <c r="L102" s="564"/>
      <c r="M102" s="564"/>
    </row>
    <row r="103" spans="1:13" ht="15.75">
      <c r="A103" s="565"/>
      <c r="B103" s="559"/>
      <c r="C103" s="564"/>
      <c r="D103" s="606"/>
      <c r="E103" s="564"/>
      <c r="F103" s="564"/>
      <c r="G103" s="618"/>
      <c r="H103" s="564"/>
      <c r="I103" s="564"/>
      <c r="J103" s="564"/>
      <c r="K103" s="618"/>
      <c r="L103" s="564"/>
      <c r="M103" s="564"/>
    </row>
    <row r="104" spans="1:13" ht="15.75">
      <c r="A104" s="565"/>
      <c r="B104" s="559"/>
      <c r="C104" s="564"/>
      <c r="D104" s="564"/>
      <c r="E104" s="564"/>
      <c r="F104" s="564"/>
      <c r="G104" s="618"/>
      <c r="H104" s="564"/>
      <c r="I104" s="564"/>
      <c r="J104" s="564"/>
      <c r="K104" s="618"/>
      <c r="L104" s="564"/>
      <c r="M104" s="564"/>
    </row>
    <row r="105" spans="1:13" ht="15.75">
      <c r="A105" s="565"/>
      <c r="B105" s="559"/>
      <c r="C105" s="564"/>
      <c r="D105" s="564"/>
      <c r="E105" s="564"/>
      <c r="F105" s="564"/>
      <c r="G105" s="618"/>
      <c r="H105" s="564"/>
      <c r="I105" s="564"/>
      <c r="J105" s="564"/>
      <c r="K105" s="618"/>
      <c r="L105" s="564"/>
      <c r="M105" s="564"/>
    </row>
    <row r="106" spans="1:13" ht="15.75">
      <c r="A106" s="565"/>
      <c r="B106" s="559"/>
      <c r="C106" s="564"/>
      <c r="D106" s="564"/>
      <c r="E106" s="564"/>
      <c r="F106" s="564"/>
      <c r="G106" s="618"/>
      <c r="H106" s="564"/>
      <c r="I106" s="564"/>
      <c r="J106" s="564"/>
      <c r="K106" s="618"/>
      <c r="L106" s="564"/>
      <c r="M106" s="564"/>
    </row>
    <row r="107" spans="1:13" ht="15.75">
      <c r="A107" s="565"/>
      <c r="B107" s="559"/>
      <c r="C107" s="564"/>
      <c r="D107" s="564"/>
      <c r="E107" s="564"/>
      <c r="F107" s="564"/>
      <c r="G107" s="618"/>
      <c r="H107" s="564"/>
      <c r="I107" s="564"/>
      <c r="J107" s="564"/>
      <c r="K107" s="618"/>
      <c r="L107" s="564"/>
      <c r="M107" s="564"/>
    </row>
    <row r="108" spans="1:13" ht="15.75">
      <c r="A108" s="565"/>
      <c r="B108" s="559"/>
      <c r="C108" s="564"/>
      <c r="D108" s="564"/>
      <c r="E108" s="564"/>
      <c r="F108" s="564"/>
      <c r="G108" s="618"/>
      <c r="H108" s="564"/>
      <c r="I108" s="564"/>
      <c r="J108" s="564"/>
      <c r="K108" s="618"/>
      <c r="L108" s="564"/>
      <c r="M108" s="564"/>
    </row>
    <row r="109" spans="1:13" ht="15.75">
      <c r="A109" s="565"/>
      <c r="B109" s="559"/>
      <c r="C109" s="564"/>
      <c r="D109" s="564"/>
      <c r="E109" s="564"/>
      <c r="F109" s="564"/>
      <c r="G109" s="618"/>
      <c r="H109" s="564"/>
      <c r="I109" s="564"/>
      <c r="J109" s="564"/>
      <c r="K109" s="618"/>
      <c r="L109" s="564"/>
      <c r="M109" s="564"/>
    </row>
    <row r="110" spans="1:13" ht="15.75">
      <c r="A110" s="565"/>
      <c r="B110" s="559"/>
      <c r="C110" s="564"/>
      <c r="D110" s="564"/>
      <c r="E110" s="564"/>
      <c r="F110" s="564"/>
      <c r="G110" s="618"/>
      <c r="H110" s="564"/>
      <c r="I110" s="564"/>
      <c r="J110" s="564"/>
      <c r="K110" s="618"/>
      <c r="L110" s="564"/>
      <c r="M110" s="564"/>
    </row>
    <row r="111" spans="1:13" ht="15.75">
      <c r="A111" s="565"/>
      <c r="B111" s="559"/>
      <c r="C111" s="564"/>
      <c r="D111" s="564"/>
      <c r="E111" s="564"/>
      <c r="F111" s="564"/>
      <c r="G111" s="618"/>
      <c r="H111" s="564"/>
      <c r="I111" s="564"/>
      <c r="J111" s="564"/>
      <c r="K111" s="618"/>
      <c r="L111" s="564"/>
      <c r="M111" s="564"/>
    </row>
    <row r="112" spans="1:13" ht="15.75">
      <c r="A112" s="565"/>
      <c r="B112" s="559"/>
      <c r="C112" s="564"/>
      <c r="D112" s="564"/>
      <c r="E112" s="564"/>
      <c r="F112" s="564"/>
      <c r="G112" s="618"/>
      <c r="H112" s="564"/>
      <c r="I112" s="564"/>
      <c r="J112" s="564"/>
      <c r="K112" s="618"/>
      <c r="L112" s="564"/>
      <c r="M112" s="564"/>
    </row>
    <row r="113" spans="1:13" ht="15.75">
      <c r="A113" s="565"/>
      <c r="B113" s="559"/>
      <c r="C113" s="564"/>
      <c r="D113" s="564"/>
      <c r="E113" s="564"/>
      <c r="F113" s="564"/>
      <c r="G113" s="618"/>
      <c r="H113" s="564"/>
      <c r="I113" s="564"/>
      <c r="J113" s="564"/>
      <c r="K113" s="618"/>
      <c r="L113" s="564"/>
      <c r="M113" s="564"/>
    </row>
    <row r="114" spans="1:13" ht="15.75">
      <c r="A114" s="565"/>
      <c r="B114" s="559"/>
      <c r="C114" s="564"/>
      <c r="D114" s="564"/>
      <c r="E114" s="564"/>
      <c r="F114" s="564"/>
      <c r="G114" s="618"/>
      <c r="H114" s="564"/>
      <c r="I114" s="564"/>
      <c r="J114" s="564"/>
      <c r="K114" s="618"/>
      <c r="L114" s="564"/>
      <c r="M114" s="564"/>
    </row>
    <row r="115" spans="1:12" ht="15.75">
      <c r="A115" s="630"/>
      <c r="B115" s="559"/>
      <c r="C115" s="564"/>
      <c r="D115" s="564"/>
      <c r="E115" s="564"/>
      <c r="F115" s="564"/>
      <c r="G115" s="618"/>
      <c r="H115" s="564"/>
      <c r="I115" s="564"/>
      <c r="J115" s="564"/>
      <c r="K115" s="612"/>
      <c r="L115" s="558"/>
    </row>
    <row r="116" spans="1:12" ht="15.75">
      <c r="A116" s="630"/>
      <c r="B116" s="559"/>
      <c r="C116" s="564"/>
      <c r="D116" s="564"/>
      <c r="E116" s="564"/>
      <c r="F116" s="564"/>
      <c r="G116" s="618"/>
      <c r="H116" s="564"/>
      <c r="I116" s="564"/>
      <c r="J116" s="564"/>
      <c r="K116" s="612"/>
      <c r="L116" s="558"/>
    </row>
    <row r="117" spans="2:13" ht="15.75">
      <c r="B117" s="559"/>
      <c r="C117" s="559"/>
      <c r="D117" s="560"/>
      <c r="E117" s="559"/>
      <c r="F117" s="559"/>
      <c r="G117" s="559"/>
      <c r="H117" s="559"/>
      <c r="I117" s="565"/>
      <c r="J117" s="565"/>
      <c r="K117" s="561"/>
      <c r="L117" s="559"/>
      <c r="M117" s="559"/>
    </row>
    <row r="118" spans="2:13" ht="15.75">
      <c r="B118" s="559"/>
      <c r="C118" s="559"/>
      <c r="D118" s="560"/>
      <c r="E118" s="559"/>
      <c r="F118" s="559"/>
      <c r="G118" s="559"/>
      <c r="H118" s="559"/>
      <c r="I118" s="561"/>
      <c r="J118" s="561"/>
      <c r="K118" s="561"/>
      <c r="L118" s="559"/>
      <c r="M118" s="559"/>
    </row>
    <row r="119" spans="2:13" ht="16.5" customHeight="1">
      <c r="B119" s="559"/>
      <c r="C119" s="559"/>
      <c r="D119" s="560"/>
      <c r="E119" s="559"/>
      <c r="F119" s="559"/>
      <c r="G119" s="559"/>
      <c r="H119" s="559"/>
      <c r="I119" s="559"/>
      <c r="K119" s="561" t="str">
        <f>K44</f>
        <v>Attachment  H-28A</v>
      </c>
      <c r="L119" s="559"/>
      <c r="M119" s="559"/>
    </row>
    <row r="120" spans="2:13" ht="16.5" customHeight="1">
      <c r="B120" s="559"/>
      <c r="C120" s="559"/>
      <c r="D120" s="560"/>
      <c r="E120" s="559"/>
      <c r="F120" s="559"/>
      <c r="G120" s="559"/>
      <c r="H120" s="559"/>
      <c r="I120" s="559"/>
      <c r="J120" s="559"/>
      <c r="K120" s="561" t="s">
        <v>160</v>
      </c>
      <c r="L120" s="559"/>
      <c r="M120" s="559"/>
    </row>
    <row r="121" spans="2:13" ht="16.5" customHeight="1">
      <c r="B121" s="559"/>
      <c r="C121" s="559"/>
      <c r="D121" s="560"/>
      <c r="E121" s="559"/>
      <c r="F121" s="559"/>
      <c r="G121" s="559"/>
      <c r="H121" s="559"/>
      <c r="I121" s="559"/>
      <c r="J121" s="559"/>
      <c r="K121" s="561"/>
      <c r="L121" s="559"/>
      <c r="M121" s="559"/>
    </row>
    <row r="122" spans="2:13" ht="15.75">
      <c r="B122" s="559" t="s">
        <v>1</v>
      </c>
      <c r="C122" s="559"/>
      <c r="D122" s="560" t="s">
        <v>2</v>
      </c>
      <c r="E122" s="559"/>
      <c r="F122" s="559"/>
      <c r="G122" s="559"/>
      <c r="H122" s="559"/>
      <c r="J122" s="559"/>
      <c r="K122" s="561" t="str">
        <f>K4</f>
        <v>For the 12 months ended 12/31/2026</v>
      </c>
      <c r="L122" s="559"/>
      <c r="M122" s="559"/>
    </row>
    <row r="123" spans="2:13" ht="15.75">
      <c r="B123" s="559"/>
      <c r="C123" s="564" t="s">
        <v>3</v>
      </c>
      <c r="D123" s="564" t="s">
        <v>4</v>
      </c>
      <c r="E123" s="564"/>
      <c r="F123" s="564"/>
      <c r="G123" s="564"/>
      <c r="H123" s="559"/>
      <c r="I123" s="559"/>
      <c r="J123" s="559"/>
      <c r="K123" s="559"/>
      <c r="L123" s="559"/>
      <c r="M123" s="559"/>
    </row>
    <row r="124" spans="2:13" ht="15.75">
      <c r="B124" s="559"/>
      <c r="C124" s="564"/>
      <c r="D124" s="564"/>
      <c r="E124" s="564"/>
      <c r="F124" s="564"/>
      <c r="G124" s="564"/>
      <c r="H124" s="559"/>
      <c r="I124" s="559"/>
      <c r="J124" s="559"/>
      <c r="K124" s="559"/>
      <c r="L124" s="559"/>
      <c r="M124" s="559"/>
    </row>
    <row r="125" spans="1:13" ht="15.75">
      <c r="A125" s="565"/>
      <c r="D125" s="558" t="str">
        <f>D7</f>
        <v>Mid-Atlantic Interstate Transmission, LLC</v>
      </c>
      <c r="J125" s="564"/>
      <c r="K125" s="564"/>
      <c r="L125" s="564"/>
      <c r="M125" s="564"/>
    </row>
    <row r="126" spans="1:13" ht="15.75">
      <c r="A126" s="565"/>
      <c r="B126" s="565" t="s">
        <v>22</v>
      </c>
      <c r="C126" s="565" t="s">
        <v>23</v>
      </c>
      <c r="D126" s="565" t="s">
        <v>24</v>
      </c>
      <c r="E126" s="564" t="s">
        <v>3</v>
      </c>
      <c r="F126" s="564"/>
      <c r="G126" s="567" t="s">
        <v>25</v>
      </c>
      <c r="H126" s="564"/>
      <c r="I126" s="568" t="s">
        <v>26</v>
      </c>
      <c r="J126" s="564"/>
      <c r="K126" s="564"/>
      <c r="L126" s="559"/>
      <c r="M126" s="564"/>
    </row>
    <row r="127" spans="1:13" ht="15.75">
      <c r="A127" s="565" t="s">
        <v>5</v>
      </c>
      <c r="B127" s="559"/>
      <c r="C127" s="608"/>
      <c r="D127" s="564"/>
      <c r="E127" s="564"/>
      <c r="F127" s="564"/>
      <c r="G127" s="565"/>
      <c r="H127" s="564"/>
      <c r="I127" s="609" t="s">
        <v>28</v>
      </c>
      <c r="J127" s="564"/>
      <c r="K127" s="609"/>
      <c r="L127" s="565"/>
      <c r="M127" s="564"/>
    </row>
    <row r="128" spans="1:13" ht="16.5" thickBot="1">
      <c r="A128" s="569" t="s">
        <v>7</v>
      </c>
      <c r="B128" s="559"/>
      <c r="C128" s="608" t="s">
        <v>369</v>
      </c>
      <c r="D128" s="609" t="s">
        <v>29</v>
      </c>
      <c r="E128" s="611"/>
      <c r="F128" s="609" t="s">
        <v>30</v>
      </c>
      <c r="H128" s="611"/>
      <c r="I128" s="565" t="s">
        <v>31</v>
      </c>
      <c r="J128" s="564"/>
      <c r="K128" s="609"/>
      <c r="L128" s="609"/>
      <c r="M128" s="564"/>
    </row>
    <row r="129" spans="1:13" ht="15.75">
      <c r="A129" s="565"/>
      <c r="B129" s="559" t="s">
        <v>701</v>
      </c>
      <c r="C129" s="564"/>
      <c r="D129" s="564"/>
      <c r="E129" s="564"/>
      <c r="F129" s="564"/>
      <c r="G129" s="564"/>
      <c r="H129" s="564"/>
      <c r="I129" s="564"/>
      <c r="J129" s="564"/>
      <c r="K129" s="564"/>
      <c r="L129" s="564"/>
      <c r="M129" s="564"/>
    </row>
    <row r="130" spans="1:13" ht="15.75">
      <c r="A130" s="565">
        <v>1</v>
      </c>
      <c r="B130" s="559" t="s">
        <v>61</v>
      </c>
      <c r="C130" s="564" t="s">
        <v>1183</v>
      </c>
      <c r="D130" s="577">
        <f>'Attachment 20 - O&amp;M and A&amp;G'!F39</f>
        <v>108390388.47000006</v>
      </c>
      <c r="E130" s="564"/>
      <c r="F130" s="564" t="s">
        <v>58</v>
      </c>
      <c r="G130" s="614">
        <f>I225</f>
        <v>0.97096363012970388</v>
      </c>
      <c r="H130" s="564"/>
      <c r="I130" s="615">
        <f>+G130*D130</f>
        <v>105243125.06000006</v>
      </c>
      <c r="J130" s="3"/>
      <c r="K130" s="564"/>
      <c r="L130" s="564"/>
      <c r="M130" s="565"/>
    </row>
    <row r="131" spans="1:13" ht="15.75">
      <c r="A131" s="565">
        <v>2</v>
      </c>
      <c r="B131" s="559" t="s">
        <v>304</v>
      </c>
      <c r="C131" s="564"/>
      <c r="D131" s="577">
        <f>'Attachment 20 - O&amp;M and A&amp;G'!F15</f>
        <v>0</v>
      </c>
      <c r="E131" s="564"/>
      <c r="F131" s="564" t="s">
        <v>593</v>
      </c>
      <c r="G131" s="614">
        <v>1</v>
      </c>
      <c r="H131" s="564"/>
      <c r="I131" s="615">
        <f>+G131*D131</f>
        <v>0</v>
      </c>
      <c r="J131" s="3"/>
      <c r="K131" s="564"/>
      <c r="L131" s="564"/>
      <c r="M131" s="565"/>
    </row>
    <row r="132" spans="1:13" ht="15.75">
      <c r="A132" s="565">
        <v>3</v>
      </c>
      <c r="B132" s="559" t="s">
        <v>62</v>
      </c>
      <c r="C132" s="564" t="s">
        <v>153</v>
      </c>
      <c r="D132" s="577">
        <v>0</v>
      </c>
      <c r="E132" s="564"/>
      <c r="F132" s="564" t="s">
        <v>593</v>
      </c>
      <c r="G132" s="614">
        <v>1</v>
      </c>
      <c r="H132" s="564"/>
      <c r="I132" s="615">
        <f t="shared" si="3" ref="I132:I140">+G132*D132</f>
        <v>0</v>
      </c>
      <c r="J132" s="3"/>
      <c r="K132" s="564"/>
      <c r="L132" s="564"/>
      <c r="M132" s="565"/>
    </row>
    <row r="133" spans="1:13" ht="15.75">
      <c r="A133" s="565">
        <v>4</v>
      </c>
      <c r="B133" s="559" t="s">
        <v>591</v>
      </c>
      <c r="C133" s="564" t="s">
        <v>592</v>
      </c>
      <c r="D133" s="577">
        <f>'Attachment 20 - O&amp;M and A&amp;G'!F24</f>
        <v>8989765.58999997</v>
      </c>
      <c r="E133" s="564"/>
      <c r="F133" s="564" t="s">
        <v>593</v>
      </c>
      <c r="G133" s="614">
        <f>G89</f>
        <v>1</v>
      </c>
      <c r="H133" s="564"/>
      <c r="I133" s="615">
        <f>+G133*D133</f>
        <v>8989765.58999997</v>
      </c>
      <c r="J133" s="3"/>
      <c r="K133" s="564"/>
      <c r="L133" s="564"/>
      <c r="M133" s="560"/>
    </row>
    <row r="134" spans="1:13" ht="15.75">
      <c r="A134" s="565">
        <v>5</v>
      </c>
      <c r="B134" s="559" t="s">
        <v>63</v>
      </c>
      <c r="C134" s="564" t="s">
        <v>1184</v>
      </c>
      <c r="D134" s="577">
        <f>'Attachment 20 - O&amp;M and A&amp;G'!F71</f>
        <v>30170096.229999691</v>
      </c>
      <c r="E134" s="564"/>
      <c r="F134" s="564" t="s">
        <v>39</v>
      </c>
      <c r="G134" s="614">
        <f>+G67</f>
        <v>1</v>
      </c>
      <c r="H134" s="564"/>
      <c r="I134" s="615">
        <f t="shared" si="3"/>
        <v>30170096.229999691</v>
      </c>
      <c r="J134" s="3"/>
      <c r="K134" s="564" t="s">
        <v>3</v>
      </c>
      <c r="L134" s="564"/>
      <c r="M134" s="565"/>
    </row>
    <row r="135" spans="1:13" ht="15.75">
      <c r="A135" s="565">
        <v>6</v>
      </c>
      <c r="B135" s="559" t="s">
        <v>64</v>
      </c>
      <c r="C135" s="564"/>
      <c r="D135" s="577">
        <v>0</v>
      </c>
      <c r="E135" s="564"/>
      <c r="F135" s="564" t="str">
        <f>+F134</f>
        <v>W/S</v>
      </c>
      <c r="G135" s="614">
        <f>+G134</f>
        <v>1</v>
      </c>
      <c r="H135" s="564"/>
      <c r="I135" s="615">
        <f t="shared" si="3"/>
        <v>0</v>
      </c>
      <c r="J135" s="3"/>
      <c r="K135" s="564"/>
      <c r="L135" s="564"/>
      <c r="M135" s="565"/>
    </row>
    <row r="136" spans="1:13" ht="15.75">
      <c r="A136" s="565">
        <v>7</v>
      </c>
      <c r="B136" s="559" t="s">
        <v>305</v>
      </c>
      <c r="C136" s="564"/>
      <c r="D136" s="577">
        <f>'Attachment 20 - O&amp;M and A&amp;G'!F65</f>
        <v>0</v>
      </c>
      <c r="E136" s="564"/>
      <c r="F136" s="564" t="str">
        <f>+F135</f>
        <v>W/S</v>
      </c>
      <c r="G136" s="614">
        <f>+G135</f>
        <v>1</v>
      </c>
      <c r="H136" s="564"/>
      <c r="I136" s="615">
        <f>+G136*D136</f>
        <v>0</v>
      </c>
      <c r="J136" s="3"/>
      <c r="K136" s="564"/>
      <c r="L136" s="564"/>
      <c r="M136" s="565"/>
    </row>
    <row r="137" spans="1:13" ht="15.75">
      <c r="A137" s="565">
        <v>8</v>
      </c>
      <c r="B137" s="559" t="s">
        <v>306</v>
      </c>
      <c r="C137" s="564"/>
      <c r="D137" s="577">
        <v>0</v>
      </c>
      <c r="E137" s="564"/>
      <c r="F137" s="631" t="str">
        <f>+F130</f>
        <v>TE</v>
      </c>
      <c r="G137" s="614">
        <f>+G130</f>
        <v>0.97096363012970388</v>
      </c>
      <c r="H137" s="564"/>
      <c r="I137" s="615">
        <f t="shared" si="3"/>
        <v>0</v>
      </c>
      <c r="J137" s="3"/>
      <c r="K137" s="564"/>
      <c r="L137" s="564"/>
      <c r="M137" s="565"/>
    </row>
    <row r="138" spans="1:13" ht="15.75">
      <c r="A138" s="565">
        <v>9</v>
      </c>
      <c r="B138" s="3" t="s">
        <v>410</v>
      </c>
      <c r="C138" s="564" t="s">
        <v>723</v>
      </c>
      <c r="D138" s="576">
        <f>'Attachment 6 - PBOP'!E14</f>
        <v>-1523320.339518826</v>
      </c>
      <c r="E138" s="564"/>
      <c r="F138" s="631" t="s">
        <v>593</v>
      </c>
      <c r="G138" s="614">
        <v>1</v>
      </c>
      <c r="H138" s="564"/>
      <c r="I138" s="615">
        <f>D138*G138</f>
        <v>-1523320.339518826</v>
      </c>
      <c r="J138" s="3"/>
      <c r="K138" s="564"/>
      <c r="L138" s="558"/>
      <c r="M138" s="565"/>
    </row>
    <row r="139" spans="1:13" ht="15.75">
      <c r="A139" s="565">
        <v>10</v>
      </c>
      <c r="B139" s="559" t="s">
        <v>40</v>
      </c>
      <c r="C139" s="560">
        <v>356.10</v>
      </c>
      <c r="D139" s="577">
        <v>0</v>
      </c>
      <c r="E139" s="564"/>
      <c r="F139" s="564" t="s">
        <v>41</v>
      </c>
      <c r="G139" s="614">
        <f>+G68</f>
        <v>0</v>
      </c>
      <c r="H139" s="564"/>
      <c r="I139" s="615">
        <f t="shared" si="3"/>
        <v>0</v>
      </c>
      <c r="J139" s="3"/>
      <c r="K139" s="564"/>
      <c r="L139" s="564"/>
      <c r="M139" s="565"/>
    </row>
    <row r="140" spans="1:13" ht="15.75">
      <c r="A140" s="565">
        <v>11</v>
      </c>
      <c r="B140" s="731" t="s">
        <v>920</v>
      </c>
      <c r="C140" s="564" t="s">
        <v>967</v>
      </c>
      <c r="D140" s="624">
        <f>'Attach 16a Reg Asset-Storms'!F20+'Attach 16b Reg Asset-Veg Mgmt'!F20+'Attach 16c Reg Asset-start Cost'!F20</f>
        <v>0</v>
      </c>
      <c r="E140" s="564"/>
      <c r="F140" s="564" t="s">
        <v>411</v>
      </c>
      <c r="G140" s="614">
        <v>1</v>
      </c>
      <c r="H140" s="564"/>
      <c r="I140" s="615">
        <f t="shared" si="3"/>
        <v>0</v>
      </c>
      <c r="J140" s="3"/>
      <c r="K140" s="564"/>
      <c r="L140" s="564"/>
      <c r="M140" s="565"/>
    </row>
    <row r="141" spans="1:13" ht="15.75">
      <c r="A141" s="565">
        <v>12</v>
      </c>
      <c r="B141" s="632" t="s">
        <v>907</v>
      </c>
      <c r="C141" s="564" t="s">
        <v>983</v>
      </c>
      <c r="D141" s="627">
        <v>0</v>
      </c>
      <c r="E141" s="564"/>
      <c r="F141" s="564" t="s">
        <v>411</v>
      </c>
      <c r="G141" s="614">
        <v>1</v>
      </c>
      <c r="H141" s="564"/>
      <c r="I141" s="625">
        <f>D141*G141</f>
        <v>0</v>
      </c>
      <c r="J141" s="3"/>
      <c r="K141" s="564"/>
      <c r="L141" s="564"/>
      <c r="M141" s="565"/>
    </row>
    <row r="142" spans="1:13" ht="15.75">
      <c r="A142" s="565">
        <v>13</v>
      </c>
      <c r="B142" s="632" t="s">
        <v>909</v>
      </c>
      <c r="C142" s="564"/>
      <c r="D142" s="624">
        <f>D133-D141</f>
        <v>8989765.58999997</v>
      </c>
      <c r="E142" s="564"/>
      <c r="F142" s="564" t="s">
        <v>593</v>
      </c>
      <c r="G142" s="614">
        <v>1</v>
      </c>
      <c r="H142" s="564"/>
      <c r="I142" s="625">
        <f>D142*G142</f>
        <v>8989765.58999997</v>
      </c>
      <c r="J142" s="3"/>
      <c r="K142" s="564"/>
      <c r="L142" s="564"/>
      <c r="M142" s="565"/>
    </row>
    <row r="143" spans="1:13" ht="16.5" thickBot="1">
      <c r="A143" s="565">
        <v>14</v>
      </c>
      <c r="B143" s="632" t="s">
        <v>887</v>
      </c>
      <c r="C143" s="564"/>
      <c r="D143" s="633">
        <f>D141+D142</f>
        <v>8989765.58999997</v>
      </c>
      <c r="E143" s="564"/>
      <c r="F143" s="564"/>
      <c r="G143" s="614"/>
      <c r="H143" s="564"/>
      <c r="I143" s="634">
        <f>I141+I142</f>
        <v>8989765.58999997</v>
      </c>
      <c r="J143" s="3"/>
      <c r="K143" s="564"/>
      <c r="L143" s="564"/>
      <c r="M143" s="565"/>
    </row>
    <row r="144" spans="1:13" ht="15.75">
      <c r="A144" s="565">
        <v>15</v>
      </c>
      <c r="B144" s="559" t="s">
        <v>908</v>
      </c>
      <c r="C144" s="564"/>
      <c r="D144" s="576">
        <f>D130+D134+D138+D139+D140-D131-D132-D133-D135-D136+D137+D143</f>
        <v>137037164.36048093</v>
      </c>
      <c r="E144" s="564"/>
      <c r="F144" s="564"/>
      <c r="G144" s="564"/>
      <c r="H144" s="564"/>
      <c r="I144" s="576">
        <f>I130+I134+I138+I139+I140-I131-I132-I133-I135-I136+I137+I143</f>
        <v>133889900.95048092</v>
      </c>
      <c r="J144" s="3"/>
      <c r="K144" s="564"/>
      <c r="L144" s="620"/>
      <c r="M144" s="564"/>
    </row>
    <row r="145" spans="1:13" ht="15.75">
      <c r="A145" s="565"/>
      <c r="C145" s="564"/>
      <c r="D145" s="615"/>
      <c r="E145" s="564"/>
      <c r="F145" s="564"/>
      <c r="G145" s="564"/>
      <c r="H145" s="564"/>
      <c r="I145" s="615"/>
      <c r="J145" s="564"/>
      <c r="K145" s="564"/>
      <c r="L145" s="564"/>
      <c r="M145" s="564"/>
    </row>
    <row r="146" spans="1:13" ht="15.75">
      <c r="A146" s="565"/>
      <c r="B146" s="559" t="s">
        <v>232</v>
      </c>
      <c r="C146" s="564"/>
      <c r="D146" s="615"/>
      <c r="E146" s="564"/>
      <c r="F146" s="564"/>
      <c r="G146" s="564"/>
      <c r="H146" s="564"/>
      <c r="I146" s="615"/>
      <c r="J146" s="564"/>
      <c r="K146" s="564"/>
      <c r="L146" s="564"/>
      <c r="M146" s="564"/>
    </row>
    <row r="147" spans="1:13" ht="15.75">
      <c r="A147" s="565">
        <v>16</v>
      </c>
      <c r="B147" s="559" t="str">
        <f>+B130</f>
        <v xml:space="preserve">  Transmission </v>
      </c>
      <c r="C147" s="564" t="s">
        <v>335</v>
      </c>
      <c r="D147" s="1091">
        <v>103623263</v>
      </c>
      <c r="E147" s="737"/>
      <c r="F147" s="564" t="s">
        <v>13</v>
      </c>
      <c r="G147" s="614">
        <f>+G92</f>
        <v>1</v>
      </c>
      <c r="H147" s="564"/>
      <c r="I147" s="615">
        <f>+G147*D147</f>
        <v>103623263</v>
      </c>
      <c r="J147" s="737"/>
      <c r="K147" s="618"/>
      <c r="L147" s="737"/>
      <c r="M147" s="565"/>
    </row>
    <row r="148" spans="1:13" ht="15.75">
      <c r="A148" s="565">
        <v>17</v>
      </c>
      <c r="B148" s="560" t="s">
        <v>38</v>
      </c>
      <c r="C148" s="564" t="s">
        <v>336</v>
      </c>
      <c r="D148" s="1091">
        <v>8225679</v>
      </c>
      <c r="E148" s="737"/>
      <c r="F148" s="564" t="str">
        <f>F67</f>
        <v>W/S</v>
      </c>
      <c r="G148" s="614">
        <f>G67</f>
        <v>1</v>
      </c>
      <c r="H148" s="564"/>
      <c r="I148" s="615">
        <f>+G148*D148</f>
        <v>8225679</v>
      </c>
      <c r="J148" s="737"/>
      <c r="K148" s="618"/>
      <c r="L148" s="2"/>
      <c r="M148" s="565"/>
    </row>
    <row r="149" spans="1:13" ht="15.75">
      <c r="A149" s="565">
        <v>18</v>
      </c>
      <c r="B149" s="559" t="str">
        <f>+B139</f>
        <v xml:space="preserve">  Common</v>
      </c>
      <c r="C149" s="564" t="s">
        <v>337</v>
      </c>
      <c r="D149" s="1092">
        <v>0</v>
      </c>
      <c r="E149" s="564"/>
      <c r="F149" s="564" t="s">
        <v>41</v>
      </c>
      <c r="G149" s="614">
        <f>+G139</f>
        <v>0</v>
      </c>
      <c r="H149" s="564"/>
      <c r="I149" s="625">
        <f>+G149*D149</f>
        <v>0</v>
      </c>
      <c r="J149" s="737"/>
      <c r="K149" s="618"/>
      <c r="L149" s="564"/>
      <c r="M149" s="565"/>
    </row>
    <row r="150" spans="1:13" ht="16.5" thickBot="1">
      <c r="A150" s="565">
        <v>19</v>
      </c>
      <c r="B150" s="559" t="s">
        <v>376</v>
      </c>
      <c r="C150" s="564" t="s">
        <v>968</v>
      </c>
      <c r="D150" s="616">
        <f>'Attachment 17 - Abandoned Plant'!F20</f>
        <v>0</v>
      </c>
      <c r="E150" s="564"/>
      <c r="F150" s="564" t="s">
        <v>411</v>
      </c>
      <c r="G150" s="614">
        <v>1</v>
      </c>
      <c r="H150" s="564"/>
      <c r="I150" s="617">
        <f>D150*G150</f>
        <v>0</v>
      </c>
      <c r="J150" s="737"/>
      <c r="K150" s="618"/>
      <c r="L150" s="564"/>
      <c r="M150" s="565"/>
    </row>
    <row r="151" spans="1:13" ht="15.75">
      <c r="A151" s="565">
        <v>20</v>
      </c>
      <c r="B151" s="559" t="s">
        <v>843</v>
      </c>
      <c r="C151" s="564"/>
      <c r="D151" s="615">
        <f>SUM(D147:D150)</f>
        <v>111848942</v>
      </c>
      <c r="E151" s="564"/>
      <c r="F151" s="564"/>
      <c r="G151" s="564"/>
      <c r="H151" s="564"/>
      <c r="I151" s="615">
        <f>SUM(I147:I150)</f>
        <v>111848942</v>
      </c>
      <c r="J151" s="737"/>
      <c r="K151" s="564"/>
      <c r="L151" s="564"/>
      <c r="M151" s="564"/>
    </row>
    <row r="152" spans="1:13" ht="15.75">
      <c r="A152" s="565"/>
      <c r="B152" s="559"/>
      <c r="C152" s="564"/>
      <c r="D152" s="615"/>
      <c r="E152" s="564"/>
      <c r="F152" s="564"/>
      <c r="G152" s="564"/>
      <c r="H152" s="564"/>
      <c r="I152" s="615"/>
      <c r="J152" s="564"/>
      <c r="K152" s="564"/>
      <c r="L152" s="564"/>
      <c r="M152" s="564"/>
    </row>
    <row r="153" spans="1:13" ht="15.75">
      <c r="A153" s="565" t="s">
        <v>3</v>
      </c>
      <c r="B153" s="559" t="s">
        <v>173</v>
      </c>
      <c r="D153" s="615"/>
      <c r="E153" s="564"/>
      <c r="F153" s="564"/>
      <c r="G153" s="564"/>
      <c r="H153" s="564"/>
      <c r="I153" s="615"/>
      <c r="J153" s="564"/>
      <c r="K153" s="564"/>
      <c r="L153" s="564"/>
      <c r="M153" s="564"/>
    </row>
    <row r="154" spans="1:13" ht="15.75">
      <c r="A154" s="565"/>
      <c r="B154" s="559" t="s">
        <v>65</v>
      </c>
      <c r="D154" s="615"/>
      <c r="E154" s="564"/>
      <c r="F154" s="564"/>
      <c r="H154" s="564"/>
      <c r="I154" s="615"/>
      <c r="J154" s="564"/>
      <c r="K154" s="618"/>
      <c r="L154" s="628"/>
      <c r="M154" s="565"/>
    </row>
    <row r="155" spans="1:13" ht="15.75">
      <c r="A155" s="565">
        <v>21</v>
      </c>
      <c r="B155" s="559" t="s">
        <v>66</v>
      </c>
      <c r="C155" s="564" t="s">
        <v>750</v>
      </c>
      <c r="D155" s="576">
        <f>'Attachment 7 - Taxes Other '!D11</f>
        <v>586643.17999999982</v>
      </c>
      <c r="E155" s="564"/>
      <c r="F155" s="564" t="s">
        <v>39</v>
      </c>
      <c r="G155" s="574">
        <f>I233</f>
        <v>1</v>
      </c>
      <c r="H155" s="564"/>
      <c r="I155" s="615">
        <f>+G155*D155</f>
        <v>586643.17999999982</v>
      </c>
      <c r="J155" s="737"/>
      <c r="K155" s="618"/>
      <c r="L155" s="635"/>
      <c r="M155" s="565"/>
    </row>
    <row r="156" spans="1:13" ht="15.75">
      <c r="A156" s="565">
        <v>22</v>
      </c>
      <c r="B156" s="559" t="s">
        <v>68</v>
      </c>
      <c r="C156" s="564" t="s">
        <v>751</v>
      </c>
      <c r="D156" s="576">
        <f>'Attachment 7 - Taxes Other '!D15</f>
        <v>0</v>
      </c>
      <c r="E156" s="564"/>
      <c r="F156" s="564" t="str">
        <f>+F155</f>
        <v>W/S</v>
      </c>
      <c r="G156" s="574">
        <f>+G155</f>
        <v>1</v>
      </c>
      <c r="H156" s="564"/>
      <c r="I156" s="615">
        <f>+G156*D156</f>
        <v>0</v>
      </c>
      <c r="J156" s="737"/>
      <c r="K156" s="618"/>
      <c r="L156" s="635"/>
      <c r="M156" s="565"/>
    </row>
    <row r="157" spans="1:13" ht="15.75">
      <c r="A157" s="565">
        <v>23</v>
      </c>
      <c r="B157" s="559" t="s">
        <v>69</v>
      </c>
      <c r="C157" s="564" t="s">
        <v>3</v>
      </c>
      <c r="D157" s="576"/>
      <c r="E157" s="564"/>
      <c r="F157" s="564"/>
      <c r="H157" s="564"/>
      <c r="I157" s="615"/>
      <c r="J157" s="737"/>
      <c r="K157" s="618"/>
      <c r="L157" s="635"/>
      <c r="M157" s="565"/>
    </row>
    <row r="158" spans="1:13" ht="15.75">
      <c r="A158" s="565">
        <v>24</v>
      </c>
      <c r="B158" s="559" t="s">
        <v>70</v>
      </c>
      <c r="C158" s="564" t="s">
        <v>752</v>
      </c>
      <c r="D158" s="576">
        <f>'Attachment 7 - Taxes Other '!D21</f>
        <v>205200</v>
      </c>
      <c r="E158" s="564"/>
      <c r="F158" s="564" t="s">
        <v>60</v>
      </c>
      <c r="G158" s="574">
        <f>+G61</f>
        <v>1</v>
      </c>
      <c r="H158" s="564"/>
      <c r="I158" s="615">
        <f>+G158*D158</f>
        <v>205200</v>
      </c>
      <c r="J158" s="737"/>
      <c r="K158" s="618"/>
      <c r="L158" s="635"/>
      <c r="M158" s="560"/>
    </row>
    <row r="159" spans="1:13" ht="15.75">
      <c r="A159" s="565">
        <v>25</v>
      </c>
      <c r="B159" s="559" t="s">
        <v>71</v>
      </c>
      <c r="C159" s="564" t="s">
        <v>753</v>
      </c>
      <c r="D159" s="576">
        <f>'Attachment 7 - Taxes Other '!D25</f>
        <v>0</v>
      </c>
      <c r="E159" s="564"/>
      <c r="F159" s="564" t="str">
        <f>+F80</f>
        <v>NA</v>
      </c>
      <c r="G159" s="636"/>
      <c r="H159" s="564"/>
      <c r="I159" s="615">
        <v>0</v>
      </c>
      <c r="J159" s="737"/>
      <c r="K159" s="618"/>
      <c r="L159" s="635"/>
      <c r="M159" s="565"/>
    </row>
    <row r="160" spans="1:13" ht="15.75">
      <c r="A160" s="565">
        <v>26</v>
      </c>
      <c r="B160" s="559" t="s">
        <v>72</v>
      </c>
      <c r="C160" s="564" t="s">
        <v>754</v>
      </c>
      <c r="D160" s="576">
        <f>'Attachment 7 - Taxes Other '!D31</f>
        <v>0</v>
      </c>
      <c r="E160" s="564"/>
      <c r="F160" s="564" t="str">
        <f>+F158</f>
        <v>GP</v>
      </c>
      <c r="G160" s="574">
        <f>+G158</f>
        <v>1</v>
      </c>
      <c r="H160" s="564"/>
      <c r="I160" s="615">
        <f>+G160*D160</f>
        <v>0</v>
      </c>
      <c r="J160" s="737"/>
      <c r="K160" s="618"/>
      <c r="L160" s="635"/>
      <c r="M160" s="565"/>
    </row>
    <row r="161" spans="1:13" ht="16.5" thickBot="1">
      <c r="A161" s="565">
        <v>27</v>
      </c>
      <c r="B161" s="559" t="s">
        <v>73</v>
      </c>
      <c r="C161" s="564" t="s">
        <v>741</v>
      </c>
      <c r="D161" s="616">
        <f>'Attachment 7 - Taxes Other '!D33</f>
        <v>0</v>
      </c>
      <c r="E161" s="564"/>
      <c r="F161" s="564" t="s">
        <v>60</v>
      </c>
      <c r="G161" s="574">
        <f>+G158</f>
        <v>1</v>
      </c>
      <c r="H161" s="564"/>
      <c r="I161" s="617">
        <f>+G161*D161</f>
        <v>0</v>
      </c>
      <c r="J161" s="737"/>
      <c r="K161" s="618"/>
      <c r="L161" s="635"/>
      <c r="M161" s="565"/>
    </row>
    <row r="162" spans="1:13" ht="15.75">
      <c r="A162" s="565">
        <v>28</v>
      </c>
      <c r="B162" s="559" t="s">
        <v>844</v>
      </c>
      <c r="C162" s="564"/>
      <c r="D162" s="576">
        <f>SUM(D155:D161)</f>
        <v>791843.17999999982</v>
      </c>
      <c r="E162" s="564"/>
      <c r="F162" s="564"/>
      <c r="G162" s="574"/>
      <c r="H162" s="564"/>
      <c r="I162" s="615">
        <f>SUM(I155:I161)</f>
        <v>791843.17999999982</v>
      </c>
      <c r="J162" s="737"/>
      <c r="K162" s="564"/>
      <c r="L162" s="620"/>
      <c r="M162" s="564"/>
    </row>
    <row r="163" spans="1:13" ht="15.75">
      <c r="A163" s="565"/>
      <c r="B163" s="559"/>
      <c r="C163" s="564"/>
      <c r="D163" s="564"/>
      <c r="E163" s="564"/>
      <c r="F163" s="564"/>
      <c r="G163" s="574"/>
      <c r="H163" s="564"/>
      <c r="I163" s="588"/>
      <c r="J163" s="564"/>
      <c r="K163" s="564"/>
      <c r="L163" s="620"/>
      <c r="M163" s="564"/>
    </row>
    <row r="164" spans="1:13" ht="15.75">
      <c r="A164" s="565" t="s">
        <v>3</v>
      </c>
      <c r="B164" s="559" t="s">
        <v>74</v>
      </c>
      <c r="C164" s="564" t="s">
        <v>164</v>
      </c>
      <c r="D164" s="611"/>
      <c r="E164" s="564"/>
      <c r="G164" s="637"/>
      <c r="H164" s="564"/>
      <c r="I164" s="588"/>
      <c r="J164" s="564"/>
      <c r="L164" s="564"/>
      <c r="M164" s="565"/>
    </row>
    <row r="165" spans="1:13" ht="15.75">
      <c r="A165" s="565">
        <v>29</v>
      </c>
      <c r="B165" s="623" t="s">
        <v>75</v>
      </c>
      <c r="C165" s="564"/>
      <c r="D165" s="1096">
        <f>IF(D299&gt;0,1-(((1-D300)*(1-D299))/(1-D300*D299*D301)),0)</f>
        <v>0.26917099999999994</v>
      </c>
      <c r="E165" s="611"/>
      <c r="G165" s="637"/>
      <c r="H165" s="564"/>
      <c r="I165" s="588"/>
      <c r="J165" s="737"/>
      <c r="L165" s="638"/>
      <c r="M165" s="565"/>
    </row>
    <row r="166" spans="1:13" ht="15.75">
      <c r="A166" s="565">
        <v>30</v>
      </c>
      <c r="B166" s="558" t="s">
        <v>76</v>
      </c>
      <c r="C166" s="564"/>
      <c r="D166" s="1096">
        <f>IF(I252&gt;0,(D165/(1-D165))*(1-I249/I252),0)</f>
        <v>0.28310329367735176</v>
      </c>
      <c r="E166" s="564"/>
      <c r="G166" s="637"/>
      <c r="H166" s="564"/>
      <c r="I166" s="588"/>
      <c r="J166" s="564"/>
      <c r="K166" s="638"/>
      <c r="L166" s="638"/>
      <c r="M166" s="565"/>
    </row>
    <row r="167" spans="1:13" ht="15.75">
      <c r="A167" s="565"/>
      <c r="B167" s="559" t="s">
        <v>659</v>
      </c>
      <c r="C167" s="564"/>
      <c r="D167" s="564"/>
      <c r="E167" s="564"/>
      <c r="G167" s="637"/>
      <c r="H167" s="564"/>
      <c r="I167" s="588"/>
      <c r="J167" s="564"/>
      <c r="K167" s="638"/>
      <c r="L167" s="638"/>
      <c r="M167" s="565"/>
    </row>
    <row r="168" spans="1:13" ht="15.75">
      <c r="A168" s="565"/>
      <c r="B168" s="559" t="s">
        <v>77</v>
      </c>
      <c r="C168" s="564"/>
      <c r="D168" s="564"/>
      <c r="E168" s="564"/>
      <c r="G168" s="637"/>
      <c r="H168" s="564"/>
      <c r="I168" s="588"/>
      <c r="J168" s="564"/>
      <c r="K168" s="638"/>
      <c r="L168" s="638"/>
      <c r="M168" s="565"/>
    </row>
    <row r="169" spans="1:13" ht="15.75">
      <c r="A169" s="565">
        <v>31</v>
      </c>
      <c r="B169" s="623" t="s">
        <v>987</v>
      </c>
      <c r="C169" s="564"/>
      <c r="D169" s="639">
        <f>IF(D165&gt;0,1/(1-D165),0)</f>
        <v>1.3683091393472344</v>
      </c>
      <c r="E169" s="564"/>
      <c r="G169" s="637"/>
      <c r="H169" s="564"/>
      <c r="I169" s="615"/>
      <c r="J169" s="564"/>
      <c r="K169" s="638"/>
      <c r="L169" s="1156"/>
      <c r="M169" s="565"/>
    </row>
    <row r="170" spans="1:13" ht="15.75">
      <c r="A170" s="565">
        <v>32</v>
      </c>
      <c r="B170" s="3" t="s">
        <v>307</v>
      </c>
      <c r="C170" s="564"/>
      <c r="D170" s="577">
        <v>-99685.01</v>
      </c>
      <c r="E170" s="737"/>
      <c r="G170" s="637"/>
      <c r="H170" s="564"/>
      <c r="I170" s="615"/>
      <c r="J170" s="564"/>
      <c r="K170" s="638"/>
      <c r="L170" s="737"/>
      <c r="M170" s="565"/>
    </row>
    <row r="171" spans="1:13" ht="15.75">
      <c r="A171" s="565">
        <v>33</v>
      </c>
      <c r="B171" s="559" t="s">
        <v>941</v>
      </c>
      <c r="C171" s="564"/>
      <c r="D171" s="576">
        <f>'Attachment 15 - Income Tax Adj'!D8</f>
        <v>579023.93999999994</v>
      </c>
      <c r="E171" s="564"/>
      <c r="G171" s="637"/>
      <c r="H171" s="564"/>
      <c r="I171" s="615"/>
      <c r="J171" s="564"/>
      <c r="K171" s="638"/>
      <c r="L171" s="564"/>
      <c r="M171" s="565"/>
    </row>
    <row r="172" spans="1:13" ht="15.75">
      <c r="A172" s="565">
        <v>34</v>
      </c>
      <c r="B172" s="559" t="s">
        <v>940</v>
      </c>
      <c r="C172" s="564"/>
      <c r="D172" s="576">
        <f>'Attachment 15 - Income Tax Adj'!D9+'Attachment 15 - Income Tax Adj'!D10</f>
        <v>-231399.38426516627</v>
      </c>
      <c r="E172" s="564"/>
      <c r="G172" s="637"/>
      <c r="H172" s="564"/>
      <c r="I172" s="615"/>
      <c r="J172" s="564"/>
      <c r="K172" s="638"/>
      <c r="L172" s="564"/>
      <c r="M172" s="565"/>
    </row>
    <row r="173" spans="1:13" ht="15.75">
      <c r="A173" s="565">
        <v>35</v>
      </c>
      <c r="B173" s="623" t="s">
        <v>842</v>
      </c>
      <c r="C173" s="640"/>
      <c r="D173" s="576">
        <f>D166*D179</f>
        <v>78708984.956704125</v>
      </c>
      <c r="E173" s="564"/>
      <c r="F173" s="564" t="s">
        <v>35</v>
      </c>
      <c r="G173" s="574"/>
      <c r="H173" s="564"/>
      <c r="I173" s="615">
        <f>D166*I179</f>
        <v>78700030.400297835</v>
      </c>
      <c r="J173" s="737"/>
      <c r="K173" s="641"/>
      <c r="L173" s="564"/>
      <c r="M173" s="564"/>
    </row>
    <row r="174" spans="1:13" ht="15.75">
      <c r="A174" s="565">
        <v>36</v>
      </c>
      <c r="B174" s="558" t="s">
        <v>841</v>
      </c>
      <c r="C174" s="640"/>
      <c r="D174" s="624">
        <f>D169*D170</f>
        <v>-136399.91023892045</v>
      </c>
      <c r="E174" s="642"/>
      <c r="F174" s="642" t="s">
        <v>53</v>
      </c>
      <c r="G174" s="643">
        <f>G77</f>
        <v>1</v>
      </c>
      <c r="H174" s="642"/>
      <c r="I174" s="625">
        <f>G174*D174</f>
        <v>-136399.91023892045</v>
      </c>
      <c r="J174" s="737"/>
      <c r="K174" s="635"/>
      <c r="L174" s="564"/>
      <c r="M174" s="564"/>
    </row>
    <row r="175" spans="1:13" ht="15.75">
      <c r="A175" s="565">
        <v>37</v>
      </c>
      <c r="B175" s="558" t="s">
        <v>840</v>
      </c>
      <c r="C175" s="640"/>
      <c r="D175" s="624">
        <f>D169*D171</f>
        <v>792283.74900284468</v>
      </c>
      <c r="E175" s="642"/>
      <c r="F175" s="642" t="s">
        <v>411</v>
      </c>
      <c r="G175" s="643">
        <v>1</v>
      </c>
      <c r="H175" s="642"/>
      <c r="I175" s="625">
        <f>G175*D175</f>
        <v>792283.74900284468</v>
      </c>
      <c r="J175" s="737"/>
      <c r="K175" s="635"/>
      <c r="L175" s="564"/>
      <c r="M175" s="564"/>
    </row>
    <row r="176" spans="1:13" ht="16.5" thickBot="1">
      <c r="A176" s="565">
        <v>38</v>
      </c>
      <c r="B176" s="558" t="s">
        <v>839</v>
      </c>
      <c r="C176" s="640"/>
      <c r="D176" s="616">
        <f>D169*D172</f>
        <v>-316625.89232934965</v>
      </c>
      <c r="E176" s="642"/>
      <c r="F176" s="642" t="s">
        <v>411</v>
      </c>
      <c r="G176" s="643">
        <f>G175</f>
        <v>1</v>
      </c>
      <c r="H176" s="642"/>
      <c r="I176" s="617">
        <f>D176*G176</f>
        <v>-316625.89232934965</v>
      </c>
      <c r="J176" s="737"/>
      <c r="K176" s="635"/>
      <c r="L176" s="564"/>
      <c r="M176" s="564"/>
    </row>
    <row r="177" spans="1:13" ht="15.75">
      <c r="A177" s="565">
        <v>39</v>
      </c>
      <c r="B177" s="623" t="s">
        <v>78</v>
      </c>
      <c r="C177" s="558" t="s">
        <v>838</v>
      </c>
      <c r="D177" s="644">
        <f>+D173+D174+D175+D176</f>
        <v>79048242.903138697</v>
      </c>
      <c r="E177" s="564"/>
      <c r="F177" s="564" t="s">
        <v>3</v>
      </c>
      <c r="G177" s="574" t="s">
        <v>3</v>
      </c>
      <c r="H177" s="564"/>
      <c r="I177" s="644">
        <f>+I173+I174+I175+I176</f>
        <v>79039288.346732408</v>
      </c>
      <c r="J177" s="737"/>
      <c r="K177" s="564"/>
      <c r="L177" s="564"/>
      <c r="M177" s="564"/>
    </row>
    <row r="178" spans="1:13" ht="15.75">
      <c r="A178" s="565" t="s">
        <v>3</v>
      </c>
      <c r="C178" s="645"/>
      <c r="D178" s="615"/>
      <c r="E178" s="564"/>
      <c r="F178" s="564"/>
      <c r="G178" s="574"/>
      <c r="H178" s="564"/>
      <c r="I178" s="615"/>
      <c r="J178" s="564"/>
      <c r="K178" s="564"/>
      <c r="L178" s="564"/>
      <c r="M178" s="564"/>
    </row>
    <row r="179" spans="1:13" ht="31.5">
      <c r="A179" s="565">
        <v>40</v>
      </c>
      <c r="B179" s="559" t="s">
        <v>79</v>
      </c>
      <c r="C179" s="646" t="s">
        <v>977</v>
      </c>
      <c r="D179" s="588">
        <f>+$I252*D100</f>
        <v>278022144.97160703</v>
      </c>
      <c r="E179" s="564"/>
      <c r="F179" s="564" t="s">
        <v>35</v>
      </c>
      <c r="G179" s="637"/>
      <c r="H179" s="564"/>
      <c r="I179" s="615">
        <f>+$I252*I100</f>
        <v>277990514.9743365</v>
      </c>
      <c r="J179" s="737"/>
      <c r="L179" s="564"/>
      <c r="M179" s="565"/>
    </row>
    <row r="180" spans="1:13" ht="15.75">
      <c r="A180" s="565"/>
      <c r="B180" s="647"/>
      <c r="D180" s="615"/>
      <c r="E180" s="564"/>
      <c r="F180" s="564"/>
      <c r="G180" s="637"/>
      <c r="H180" s="564"/>
      <c r="I180" s="615"/>
      <c r="J180" s="564"/>
      <c r="K180" s="618"/>
      <c r="L180" s="564"/>
      <c r="M180" s="565"/>
    </row>
    <row r="181" spans="1:13" ht="15.75">
      <c r="A181" s="565"/>
      <c r="B181" s="559"/>
      <c r="D181" s="625"/>
      <c r="E181" s="564"/>
      <c r="F181" s="564"/>
      <c r="G181" s="637"/>
      <c r="H181" s="564"/>
      <c r="I181" s="625"/>
      <c r="J181" s="564"/>
      <c r="K181" s="618"/>
      <c r="L181" s="564"/>
      <c r="M181" s="565"/>
    </row>
    <row r="182" spans="1:13" ht="31.5">
      <c r="A182" s="565">
        <v>41</v>
      </c>
      <c r="B182" s="582" t="s">
        <v>634</v>
      </c>
      <c r="C182" s="564" t="s">
        <v>976</v>
      </c>
      <c r="D182" s="648">
        <f>+D144+D151+D162+D177+D179</f>
        <v>606748337.4152267</v>
      </c>
      <c r="E182" s="564"/>
      <c r="F182" s="564"/>
      <c r="G182" s="564"/>
      <c r="H182" s="564"/>
      <c r="I182" s="648">
        <f>+I144+I151+I162+I177+I179</f>
        <v>603560489.45154989</v>
      </c>
      <c r="J182" s="737"/>
      <c r="K182" s="559"/>
      <c r="L182" s="559"/>
      <c r="M182" s="559"/>
    </row>
    <row r="183" spans="1:13" ht="15.75">
      <c r="A183" s="565"/>
      <c r="B183" s="647"/>
      <c r="D183" s="564"/>
      <c r="E183" s="564"/>
      <c r="F183" s="564"/>
      <c r="G183" s="564"/>
      <c r="H183" s="564"/>
      <c r="I183" s="564"/>
      <c r="J183" s="559"/>
      <c r="K183" s="559"/>
      <c r="L183" s="559"/>
      <c r="M183" s="559"/>
    </row>
    <row r="184" spans="1:13" ht="15.75">
      <c r="A184" s="565"/>
      <c r="C184" s="564"/>
      <c r="J184" s="559"/>
      <c r="K184" s="559"/>
      <c r="L184" s="559"/>
      <c r="M184" s="559"/>
    </row>
    <row r="185" spans="1:13" ht="15.75">
      <c r="A185" s="565">
        <v>42</v>
      </c>
      <c r="B185" s="623" t="s">
        <v>633</v>
      </c>
      <c r="C185" s="564" t="s">
        <v>1159</v>
      </c>
      <c r="D185" s="564">
        <f>'Attachment 11 - TEC'!M92</f>
        <v>0</v>
      </c>
      <c r="E185" s="564"/>
      <c r="F185" s="564"/>
      <c r="G185" s="564"/>
      <c r="H185" s="564"/>
      <c r="I185" s="564">
        <f>D185</f>
        <v>0</v>
      </c>
      <c r="J185" s="559"/>
      <c r="K185" s="559"/>
      <c r="L185" s="559"/>
      <c r="M185" s="559"/>
    </row>
    <row r="186" spans="1:13" ht="16.5" thickBot="1">
      <c r="A186" s="565"/>
      <c r="B186" s="623"/>
      <c r="C186" s="564"/>
      <c r="D186" s="564"/>
      <c r="E186" s="564"/>
      <c r="F186" s="564"/>
      <c r="G186" s="564"/>
      <c r="H186" s="564"/>
      <c r="I186" s="564"/>
      <c r="J186" s="559"/>
      <c r="K186" s="559"/>
      <c r="L186" s="559"/>
      <c r="M186" s="559"/>
    </row>
    <row r="187" spans="1:13" ht="16.5" thickBot="1">
      <c r="A187" s="565">
        <v>43</v>
      </c>
      <c r="B187" s="623" t="s">
        <v>939</v>
      </c>
      <c r="C187" s="623" t="s">
        <v>837</v>
      </c>
      <c r="D187" s="649">
        <f>D182+D185</f>
        <v>606748337.4152267</v>
      </c>
      <c r="E187" s="564"/>
      <c r="F187" s="564"/>
      <c r="G187" s="564"/>
      <c r="H187" s="564"/>
      <c r="I187" s="649">
        <f>I182+I185</f>
        <v>603560489.45154989</v>
      </c>
      <c r="J187" s="737"/>
      <c r="K187" s="559"/>
      <c r="L187" s="559"/>
      <c r="M187" s="559"/>
    </row>
    <row r="188" spans="1:13" ht="16.5" thickTop="1">
      <c r="A188" s="565"/>
      <c r="B188" s="647"/>
      <c r="D188" s="564"/>
      <c r="E188" s="564"/>
      <c r="F188" s="564"/>
      <c r="G188" s="564"/>
      <c r="H188" s="564"/>
      <c r="I188" s="564"/>
      <c r="J188" s="559"/>
      <c r="K188" s="559"/>
      <c r="L188" s="559"/>
      <c r="M188" s="559"/>
    </row>
    <row r="189" spans="1:13" ht="15.75">
      <c r="A189" s="565"/>
      <c r="B189" s="623"/>
      <c r="C189" s="564"/>
      <c r="D189" s="564"/>
      <c r="E189" s="564"/>
      <c r="F189" s="564"/>
      <c r="G189" s="564"/>
      <c r="H189" s="564"/>
      <c r="I189" s="564"/>
      <c r="J189" s="559"/>
      <c r="K189" s="559"/>
      <c r="L189" s="559"/>
      <c r="M189" s="559"/>
    </row>
    <row r="190" spans="1:13" ht="15.75">
      <c r="A190" s="565"/>
      <c r="B190" s="623"/>
      <c r="C190" s="564"/>
      <c r="D190" s="564"/>
      <c r="E190" s="564"/>
      <c r="F190" s="564"/>
      <c r="G190" s="564"/>
      <c r="H190" s="564"/>
      <c r="I190" s="564"/>
      <c r="J190" s="559"/>
      <c r="K190" s="559"/>
      <c r="L190" s="559"/>
      <c r="M190" s="559"/>
    </row>
    <row r="191" spans="1:13" ht="15.75">
      <c r="A191" s="565"/>
      <c r="B191" s="623"/>
      <c r="C191" s="564"/>
      <c r="D191" s="564"/>
      <c r="E191" s="564"/>
      <c r="F191" s="564"/>
      <c r="G191" s="564"/>
      <c r="H191" s="564"/>
      <c r="I191" s="564"/>
      <c r="J191" s="559"/>
      <c r="K191" s="559"/>
      <c r="L191" s="559"/>
      <c r="M191" s="559"/>
    </row>
    <row r="192" spans="1:13" ht="15.75">
      <c r="A192" s="565"/>
      <c r="B192" s="623"/>
      <c r="C192" s="564"/>
      <c r="D192" s="564"/>
      <c r="E192" s="564"/>
      <c r="F192" s="564"/>
      <c r="G192" s="564"/>
      <c r="H192" s="564"/>
      <c r="I192" s="564"/>
      <c r="J192" s="559"/>
      <c r="K192" s="559"/>
      <c r="L192" s="559"/>
      <c r="M192" s="559"/>
    </row>
    <row r="193" spans="1:13" ht="15.75">
      <c r="A193" s="565"/>
      <c r="B193" s="623"/>
      <c r="C193" s="564"/>
      <c r="D193" s="564"/>
      <c r="E193" s="564"/>
      <c r="F193" s="564"/>
      <c r="G193" s="564"/>
      <c r="H193" s="564"/>
      <c r="I193" s="564"/>
      <c r="J193" s="559"/>
      <c r="K193" s="559"/>
      <c r="L193" s="559"/>
      <c r="M193" s="559"/>
    </row>
    <row r="194" spans="1:13" ht="15.75">
      <c r="A194" s="565"/>
      <c r="B194" s="623"/>
      <c r="C194" s="564"/>
      <c r="D194" s="564"/>
      <c r="E194" s="564"/>
      <c r="F194" s="564"/>
      <c r="G194" s="564"/>
      <c r="H194" s="564"/>
      <c r="I194" s="564"/>
      <c r="J194" s="559"/>
      <c r="K194" s="559"/>
      <c r="L194" s="559"/>
      <c r="M194" s="559"/>
    </row>
    <row r="195" spans="1:13" ht="15.75">
      <c r="A195" s="565"/>
      <c r="B195" s="623"/>
      <c r="C195" s="564"/>
      <c r="D195" s="564"/>
      <c r="E195" s="564"/>
      <c r="F195" s="564"/>
      <c r="G195" s="564"/>
      <c r="H195" s="564"/>
      <c r="I195" s="564"/>
      <c r="J195" s="559"/>
      <c r="K195" s="559"/>
      <c r="L195" s="559"/>
      <c r="M195" s="559"/>
    </row>
    <row r="196" spans="1:13" ht="15.75">
      <c r="A196" s="565"/>
      <c r="B196" s="623"/>
      <c r="C196" s="564"/>
      <c r="D196" s="564"/>
      <c r="E196" s="564"/>
      <c r="F196" s="564"/>
      <c r="G196" s="564"/>
      <c r="H196" s="564"/>
      <c r="I196" s="564"/>
      <c r="J196" s="559"/>
      <c r="K196" s="559"/>
      <c r="L196" s="559"/>
      <c r="M196" s="559"/>
    </row>
    <row r="197" spans="1:13" ht="15.75">
      <c r="A197" s="565"/>
      <c r="B197" s="623"/>
      <c r="C197" s="564"/>
      <c r="D197" s="564"/>
      <c r="E197" s="564"/>
      <c r="F197" s="564"/>
      <c r="G197" s="564"/>
      <c r="H197" s="564"/>
      <c r="I197" s="564"/>
      <c r="J197" s="559"/>
      <c r="K197" s="559"/>
      <c r="L197" s="559"/>
      <c r="M197" s="559"/>
    </row>
    <row r="198" spans="1:12" ht="15.75">
      <c r="A198" s="630"/>
      <c r="B198" s="559"/>
      <c r="C198" s="564"/>
      <c r="D198" s="564"/>
      <c r="E198" s="564"/>
      <c r="F198" s="564"/>
      <c r="G198" s="618"/>
      <c r="H198" s="564"/>
      <c r="I198" s="564"/>
      <c r="J198" s="564"/>
      <c r="K198" s="612"/>
      <c r="L198" s="558"/>
    </row>
    <row r="199" spans="1:12" ht="15.75">
      <c r="A199" s="630"/>
      <c r="B199" s="559"/>
      <c r="C199" s="564"/>
      <c r="D199" s="564"/>
      <c r="E199" s="564"/>
      <c r="F199" s="564"/>
      <c r="G199" s="618"/>
      <c r="H199" s="564"/>
      <c r="I199" s="564"/>
      <c r="J199" s="564"/>
      <c r="K199" s="612"/>
      <c r="L199" s="558"/>
    </row>
    <row r="200" spans="2:13" ht="15.75">
      <c r="B200" s="559"/>
      <c r="C200" s="559"/>
      <c r="D200" s="560"/>
      <c r="E200" s="559"/>
      <c r="F200" s="559"/>
      <c r="G200" s="559"/>
      <c r="H200" s="559"/>
      <c r="I200" s="565"/>
      <c r="J200" s="565"/>
      <c r="K200" s="561"/>
      <c r="L200" s="559"/>
      <c r="M200" s="559"/>
    </row>
    <row r="201" spans="2:13" ht="15.75">
      <c r="B201" s="559"/>
      <c r="C201" s="559"/>
      <c r="D201" s="560"/>
      <c r="E201" s="559"/>
      <c r="F201" s="559"/>
      <c r="G201" s="559"/>
      <c r="H201" s="559"/>
      <c r="I201" s="561"/>
      <c r="J201" s="561"/>
      <c r="K201" s="561"/>
      <c r="L201" s="559"/>
      <c r="M201" s="559"/>
    </row>
    <row r="202" spans="2:13" ht="16.5" customHeight="1">
      <c r="B202" s="559"/>
      <c r="C202" s="559"/>
      <c r="D202" s="560"/>
      <c r="E202" s="559"/>
      <c r="F202" s="559"/>
      <c r="G202" s="559"/>
      <c r="H202" s="559"/>
      <c r="I202" s="559"/>
      <c r="K202" s="561" t="str">
        <f>K119</f>
        <v>Attachment  H-28A</v>
      </c>
      <c r="L202" s="559"/>
      <c r="M202" s="559"/>
    </row>
    <row r="203" spans="2:13" ht="16.5" customHeight="1">
      <c r="B203" s="559"/>
      <c r="C203" s="559"/>
      <c r="D203" s="560"/>
      <c r="E203" s="559"/>
      <c r="F203" s="559"/>
      <c r="G203" s="559"/>
      <c r="H203" s="559"/>
      <c r="I203" s="559"/>
      <c r="J203" s="559"/>
      <c r="K203" s="561" t="s">
        <v>161</v>
      </c>
      <c r="L203" s="559"/>
      <c r="M203" s="559"/>
    </row>
    <row r="204" spans="2:13" ht="16.5" customHeight="1">
      <c r="B204" s="559"/>
      <c r="C204" s="559"/>
      <c r="D204" s="560"/>
      <c r="E204" s="559"/>
      <c r="F204" s="559"/>
      <c r="G204" s="559"/>
      <c r="H204" s="559"/>
      <c r="I204" s="559"/>
      <c r="J204" s="559"/>
      <c r="K204" s="561"/>
      <c r="L204" s="559"/>
      <c r="M204" s="559"/>
    </row>
    <row r="205" spans="2:13" ht="15.75">
      <c r="B205" s="559" t="s">
        <v>1</v>
      </c>
      <c r="C205" s="559"/>
      <c r="D205" s="560" t="s">
        <v>2</v>
      </c>
      <c r="E205" s="559"/>
      <c r="F205" s="559"/>
      <c r="G205" s="559"/>
      <c r="H205" s="559"/>
      <c r="I205" s="559"/>
      <c r="J205" s="559"/>
      <c r="K205" s="561" t="str">
        <f>K4</f>
        <v>For the 12 months ended 12/31/2026</v>
      </c>
      <c r="L205" s="559"/>
      <c r="M205" s="559"/>
    </row>
    <row r="206" spans="2:13" ht="15.75">
      <c r="B206" s="559"/>
      <c r="C206" s="564" t="s">
        <v>3</v>
      </c>
      <c r="D206" s="564" t="s">
        <v>4</v>
      </c>
      <c r="E206" s="564"/>
      <c r="F206" s="564"/>
      <c r="G206" s="564"/>
      <c r="H206" s="559"/>
      <c r="I206" s="559"/>
      <c r="J206" s="559"/>
      <c r="K206" s="559"/>
      <c r="L206" s="559"/>
      <c r="M206" s="559"/>
    </row>
    <row r="207" spans="1:13" ht="9.75" customHeight="1">
      <c r="A207" s="565"/>
      <c r="J207" s="564"/>
      <c r="K207" s="564"/>
      <c r="L207" s="564"/>
      <c r="M207" s="564"/>
    </row>
    <row r="208" spans="1:13" ht="15.75">
      <c r="A208" s="565"/>
      <c r="D208" s="558" t="str">
        <f>D7</f>
        <v>Mid-Atlantic Interstate Transmission, LLC</v>
      </c>
      <c r="J208" s="564"/>
      <c r="K208" s="564"/>
      <c r="L208" s="564"/>
      <c r="M208" s="564"/>
    </row>
    <row r="209" spans="1:13" ht="15.75">
      <c r="A209" s="565"/>
      <c r="C209" s="613" t="s">
        <v>80</v>
      </c>
      <c r="E209" s="559"/>
      <c r="F209" s="559"/>
      <c r="G209" s="559"/>
      <c r="H209" s="559"/>
      <c r="I209" s="559"/>
      <c r="J209" s="564"/>
      <c r="K209" s="564"/>
      <c r="L209" s="559"/>
      <c r="M209" s="564"/>
    </row>
    <row r="210" spans="1:13" ht="15.75">
      <c r="A210" s="565" t="s">
        <v>5</v>
      </c>
      <c r="B210" s="565" t="s">
        <v>22</v>
      </c>
      <c r="C210" s="565" t="s">
        <v>23</v>
      </c>
      <c r="D210" s="565" t="s">
        <v>24</v>
      </c>
      <c r="E210" s="568" t="s">
        <v>25</v>
      </c>
      <c r="F210" s="564"/>
      <c r="G210" s="568" t="s">
        <v>26</v>
      </c>
      <c r="H210" s="564"/>
      <c r="I210" s="568" t="s">
        <v>27</v>
      </c>
      <c r="J210" s="564"/>
      <c r="L210" s="559"/>
      <c r="M210" s="564"/>
    </row>
    <row r="211" spans="1:13" ht="16.5" thickBot="1">
      <c r="A211" s="569" t="s">
        <v>7</v>
      </c>
      <c r="B211" s="559" t="s">
        <v>81</v>
      </c>
      <c r="C211" s="559"/>
      <c r="D211" s="559"/>
      <c r="E211" s="559"/>
      <c r="F211" s="559"/>
      <c r="G211" s="559"/>
      <c r="J211" s="564"/>
      <c r="K211" s="564"/>
      <c r="L211" s="559"/>
      <c r="M211" s="564"/>
    </row>
    <row r="212" spans="1:13" ht="15.75">
      <c r="A212" s="565">
        <v>1</v>
      </c>
      <c r="B212" s="559" t="s">
        <v>179</v>
      </c>
      <c r="C212" s="559"/>
      <c r="D212" s="564"/>
      <c r="E212" s="564"/>
      <c r="F212" s="564"/>
      <c r="G212" s="564"/>
      <c r="H212" s="564"/>
      <c r="I212" s="576">
        <f>D57</f>
        <v>4285379912.4817791</v>
      </c>
      <c r="J212" s="737"/>
      <c r="K212" s="564"/>
      <c r="L212" s="559"/>
      <c r="M212" s="564"/>
    </row>
    <row r="213" spans="1:13" ht="15.75">
      <c r="A213" s="565">
        <v>2</v>
      </c>
      <c r="B213" s="559" t="s">
        <v>308</v>
      </c>
      <c r="I213" s="577">
        <v>0</v>
      </c>
      <c r="J213" s="564"/>
      <c r="K213" s="564"/>
      <c r="L213" s="564"/>
      <c r="M213" s="564"/>
    </row>
    <row r="214" spans="1:13" ht="16.5" thickBot="1">
      <c r="A214" s="565">
        <v>3</v>
      </c>
      <c r="B214" s="650" t="s">
        <v>309</v>
      </c>
      <c r="C214" s="650"/>
      <c r="D214" s="564"/>
      <c r="E214" s="564"/>
      <c r="F214" s="564"/>
      <c r="G214" s="628"/>
      <c r="H214" s="564"/>
      <c r="I214" s="651">
        <v>0</v>
      </c>
      <c r="J214" s="564"/>
      <c r="K214" s="564"/>
      <c r="L214" s="564"/>
      <c r="M214" s="564"/>
    </row>
    <row r="215" spans="1:13" ht="15.75">
      <c r="A215" s="565">
        <v>4</v>
      </c>
      <c r="B215" s="559" t="s">
        <v>82</v>
      </c>
      <c r="C215" s="559"/>
      <c r="D215" s="564"/>
      <c r="E215" s="564"/>
      <c r="F215" s="564"/>
      <c r="G215" s="628"/>
      <c r="H215" s="564"/>
      <c r="I215" s="576">
        <f>I212-I213-I214</f>
        <v>4285379912.4817791</v>
      </c>
      <c r="J215" s="737"/>
      <c r="K215" s="564"/>
      <c r="L215" s="559"/>
      <c r="M215" s="564"/>
    </row>
    <row r="216" spans="1:13" ht="15.75">
      <c r="A216" s="565">
        <v>5</v>
      </c>
      <c r="B216" s="559" t="s">
        <v>183</v>
      </c>
      <c r="C216" s="566"/>
      <c r="D216" s="566"/>
      <c r="E216" s="566"/>
      <c r="F216" s="566"/>
      <c r="G216" s="568"/>
      <c r="H216" s="564" t="s">
        <v>83</v>
      </c>
      <c r="I216" s="652">
        <f>IF(I212&gt;0,I215/I212,0)</f>
        <v>1</v>
      </c>
      <c r="J216" s="564"/>
      <c r="K216" s="564"/>
      <c r="L216" s="559"/>
      <c r="M216" s="564"/>
    </row>
    <row r="217" spans="1:13" ht="9.75" customHeight="1">
      <c r="A217" s="565"/>
      <c r="B217" s="559"/>
      <c r="C217" s="566"/>
      <c r="D217" s="566"/>
      <c r="E217" s="566"/>
      <c r="F217" s="566"/>
      <c r="G217" s="568"/>
      <c r="H217" s="564"/>
      <c r="I217" s="652"/>
      <c r="J217" s="564"/>
      <c r="K217" s="564"/>
      <c r="L217" s="559"/>
      <c r="M217" s="564"/>
    </row>
    <row r="218" spans="1:13" ht="15.75">
      <c r="A218" s="565"/>
      <c r="B218" s="559" t="s">
        <v>84</v>
      </c>
      <c r="J218" s="564"/>
      <c r="K218" s="564"/>
      <c r="L218" s="559"/>
      <c r="M218" s="564"/>
    </row>
    <row r="219" spans="1:13" ht="9.75" customHeight="1">
      <c r="A219" s="565"/>
      <c r="J219" s="564"/>
      <c r="K219" s="564"/>
      <c r="L219" s="559"/>
      <c r="M219" s="564"/>
    </row>
    <row r="220" spans="1:13" ht="15.75">
      <c r="A220" s="565">
        <v>6</v>
      </c>
      <c r="B220" s="558" t="s">
        <v>180</v>
      </c>
      <c r="D220" s="559"/>
      <c r="E220" s="559"/>
      <c r="F220" s="559"/>
      <c r="G220" s="565"/>
      <c r="H220" s="559"/>
      <c r="I220" s="576">
        <f>D130</f>
        <v>108390388.47000006</v>
      </c>
      <c r="J220" s="737"/>
      <c r="K220" s="564"/>
      <c r="L220" s="564"/>
      <c r="M220" s="564"/>
    </row>
    <row r="221" spans="1:13" ht="16.5" thickBot="1">
      <c r="A221" s="565">
        <v>7</v>
      </c>
      <c r="B221" s="650" t="s">
        <v>310</v>
      </c>
      <c r="C221" s="650"/>
      <c r="D221" s="564"/>
      <c r="E221" s="564"/>
      <c r="F221" s="564"/>
      <c r="G221" s="564"/>
      <c r="H221" s="564"/>
      <c r="I221" s="651">
        <f>'Attachment 20 - O&amp;M and A&amp;G'!F12+'Attachment 20 - O&amp;M and A&amp;G'!F13+'Attachment 20 - O&amp;M and A&amp;G'!F14</f>
        <v>3147263.4099999997</v>
      </c>
      <c r="J221" s="737"/>
      <c r="K221" s="564"/>
      <c r="L221" s="564"/>
      <c r="M221" s="564"/>
    </row>
    <row r="222" spans="1:13" ht="15.75">
      <c r="A222" s="565">
        <v>8</v>
      </c>
      <c r="B222" s="559" t="s">
        <v>175</v>
      </c>
      <c r="C222" s="566"/>
      <c r="D222" s="566"/>
      <c r="E222" s="566"/>
      <c r="F222" s="566"/>
      <c r="G222" s="568"/>
      <c r="H222" s="566"/>
      <c r="I222" s="576">
        <f>SUM(I220-I221)</f>
        <v>105243125.06000006</v>
      </c>
      <c r="J222" s="2"/>
      <c r="L222" s="564"/>
      <c r="M222" s="564"/>
    </row>
    <row r="223" spans="1:13" ht="15.75">
      <c r="A223" s="565">
        <v>9</v>
      </c>
      <c r="B223" s="559" t="s">
        <v>176</v>
      </c>
      <c r="C223" s="559"/>
      <c r="D223" s="564"/>
      <c r="E223" s="564"/>
      <c r="F223" s="564"/>
      <c r="G223" s="564"/>
      <c r="H223" s="564"/>
      <c r="I223" s="614">
        <f>IF(I220&gt;0,I222/I220,0)</f>
        <v>0.97096363012970388</v>
      </c>
      <c r="J223" s="2"/>
      <c r="L223" s="564"/>
      <c r="M223" s="564"/>
    </row>
    <row r="224" spans="1:13" ht="15.75">
      <c r="A224" s="565">
        <v>10</v>
      </c>
      <c r="B224" s="559" t="s">
        <v>177</v>
      </c>
      <c r="C224" s="559"/>
      <c r="D224" s="564"/>
      <c r="E224" s="564"/>
      <c r="F224" s="564"/>
      <c r="G224" s="564"/>
      <c r="H224" s="559" t="s">
        <v>13</v>
      </c>
      <c r="I224" s="614">
        <f>I216</f>
        <v>1</v>
      </c>
      <c r="J224" s="2"/>
      <c r="L224" s="564"/>
      <c r="M224" s="564"/>
    </row>
    <row r="225" spans="1:13" ht="15.75">
      <c r="A225" s="565">
        <v>11</v>
      </c>
      <c r="B225" s="559" t="s">
        <v>178</v>
      </c>
      <c r="C225" s="559"/>
      <c r="D225" s="559"/>
      <c r="E225" s="559"/>
      <c r="F225" s="559"/>
      <c r="G225" s="559"/>
      <c r="H225" s="559" t="s">
        <v>85</v>
      </c>
      <c r="I225" s="574">
        <f>+I224*I223</f>
        <v>0.97096363012970388</v>
      </c>
      <c r="J225" s="2"/>
      <c r="L225" s="564"/>
      <c r="M225" s="564"/>
    </row>
    <row r="226" spans="1:13" ht="9.75" customHeight="1">
      <c r="A226" s="565"/>
      <c r="C226" s="559"/>
      <c r="D226" s="564"/>
      <c r="E226" s="564"/>
      <c r="F226" s="564"/>
      <c r="G226" s="628"/>
      <c r="H226" s="564"/>
      <c r="L226" s="564"/>
      <c r="M226" s="564"/>
    </row>
    <row r="227" spans="1:13" ht="15.75">
      <c r="A227" s="565" t="s">
        <v>3</v>
      </c>
      <c r="B227" s="559" t="s">
        <v>86</v>
      </c>
      <c r="C227" s="564"/>
      <c r="D227" s="564"/>
      <c r="E227" s="564"/>
      <c r="F227" s="564"/>
      <c r="G227" s="564"/>
      <c r="H227" s="564"/>
      <c r="I227" s="564"/>
      <c r="J227" s="564"/>
      <c r="K227" s="564"/>
      <c r="L227" s="564"/>
      <c r="M227" s="564"/>
    </row>
    <row r="228" spans="1:13" ht="16.5" thickBot="1">
      <c r="A228" s="565" t="s">
        <v>3</v>
      </c>
      <c r="B228" s="559"/>
      <c r="C228" s="653" t="s">
        <v>87</v>
      </c>
      <c r="D228" s="587" t="s">
        <v>88</v>
      </c>
      <c r="E228" s="587" t="s">
        <v>13</v>
      </c>
      <c r="F228" s="564"/>
      <c r="G228" s="587" t="s">
        <v>89</v>
      </c>
      <c r="H228" s="564"/>
      <c r="I228" s="564"/>
      <c r="J228" s="564"/>
      <c r="K228" s="564"/>
      <c r="L228" s="564"/>
      <c r="M228" s="564"/>
    </row>
    <row r="229" spans="1:13" ht="15.75">
      <c r="A229" s="565">
        <v>12</v>
      </c>
      <c r="B229" s="559" t="s">
        <v>34</v>
      </c>
      <c r="C229" s="564" t="s">
        <v>154</v>
      </c>
      <c r="D229" s="577">
        <v>0</v>
      </c>
      <c r="E229" s="654">
        <v>0</v>
      </c>
      <c r="F229" s="654"/>
      <c r="G229" s="615">
        <f>D229*E229</f>
        <v>0</v>
      </c>
      <c r="H229" s="564"/>
      <c r="I229" s="564"/>
      <c r="J229" s="564"/>
      <c r="K229" s="564"/>
      <c r="L229" s="564"/>
      <c r="M229" s="564"/>
    </row>
    <row r="230" spans="1:13" ht="15.75">
      <c r="A230" s="565">
        <v>13</v>
      </c>
      <c r="B230" s="559" t="s">
        <v>36</v>
      </c>
      <c r="C230" s="564" t="s">
        <v>155</v>
      </c>
      <c r="D230" s="577">
        <v>0</v>
      </c>
      <c r="E230" s="654">
        <f>+I216</f>
        <v>1</v>
      </c>
      <c r="F230" s="654"/>
      <c r="G230" s="588">
        <f>D230*E230</f>
        <v>0</v>
      </c>
      <c r="H230" s="564"/>
      <c r="I230" s="564"/>
      <c r="J230" s="564"/>
      <c r="K230" s="564"/>
      <c r="L230" s="564"/>
      <c r="M230" s="564"/>
    </row>
    <row r="231" spans="1:13" ht="15.75">
      <c r="A231" s="565">
        <v>14</v>
      </c>
      <c r="B231" s="559" t="s">
        <v>37</v>
      </c>
      <c r="C231" s="564" t="s">
        <v>156</v>
      </c>
      <c r="D231" s="577">
        <v>0</v>
      </c>
      <c r="E231" s="654">
        <v>0</v>
      </c>
      <c r="F231" s="654"/>
      <c r="G231" s="615">
        <f>D231*E231</f>
        <v>0</v>
      </c>
      <c r="H231" s="564"/>
      <c r="I231" s="628" t="s">
        <v>90</v>
      </c>
      <c r="J231" s="564"/>
      <c r="K231" s="564"/>
      <c r="L231" s="564"/>
      <c r="M231" s="564"/>
    </row>
    <row r="232" spans="1:13" ht="16.5" thickBot="1">
      <c r="A232" s="565">
        <v>15</v>
      </c>
      <c r="B232" s="559" t="s">
        <v>91</v>
      </c>
      <c r="C232" s="564" t="s">
        <v>157</v>
      </c>
      <c r="D232" s="651">
        <v>0</v>
      </c>
      <c r="E232" s="654">
        <v>0</v>
      </c>
      <c r="F232" s="654"/>
      <c r="G232" s="617">
        <f>D232*E232</f>
        <v>0</v>
      </c>
      <c r="H232" s="564"/>
      <c r="I232" s="569" t="s">
        <v>92</v>
      </c>
      <c r="J232" s="564"/>
      <c r="K232" s="564"/>
      <c r="L232" s="564"/>
      <c r="M232" s="564"/>
    </row>
    <row r="233" spans="1:13" ht="15.75">
      <c r="A233" s="565">
        <v>16</v>
      </c>
      <c r="B233" s="559" t="s">
        <v>93</v>
      </c>
      <c r="C233" s="564"/>
      <c r="D233" s="576">
        <f>SUM(D229:D232)</f>
        <v>0</v>
      </c>
      <c r="E233" s="564"/>
      <c r="F233" s="564"/>
      <c r="G233" s="588">
        <f>SUM(G229:G232)</f>
        <v>0</v>
      </c>
      <c r="H233" s="565" t="s">
        <v>94</v>
      </c>
      <c r="I233" s="614">
        <f>IF(G233&gt;0,G233/D233,1)</f>
        <v>1</v>
      </c>
      <c r="J233" s="655" t="s">
        <v>182</v>
      </c>
      <c r="K233" s="564"/>
      <c r="L233" s="564"/>
      <c r="M233" s="564"/>
    </row>
    <row r="234" spans="1:13" ht="9.75" customHeight="1">
      <c r="A234" s="565"/>
      <c r="B234" s="559"/>
      <c r="C234" s="564"/>
      <c r="D234" s="564"/>
      <c r="E234" s="564"/>
      <c r="F234" s="564"/>
      <c r="G234" s="564"/>
      <c r="H234" s="564"/>
      <c r="I234" s="564"/>
      <c r="J234" s="564"/>
      <c r="K234" s="564"/>
      <c r="L234" s="564"/>
      <c r="M234" s="564"/>
    </row>
    <row r="235" spans="1:13" ht="15.75">
      <c r="A235" s="565"/>
      <c r="B235" s="559" t="s">
        <v>174</v>
      </c>
      <c r="C235" s="564"/>
      <c r="D235" s="564"/>
      <c r="E235" s="564"/>
      <c r="F235" s="564"/>
      <c r="G235" s="564"/>
      <c r="H235" s="564"/>
      <c r="I235" s="564"/>
      <c r="J235" s="564"/>
      <c r="K235" s="564"/>
      <c r="L235" s="564"/>
      <c r="M235" s="564"/>
    </row>
    <row r="236" spans="1:13" ht="15.75">
      <c r="A236" s="565"/>
      <c r="B236" s="559"/>
      <c r="C236" s="564"/>
      <c r="D236" s="656" t="s">
        <v>88</v>
      </c>
      <c r="E236" s="564"/>
      <c r="F236" s="564"/>
      <c r="G236" s="628" t="s">
        <v>95</v>
      </c>
      <c r="H236" s="637" t="s">
        <v>3</v>
      </c>
      <c r="I236" s="618" t="str">
        <f>+I231</f>
        <v>W&amp;S Allocator</v>
      </c>
      <c r="L236" s="564"/>
      <c r="M236" s="564"/>
    </row>
    <row r="237" spans="1:13" ht="15.75">
      <c r="A237" s="565">
        <v>17</v>
      </c>
      <c r="B237" s="559" t="s">
        <v>96</v>
      </c>
      <c r="C237" s="564" t="s">
        <v>97</v>
      </c>
      <c r="D237" s="1093">
        <v>0</v>
      </c>
      <c r="E237" s="564"/>
      <c r="G237" s="565" t="s">
        <v>98</v>
      </c>
      <c r="H237" s="637"/>
      <c r="I237" s="565" t="s">
        <v>99</v>
      </c>
      <c r="J237" s="564"/>
      <c r="K237" s="565"/>
      <c r="L237" s="564"/>
      <c r="M237" s="564"/>
    </row>
    <row r="238" spans="1:18" ht="15.75">
      <c r="A238" s="565">
        <v>18</v>
      </c>
      <c r="B238" s="559" t="s">
        <v>100</v>
      </c>
      <c r="C238" s="564" t="s">
        <v>101</v>
      </c>
      <c r="D238" s="657">
        <v>0</v>
      </c>
      <c r="E238" s="564"/>
      <c r="G238" s="574">
        <f>IF(D240&gt;0,D237/D240,1)</f>
        <v>1</v>
      </c>
      <c r="H238" s="628" t="s">
        <v>102</v>
      </c>
      <c r="I238" s="574">
        <f>I233</f>
        <v>1</v>
      </c>
      <c r="J238" s="637" t="s">
        <v>94</v>
      </c>
      <c r="K238" s="574"/>
      <c r="L238" s="564"/>
      <c r="M238" s="658"/>
      <c r="N238" s="658"/>
      <c r="O238" s="659"/>
      <c r="P238" s="660"/>
      <c r="Q238" s="660"/>
      <c r="R238" s="660"/>
    </row>
    <row r="239" spans="1:18" ht="16.5" thickBot="1">
      <c r="A239" s="565">
        <v>19</v>
      </c>
      <c r="B239" s="650" t="s">
        <v>103</v>
      </c>
      <c r="C239" s="653" t="s">
        <v>104</v>
      </c>
      <c r="D239" s="661">
        <v>0</v>
      </c>
      <c r="E239" s="564"/>
      <c r="F239" s="564"/>
      <c r="G239" s="564" t="s">
        <v>3</v>
      </c>
      <c r="H239" s="564"/>
      <c r="I239" s="564"/>
      <c r="J239" s="564"/>
      <c r="K239" s="564"/>
      <c r="L239" s="564"/>
      <c r="M239" s="662"/>
      <c r="N239" s="662"/>
      <c r="O239" s="660"/>
      <c r="P239" s="660"/>
      <c r="Q239" s="660"/>
      <c r="R239" s="660"/>
    </row>
    <row r="240" spans="1:18" ht="15.75">
      <c r="A240" s="565">
        <v>20</v>
      </c>
      <c r="B240" s="559" t="s">
        <v>105</v>
      </c>
      <c r="C240" s="564"/>
      <c r="D240" s="603">
        <f>SUM(D237:D239)</f>
        <v>0</v>
      </c>
      <c r="E240" s="564"/>
      <c r="F240" s="564"/>
      <c r="G240" s="564"/>
      <c r="H240" s="564"/>
      <c r="I240" s="564"/>
      <c r="J240" s="564"/>
      <c r="K240" s="564"/>
      <c r="L240" s="564"/>
      <c r="N240" s="663"/>
      <c r="O240" s="664"/>
      <c r="P240" s="665"/>
      <c r="Q240" s="663"/>
      <c r="R240" s="663"/>
    </row>
    <row r="241" spans="1:18" ht="15.75">
      <c r="A241" s="565"/>
      <c r="B241" s="559"/>
      <c r="C241" s="564"/>
      <c r="E241" s="564"/>
      <c r="F241" s="564"/>
      <c r="G241" s="564"/>
      <c r="H241" s="564"/>
      <c r="I241" s="564"/>
      <c r="J241" s="564"/>
      <c r="K241" s="564"/>
      <c r="L241" s="564"/>
      <c r="M241" s="1164"/>
      <c r="N241" s="1164"/>
      <c r="O241" s="1164"/>
      <c r="P241" s="1164"/>
      <c r="Q241" s="1164"/>
      <c r="R241" s="1164"/>
    </row>
    <row r="242" spans="1:18" ht="16.5" thickBot="1">
      <c r="A242" s="565"/>
      <c r="B242" s="559" t="s">
        <v>106</v>
      </c>
      <c r="C242" s="564"/>
      <c r="D242" s="564"/>
      <c r="E242" s="564"/>
      <c r="F242" s="564"/>
      <c r="G242" s="564"/>
      <c r="H242" s="564"/>
      <c r="I242" s="587" t="s">
        <v>88</v>
      </c>
      <c r="J242" s="564"/>
      <c r="K242" s="564"/>
      <c r="L242" s="564"/>
      <c r="M242" s="663"/>
      <c r="N242" s="663"/>
      <c r="O242" s="664"/>
      <c r="P242" s="665"/>
      <c r="Q242" s="663"/>
      <c r="R242" s="663"/>
    </row>
    <row r="243" spans="1:18" ht="15.75">
      <c r="A243" s="565"/>
      <c r="B243" s="559"/>
      <c r="C243" s="564"/>
      <c r="D243" s="564"/>
      <c r="E243" s="564"/>
      <c r="F243" s="564"/>
      <c r="G243" s="564"/>
      <c r="H243" s="564"/>
      <c r="I243" s="576"/>
      <c r="J243" s="564"/>
      <c r="K243" s="564"/>
      <c r="L243" s="564"/>
      <c r="M243" s="664"/>
      <c r="N243" s="664"/>
      <c r="O243" s="664"/>
      <c r="P243" s="665"/>
      <c r="Q243" s="663"/>
      <c r="R243" s="663"/>
    </row>
    <row r="244" spans="1:18" ht="15.75">
      <c r="A244" s="565">
        <v>21</v>
      </c>
      <c r="B244" s="559"/>
      <c r="C244" s="564" t="s">
        <v>184</v>
      </c>
      <c r="D244" s="564"/>
      <c r="E244" s="564"/>
      <c r="F244" s="564"/>
      <c r="G244" s="564"/>
      <c r="H244" s="564"/>
      <c r="I244" s="576">
        <v>0</v>
      </c>
      <c r="J244" s="564"/>
      <c r="K244" s="564"/>
      <c r="L244" s="564"/>
      <c r="M244" s="664"/>
      <c r="N244" s="663"/>
      <c r="O244" s="666"/>
      <c r="P244" s="666"/>
      <c r="Q244" s="663"/>
      <c r="R244" s="663"/>
    </row>
    <row r="245" spans="1:18" ht="15.75">
      <c r="A245" s="565"/>
      <c r="B245" s="559"/>
      <c r="C245" s="564"/>
      <c r="D245" s="564"/>
      <c r="E245" s="564"/>
      <c r="F245" s="564"/>
      <c r="G245" s="564"/>
      <c r="H245" s="564"/>
      <c r="I245" s="615"/>
      <c r="J245" s="564"/>
      <c r="K245" s="564"/>
      <c r="L245" s="564"/>
      <c r="M245" s="664"/>
      <c r="N245" s="663"/>
      <c r="O245" s="663"/>
      <c r="P245" s="663"/>
      <c r="Q245" s="663"/>
      <c r="R245" s="663"/>
    </row>
    <row r="246" spans="1:18" ht="15.75">
      <c r="A246" s="565"/>
      <c r="B246" s="559"/>
      <c r="C246" s="564"/>
      <c r="D246" s="559"/>
      <c r="E246" s="559"/>
      <c r="F246" s="559"/>
      <c r="G246" s="559"/>
      <c r="H246" s="559"/>
      <c r="I246" s="624"/>
      <c r="J246" s="564"/>
      <c r="K246" s="564"/>
      <c r="L246" s="564"/>
      <c r="M246" s="664"/>
      <c r="N246" s="663"/>
      <c r="O246" s="664"/>
      <c r="P246" s="665"/>
      <c r="Q246" s="663"/>
      <c r="R246" s="663"/>
    </row>
    <row r="247" spans="1:18" ht="15.75">
      <c r="A247" s="565"/>
      <c r="B247" s="559"/>
      <c r="C247" s="564"/>
      <c r="D247" s="564"/>
      <c r="E247" s="628" t="s">
        <v>19</v>
      </c>
      <c r="F247" s="564"/>
      <c r="G247" s="628" t="s">
        <v>108</v>
      </c>
      <c r="H247" s="564"/>
      <c r="I247" s="564"/>
      <c r="J247" s="564"/>
      <c r="K247" s="564"/>
      <c r="L247" s="564"/>
      <c r="M247" s="664"/>
      <c r="N247" s="663"/>
      <c r="O247" s="664"/>
      <c r="P247" s="665"/>
      <c r="Q247" s="663"/>
      <c r="R247" s="663"/>
    </row>
    <row r="248" spans="1:14" ht="16.5" thickBot="1">
      <c r="A248" s="565"/>
      <c r="B248" s="559"/>
      <c r="C248" s="564"/>
      <c r="D248" s="569" t="s">
        <v>88</v>
      </c>
      <c r="E248" s="569" t="s">
        <v>109</v>
      </c>
      <c r="F248" s="564"/>
      <c r="G248" s="569" t="s">
        <v>110</v>
      </c>
      <c r="H248" s="564"/>
      <c r="I248" s="711" t="s">
        <v>111</v>
      </c>
      <c r="J248" s="564"/>
      <c r="K248" s="564"/>
      <c r="L248" s="564"/>
      <c r="M248" s="564"/>
      <c r="N248" s="665"/>
    </row>
    <row r="249" spans="1:13" ht="15.75">
      <c r="A249" s="565">
        <v>22</v>
      </c>
      <c r="B249" s="559" t="s">
        <v>942</v>
      </c>
      <c r="D249" s="576">
        <f>'Attachment 8 - Cap Structure'!K23</f>
        <v>1613444219.3684454</v>
      </c>
      <c r="E249" s="1161">
        <v>0.40</v>
      </c>
      <c r="F249" s="667"/>
      <c r="G249" s="667">
        <f>'Attachment 10 - Debt Cost'!W27</f>
        <v>0.0465</v>
      </c>
      <c r="I249" s="667">
        <f>(G249*E249)</f>
        <v>0.018600000000000002</v>
      </c>
      <c r="J249" s="655" t="s">
        <v>112</v>
      </c>
      <c r="K249" s="728"/>
      <c r="L249" s="2"/>
      <c r="M249" s="564"/>
    </row>
    <row r="250" spans="1:13" ht="15.75">
      <c r="A250" s="565">
        <v>23</v>
      </c>
      <c r="B250" s="559" t="s">
        <v>943</v>
      </c>
      <c r="D250" s="576">
        <f>'Attachment 8 - Cap Structure'!F23</f>
        <v>0</v>
      </c>
      <c r="E250" s="1160">
        <f>IF($D$252&gt;0,D250/$D$252,0)</f>
        <v>0</v>
      </c>
      <c r="F250" s="667"/>
      <c r="G250" s="667">
        <f>IF(D250&gt;0,I244/D250,0)</f>
        <v>0</v>
      </c>
      <c r="I250" s="667">
        <f>(G250*E250)</f>
        <v>0</v>
      </c>
      <c r="J250" s="564"/>
      <c r="K250" s="709"/>
      <c r="L250" s="564"/>
      <c r="M250" s="564"/>
    </row>
    <row r="251" spans="1:13" ht="16.5" thickBot="1">
      <c r="A251" s="565">
        <v>24</v>
      </c>
      <c r="B251" s="559" t="s">
        <v>944</v>
      </c>
      <c r="D251" s="617">
        <f>'Attachment 8 - Cap Structure'!J23</f>
        <v>2475063021.5329714</v>
      </c>
      <c r="E251" s="1161">
        <v>0.60</v>
      </c>
      <c r="F251" s="667"/>
      <c r="G251" s="668">
        <v>0.10299999999999999</v>
      </c>
      <c r="I251" s="669">
        <f>(G251*E251)</f>
        <v>0.061799999999999994</v>
      </c>
      <c r="J251" s="564"/>
      <c r="K251" s="709"/>
      <c r="L251" s="564"/>
      <c r="M251" s="564"/>
    </row>
    <row r="252" spans="1:13" ht="15.75">
      <c r="A252" s="565">
        <v>25</v>
      </c>
      <c r="B252" s="559" t="s">
        <v>660</v>
      </c>
      <c r="D252" s="576">
        <f>SUM(D249:D251)</f>
        <v>4088507240.9014168</v>
      </c>
      <c r="E252" s="564" t="s">
        <v>3</v>
      </c>
      <c r="F252" s="564"/>
      <c r="G252" s="670"/>
      <c r="H252" s="564"/>
      <c r="I252" s="667">
        <f>SUM(I249:I251)</f>
        <v>0.080399999999999999</v>
      </c>
      <c r="J252" s="655" t="s">
        <v>113</v>
      </c>
      <c r="K252" s="728"/>
      <c r="L252" s="564"/>
      <c r="M252" s="564"/>
    </row>
    <row r="253" spans="1:13" ht="9.75" customHeight="1">
      <c r="A253" s="565"/>
      <c r="K253" s="564"/>
      <c r="L253" s="564"/>
      <c r="M253" s="564"/>
    </row>
    <row r="254" spans="1:13" ht="15.75">
      <c r="A254" s="565"/>
      <c r="B254" s="559" t="s">
        <v>114</v>
      </c>
      <c r="C254" s="559"/>
      <c r="D254" s="559"/>
      <c r="E254" s="559"/>
      <c r="F254" s="559"/>
      <c r="G254" s="559"/>
      <c r="H254" s="559"/>
      <c r="I254" s="559"/>
      <c r="J254" s="559"/>
      <c r="K254" s="559"/>
      <c r="L254" s="628"/>
      <c r="M254" s="564"/>
    </row>
    <row r="255" spans="1:13" ht="15.75">
      <c r="A255" s="565"/>
      <c r="B255" s="559" t="s">
        <v>115</v>
      </c>
      <c r="C255" s="559"/>
      <c r="D255" s="559" t="s">
        <v>116</v>
      </c>
      <c r="E255" s="559" t="s">
        <v>117</v>
      </c>
      <c r="F255" s="559"/>
      <c r="G255" s="559" t="s">
        <v>3</v>
      </c>
      <c r="I255" s="671"/>
      <c r="J255" s="671"/>
      <c r="L255" s="728"/>
      <c r="M255" s="564"/>
    </row>
    <row r="256" spans="1:13" ht="15.75">
      <c r="A256" s="565">
        <v>26</v>
      </c>
      <c r="B256" s="558" t="s">
        <v>311</v>
      </c>
      <c r="C256" s="559"/>
      <c r="D256" s="559"/>
      <c r="F256" s="559"/>
      <c r="I256" s="672">
        <v>0</v>
      </c>
      <c r="J256" s="673"/>
      <c r="L256" s="564"/>
      <c r="M256" s="564"/>
    </row>
    <row r="257" spans="1:13" ht="16.5" thickBot="1">
      <c r="A257" s="565">
        <v>27</v>
      </c>
      <c r="B257" s="674" t="s">
        <v>312</v>
      </c>
      <c r="C257" s="650"/>
      <c r="E257" s="559"/>
      <c r="F257" s="559"/>
      <c r="G257" s="559"/>
      <c r="H257" s="559"/>
      <c r="I257" s="675">
        <v>0</v>
      </c>
      <c r="J257" s="676"/>
      <c r="L257" s="564"/>
      <c r="M257" s="564"/>
    </row>
    <row r="258" spans="1:13" ht="15.75">
      <c r="A258" s="565">
        <v>28</v>
      </c>
      <c r="B258" s="558" t="s">
        <v>118</v>
      </c>
      <c r="C258" s="559"/>
      <c r="E258" s="559"/>
      <c r="F258" s="559"/>
      <c r="G258" s="559"/>
      <c r="H258" s="559"/>
      <c r="I258" s="677">
        <f>+I256-I257</f>
        <v>0</v>
      </c>
      <c r="J258" s="673"/>
      <c r="L258" s="558"/>
      <c r="M258" s="564"/>
    </row>
    <row r="259" spans="1:13" ht="15.75">
      <c r="A259" s="565"/>
      <c r="B259" s="558" t="s">
        <v>3</v>
      </c>
      <c r="C259" s="559"/>
      <c r="E259" s="559"/>
      <c r="F259" s="559"/>
      <c r="G259" s="592"/>
      <c r="H259" s="559"/>
      <c r="I259" s="677"/>
      <c r="J259" s="671"/>
      <c r="K259" s="678"/>
      <c r="L259" s="628"/>
      <c r="M259" s="564"/>
    </row>
    <row r="260" spans="1:13" ht="15.75">
      <c r="A260" s="565">
        <v>29</v>
      </c>
      <c r="B260" s="558" t="s">
        <v>347</v>
      </c>
      <c r="C260" s="559"/>
      <c r="E260" s="558" t="s">
        <v>1186</v>
      </c>
      <c r="F260" s="559"/>
      <c r="G260" s="592"/>
      <c r="H260" s="559"/>
      <c r="I260" s="677">
        <f>'Attachment 21 - Revenue Credits'!I11</f>
        <v>450924.96</v>
      </c>
      <c r="J260" s="1094"/>
      <c r="K260" s="678"/>
      <c r="L260" s="635"/>
      <c r="M260" s="564"/>
    </row>
    <row r="261" spans="1:13" ht="15.75">
      <c r="A261" s="565"/>
      <c r="C261" s="559"/>
      <c r="F261" s="559"/>
      <c r="G261" s="592"/>
      <c r="H261" s="559"/>
      <c r="I261" s="677"/>
      <c r="J261" s="671"/>
      <c r="K261" s="678"/>
      <c r="L261" s="635"/>
      <c r="M261" s="564"/>
    </row>
    <row r="262" spans="1:13" ht="15.75">
      <c r="A262" s="565">
        <v>30</v>
      </c>
      <c r="B262" s="559" t="s">
        <v>313</v>
      </c>
      <c r="C262" s="559"/>
      <c r="E262" s="558" t="s">
        <v>1187</v>
      </c>
      <c r="F262" s="559"/>
      <c r="G262" s="591"/>
      <c r="H262" s="559"/>
      <c r="I262" s="677">
        <f>'Attachment 21 - Revenue Credits'!I17</f>
        <v>3761088</v>
      </c>
      <c r="J262" s="1094"/>
      <c r="K262" s="679"/>
      <c r="L262" s="635"/>
      <c r="M262" s="564"/>
    </row>
    <row r="263" spans="1:13" ht="15.75" customHeight="1">
      <c r="A263" s="565"/>
      <c r="C263" s="559"/>
      <c r="D263" s="559"/>
      <c r="E263" s="559"/>
      <c r="F263" s="559"/>
      <c r="G263" s="559"/>
      <c r="H263" s="559"/>
      <c r="I263" s="677"/>
      <c r="J263" s="671"/>
      <c r="K263" s="679"/>
      <c r="L263" s="635"/>
      <c r="M263" s="564"/>
    </row>
    <row r="264" spans="1:13" ht="15.75">
      <c r="A264" s="565">
        <v>31</v>
      </c>
      <c r="B264" s="559" t="s">
        <v>703</v>
      </c>
      <c r="C264" s="559"/>
      <c r="D264" s="559"/>
      <c r="E264" s="559" t="s">
        <v>1188</v>
      </c>
      <c r="F264" s="559"/>
      <c r="G264" s="559"/>
      <c r="H264" s="559"/>
      <c r="I264" s="680">
        <f>'Attachment 21 - Revenue Credits'!I24</f>
        <v>6409900</v>
      </c>
      <c r="J264" s="2"/>
      <c r="K264" s="679"/>
      <c r="L264" s="635"/>
      <c r="M264" s="559"/>
    </row>
    <row r="265" spans="2:13" ht="15.75">
      <c r="B265" s="559"/>
      <c r="C265" s="559"/>
      <c r="D265" s="564"/>
      <c r="E265" s="564"/>
      <c r="F265" s="564"/>
      <c r="G265" s="564"/>
      <c r="H265" s="564"/>
      <c r="J265" s="681"/>
      <c r="K265" s="679"/>
      <c r="L265" s="628"/>
      <c r="M265" s="559"/>
    </row>
    <row r="266" spans="1:13" ht="15.75">
      <c r="A266" s="565"/>
      <c r="B266" s="559"/>
      <c r="C266" s="559"/>
      <c r="D266" s="559"/>
      <c r="E266" s="559"/>
      <c r="F266" s="559"/>
      <c r="G266" s="559"/>
      <c r="H266" s="559"/>
      <c r="I266" s="682"/>
      <c r="K266" s="683"/>
      <c r="L266" s="628"/>
      <c r="M266" s="559"/>
    </row>
    <row r="267" spans="1:13" ht="33" customHeight="1">
      <c r="A267" s="712"/>
      <c r="B267" s="1171"/>
      <c r="C267" s="1172"/>
      <c r="D267" s="1172"/>
      <c r="E267" s="1172"/>
      <c r="F267" s="1172"/>
      <c r="G267" s="1172"/>
      <c r="H267" s="1172"/>
      <c r="I267" s="1172"/>
      <c r="J267" s="1172"/>
      <c r="K267" s="1172"/>
      <c r="L267" s="565"/>
      <c r="M267" s="559"/>
    </row>
    <row r="268" spans="1:13" ht="15.75">
      <c r="A268" s="565"/>
      <c r="C268" s="565"/>
      <c r="D268" s="564"/>
      <c r="E268" s="564"/>
      <c r="F268" s="564"/>
      <c r="G268" s="564"/>
      <c r="H268" s="559"/>
      <c r="I268" s="684"/>
      <c r="J268" s="681"/>
      <c r="K268" s="684"/>
      <c r="L268" s="565"/>
      <c r="M268" s="559"/>
    </row>
    <row r="269" spans="1:13" ht="15.75">
      <c r="A269" s="565"/>
      <c r="C269" s="565"/>
      <c r="D269" s="564"/>
      <c r="E269" s="564"/>
      <c r="F269" s="564"/>
      <c r="G269" s="564"/>
      <c r="H269" s="559"/>
      <c r="I269" s="684"/>
      <c r="J269" s="681"/>
      <c r="K269" s="684"/>
      <c r="L269" s="565"/>
      <c r="M269" s="559"/>
    </row>
    <row r="270" spans="1:13" ht="15.75">
      <c r="A270" s="565"/>
      <c r="C270" s="565"/>
      <c r="D270" s="564"/>
      <c r="E270" s="564"/>
      <c r="F270" s="564"/>
      <c r="G270" s="564"/>
      <c r="H270" s="559"/>
      <c r="I270" s="684"/>
      <c r="J270" s="681"/>
      <c r="K270" s="684"/>
      <c r="L270" s="565"/>
      <c r="M270" s="559"/>
    </row>
    <row r="271" spans="1:13" ht="15.75">
      <c r="A271" s="565"/>
      <c r="C271" s="565"/>
      <c r="D271" s="564"/>
      <c r="E271" s="564"/>
      <c r="F271" s="564"/>
      <c r="G271" s="564"/>
      <c r="H271" s="559"/>
      <c r="I271" s="684"/>
      <c r="J271" s="681"/>
      <c r="K271" s="684"/>
      <c r="L271" s="565"/>
      <c r="M271" s="559"/>
    </row>
    <row r="272" spans="1:12" ht="15.75">
      <c r="A272" s="630"/>
      <c r="B272" s="559"/>
      <c r="C272" s="564"/>
      <c r="D272" s="564"/>
      <c r="E272" s="564"/>
      <c r="F272" s="564"/>
      <c r="G272" s="618"/>
      <c r="H272" s="564"/>
      <c r="I272" s="564"/>
      <c r="J272" s="564"/>
      <c r="K272" s="612"/>
      <c r="L272" s="558"/>
    </row>
    <row r="273" spans="1:12" ht="15.75">
      <c r="A273" s="630"/>
      <c r="B273" s="559"/>
      <c r="C273" s="564"/>
      <c r="D273" s="564"/>
      <c r="E273" s="564"/>
      <c r="F273" s="564"/>
      <c r="G273" s="618"/>
      <c r="H273" s="564"/>
      <c r="I273" s="564"/>
      <c r="J273" s="564"/>
      <c r="K273" s="612"/>
      <c r="L273" s="558"/>
    </row>
    <row r="274" spans="2:13" ht="15.75">
      <c r="B274" s="559"/>
      <c r="C274" s="559"/>
      <c r="D274" s="560"/>
      <c r="E274" s="559"/>
      <c r="F274" s="559"/>
      <c r="G274" s="559"/>
      <c r="H274" s="559"/>
      <c r="I274" s="565"/>
      <c r="J274" s="565"/>
      <c r="K274" s="561"/>
      <c r="L274" s="559"/>
      <c r="M274" s="559"/>
    </row>
    <row r="275" spans="2:13" ht="15.75">
      <c r="B275" s="559"/>
      <c r="C275" s="559"/>
      <c r="D275" s="560"/>
      <c r="E275" s="559"/>
      <c r="F275" s="559"/>
      <c r="G275" s="559"/>
      <c r="H275" s="559"/>
      <c r="I275" s="561"/>
      <c r="J275" s="561"/>
      <c r="K275" s="561"/>
      <c r="L275" s="559"/>
      <c r="M275" s="559"/>
    </row>
    <row r="276" spans="2:13" ht="16.5" customHeight="1">
      <c r="B276" s="559"/>
      <c r="C276" s="559"/>
      <c r="D276" s="560"/>
      <c r="E276" s="559"/>
      <c r="F276" s="559"/>
      <c r="G276" s="559"/>
      <c r="H276" s="559"/>
      <c r="I276" s="559"/>
      <c r="K276" s="561" t="str">
        <f>K202</f>
        <v>Attachment  H-28A</v>
      </c>
      <c r="L276" s="559"/>
      <c r="M276" s="559"/>
    </row>
    <row r="277" spans="2:13" ht="16.5" customHeight="1">
      <c r="B277" s="559"/>
      <c r="C277" s="559"/>
      <c r="D277" s="560"/>
      <c r="E277" s="559"/>
      <c r="F277" s="559"/>
      <c r="G277" s="559"/>
      <c r="H277" s="559"/>
      <c r="I277" s="559"/>
      <c r="J277" s="559"/>
      <c r="K277" s="561" t="s">
        <v>119</v>
      </c>
      <c r="L277" s="559"/>
      <c r="M277" s="559"/>
    </row>
    <row r="278" spans="2:13" ht="16.5" customHeight="1">
      <c r="B278" s="559"/>
      <c r="C278" s="559"/>
      <c r="D278" s="560"/>
      <c r="E278" s="559"/>
      <c r="F278" s="559"/>
      <c r="G278" s="559"/>
      <c r="H278" s="559"/>
      <c r="I278" s="559"/>
      <c r="J278" s="559"/>
      <c r="K278" s="561"/>
      <c r="L278" s="559"/>
      <c r="M278" s="559"/>
    </row>
    <row r="279" spans="2:13" ht="15.75">
      <c r="B279" s="559" t="s">
        <v>1</v>
      </c>
      <c r="C279" s="559"/>
      <c r="D279" s="560" t="s">
        <v>2</v>
      </c>
      <c r="E279" s="559"/>
      <c r="F279" s="559"/>
      <c r="G279" s="559"/>
      <c r="H279" s="559"/>
      <c r="J279" s="559"/>
      <c r="K279" s="561" t="str">
        <f>K4</f>
        <v>For the 12 months ended 12/31/2026</v>
      </c>
      <c r="L279" s="559"/>
      <c r="M279" s="559"/>
    </row>
    <row r="280" spans="2:13" ht="15.75">
      <c r="B280" s="559"/>
      <c r="C280" s="564" t="s">
        <v>3</v>
      </c>
      <c r="D280" s="564" t="s">
        <v>4</v>
      </c>
      <c r="E280" s="564"/>
      <c r="F280" s="564"/>
      <c r="G280" s="564"/>
      <c r="H280" s="559"/>
      <c r="I280" s="559"/>
      <c r="J280" s="559"/>
      <c r="K280" s="559"/>
      <c r="L280" s="559"/>
      <c r="M280" s="559"/>
    </row>
    <row r="281" spans="1:13" ht="15.75">
      <c r="A281" s="565"/>
      <c r="C281" s="565"/>
      <c r="D281" s="564"/>
      <c r="E281" s="564"/>
      <c r="F281" s="564"/>
      <c r="G281" s="564"/>
      <c r="H281" s="559"/>
      <c r="I281" s="685"/>
      <c r="J281" s="671"/>
      <c r="K281" s="681"/>
      <c r="L281" s="565"/>
      <c r="M281" s="559"/>
    </row>
    <row r="282" spans="1:13" ht="15.75">
      <c r="A282" s="565"/>
      <c r="C282" s="565"/>
      <c r="D282" s="564" t="str">
        <f>D7</f>
        <v>Mid-Atlantic Interstate Transmission, LLC</v>
      </c>
      <c r="E282" s="564"/>
      <c r="F282" s="564"/>
      <c r="G282" s="564"/>
      <c r="H282" s="559"/>
      <c r="I282" s="685"/>
      <c r="J282" s="671"/>
      <c r="K282" s="681"/>
      <c r="L282" s="565"/>
      <c r="M282" s="559"/>
    </row>
    <row r="283" spans="1:13" ht="15.75">
      <c r="A283" s="565"/>
      <c r="C283" s="565"/>
      <c r="D283" s="564"/>
      <c r="E283" s="564"/>
      <c r="F283" s="564"/>
      <c r="G283" s="564"/>
      <c r="H283" s="559"/>
      <c r="I283" s="685"/>
      <c r="J283" s="671"/>
      <c r="K283" s="681"/>
      <c r="L283" s="565"/>
      <c r="M283" s="559"/>
    </row>
    <row r="284" spans="1:13" ht="15.75">
      <c r="A284" s="565"/>
      <c r="B284" s="559" t="s">
        <v>120</v>
      </c>
      <c r="C284" s="565"/>
      <c r="D284" s="564"/>
      <c r="E284" s="564"/>
      <c r="F284" s="564"/>
      <c r="G284" s="564"/>
      <c r="H284" s="559"/>
      <c r="I284" s="564"/>
      <c r="J284" s="559"/>
      <c r="K284" s="564"/>
      <c r="L284" s="565"/>
      <c r="M284" s="559"/>
    </row>
    <row r="285" spans="1:13" ht="15.75">
      <c r="A285" s="565"/>
      <c r="B285" s="686" t="s">
        <v>165</v>
      </c>
      <c r="C285" s="565"/>
      <c r="D285" s="564"/>
      <c r="E285" s="564"/>
      <c r="F285" s="564"/>
      <c r="G285" s="564"/>
      <c r="H285" s="559"/>
      <c r="I285" s="564"/>
      <c r="J285" s="559"/>
      <c r="K285" s="564"/>
      <c r="L285" s="565"/>
      <c r="M285" s="559"/>
    </row>
    <row r="286" spans="1:13" ht="15.75">
      <c r="A286" s="565" t="s">
        <v>121</v>
      </c>
      <c r="B286" s="559"/>
      <c r="C286" s="559"/>
      <c r="D286" s="564"/>
      <c r="E286" s="564"/>
      <c r="F286" s="564"/>
      <c r="G286" s="564"/>
      <c r="H286" s="559"/>
      <c r="I286" s="564"/>
      <c r="J286" s="559"/>
      <c r="K286" s="564"/>
      <c r="L286" s="565"/>
      <c r="M286" s="559"/>
    </row>
    <row r="287" spans="1:13" ht="16.5" thickBot="1">
      <c r="A287" s="569" t="s">
        <v>122</v>
      </c>
      <c r="B287" s="559"/>
      <c r="C287" s="559"/>
      <c r="D287" s="564"/>
      <c r="E287" s="564"/>
      <c r="F287" s="564"/>
      <c r="G287" s="564"/>
      <c r="H287" s="559"/>
      <c r="I287" s="564"/>
      <c r="J287" s="559"/>
      <c r="K287" s="564"/>
      <c r="L287" s="565"/>
      <c r="M287" s="559"/>
    </row>
    <row r="288" spans="1:13" ht="20.25" customHeight="1">
      <c r="A288" s="687" t="s">
        <v>123</v>
      </c>
      <c r="B288" s="1165" t="s">
        <v>937</v>
      </c>
      <c r="C288" s="1165"/>
      <c r="D288" s="1165"/>
      <c r="E288" s="1165"/>
      <c r="F288" s="1165"/>
      <c r="G288" s="1165"/>
      <c r="H288" s="1165"/>
      <c r="I288" s="1165"/>
      <c r="J288" s="1165"/>
      <c r="K288" s="1165"/>
      <c r="L288" s="565"/>
      <c r="M288" s="559"/>
    </row>
    <row r="289" spans="1:13" ht="16.5" customHeight="1">
      <c r="A289" s="687" t="s">
        <v>124</v>
      </c>
      <c r="B289" s="1166" t="s">
        <v>879</v>
      </c>
      <c r="C289" s="1166"/>
      <c r="D289" s="1166"/>
      <c r="E289" s="1166"/>
      <c r="F289" s="1166"/>
      <c r="G289" s="1166"/>
      <c r="H289" s="1166"/>
      <c r="I289" s="1166"/>
      <c r="J289" s="1166"/>
      <c r="K289" s="1166"/>
      <c r="L289" s="565"/>
      <c r="M289" s="559"/>
    </row>
    <row r="290" spans="1:13" ht="65.25" customHeight="1">
      <c r="A290" s="687" t="s">
        <v>125</v>
      </c>
      <c r="B290" s="1165" t="s">
        <v>1203</v>
      </c>
      <c r="C290" s="1165"/>
      <c r="D290" s="1165"/>
      <c r="E290" s="1165"/>
      <c r="F290" s="1165"/>
      <c r="G290" s="1165"/>
      <c r="H290" s="1165"/>
      <c r="I290" s="1165"/>
      <c r="J290" s="1165"/>
      <c r="K290" s="1165"/>
      <c r="L290" s="635"/>
      <c r="M290" s="559"/>
    </row>
    <row r="291" spans="1:13" ht="32.25" customHeight="1">
      <c r="A291" s="687" t="s">
        <v>126</v>
      </c>
      <c r="B291" s="1167" t="s">
        <v>1204</v>
      </c>
      <c r="C291" s="1167"/>
      <c r="D291" s="1167"/>
      <c r="E291" s="1167"/>
      <c r="F291" s="1167"/>
      <c r="G291" s="1167"/>
      <c r="H291" s="1167"/>
      <c r="I291" s="1167"/>
      <c r="J291" s="1167"/>
      <c r="K291" s="1167"/>
      <c r="L291" s="628"/>
      <c r="M291" s="559"/>
    </row>
    <row r="292" spans="1:13" ht="48" customHeight="1">
      <c r="A292" s="687" t="s">
        <v>127</v>
      </c>
      <c r="B292" s="1168" t="s">
        <v>1221</v>
      </c>
      <c r="C292" s="1167"/>
      <c r="D292" s="1167"/>
      <c r="E292" s="1167"/>
      <c r="F292" s="1167"/>
      <c r="G292" s="1167"/>
      <c r="H292" s="1167"/>
      <c r="I292" s="1167"/>
      <c r="J292" s="1167"/>
      <c r="K292" s="1167"/>
      <c r="L292" s="560"/>
      <c r="M292" s="559"/>
    </row>
    <row r="293" spans="1:13" ht="38.25" customHeight="1">
      <c r="A293" s="687" t="s">
        <v>128</v>
      </c>
      <c r="B293" s="1165" t="s">
        <v>587</v>
      </c>
      <c r="C293" s="1165"/>
      <c r="D293" s="1165"/>
      <c r="E293" s="1165"/>
      <c r="F293" s="1165"/>
      <c r="G293" s="1165"/>
      <c r="H293" s="1165"/>
      <c r="I293" s="1165"/>
      <c r="J293" s="1165"/>
      <c r="K293" s="1165"/>
      <c r="L293" s="565"/>
      <c r="M293" s="559"/>
    </row>
    <row r="294" spans="1:13" ht="15.75">
      <c r="A294" s="687" t="s">
        <v>129</v>
      </c>
      <c r="B294" s="1165" t="s">
        <v>130</v>
      </c>
      <c r="C294" s="1165"/>
      <c r="D294" s="1165"/>
      <c r="E294" s="1165"/>
      <c r="F294" s="1165"/>
      <c r="G294" s="1165"/>
      <c r="H294" s="1165"/>
      <c r="I294" s="1165"/>
      <c r="J294" s="1165"/>
      <c r="K294" s="1165"/>
      <c r="L294" s="565"/>
      <c r="M294" s="559"/>
    </row>
    <row r="295" spans="1:13" ht="32.25" customHeight="1">
      <c r="A295" s="687" t="s">
        <v>131</v>
      </c>
      <c r="B295" s="1165" t="s">
        <v>921</v>
      </c>
      <c r="C295" s="1165"/>
      <c r="D295" s="1165"/>
      <c r="E295" s="1165"/>
      <c r="F295" s="1165"/>
      <c r="G295" s="1165"/>
      <c r="H295" s="1165"/>
      <c r="I295" s="1165"/>
      <c r="J295" s="1165"/>
      <c r="K295" s="1165"/>
      <c r="L295" s="565"/>
      <c r="M295" s="559"/>
    </row>
    <row r="296" spans="1:13" ht="32.25" customHeight="1">
      <c r="A296" s="687" t="s">
        <v>132</v>
      </c>
      <c r="B296" s="1165" t="s">
        <v>724</v>
      </c>
      <c r="C296" s="1165"/>
      <c r="D296" s="1165"/>
      <c r="E296" s="1165"/>
      <c r="F296" s="1165"/>
      <c r="G296" s="1165"/>
      <c r="H296" s="1165"/>
      <c r="I296" s="1165"/>
      <c r="J296" s="1165"/>
      <c r="K296" s="1165"/>
      <c r="L296" s="565"/>
      <c r="M296" s="559"/>
    </row>
    <row r="297" spans="1:13" ht="32.25" customHeight="1">
      <c r="A297" s="687" t="s">
        <v>133</v>
      </c>
      <c r="B297" s="1165" t="s">
        <v>186</v>
      </c>
      <c r="C297" s="1165"/>
      <c r="D297" s="1165"/>
      <c r="E297" s="1165"/>
      <c r="F297" s="1165"/>
      <c r="G297" s="1165"/>
      <c r="H297" s="1165"/>
      <c r="I297" s="1165"/>
      <c r="J297" s="1165"/>
      <c r="K297" s="1165"/>
      <c r="L297" s="565"/>
      <c r="M297" s="559"/>
    </row>
    <row r="298" spans="1:13" ht="78" customHeight="1">
      <c r="A298" s="687" t="s">
        <v>134</v>
      </c>
      <c r="B298" s="1165" t="s">
        <v>878</v>
      </c>
      <c r="C298" s="1165"/>
      <c r="D298" s="1165"/>
      <c r="E298" s="1165"/>
      <c r="F298" s="1165"/>
      <c r="G298" s="1165"/>
      <c r="H298" s="1165"/>
      <c r="I298" s="1165"/>
      <c r="J298" s="1165"/>
      <c r="K298" s="1165"/>
      <c r="L298" s="565"/>
      <c r="M298" s="559"/>
    </row>
    <row r="299" spans="1:13" ht="15.75">
      <c r="A299" s="687" t="s">
        <v>3</v>
      </c>
      <c r="B299" s="688" t="s">
        <v>185</v>
      </c>
      <c r="C299" s="689" t="s">
        <v>135</v>
      </c>
      <c r="D299" s="690">
        <v>0.21</v>
      </c>
      <c r="E299" s="1165"/>
      <c r="F299" s="1165"/>
      <c r="G299" s="1165"/>
      <c r="H299" s="1165"/>
      <c r="I299" s="1165"/>
      <c r="J299" s="1165"/>
      <c r="K299" s="1165"/>
      <c r="L299" s="565"/>
      <c r="M299" s="559"/>
    </row>
    <row r="300" spans="1:13" ht="15.75">
      <c r="A300" s="687"/>
      <c r="B300" s="689"/>
      <c r="C300" s="689" t="s">
        <v>136</v>
      </c>
      <c r="D300" s="690">
        <f>'Attachment 19 - Tax Rates'!D15</f>
        <v>0.074899999999999994</v>
      </c>
      <c r="E300" s="1165" t="s">
        <v>314</v>
      </c>
      <c r="F300" s="1165"/>
      <c r="G300" s="1165"/>
      <c r="H300" s="1165"/>
      <c r="I300" s="1165"/>
      <c r="J300" s="1165"/>
      <c r="K300" s="1165"/>
      <c r="L300" s="565"/>
      <c r="M300" s="559"/>
    </row>
    <row r="301" spans="1:13" ht="15.75">
      <c r="A301" s="687"/>
      <c r="B301" s="689"/>
      <c r="C301" s="689" t="s">
        <v>137</v>
      </c>
      <c r="D301" s="691"/>
      <c r="E301" s="1165" t="s">
        <v>315</v>
      </c>
      <c r="F301" s="1165"/>
      <c r="G301" s="1165"/>
      <c r="H301" s="1165"/>
      <c r="I301" s="1165"/>
      <c r="J301" s="1165"/>
      <c r="K301" s="1165"/>
      <c r="L301" s="565"/>
      <c r="M301" s="559"/>
    </row>
    <row r="302" spans="1:13" ht="34.5" customHeight="1">
      <c r="A302" s="687" t="s">
        <v>138</v>
      </c>
      <c r="B302" s="1165" t="s">
        <v>1209</v>
      </c>
      <c r="C302" s="1165"/>
      <c r="D302" s="1165"/>
      <c r="E302" s="1165"/>
      <c r="F302" s="1165"/>
      <c r="G302" s="1165"/>
      <c r="H302" s="1165"/>
      <c r="I302" s="1165"/>
      <c r="J302" s="1165"/>
      <c r="K302" s="1165"/>
      <c r="L302" s="565"/>
      <c r="M302" s="559"/>
    </row>
    <row r="303" spans="1:13" ht="32.25" customHeight="1">
      <c r="A303" s="687" t="s">
        <v>139</v>
      </c>
      <c r="B303" s="1165" t="s">
        <v>989</v>
      </c>
      <c r="C303" s="1165"/>
      <c r="D303" s="1165"/>
      <c r="E303" s="1165"/>
      <c r="F303" s="1165"/>
      <c r="G303" s="1165"/>
      <c r="H303" s="1165"/>
      <c r="I303" s="1165"/>
      <c r="J303" s="1165"/>
      <c r="K303" s="1165"/>
      <c r="L303" s="565"/>
      <c r="M303" s="559"/>
    </row>
    <row r="304" spans="1:13" ht="48" customHeight="1">
      <c r="A304" s="687" t="s">
        <v>140</v>
      </c>
      <c r="B304" s="1165" t="s">
        <v>338</v>
      </c>
      <c r="C304" s="1165"/>
      <c r="D304" s="1165"/>
      <c r="E304" s="1165"/>
      <c r="F304" s="1165"/>
      <c r="G304" s="1165"/>
      <c r="H304" s="1165"/>
      <c r="I304" s="1165"/>
      <c r="J304" s="1165"/>
      <c r="K304" s="1165"/>
      <c r="L304" s="565"/>
      <c r="M304" s="559"/>
    </row>
    <row r="305" spans="1:13" ht="15.75">
      <c r="A305" s="687" t="s">
        <v>141</v>
      </c>
      <c r="B305" s="1165" t="s">
        <v>142</v>
      </c>
      <c r="C305" s="1165"/>
      <c r="D305" s="1165"/>
      <c r="E305" s="1165"/>
      <c r="F305" s="1165"/>
      <c r="G305" s="1165"/>
      <c r="H305" s="1165"/>
      <c r="I305" s="1165"/>
      <c r="J305" s="1165"/>
      <c r="K305" s="1165"/>
      <c r="L305" s="565"/>
      <c r="M305" s="559"/>
    </row>
    <row r="306" spans="1:13" ht="67.5" customHeight="1">
      <c r="A306" s="687" t="s">
        <v>143</v>
      </c>
      <c r="B306" s="1165" t="s">
        <v>1207</v>
      </c>
      <c r="C306" s="1165"/>
      <c r="D306" s="1165"/>
      <c r="E306" s="1165"/>
      <c r="F306" s="1165"/>
      <c r="G306" s="1165"/>
      <c r="H306" s="1165"/>
      <c r="I306" s="1165"/>
      <c r="J306" s="1165"/>
      <c r="K306" s="1165"/>
      <c r="L306" s="560"/>
      <c r="M306" s="559"/>
    </row>
    <row r="307" spans="1:13" ht="23.25" customHeight="1">
      <c r="A307" s="687" t="s">
        <v>144</v>
      </c>
      <c r="B307" s="1165" t="s">
        <v>668</v>
      </c>
      <c r="C307" s="1165"/>
      <c r="D307" s="1165"/>
      <c r="E307" s="1165"/>
      <c r="F307" s="1165"/>
      <c r="G307" s="1165"/>
      <c r="H307" s="1165"/>
      <c r="I307" s="1165"/>
      <c r="J307" s="1165"/>
      <c r="K307" s="1165"/>
      <c r="L307" s="565"/>
      <c r="M307" s="559"/>
    </row>
    <row r="308" spans="1:13" ht="15.75">
      <c r="A308" s="687" t="s">
        <v>145</v>
      </c>
      <c r="B308" s="1165" t="s">
        <v>146</v>
      </c>
      <c r="C308" s="1165"/>
      <c r="D308" s="1165"/>
      <c r="E308" s="1165"/>
      <c r="F308" s="1165"/>
      <c r="G308" s="1165"/>
      <c r="H308" s="1165"/>
      <c r="I308" s="1165"/>
      <c r="J308" s="1165"/>
      <c r="K308" s="1165"/>
      <c r="L308" s="565"/>
      <c r="M308" s="559"/>
    </row>
    <row r="309" spans="1:13" ht="20.25" customHeight="1">
      <c r="A309" s="687" t="s">
        <v>147</v>
      </c>
      <c r="B309" s="1165" t="s">
        <v>348</v>
      </c>
      <c r="C309" s="1165"/>
      <c r="D309" s="1165"/>
      <c r="E309" s="1165"/>
      <c r="F309" s="1165"/>
      <c r="G309" s="1165"/>
      <c r="H309" s="1165"/>
      <c r="I309" s="1165"/>
      <c r="J309" s="1165"/>
      <c r="K309" s="1165"/>
      <c r="L309" s="565"/>
      <c r="M309" s="559"/>
    </row>
    <row r="310" spans="1:13" ht="53.25" customHeight="1">
      <c r="A310" s="692" t="s">
        <v>148</v>
      </c>
      <c r="B310" s="1165" t="s">
        <v>669</v>
      </c>
      <c r="C310" s="1165"/>
      <c r="D310" s="1165"/>
      <c r="E310" s="1165"/>
      <c r="F310" s="1165"/>
      <c r="G310" s="1165"/>
      <c r="H310" s="1165"/>
      <c r="I310" s="1165"/>
      <c r="J310" s="1165"/>
      <c r="K310" s="1165"/>
      <c r="L310" s="559"/>
      <c r="M310" s="559"/>
    </row>
    <row r="311" spans="1:13" ht="15.75" customHeight="1">
      <c r="A311" s="692" t="s">
        <v>149</v>
      </c>
      <c r="B311" s="1165" t="s">
        <v>316</v>
      </c>
      <c r="C311" s="1165"/>
      <c r="D311" s="1165"/>
      <c r="E311" s="1165"/>
      <c r="F311" s="1165"/>
      <c r="G311" s="1165"/>
      <c r="H311" s="1165"/>
      <c r="I311" s="1165"/>
      <c r="J311" s="1165"/>
      <c r="K311" s="1165"/>
      <c r="L311" s="559"/>
      <c r="M311" s="559"/>
    </row>
    <row r="312" spans="1:12" ht="33" customHeight="1">
      <c r="A312" s="692" t="s">
        <v>150</v>
      </c>
      <c r="B312" s="1165" t="s">
        <v>988</v>
      </c>
      <c r="C312" s="1165"/>
      <c r="D312" s="1165"/>
      <c r="E312" s="1165"/>
      <c r="F312" s="1165"/>
      <c r="G312" s="1165"/>
      <c r="H312" s="1165"/>
      <c r="I312" s="1165"/>
      <c r="J312" s="1165"/>
      <c r="K312" s="1165"/>
      <c r="L312" s="693"/>
    </row>
    <row r="313" spans="1:11" ht="15.75" customHeight="1">
      <c r="A313" s="692" t="s">
        <v>151</v>
      </c>
      <c r="B313" s="1169" t="s">
        <v>162</v>
      </c>
      <c r="C313" s="1169"/>
      <c r="D313" s="1169"/>
      <c r="E313" s="1169"/>
      <c r="F313" s="1169"/>
      <c r="G313" s="1169"/>
      <c r="H313" s="1169"/>
      <c r="I313" s="1169"/>
      <c r="J313" s="1169"/>
      <c r="K313" s="1169"/>
    </row>
    <row r="314" spans="1:11" ht="15.75" customHeight="1">
      <c r="A314" s="692" t="s">
        <v>158</v>
      </c>
      <c r="B314" s="1165" t="s">
        <v>317</v>
      </c>
      <c r="C314" s="1165"/>
      <c r="D314" s="1165"/>
      <c r="E314" s="1165"/>
      <c r="F314" s="1165"/>
      <c r="G314" s="1165"/>
      <c r="H314" s="1165"/>
      <c r="I314" s="1165"/>
      <c r="J314" s="1165"/>
      <c r="K314" s="1165"/>
    </row>
    <row r="315" spans="1:11" ht="15.75" customHeight="1">
      <c r="A315" s="692" t="s">
        <v>159</v>
      </c>
      <c r="B315" s="1165" t="s">
        <v>318</v>
      </c>
      <c r="C315" s="1165"/>
      <c r="D315" s="1165"/>
      <c r="E315" s="1165"/>
      <c r="F315" s="1165"/>
      <c r="G315" s="1165"/>
      <c r="H315" s="1165"/>
      <c r="I315" s="1165"/>
      <c r="J315" s="1165"/>
      <c r="K315" s="1165"/>
    </row>
    <row r="316" spans="1:11" ht="19.5" customHeight="1">
      <c r="A316" s="692" t="s">
        <v>743</v>
      </c>
      <c r="B316" s="1173" t="s">
        <v>744</v>
      </c>
      <c r="C316" s="1173"/>
      <c r="D316" s="1173"/>
      <c r="E316" s="1173"/>
      <c r="F316" s="1173"/>
      <c r="G316" s="1173"/>
      <c r="H316" s="1173"/>
      <c r="I316" s="1173"/>
      <c r="J316" s="1173"/>
      <c r="K316" s="1173"/>
    </row>
    <row r="317" spans="1:11" ht="15.75" customHeight="1">
      <c r="A317" s="595" t="s">
        <v>745</v>
      </c>
      <c r="B317" s="1172" t="s">
        <v>747</v>
      </c>
      <c r="C317" s="1172"/>
      <c r="D317" s="1172"/>
      <c r="E317" s="1172"/>
      <c r="F317" s="1172"/>
      <c r="G317" s="1172"/>
      <c r="H317" s="1172"/>
      <c r="I317" s="1172"/>
      <c r="J317" s="1172"/>
      <c r="K317" s="1172"/>
    </row>
    <row r="318" spans="1:12" ht="36" customHeight="1">
      <c r="A318" s="695" t="s">
        <v>746</v>
      </c>
      <c r="B318" s="1172" t="s">
        <v>742</v>
      </c>
      <c r="C318" s="1172"/>
      <c r="D318" s="1172"/>
      <c r="E318" s="1172"/>
      <c r="F318" s="1172"/>
      <c r="G318" s="1172"/>
      <c r="H318" s="1172"/>
      <c r="I318" s="1172"/>
      <c r="J318" s="1172"/>
      <c r="K318" s="1172"/>
      <c r="L318" s="558"/>
    </row>
    <row r="319" spans="1:12" ht="31.5" customHeight="1">
      <c r="A319" s="695" t="s">
        <v>936</v>
      </c>
      <c r="B319" s="1167" t="s">
        <v>971</v>
      </c>
      <c r="C319" s="1167"/>
      <c r="D319" s="1167"/>
      <c r="E319" s="1167"/>
      <c r="F319" s="1167"/>
      <c r="G319" s="1167"/>
      <c r="H319" s="1167"/>
      <c r="I319" s="1167"/>
      <c r="J319" s="1167"/>
      <c r="K319" s="1167"/>
      <c r="L319" s="693"/>
    </row>
    <row r="320" spans="1:12" ht="18" customHeight="1">
      <c r="A320" s="695" t="s">
        <v>975</v>
      </c>
      <c r="B320" s="1172" t="s">
        <v>982</v>
      </c>
      <c r="C320" s="1172"/>
      <c r="D320" s="1172"/>
      <c r="E320" s="1172"/>
      <c r="F320" s="1172"/>
      <c r="G320" s="1172"/>
      <c r="H320" s="1172"/>
      <c r="I320" s="1172"/>
      <c r="J320" s="1172"/>
      <c r="K320" s="1172"/>
      <c r="L320" s="558"/>
    </row>
    <row r="321" spans="1:11" ht="15.75">
      <c r="A321" s="19" t="s">
        <v>1220</v>
      </c>
      <c r="B321" s="3" t="s">
        <v>1219</v>
      </c>
      <c r="C321" s="561"/>
      <c r="D321" s="696"/>
      <c r="F321" s="605"/>
      <c r="G321" s="559"/>
      <c r="H321" s="559"/>
      <c r="K321" s="561"/>
    </row>
    <row r="322" spans="2:11" ht="36" customHeight="1">
      <c r="B322" s="582"/>
      <c r="C322" s="582"/>
      <c r="D322" s="582"/>
      <c r="E322" s="582"/>
      <c r="F322" s="582"/>
      <c r="G322" s="582"/>
      <c r="H322" s="582"/>
      <c r="I322" s="582"/>
      <c r="J322" s="582"/>
      <c r="K322" s="582"/>
    </row>
    <row r="323" spans="2:11" ht="47.25" customHeight="1">
      <c r="B323" s="582"/>
      <c r="C323" s="582"/>
      <c r="D323" s="582"/>
      <c r="E323" s="582"/>
      <c r="F323" s="582"/>
      <c r="G323" s="582"/>
      <c r="H323" s="582"/>
      <c r="I323" s="582"/>
      <c r="J323" s="582"/>
      <c r="K323" s="582"/>
    </row>
    <row r="324" spans="2:9" ht="15.75">
      <c r="B324" s="559"/>
      <c r="C324" s="559"/>
      <c r="D324" s="560"/>
      <c r="E324" s="559"/>
      <c r="F324" s="559"/>
      <c r="G324" s="559"/>
      <c r="H324" s="559"/>
      <c r="I324" s="559"/>
    </row>
    <row r="325" spans="2:7" ht="15.75">
      <c r="B325" s="559"/>
      <c r="C325" s="560"/>
      <c r="E325" s="559"/>
      <c r="F325" s="559"/>
      <c r="G325" s="559"/>
    </row>
    <row r="326" spans="2:9" ht="15.75">
      <c r="B326" s="559"/>
      <c r="C326" s="564"/>
      <c r="E326" s="564"/>
      <c r="F326" s="564"/>
      <c r="G326" s="564"/>
      <c r="H326" s="559"/>
      <c r="I326" s="559"/>
    </row>
    <row r="327" spans="2:9" ht="15.75">
      <c r="B327" s="559"/>
      <c r="C327" s="559"/>
      <c r="D327" s="559"/>
      <c r="E327" s="559"/>
      <c r="F327" s="559"/>
      <c r="G327" s="559"/>
      <c r="H327" s="559"/>
      <c r="I327" s="559"/>
    </row>
    <row r="328" spans="1:9" ht="15.75">
      <c r="A328" s="565"/>
      <c r="C328" s="697"/>
      <c r="E328" s="559"/>
      <c r="F328" s="559"/>
      <c r="G328" s="559"/>
      <c r="H328" s="559"/>
      <c r="I328" s="559"/>
    </row>
    <row r="329" spans="1:9" ht="15.75">
      <c r="A329" s="565"/>
      <c r="C329" s="559"/>
      <c r="D329" s="566"/>
      <c r="E329" s="559"/>
      <c r="F329" s="559"/>
      <c r="G329" s="559"/>
      <c r="H329" s="559"/>
      <c r="I329" s="559"/>
    </row>
    <row r="330" spans="1:11" ht="15.75">
      <c r="A330" s="565"/>
      <c r="B330" s="1170"/>
      <c r="C330" s="1170"/>
      <c r="D330" s="1170"/>
      <c r="E330" s="1170"/>
      <c r="F330" s="1170"/>
      <c r="G330" s="1170"/>
      <c r="H330" s="1170"/>
      <c r="I330" s="1170"/>
      <c r="J330" s="1170"/>
      <c r="K330" s="1170"/>
    </row>
    <row r="331" spans="1:11" ht="15.75">
      <c r="A331" s="565"/>
      <c r="B331" s="1170"/>
      <c r="C331" s="1170"/>
      <c r="D331" s="1170"/>
      <c r="E331" s="1170"/>
      <c r="F331" s="1170"/>
      <c r="G331" s="1170"/>
      <c r="H331" s="1170"/>
      <c r="I331" s="1170"/>
      <c r="J331" s="1170"/>
      <c r="K331" s="1170"/>
    </row>
    <row r="332" spans="1:11" ht="15.75">
      <c r="A332" s="565"/>
      <c r="B332" s="1170"/>
      <c r="C332" s="1170"/>
      <c r="D332" s="1170"/>
      <c r="E332" s="1170"/>
      <c r="F332" s="1170"/>
      <c r="G332" s="1170"/>
      <c r="H332" s="1170"/>
      <c r="I332" s="1170"/>
      <c r="J332" s="1170"/>
      <c r="K332" s="1170"/>
    </row>
    <row r="333" spans="1:11" ht="15.75">
      <c r="A333" s="565"/>
      <c r="B333" s="1170"/>
      <c r="C333" s="1170"/>
      <c r="D333" s="1170"/>
      <c r="E333" s="1170"/>
      <c r="F333" s="1170"/>
      <c r="G333" s="1170"/>
      <c r="H333" s="1170"/>
      <c r="I333" s="1170"/>
      <c r="J333" s="1170"/>
      <c r="K333" s="1170"/>
    </row>
    <row r="334" spans="1:9" ht="15.75">
      <c r="A334" s="565"/>
      <c r="C334" s="559"/>
      <c r="D334" s="566"/>
      <c r="E334" s="559"/>
      <c r="F334" s="559"/>
      <c r="G334" s="559"/>
      <c r="H334" s="559"/>
      <c r="I334" s="559"/>
    </row>
    <row r="335" spans="1:11" ht="15.75">
      <c r="A335" s="565"/>
      <c r="B335" s="1170"/>
      <c r="C335" s="1170"/>
      <c r="D335" s="1170"/>
      <c r="E335" s="1170"/>
      <c r="F335" s="1170"/>
      <c r="G335" s="1170"/>
      <c r="H335" s="1170"/>
      <c r="I335" s="1170"/>
      <c r="J335" s="1170"/>
      <c r="K335" s="1170"/>
    </row>
    <row r="336" spans="1:11" ht="15.75">
      <c r="A336" s="565"/>
      <c r="B336" s="1170"/>
      <c r="C336" s="1170"/>
      <c r="D336" s="1170"/>
      <c r="E336" s="1170"/>
      <c r="F336" s="1170"/>
      <c r="G336" s="1170"/>
      <c r="H336" s="1170"/>
      <c r="I336" s="1170"/>
      <c r="J336" s="1170"/>
      <c r="K336" s="1170"/>
    </row>
    <row r="337" spans="1:11" ht="15.75">
      <c r="A337" s="565"/>
      <c r="B337" s="1170"/>
      <c r="C337" s="1170"/>
      <c r="D337" s="1170"/>
      <c r="E337" s="1170"/>
      <c r="F337" s="1170"/>
      <c r="G337" s="1170"/>
      <c r="H337" s="1170"/>
      <c r="I337" s="1170"/>
      <c r="J337" s="1170"/>
      <c r="K337" s="1170"/>
    </row>
    <row r="338" spans="1:9" ht="15.75">
      <c r="A338" s="565"/>
      <c r="C338" s="559"/>
      <c r="D338" s="566"/>
      <c r="E338" s="559"/>
      <c r="F338" s="559"/>
      <c r="G338" s="559"/>
      <c r="H338" s="559"/>
      <c r="I338" s="559"/>
    </row>
    <row r="339" spans="1:9" ht="15.75">
      <c r="A339" s="565"/>
      <c r="C339" s="559"/>
      <c r="D339" s="566"/>
      <c r="E339" s="559"/>
      <c r="F339" s="559"/>
      <c r="G339" s="559"/>
      <c r="H339" s="559"/>
      <c r="I339" s="559"/>
    </row>
    <row r="340" spans="1:9" ht="15.75">
      <c r="A340" s="565"/>
      <c r="C340" s="559"/>
      <c r="D340" s="566"/>
      <c r="E340" s="559"/>
      <c r="F340" s="559"/>
      <c r="G340" s="559"/>
      <c r="H340" s="559"/>
      <c r="I340" s="565"/>
    </row>
    <row r="341" spans="1:9" ht="15.75">
      <c r="A341" s="565"/>
      <c r="C341" s="559"/>
      <c r="D341" s="559"/>
      <c r="E341" s="559"/>
      <c r="F341" s="559"/>
      <c r="G341" s="565"/>
      <c r="H341" s="559"/>
      <c r="I341" s="565"/>
    </row>
    <row r="342" spans="1:9" ht="15.75">
      <c r="A342" s="565"/>
      <c r="C342" s="559"/>
      <c r="D342" s="564"/>
      <c r="E342" s="559"/>
      <c r="F342" s="559"/>
      <c r="G342" s="559"/>
      <c r="H342" s="559"/>
      <c r="I342" s="570"/>
    </row>
    <row r="343" spans="3:9" ht="15.75">
      <c r="C343" s="565"/>
      <c r="D343" s="565"/>
      <c r="E343" s="564"/>
      <c r="F343" s="564"/>
      <c r="G343" s="567"/>
      <c r="H343" s="564"/>
      <c r="I343" s="568"/>
    </row>
    <row r="344" spans="3:9" ht="15.75">
      <c r="C344" s="656"/>
      <c r="D344" s="564"/>
      <c r="E344" s="564"/>
      <c r="F344" s="564"/>
      <c r="G344" s="565"/>
      <c r="H344" s="564"/>
      <c r="I344" s="609"/>
    </row>
    <row r="345" spans="1:9" ht="15.75">
      <c r="A345" s="565"/>
      <c r="B345" s="559"/>
      <c r="C345" s="608"/>
      <c r="D345" s="609"/>
      <c r="E345" s="611"/>
      <c r="F345" s="609"/>
      <c r="H345" s="611"/>
      <c r="I345" s="565"/>
    </row>
    <row r="346" spans="1:9" ht="15.75">
      <c r="A346" s="565"/>
      <c r="B346" s="613"/>
      <c r="C346" s="564"/>
      <c r="D346" s="564"/>
      <c r="E346" s="564"/>
      <c r="F346" s="564"/>
      <c r="G346" s="564"/>
      <c r="H346" s="564"/>
      <c r="I346" s="564"/>
    </row>
    <row r="347" spans="1:9" ht="15.75">
      <c r="A347" s="565"/>
      <c r="B347" s="559"/>
      <c r="C347" s="564"/>
      <c r="D347" s="564"/>
      <c r="E347" s="564"/>
      <c r="F347" s="564"/>
      <c r="G347" s="564"/>
      <c r="H347" s="564"/>
      <c r="I347" s="564"/>
    </row>
    <row r="348" spans="1:9" ht="15.75">
      <c r="A348" s="565"/>
      <c r="B348" s="559"/>
      <c r="C348" s="564"/>
      <c r="D348" s="564"/>
      <c r="E348" s="564"/>
      <c r="F348" s="564"/>
      <c r="G348" s="564"/>
      <c r="H348" s="564"/>
      <c r="I348" s="564"/>
    </row>
    <row r="349" spans="1:9" ht="15.75">
      <c r="A349" s="565"/>
      <c r="B349" s="623"/>
      <c r="D349" s="564"/>
      <c r="E349" s="564"/>
      <c r="F349" s="564"/>
      <c r="G349" s="637"/>
      <c r="H349" s="564"/>
      <c r="I349" s="564"/>
    </row>
    <row r="350" spans="1:9" ht="15.75">
      <c r="A350" s="565"/>
      <c r="B350" s="559"/>
      <c r="D350" s="564"/>
      <c r="E350" s="564"/>
      <c r="F350" s="564"/>
      <c r="G350" s="637"/>
      <c r="H350" s="564"/>
      <c r="I350" s="564"/>
    </row>
    <row r="351" spans="1:9" ht="15.75">
      <c r="A351" s="565"/>
      <c r="B351" s="559"/>
      <c r="C351" s="564"/>
      <c r="D351" s="564"/>
      <c r="E351" s="564"/>
      <c r="F351" s="564"/>
      <c r="G351" s="564"/>
      <c r="H351" s="564"/>
      <c r="I351" s="564"/>
    </row>
    <row r="352" spans="1:9" ht="15.75">
      <c r="A352" s="565"/>
      <c r="B352" s="559"/>
      <c r="C352" s="564"/>
      <c r="D352" s="564"/>
      <c r="E352" s="564"/>
      <c r="F352" s="564"/>
      <c r="G352" s="564"/>
      <c r="H352" s="564"/>
      <c r="I352" s="564"/>
    </row>
    <row r="353" spans="1:9" ht="15.75">
      <c r="A353" s="565"/>
      <c r="B353" s="559"/>
      <c r="C353" s="559"/>
      <c r="D353" s="564"/>
      <c r="E353" s="564"/>
      <c r="F353" s="564"/>
      <c r="G353" s="564"/>
      <c r="H353" s="559"/>
      <c r="I353" s="564"/>
    </row>
    <row r="354" spans="1:9" ht="15.75">
      <c r="A354" s="565"/>
      <c r="B354" s="559"/>
      <c r="C354" s="559"/>
      <c r="D354" s="564"/>
      <c r="E354" s="564"/>
      <c r="F354" s="564"/>
      <c r="G354" s="564"/>
      <c r="H354" s="559"/>
      <c r="I354" s="564"/>
    </row>
    <row r="355" spans="1:9" ht="15.75">
      <c r="A355" s="565"/>
      <c r="B355" s="559"/>
      <c r="C355" s="559"/>
      <c r="D355" s="559"/>
      <c r="E355" s="559"/>
      <c r="F355" s="559"/>
      <c r="G355" s="559"/>
      <c r="H355" s="559"/>
      <c r="I355" s="559"/>
    </row>
    <row r="356" spans="1:9" ht="15.75">
      <c r="A356" s="565"/>
      <c r="B356" s="559"/>
      <c r="C356" s="559"/>
      <c r="D356" s="559"/>
      <c r="E356" s="559"/>
      <c r="F356" s="559"/>
      <c r="G356" s="559"/>
      <c r="H356" s="559"/>
      <c r="I356" s="559"/>
    </row>
    <row r="357" spans="1:9" ht="15.75">
      <c r="A357" s="565"/>
      <c r="B357" s="559"/>
      <c r="C357" s="559"/>
      <c r="D357" s="559"/>
      <c r="E357" s="559"/>
      <c r="F357" s="559"/>
      <c r="G357" s="559"/>
      <c r="H357" s="559"/>
      <c r="I357" s="559"/>
    </row>
    <row r="358" spans="1:9" ht="15.75">
      <c r="A358" s="565"/>
      <c r="B358" s="698"/>
      <c r="C358" s="559"/>
      <c r="D358" s="559"/>
      <c r="E358" s="559"/>
      <c r="F358" s="559"/>
      <c r="G358" s="559"/>
      <c r="H358" s="559"/>
      <c r="I358" s="559"/>
    </row>
    <row r="359" spans="1:9" ht="15.75">
      <c r="A359" s="565"/>
      <c r="B359" s="698"/>
      <c r="C359" s="559"/>
      <c r="D359" s="559"/>
      <c r="E359" s="559"/>
      <c r="F359" s="559"/>
      <c r="G359" s="559"/>
      <c r="H359" s="559"/>
      <c r="I359" s="559"/>
    </row>
    <row r="360" spans="1:9" ht="15.75">
      <c r="A360" s="565"/>
      <c r="B360" s="698"/>
      <c r="C360" s="559"/>
      <c r="D360" s="559"/>
      <c r="E360" s="559"/>
      <c r="F360" s="559"/>
      <c r="G360" s="559"/>
      <c r="H360" s="559"/>
      <c r="I360" s="559"/>
    </row>
    <row r="361" spans="1:9" ht="15.75">
      <c r="A361" s="565"/>
      <c r="B361" s="698"/>
      <c r="C361" s="559"/>
      <c r="D361" s="559"/>
      <c r="E361" s="559"/>
      <c r="F361" s="559"/>
      <c r="G361" s="559"/>
      <c r="H361" s="559"/>
      <c r="I361" s="559"/>
    </row>
    <row r="362" spans="1:9" ht="15.75">
      <c r="A362" s="565"/>
      <c r="B362" s="698"/>
      <c r="C362" s="559"/>
      <c r="D362" s="559"/>
      <c r="E362" s="559"/>
      <c r="F362" s="559"/>
      <c r="G362" s="559"/>
      <c r="H362" s="559"/>
      <c r="I362" s="559"/>
    </row>
    <row r="363" spans="1:9" ht="15.75">
      <c r="A363" s="565"/>
      <c r="B363" s="698"/>
      <c r="C363" s="559"/>
      <c r="D363" s="559"/>
      <c r="E363" s="559"/>
      <c r="F363" s="559"/>
      <c r="G363" s="559"/>
      <c r="H363" s="559"/>
      <c r="I363" s="559"/>
    </row>
    <row r="364" spans="1:9" ht="15.75">
      <c r="A364" s="565"/>
      <c r="B364" s="698"/>
      <c r="C364" s="559"/>
      <c r="D364" s="559"/>
      <c r="E364" s="559"/>
      <c r="F364" s="559"/>
      <c r="G364" s="559"/>
      <c r="H364" s="559"/>
      <c r="I364" s="559"/>
    </row>
    <row r="365" spans="1:9" ht="15.75">
      <c r="A365" s="565"/>
      <c r="B365" s="559"/>
      <c r="C365" s="559"/>
      <c r="D365" s="559"/>
      <c r="E365" s="559"/>
      <c r="F365" s="559"/>
      <c r="G365" s="559"/>
      <c r="H365" s="559"/>
      <c r="I365" s="559"/>
    </row>
    <row r="366" spans="1:9" ht="15.75">
      <c r="A366" s="565"/>
      <c r="B366" s="559"/>
      <c r="C366" s="559"/>
      <c r="D366" s="559"/>
      <c r="E366" s="559"/>
      <c r="F366" s="559"/>
      <c r="G366" s="559"/>
      <c r="H366" s="559"/>
      <c r="I366" s="559"/>
    </row>
    <row r="367" spans="1:2" ht="15.75">
      <c r="A367" s="595"/>
      <c r="B367" s="560"/>
    </row>
    <row r="368" spans="2:2" ht="15.75">
      <c r="B368" s="560"/>
    </row>
    <row r="369" spans="2:2" ht="15.75">
      <c r="B369" s="560"/>
    </row>
    <row r="370" spans="2:2" ht="15.75">
      <c r="B370" s="560"/>
    </row>
    <row r="371" spans="2:2" ht="15.75">
      <c r="B371" s="560"/>
    </row>
    <row r="372" spans="2:2" ht="15.75">
      <c r="B372" s="560"/>
    </row>
    <row r="373" spans="2:2" ht="15.75">
      <c r="B373" s="560"/>
    </row>
    <row r="374" spans="2:2" ht="15.75">
      <c r="B374" s="560"/>
    </row>
    <row r="376" spans="1:12" ht="15.75">
      <c r="A376" s="559"/>
      <c r="B376" s="564"/>
      <c r="C376" s="564"/>
      <c r="D376" s="564"/>
      <c r="E376" s="564"/>
      <c r="F376" s="618"/>
      <c r="G376" s="564"/>
      <c r="H376" s="564"/>
      <c r="I376" s="564"/>
      <c r="K376" s="612"/>
      <c r="L376" s="558"/>
    </row>
    <row r="377" spans="1:12" ht="15.75">
      <c r="A377" s="559"/>
      <c r="B377" s="564"/>
      <c r="C377" s="564"/>
      <c r="D377" s="564"/>
      <c r="E377" s="564"/>
      <c r="F377" s="618"/>
      <c r="G377" s="564"/>
      <c r="H377" s="564"/>
      <c r="I377" s="564"/>
      <c r="K377" s="612"/>
      <c r="L377" s="558"/>
    </row>
    <row r="378" spans="1:12" ht="15.75">
      <c r="A378" s="559"/>
      <c r="B378" s="564"/>
      <c r="C378" s="564"/>
      <c r="D378" s="564"/>
      <c r="E378" s="564"/>
      <c r="F378" s="618"/>
      <c r="G378" s="564"/>
      <c r="H378" s="564"/>
      <c r="I378" s="564"/>
      <c r="J378" s="618"/>
      <c r="K378" s="618"/>
      <c r="L378" s="558"/>
    </row>
  </sheetData>
  <customSheetViews>
    <customSheetView guid="{33e6ffdf-cb42-4a87-b460-a01a45f9a9a1}" printArea="1" scale="60" showPageBreaks="1" topLeftCell="A1" view="pageBreakPreview">
      <selection pane="topLeft" activeCell="C2" sqref="C2"/>
      <rowBreaks count="4" manualBreakCount="4">
        <brk id="43" max="10" man="1"/>
        <brk id="118" max="10" man="1"/>
        <brk id="201" max="10" man="1"/>
        <brk id="275" max="10" man="1"/>
      </rowBreaks>
      <pageMargins left="0.7" right="0.7" top="0.75" bottom="0.75" header="0.3" footer="0.3"/>
      <printOptions horizontalCentered="1"/>
      <pageSetup fitToHeight="0" fitToWidth="0" orientation="portrait" paperSize="1" scale="40" r:id="rId2"/>
      <headerFooter alignWithMargins="0"/>
    </customSheetView>
    <customSheetView guid="{e1861f40-ebd5-44ae-868b-fde0ed504d72}" printArea="1" scale="60" showPageBreaks="1" topLeftCell="A307" view="pageBreakPreview">
      <selection pane="topLeft" activeCell="D146" sqref="D146"/>
      <rowBreaks count="4" manualBreakCount="4">
        <brk id="55" max="10" man="1"/>
        <brk id="129" max="16383" man="1"/>
        <brk id="206" max="16383" man="1"/>
        <brk id="285" max="16383" man="1"/>
      </rowBreaks>
      <pageMargins left="0.75" right="0.75" top="1" bottom="1" header="0.5" footer="0.5"/>
      <pageSetup fitToHeight="5" orientation="portrait" paperSize="1" scale="44" r:id="rId3"/>
      <headerFooter alignWithMargins="0"/>
    </customSheetView>
    <customSheetView guid="{394295c0-a883-44ec-b980-c2facd4b6eba}" printArea="1" scale="60" showPageBreaks="1" topLeftCell="A1" view="pageBreakPreview">
      <selection pane="topLeft" activeCell="C2" sqref="C2"/>
      <rowBreaks count="4" manualBreakCount="4">
        <brk id="43" max="10" man="1"/>
        <brk id="118" max="10" man="1"/>
        <brk id="201" max="10" man="1"/>
        <brk id="275" max="10" man="1"/>
      </rowBreaks>
      <pageMargins left="0.7" right="0.7" top="0.75" bottom="0.75" header="0.3" footer="0.3"/>
      <printOptions horizontalCentered="1"/>
      <pageSetup fitToHeight="0" fitToWidth="0" orientation="portrait" paperSize="1" scale="40" r:id="rId4"/>
      <headerFooter alignWithMargins="0"/>
    </customSheetView>
  </customSheetViews>
  <mergeCells count="43">
    <mergeCell ref="B267:K267"/>
    <mergeCell ref="B102:K102"/>
    <mergeCell ref="B331:K331"/>
    <mergeCell ref="B330:K330"/>
    <mergeCell ref="E301:K301"/>
    <mergeCell ref="B311:K311"/>
    <mergeCell ref="B310:K310"/>
    <mergeCell ref="B309:K309"/>
    <mergeCell ref="B308:K308"/>
    <mergeCell ref="B307:K307"/>
    <mergeCell ref="B316:K316"/>
    <mergeCell ref="B318:K318"/>
    <mergeCell ref="B320:K320"/>
    <mergeCell ref="B317:K317"/>
    <mergeCell ref="B319:K319"/>
    <mergeCell ref="E299:K299"/>
    <mergeCell ref="B295:K295"/>
    <mergeCell ref="B303:K303"/>
    <mergeCell ref="B306:K306"/>
    <mergeCell ref="B305:K305"/>
    <mergeCell ref="B304:K304"/>
    <mergeCell ref="B302:K302"/>
    <mergeCell ref="B337:K337"/>
    <mergeCell ref="B336:K336"/>
    <mergeCell ref="B335:K335"/>
    <mergeCell ref="B333:K333"/>
    <mergeCell ref="B332:K332"/>
    <mergeCell ref="M241:R241"/>
    <mergeCell ref="E300:K300"/>
    <mergeCell ref="B315:K315"/>
    <mergeCell ref="B290:K290"/>
    <mergeCell ref="B289:K289"/>
    <mergeCell ref="B293:K293"/>
    <mergeCell ref="B288:K288"/>
    <mergeCell ref="B314:K314"/>
    <mergeCell ref="B297:K297"/>
    <mergeCell ref="B296:K296"/>
    <mergeCell ref="B298:K298"/>
    <mergeCell ref="B291:K291"/>
    <mergeCell ref="B294:K294"/>
    <mergeCell ref="B292:K292"/>
    <mergeCell ref="B313:K313"/>
    <mergeCell ref="B312:K312"/>
  </mergeCells>
  <printOptions horizontalCentered="1"/>
  <pageMargins left="0.7" right="0.7" top="0.75" bottom="0.75" header="0.3" footer="0.3"/>
  <pageSetup fitToHeight="0" fitToWidth="0" orientation="portrait" paperSize="1" scale="40" r:id="rId1"/>
  <headerFooter alignWithMargins="0"/>
  <rowBreaks count="4" manualBreakCount="4">
    <brk id="43" max="10" man="1"/>
    <brk id="118" max="10" man="1"/>
    <brk id="201" max="10" man="1"/>
    <brk id="275" max="10" man="1"/>
  </rowBreaks>
  <ignoredErrors>
    <ignoredError sqref="D20" evalError="1" calculatedColumn="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5"/>
  </sheetPr>
  <dimension ref="A1:S28"/>
  <sheetViews>
    <sheetView workbookViewId="0" topLeftCell="A1"/>
  </sheetViews>
  <sheetFormatPr defaultColWidth="8.88555555555556" defaultRowHeight="15"/>
  <cols>
    <col min="1" max="1" width="15.8888888888889" style="356" customWidth="1"/>
    <col min="2" max="2" width="3.11111111111111" style="356" customWidth="1"/>
    <col min="3" max="9" width="13.8888888888889" style="356" customWidth="1"/>
    <col min="10" max="10" width="12.4444444444444" style="356" customWidth="1"/>
    <col min="11" max="11" width="3.11111111111111" style="356" customWidth="1"/>
    <col min="12" max="12" width="13.4444444444444" style="356" customWidth="1"/>
    <col min="13" max="13" width="20.8888888888889" style="356" customWidth="1"/>
    <col min="14" max="14" width="1.88888888888889" style="356" customWidth="1"/>
    <col min="15" max="15" width="13.8888888888889" style="356" customWidth="1"/>
    <col min="16" max="16" width="2" style="356" customWidth="1"/>
    <col min="17" max="17" width="11.8888888888889" style="356" bestFit="1" customWidth="1"/>
    <col min="18" max="18" width="11.4444444444444" style="356" customWidth="1"/>
    <col min="19" max="19" width="10.4444444444444" style="356" bestFit="1" customWidth="1"/>
    <col min="20" max="16384" width="8.88888888888889" style="356"/>
  </cols>
  <sheetData>
    <row r="1" spans="1:1" ht="15.75">
      <c r="A1" s="31" t="str">
        <f ca="1">RIGHT(CELL("filename",D2),LEN(CELL("filename",D2))-FIND("]",CELL("filename",D2)))</f>
        <v>Attach 5a - ADIT Norm JC-T</v>
      </c>
    </row>
    <row r="2" ht="15.75" thickBot="1"/>
    <row r="3" spans="1:19" ht="105.75" thickBot="1">
      <c r="A3" s="388"/>
      <c r="B3" s="357"/>
      <c r="C3" s="1185" t="s">
        <v>598</v>
      </c>
      <c r="D3" s="1186"/>
      <c r="E3" s="1186"/>
      <c r="F3" s="1186"/>
      <c r="G3" s="1186"/>
      <c r="H3" s="1186"/>
      <c r="I3" s="1186"/>
      <c r="J3" s="1187"/>
      <c r="L3" s="1204" t="s">
        <v>624</v>
      </c>
      <c r="M3" s="1205"/>
      <c r="O3" s="389" t="s">
        <v>697</v>
      </c>
      <c r="Q3" s="389" t="s">
        <v>625</v>
      </c>
      <c r="R3" s="389" t="s">
        <v>698</v>
      </c>
      <c r="S3" s="389" t="s">
        <v>699</v>
      </c>
    </row>
    <row r="4" spans="1:10" ht="15">
      <c r="A4" s="360"/>
      <c r="C4" s="358"/>
      <c r="D4" s="359"/>
      <c r="E4" s="359"/>
      <c r="F4" s="359"/>
      <c r="G4" s="359"/>
      <c r="H4" s="359"/>
      <c r="I4" s="359"/>
      <c r="J4" s="360"/>
    </row>
    <row r="5" spans="1:13" ht="15">
      <c r="A5" s="403" t="s">
        <v>599</v>
      </c>
      <c r="B5" s="362"/>
      <c r="C5" s="363" t="s">
        <v>620</v>
      </c>
      <c r="D5" s="375" t="s">
        <v>600</v>
      </c>
      <c r="E5" s="361" t="s">
        <v>621</v>
      </c>
      <c r="F5" s="375" t="s">
        <v>601</v>
      </c>
      <c r="G5" s="361" t="s">
        <v>622</v>
      </c>
      <c r="H5" s="375" t="s">
        <v>602</v>
      </c>
      <c r="I5" s="361" t="s">
        <v>623</v>
      </c>
      <c r="J5" s="376" t="s">
        <v>603</v>
      </c>
      <c r="K5" s="364"/>
      <c r="L5" s="361" t="s">
        <v>624</v>
      </c>
      <c r="M5" s="362" t="s">
        <v>604</v>
      </c>
    </row>
    <row r="6" spans="1:15" ht="15.75" thickBot="1">
      <c r="A6" s="404">
        <v>0</v>
      </c>
      <c r="B6" s="367"/>
      <c r="C6" s="374">
        <v>0</v>
      </c>
      <c r="D6" s="367">
        <f>SUM(A6:C6)</f>
        <v>0</v>
      </c>
      <c r="E6" s="373">
        <v>0</v>
      </c>
      <c r="F6" s="367">
        <f>SUM(D6:E6)</f>
        <v>0</v>
      </c>
      <c r="G6" s="373">
        <v>0</v>
      </c>
      <c r="H6" s="367">
        <f>SUM(F6:G6)</f>
        <v>0</v>
      </c>
      <c r="I6" s="373">
        <v>0</v>
      </c>
      <c r="J6" s="378">
        <f>SUM(H6:I6)</f>
        <v>0</v>
      </c>
      <c r="K6" s="367"/>
      <c r="L6" s="373">
        <v>0</v>
      </c>
      <c r="M6" s="367">
        <f>A6+L6</f>
        <v>0</v>
      </c>
      <c r="N6" s="365"/>
      <c r="O6" s="365"/>
    </row>
    <row r="7" spans="1:15" ht="15">
      <c r="A7" s="377"/>
      <c r="B7" s="365"/>
      <c r="C7" s="366"/>
      <c r="D7" s="365"/>
      <c r="E7" s="365"/>
      <c r="F7" s="365"/>
      <c r="G7" s="365"/>
      <c r="H7" s="365"/>
      <c r="I7" s="365"/>
      <c r="J7" s="377"/>
      <c r="K7" s="365"/>
      <c r="L7" s="365"/>
      <c r="M7" s="365"/>
      <c r="N7" s="365"/>
      <c r="O7" s="365"/>
    </row>
    <row r="8" spans="1:15" ht="15">
      <c r="A8" s="405" t="s">
        <v>610</v>
      </c>
      <c r="B8" s="365"/>
      <c r="C8" s="370" t="s">
        <v>605</v>
      </c>
      <c r="D8" s="365"/>
      <c r="E8" s="369" t="s">
        <v>606</v>
      </c>
      <c r="F8" s="365"/>
      <c r="G8" s="369" t="s">
        <v>607</v>
      </c>
      <c r="H8" s="365"/>
      <c r="I8" s="369" t="s">
        <v>608</v>
      </c>
      <c r="J8" s="377"/>
      <c r="K8" s="365"/>
      <c r="L8" s="369" t="s">
        <v>609</v>
      </c>
      <c r="M8" s="369" t="s">
        <v>614</v>
      </c>
      <c r="N8" s="365"/>
      <c r="O8" s="365"/>
    </row>
    <row r="9" spans="1:19" ht="15">
      <c r="A9" s="405">
        <f>A6</f>
        <v>0</v>
      </c>
      <c r="B9" s="365"/>
      <c r="C9" s="370">
        <f>(276/365)*C6</f>
        <v>0</v>
      </c>
      <c r="D9" s="365"/>
      <c r="E9" s="369">
        <f>(185/365)*E6</f>
        <v>0</v>
      </c>
      <c r="F9" s="365"/>
      <c r="G9" s="369">
        <f>(93/365)*G6</f>
        <v>0</v>
      </c>
      <c r="H9" s="365"/>
      <c r="I9" s="369">
        <f>(1/365)*I6</f>
        <v>0</v>
      </c>
      <c r="J9" s="377"/>
      <c r="K9" s="365"/>
      <c r="L9" s="369">
        <f>C9+E9+G9+I9</f>
        <v>0</v>
      </c>
      <c r="M9" s="369">
        <f>A9+L9</f>
        <v>0</v>
      </c>
      <c r="N9" s="365"/>
      <c r="O9" s="365">
        <f>'WP03-A ADIT Summary'!H14+'WP03-A ADIT Summary'!J40</f>
        <v>0</v>
      </c>
      <c r="Q9" s="365">
        <f>O9-M9</f>
        <v>0</v>
      </c>
      <c r="R9" s="356">
        <f>SUM('WP03-A ADIT Summary'!F40:H40)</f>
        <v>0</v>
      </c>
      <c r="S9" s="369">
        <f>Q9-R9</f>
        <v>0</v>
      </c>
    </row>
    <row r="10" spans="1:15" ht="15">
      <c r="A10" s="377"/>
      <c r="B10" s="365"/>
      <c r="C10" s="380">
        <v>0</v>
      </c>
      <c r="D10" s="365"/>
      <c r="E10" s="381">
        <v>0</v>
      </c>
      <c r="F10" s="365"/>
      <c r="G10" s="381">
        <v>0</v>
      </c>
      <c r="H10" s="365"/>
      <c r="I10" s="381">
        <v>0</v>
      </c>
      <c r="J10" s="377"/>
      <c r="K10" s="365"/>
      <c r="L10" s="381">
        <v>0</v>
      </c>
      <c r="M10" s="365"/>
      <c r="N10" s="365"/>
      <c r="O10" s="365"/>
    </row>
    <row r="11" spans="1:15" ht="15.75" thickBot="1">
      <c r="A11" s="404">
        <v>0</v>
      </c>
      <c r="B11" s="367"/>
      <c r="C11" s="383">
        <f>SUM(C10:C10)</f>
        <v>0</v>
      </c>
      <c r="D11" s="367">
        <f>SUM(A11:C11)</f>
        <v>0</v>
      </c>
      <c r="E11" s="367">
        <f>SUM(E10:E10)</f>
        <v>0</v>
      </c>
      <c r="F11" s="367">
        <f>SUM(D11:E11)</f>
        <v>0</v>
      </c>
      <c r="G11" s="367">
        <f>SUM(G10:G10)</f>
        <v>0</v>
      </c>
      <c r="H11" s="367">
        <f>SUM(F11:G11)</f>
        <v>0</v>
      </c>
      <c r="I11" s="367">
        <f>SUM(I10:I10)</f>
        <v>0</v>
      </c>
      <c r="J11" s="378">
        <f>SUM(H11:I11)</f>
        <v>0</v>
      </c>
      <c r="K11" s="367"/>
      <c r="L11" s="367">
        <f>SUM(L10:L10)</f>
        <v>0</v>
      </c>
      <c r="M11" s="367">
        <f>A11+L11</f>
        <v>0</v>
      </c>
      <c r="N11" s="365"/>
      <c r="O11" s="365"/>
    </row>
    <row r="12" spans="1:15" ht="15">
      <c r="A12" s="377"/>
      <c r="B12" s="365"/>
      <c r="C12" s="366"/>
      <c r="D12" s="365"/>
      <c r="E12" s="365"/>
      <c r="F12" s="365"/>
      <c r="G12" s="365"/>
      <c r="H12" s="365"/>
      <c r="I12" s="365"/>
      <c r="J12" s="377"/>
      <c r="K12" s="365"/>
      <c r="L12" s="365"/>
      <c r="M12" s="365"/>
      <c r="N12" s="365"/>
      <c r="O12" s="365"/>
    </row>
    <row r="13" spans="1:15" ht="15">
      <c r="A13" s="405" t="s">
        <v>611</v>
      </c>
      <c r="B13" s="365"/>
      <c r="C13" s="370" t="s">
        <v>605</v>
      </c>
      <c r="D13" s="365"/>
      <c r="E13" s="369" t="s">
        <v>606</v>
      </c>
      <c r="F13" s="365"/>
      <c r="G13" s="369" t="s">
        <v>607</v>
      </c>
      <c r="H13" s="365"/>
      <c r="I13" s="369" t="s">
        <v>608</v>
      </c>
      <c r="J13" s="377"/>
      <c r="K13" s="365"/>
      <c r="L13" s="369" t="s">
        <v>609</v>
      </c>
      <c r="M13" s="369" t="s">
        <v>615</v>
      </c>
      <c r="N13" s="365"/>
      <c r="O13" s="365"/>
    </row>
    <row r="14" spans="1:19" ht="15">
      <c r="A14" s="405">
        <f>A11</f>
        <v>0</v>
      </c>
      <c r="B14" s="365"/>
      <c r="C14" s="370">
        <f>(276/365)*C11</f>
        <v>0</v>
      </c>
      <c r="D14" s="365"/>
      <c r="E14" s="369">
        <f>(185/365)*E11</f>
        <v>0</v>
      </c>
      <c r="F14" s="365"/>
      <c r="G14" s="369">
        <f>(93/365)*G11</f>
        <v>0</v>
      </c>
      <c r="H14" s="365"/>
      <c r="I14" s="369">
        <f>(1/365)*I11</f>
        <v>0</v>
      </c>
      <c r="J14" s="377"/>
      <c r="K14" s="365"/>
      <c r="L14" s="369">
        <f>C14+E14+G14+I14</f>
        <v>0</v>
      </c>
      <c r="M14" s="369">
        <f>A14+L14</f>
        <v>0</v>
      </c>
      <c r="N14" s="365"/>
      <c r="O14" s="365">
        <f>'WP03-A ADIT Summary'!F14+'WP03-A ADIT Summary'!J27</f>
        <v>0</v>
      </c>
      <c r="Q14" s="365">
        <f>O14-M14</f>
        <v>0</v>
      </c>
      <c r="R14" s="356">
        <f>SUM('WP03-A ADIT Summary'!F27:H27)</f>
        <v>0</v>
      </c>
      <c r="S14" s="369">
        <f>Q14-R14</f>
        <v>0</v>
      </c>
    </row>
    <row r="15" spans="1:13" ht="15.75" thickBot="1">
      <c r="A15" s="404">
        <v>0</v>
      </c>
      <c r="B15" s="367"/>
      <c r="C15" s="374">
        <v>0</v>
      </c>
      <c r="D15" s="367">
        <f>SUM(A15:C15)</f>
        <v>0</v>
      </c>
      <c r="E15" s="373">
        <v>0</v>
      </c>
      <c r="F15" s="367">
        <f>SUM(D15:E15)</f>
        <v>0</v>
      </c>
      <c r="G15" s="373">
        <v>0</v>
      </c>
      <c r="H15" s="367">
        <f>SUM(F15:G15)</f>
        <v>0</v>
      </c>
      <c r="I15" s="373">
        <v>0</v>
      </c>
      <c r="J15" s="378">
        <f>SUM(H15:I15)</f>
        <v>0</v>
      </c>
      <c r="K15" s="368"/>
      <c r="L15" s="373">
        <v>0</v>
      </c>
      <c r="M15" s="367">
        <f>A15+L15</f>
        <v>0</v>
      </c>
    </row>
    <row r="16" spans="1:13" ht="15">
      <c r="A16" s="377"/>
      <c r="B16" s="365"/>
      <c r="C16" s="366"/>
      <c r="D16" s="365"/>
      <c r="E16" s="365"/>
      <c r="F16" s="365"/>
      <c r="G16" s="365"/>
      <c r="H16" s="365"/>
      <c r="I16" s="365"/>
      <c r="J16" s="377"/>
      <c r="L16" s="365"/>
      <c r="M16" s="365"/>
    </row>
    <row r="17" spans="1:13" ht="15">
      <c r="A17" s="405" t="s">
        <v>612</v>
      </c>
      <c r="B17" s="365"/>
      <c r="C17" s="370" t="s">
        <v>605</v>
      </c>
      <c r="D17" s="365"/>
      <c r="E17" s="369" t="s">
        <v>606</v>
      </c>
      <c r="F17" s="365"/>
      <c r="G17" s="369" t="s">
        <v>607</v>
      </c>
      <c r="H17" s="365"/>
      <c r="I17" s="369" t="s">
        <v>608</v>
      </c>
      <c r="J17" s="377"/>
      <c r="L17" s="369" t="s">
        <v>609</v>
      </c>
      <c r="M17" s="369" t="s">
        <v>616</v>
      </c>
    </row>
    <row r="18" spans="1:19" ht="15">
      <c r="A18" s="405">
        <f>A15</f>
        <v>0</v>
      </c>
      <c r="B18" s="365"/>
      <c r="C18" s="370">
        <f>(276/365)*C15</f>
        <v>0</v>
      </c>
      <c r="D18" s="365"/>
      <c r="E18" s="369">
        <f>(185/365)*E15</f>
        <v>0</v>
      </c>
      <c r="F18" s="365"/>
      <c r="G18" s="369">
        <f>(93/365)*G15</f>
        <v>0</v>
      </c>
      <c r="H18" s="365"/>
      <c r="I18" s="369">
        <f>(1/365)*I15</f>
        <v>0</v>
      </c>
      <c r="J18" s="377"/>
      <c r="L18" s="369">
        <f>C18+E18+G18+I18</f>
        <v>0</v>
      </c>
      <c r="M18" s="369">
        <f>A18+L18</f>
        <v>0</v>
      </c>
      <c r="O18" s="356">
        <f>'WP03-A ADIT Summary'!G14+'WP03-A ADIT Summary'!J34</f>
        <v>0</v>
      </c>
      <c r="Q18" s="365">
        <f>O18-M18</f>
        <v>0</v>
      </c>
      <c r="R18" s="356">
        <f>SUM('WP03-A ADIT Summary'!F34:H34)</f>
        <v>0</v>
      </c>
      <c r="S18" s="369">
        <f>Q18-R18</f>
        <v>0</v>
      </c>
    </row>
    <row r="19" spans="1:19" ht="15.75" thickBot="1">
      <c r="A19" s="406">
        <f>A6+A11+A15</f>
        <v>0</v>
      </c>
      <c r="B19" s="372"/>
      <c r="C19" s="384">
        <f t="shared" si="0" ref="C19:I19">C6+C11+C15</f>
        <v>0</v>
      </c>
      <c r="D19" s="372">
        <f t="shared" si="0"/>
        <v>0</v>
      </c>
      <c r="E19" s="372">
        <f t="shared" si="0"/>
        <v>0</v>
      </c>
      <c r="F19" s="372">
        <f t="shared" si="0"/>
        <v>0</v>
      </c>
      <c r="G19" s="372">
        <f t="shared" si="0"/>
        <v>0</v>
      </c>
      <c r="H19" s="372">
        <f t="shared" si="0"/>
        <v>0</v>
      </c>
      <c r="I19" s="372">
        <f t="shared" si="0"/>
        <v>0</v>
      </c>
      <c r="J19" s="379"/>
      <c r="K19" s="371"/>
      <c r="L19" s="372">
        <f>L6+L11+L15</f>
        <v>0</v>
      </c>
      <c r="M19" s="387">
        <f>A19+L19</f>
        <v>0</v>
      </c>
      <c r="S19" s="386"/>
    </row>
    <row r="20" ht="15.75" thickTop="1"/>
    <row r="21" spans="1:13" ht="30" hidden="1">
      <c r="A21" s="382" t="s">
        <v>613</v>
      </c>
      <c r="C21" s="385" t="s">
        <v>605</v>
      </c>
      <c r="E21" s="385" t="s">
        <v>606</v>
      </c>
      <c r="G21" s="385" t="s">
        <v>607</v>
      </c>
      <c r="I21" s="385" t="s">
        <v>608</v>
      </c>
      <c r="L21" s="386" t="s">
        <v>609</v>
      </c>
      <c r="M21" s="386" t="s">
        <v>617</v>
      </c>
    </row>
    <row r="22" spans="1:15" ht="15" hidden="1">
      <c r="A22" s="369">
        <f>A19</f>
        <v>0</v>
      </c>
      <c r="B22" s="365"/>
      <c r="C22" s="369">
        <f>(276/365)*C19</f>
        <v>0</v>
      </c>
      <c r="D22" s="365"/>
      <c r="E22" s="369">
        <f>(185/365)*E19</f>
        <v>0</v>
      </c>
      <c r="F22" s="365"/>
      <c r="G22" s="369">
        <f>(93/365)*G19</f>
        <v>0</v>
      </c>
      <c r="H22" s="365"/>
      <c r="I22" s="369">
        <f>(1/365)*I19</f>
        <v>0</v>
      </c>
      <c r="J22" s="365"/>
      <c r="K22" s="365"/>
      <c r="L22" s="369">
        <f>C22+E22+G22+I22</f>
        <v>0</v>
      </c>
      <c r="M22" s="369">
        <f>M9+M14+M18</f>
        <v>0</v>
      </c>
      <c r="N22" s="365"/>
      <c r="O22" s="365"/>
    </row>
    <row r="23" spans="1:15" ht="15" hidden="1">
      <c r="A23" s="365"/>
      <c r="B23" s="365"/>
      <c r="C23" s="365"/>
      <c r="D23" s="365"/>
      <c r="E23" s="365"/>
      <c r="F23" s="365"/>
      <c r="G23" s="365"/>
      <c r="H23" s="365"/>
      <c r="I23" s="365"/>
      <c r="J23" s="365"/>
      <c r="K23" s="365"/>
      <c r="L23" s="365"/>
      <c r="M23" s="365"/>
      <c r="N23" s="365"/>
      <c r="O23" s="365"/>
    </row>
    <row r="24" spans="1:15" ht="15" hidden="1">
      <c r="A24" s="365"/>
      <c r="B24" s="365"/>
      <c r="C24" s="365"/>
      <c r="D24" s="365"/>
      <c r="E24" s="365"/>
      <c r="F24" s="365"/>
      <c r="G24" s="365"/>
      <c r="H24" s="365"/>
      <c r="I24" s="365"/>
      <c r="J24" s="365"/>
      <c r="K24" s="365"/>
      <c r="L24" s="365"/>
      <c r="M24" s="369" t="s">
        <v>618</v>
      </c>
      <c r="N24" s="365"/>
      <c r="O24" s="365"/>
    </row>
    <row r="25" spans="1:15" ht="15" hidden="1">
      <c r="A25" s="365"/>
      <c r="B25" s="365"/>
      <c r="C25" s="365"/>
      <c r="D25" s="365"/>
      <c r="E25" s="365"/>
      <c r="F25" s="365"/>
      <c r="G25" s="365"/>
      <c r="H25" s="365"/>
      <c r="I25" s="365"/>
      <c r="J25" s="365"/>
      <c r="K25" s="365"/>
      <c r="L25" s="365"/>
      <c r="M25" s="369">
        <f>A22</f>
        <v>0</v>
      </c>
      <c r="N25" s="365"/>
      <c r="O25" s="365"/>
    </row>
    <row r="26" spans="1:15" ht="15" hidden="1">
      <c r="A26" s="365"/>
      <c r="B26" s="365"/>
      <c r="C26" s="365"/>
      <c r="D26" s="365"/>
      <c r="E26" s="365"/>
      <c r="F26" s="365"/>
      <c r="G26" s="365"/>
      <c r="H26" s="365"/>
      <c r="I26" s="365"/>
      <c r="J26" s="365"/>
      <c r="K26" s="365"/>
      <c r="L26" s="365"/>
      <c r="M26" s="365"/>
      <c r="N26" s="365"/>
      <c r="O26" s="365"/>
    </row>
    <row r="27" spans="1:15" ht="15" hidden="1">
      <c r="A27" s="365"/>
      <c r="B27" s="365"/>
      <c r="C27" s="365"/>
      <c r="D27" s="365"/>
      <c r="E27" s="365"/>
      <c r="F27" s="365"/>
      <c r="G27" s="365"/>
      <c r="H27" s="365"/>
      <c r="I27" s="365"/>
      <c r="J27" s="365"/>
      <c r="K27" s="365"/>
      <c r="L27" s="365"/>
      <c r="M27" s="369" t="s">
        <v>619</v>
      </c>
      <c r="N27" s="365"/>
      <c r="O27" s="365"/>
    </row>
    <row r="28" spans="1:15" ht="15" hidden="1">
      <c r="A28" s="365"/>
      <c r="B28" s="365"/>
      <c r="C28" s="365"/>
      <c r="D28" s="365"/>
      <c r="E28" s="365"/>
      <c r="F28" s="365"/>
      <c r="G28" s="365"/>
      <c r="H28" s="365"/>
      <c r="I28" s="365"/>
      <c r="J28" s="365"/>
      <c r="K28" s="365"/>
      <c r="L28" s="365"/>
      <c r="M28" s="369">
        <f>(M25+M22)/2</f>
        <v>0</v>
      </c>
      <c r="N28" s="365"/>
      <c r="O28" s="365"/>
    </row>
  </sheetData>
  <customSheetViews>
    <customSheetView guid="{33e6ffdf-cb42-4a87-b460-a01a45f9a9a1}" hiddenRows="1" state="hidden" topLeftCell="A1">
      <colBreaks count="1" manualBreakCount="1">
        <brk id="10" max="28" man="1"/>
      </colBreaks>
      <pageMargins left="0.7" right="0.7" top="0.75" bottom="0.75" header="0.3" footer="0.3"/>
      <pageSetup orientation="landscape" paperSize="1" scale="80" r:id="rId2"/>
    </customSheetView>
    <customSheetView guid="{394295c0-a883-44ec-b980-c2facd4b6eba}" hiddenRows="1" state="hidden" topLeftCell="A1">
      <colBreaks count="1" manualBreakCount="1">
        <brk id="10" max="28" man="1"/>
      </colBreaks>
      <pageMargins left="0.7" right="0.7" top="0.75" bottom="0.75" header="0.3" footer="0.3"/>
      <pageSetup orientation="landscape" paperSize="1" scale="80" r:id="rId3"/>
    </customSheetView>
  </customSheetViews>
  <mergeCells count="2">
    <mergeCell ref="C3:J3"/>
    <mergeCell ref="L3:M3"/>
  </mergeCells>
  <pageMargins left="0.7" right="0.7" top="0.75" bottom="0.75" header="0.3" footer="0.3"/>
  <pageSetup orientation="landscape" paperSize="1" scale="80" r:id="rId1"/>
  <colBreaks count="1" manualBreakCount="1">
    <brk id="10" max="28"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J71"/>
  <sheetViews>
    <sheetView view="pageBreakPreview" zoomScale="110" zoomScaleNormal="80" zoomScaleSheetLayoutView="110" workbookViewId="0" topLeftCell="A1"/>
  </sheetViews>
  <sheetFormatPr defaultColWidth="8.88555555555556" defaultRowHeight="15"/>
  <cols>
    <col min="1" max="1" width="2.22222222222222" style="509" customWidth="1"/>
    <col min="2" max="2" width="37.5555555555556" style="509" customWidth="1"/>
    <col min="3" max="3" width="14.4444444444444" style="509" customWidth="1"/>
    <col min="4" max="4" width="11.2222222222222" style="509" bestFit="1" customWidth="1"/>
    <col min="5" max="5" width="11.5555555555556" style="509" customWidth="1"/>
    <col min="6" max="16384" width="8.88888888888889" style="509"/>
  </cols>
  <sheetData>
    <row r="1" spans="5:5" ht="15">
      <c r="E1" s="842" t="s">
        <v>1063</v>
      </c>
    </row>
    <row r="2" spans="5:5" ht="15">
      <c r="E2" s="842" t="s">
        <v>1064</v>
      </c>
    </row>
    <row r="3" spans="2:5" ht="15">
      <c r="B3" s="510" t="s">
        <v>1065</v>
      </c>
      <c r="E3" s="843" t="str">
        <f>'Attachment 1 - Sched 1A'!$J$3</f>
        <v>For the 12 months ended 12/31/2026</v>
      </c>
    </row>
    <row r="4" spans="1:5" ht="12" customHeight="1">
      <c r="A4" s="1206"/>
      <c r="B4" s="1206"/>
      <c r="C4" s="1206"/>
      <c r="D4" s="1206"/>
      <c r="E4" s="511"/>
    </row>
    <row r="5" spans="1:5" ht="15">
      <c r="A5" s="844"/>
      <c r="B5" s="515" t="s">
        <v>1066</v>
      </c>
      <c r="C5" s="515" t="s">
        <v>1067</v>
      </c>
      <c r="D5" s="515" t="s">
        <v>1068</v>
      </c>
      <c r="E5" s="515" t="s">
        <v>1069</v>
      </c>
    </row>
    <row r="6" spans="1:4" ht="15">
      <c r="A6" s="844"/>
      <c r="B6" s="844"/>
      <c r="C6" s="844"/>
      <c r="D6" s="844"/>
    </row>
    <row r="7" spans="1:5" ht="15" customHeight="1">
      <c r="A7" s="844"/>
      <c r="B7" s="844"/>
      <c r="C7" s="845" t="s">
        <v>1070</v>
      </c>
      <c r="D7" s="845" t="s">
        <v>1070</v>
      </c>
      <c r="E7" s="510" t="s">
        <v>1071</v>
      </c>
    </row>
    <row r="8" spans="1:5" ht="15">
      <c r="A8" s="844"/>
      <c r="B8" s="515"/>
      <c r="C8" s="512" t="s">
        <v>1442</v>
      </c>
      <c r="D8" s="512" t="s">
        <v>1461</v>
      </c>
      <c r="E8" s="513" t="s">
        <v>1072</v>
      </c>
    </row>
    <row r="9" spans="1:4" ht="15">
      <c r="A9" s="844"/>
      <c r="B9" s="844"/>
      <c r="C9" s="844"/>
      <c r="D9" s="844"/>
    </row>
    <row r="10" spans="1:6" ht="15">
      <c r="A10" s="846"/>
      <c r="B10" s="844" t="s">
        <v>1073</v>
      </c>
      <c r="C10" s="844"/>
      <c r="D10" s="844"/>
      <c r="F10" s="514"/>
    </row>
    <row r="11" spans="1:4" ht="15">
      <c r="A11" s="846"/>
      <c r="B11" s="844"/>
      <c r="C11" s="844"/>
      <c r="D11" s="844"/>
    </row>
    <row r="12" spans="1:8" ht="15">
      <c r="A12" s="846"/>
      <c r="B12" s="847" t="s">
        <v>1301</v>
      </c>
      <c r="C12" s="848">
        <v>1631674.98</v>
      </c>
      <c r="D12" s="848">
        <v>1531989.98</v>
      </c>
      <c r="E12" s="514">
        <f>AVERAGE(C12:D12)</f>
        <v>1581832.48</v>
      </c>
      <c r="F12" s="1155"/>
      <c r="H12" s="514"/>
    </row>
    <row r="13" spans="1:4" ht="15">
      <c r="A13" s="846"/>
      <c r="B13" s="844"/>
      <c r="C13" s="844"/>
      <c r="D13" s="844"/>
    </row>
    <row r="14" spans="1:4" ht="15.75" thickBot="1">
      <c r="A14" s="846">
        <v>1</v>
      </c>
      <c r="B14" s="844" t="s">
        <v>1074</v>
      </c>
      <c r="C14" s="849">
        <f>SUM(C12)</f>
        <v>1631674.98</v>
      </c>
      <c r="D14" s="849">
        <f>SUM(D12)</f>
        <v>1531989.98</v>
      </c>
    </row>
    <row r="15" spans="1:4" ht="15.75" thickTop="1">
      <c r="A15" s="846"/>
      <c r="B15" s="844"/>
      <c r="C15" s="850"/>
      <c r="D15" s="850"/>
    </row>
    <row r="16" spans="1:4" ht="15">
      <c r="A16" s="846"/>
      <c r="B16" s="844"/>
      <c r="C16" s="844"/>
      <c r="D16" s="844"/>
    </row>
    <row r="17" spans="1:4" ht="15">
      <c r="A17" s="846"/>
      <c r="B17" s="516" t="s">
        <v>1075</v>
      </c>
      <c r="C17" s="850"/>
      <c r="D17" s="850"/>
    </row>
    <row r="18" spans="1:4" ht="15">
      <c r="A18" s="846"/>
      <c r="B18" s="844"/>
      <c r="C18" s="850"/>
      <c r="D18" s="850"/>
    </row>
    <row r="19" spans="1:6" ht="15">
      <c r="A19" s="846"/>
      <c r="B19" s="851" t="s">
        <v>1418</v>
      </c>
      <c r="C19" s="848">
        <v>17433045.319999997</v>
      </c>
      <c r="D19" s="848">
        <v>16996716.119999997</v>
      </c>
      <c r="E19" s="514">
        <f t="shared" si="0" ref="E19:E30">AVERAGE(C19:D19)</f>
        <v>17214880.719999999</v>
      </c>
      <c r="F19" s="1148"/>
    </row>
    <row r="20" spans="1:6" ht="15">
      <c r="A20" s="846"/>
      <c r="B20" s="851" t="s">
        <v>1419</v>
      </c>
      <c r="C20" s="848">
        <v>376070904.96000004</v>
      </c>
      <c r="D20" s="848">
        <v>420090035.38000005</v>
      </c>
      <c r="E20" s="514">
        <f t="shared" si="0"/>
        <v>398080470.17000008</v>
      </c>
      <c r="F20" s="1148"/>
    </row>
    <row r="21" spans="1:6" ht="15">
      <c r="A21" s="846"/>
      <c r="B21" s="851" t="s">
        <v>1420</v>
      </c>
      <c r="C21" s="848">
        <v>9031808.6899999995</v>
      </c>
      <c r="D21" s="848">
        <v>12159679.85</v>
      </c>
      <c r="E21" s="514">
        <f t="shared" si="0"/>
        <v>10595744.27</v>
      </c>
      <c r="F21" s="1148"/>
    </row>
    <row r="22" spans="1:6" ht="15">
      <c r="A22" s="846"/>
      <c r="B22" s="851" t="s">
        <v>1421</v>
      </c>
      <c r="C22" s="848">
        <v>20305291.544499997</v>
      </c>
      <c r="D22" s="848">
        <v>31275880.927900001</v>
      </c>
      <c r="E22" s="514">
        <f t="shared" si="0"/>
        <v>25790586.236199997</v>
      </c>
      <c r="F22" s="1148"/>
    </row>
    <row r="23" spans="1:6" ht="15">
      <c r="A23" s="846"/>
      <c r="B23" s="851" t="s">
        <v>1422</v>
      </c>
      <c r="C23" s="848">
        <v>4099910.7900000024</v>
      </c>
      <c r="D23" s="848">
        <v>4001950.7699999996</v>
      </c>
      <c r="E23" s="514">
        <f t="shared" si="0"/>
        <v>4050930.7800000012</v>
      </c>
      <c r="F23" s="1148"/>
    </row>
    <row r="24" spans="1:6" ht="15">
      <c r="A24" s="846"/>
      <c r="B24" s="851" t="s">
        <v>1423</v>
      </c>
      <c r="C24" s="848">
        <v>-2612424.0900000012</v>
      </c>
      <c r="D24" s="848">
        <v>-2628504.6500000013</v>
      </c>
      <c r="E24" s="514">
        <f t="shared" si="0"/>
        <v>-2620464.370000001</v>
      </c>
      <c r="F24" s="1148"/>
    </row>
    <row r="25" spans="1:10" ht="15">
      <c r="A25" s="846"/>
      <c r="B25" s="851" t="s">
        <v>1424</v>
      </c>
      <c r="C25" s="848">
        <v>-2361341.3199999998</v>
      </c>
      <c r="D25" s="848">
        <v>-2713308.5700000003</v>
      </c>
      <c r="E25" s="514">
        <f t="shared" si="0"/>
        <v>-2537324.9450000003</v>
      </c>
      <c r="F25" s="1148"/>
      <c r="J25" s="1139"/>
    </row>
    <row r="26" spans="1:8" ht="15">
      <c r="A26" s="846"/>
      <c r="B26" s="851" t="s">
        <v>1425</v>
      </c>
      <c r="C26" s="848">
        <v>44986940.07</v>
      </c>
      <c r="D26" s="848">
        <v>50565122.119999997</v>
      </c>
      <c r="E26" s="514">
        <f t="shared" si="0"/>
        <v>47776031.094999999</v>
      </c>
      <c r="F26" s="1148"/>
      <c r="H26" s="1141"/>
    </row>
    <row r="27" spans="1:8" ht="15">
      <c r="A27" s="846"/>
      <c r="B27" s="851" t="s">
        <v>1426</v>
      </c>
      <c r="C27" s="848">
        <v>-6156771.3399999999</v>
      </c>
      <c r="D27" s="848">
        <v>-6013289.0100000007</v>
      </c>
      <c r="E27" s="514">
        <f t="shared" si="0"/>
        <v>-6085030.1750000007</v>
      </c>
      <c r="F27" s="1148"/>
      <c r="H27" s="1140"/>
    </row>
    <row r="28" spans="1:6" ht="15">
      <c r="A28" s="846"/>
      <c r="B28" s="851" t="s">
        <v>1076</v>
      </c>
      <c r="C28" s="848">
        <v>-2870394.3199999994</v>
      </c>
      <c r="D28" s="848">
        <v>-2909785.9800000004</v>
      </c>
      <c r="E28" s="514">
        <f t="shared" si="0"/>
        <v>-2890090.15</v>
      </c>
      <c r="F28" s="1148"/>
    </row>
    <row r="29" spans="1:6" ht="15">
      <c r="A29" s="846"/>
      <c r="B29" s="851" t="s">
        <v>1427</v>
      </c>
      <c r="C29" s="848">
        <v>122515841.05000001</v>
      </c>
      <c r="D29" s="848">
        <v>151625406.52000001</v>
      </c>
      <c r="E29" s="514">
        <f t="shared" si="0"/>
        <v>137070623.78500003</v>
      </c>
      <c r="F29" s="1148"/>
    </row>
    <row r="30" spans="1:6" ht="15">
      <c r="A30" s="846"/>
      <c r="B30" s="851" t="s">
        <v>1417</v>
      </c>
      <c r="C30" s="848">
        <v>-77249947.591600001</v>
      </c>
      <c r="D30" s="848">
        <v>-74625270.87240009</v>
      </c>
      <c r="E30" s="514">
        <f t="shared" si="0"/>
        <v>-75937609.232000053</v>
      </c>
      <c r="F30" s="1148"/>
    </row>
    <row r="31" spans="1:4" ht="15">
      <c r="A31" s="846"/>
      <c r="B31" s="844"/>
      <c r="C31" s="852"/>
      <c r="D31" s="852"/>
    </row>
    <row r="32" spans="1:5" ht="15.75" thickBot="1">
      <c r="A32" s="846">
        <v>2</v>
      </c>
      <c r="B32" s="516" t="s">
        <v>1077</v>
      </c>
      <c r="C32" s="849">
        <f>SUM(C19:C30)</f>
        <v>503192863.76290005</v>
      </c>
      <c r="D32" s="849">
        <f>SUM(D19:D30)</f>
        <v>597824632.6055001</v>
      </c>
      <c r="E32" s="514"/>
    </row>
    <row r="33" spans="1:4" ht="15.75" thickTop="1">
      <c r="A33" s="846"/>
      <c r="B33" s="844"/>
      <c r="C33" s="850"/>
      <c r="D33" s="850"/>
    </row>
    <row r="34" spans="1:5" ht="15">
      <c r="A34" s="846"/>
      <c r="B34" s="844"/>
      <c r="C34" s="850"/>
      <c r="D34" s="850"/>
      <c r="E34" s="842" t="s">
        <v>1063</v>
      </c>
    </row>
    <row r="35" spans="1:5" ht="15">
      <c r="A35" s="846"/>
      <c r="B35" s="844"/>
      <c r="C35" s="850"/>
      <c r="D35" s="850"/>
      <c r="E35" s="842" t="s">
        <v>1078</v>
      </c>
    </row>
    <row r="36" spans="1:5" ht="15">
      <c r="A36" s="846"/>
      <c r="B36" s="510" t="s">
        <v>1065</v>
      </c>
      <c r="C36" s="850"/>
      <c r="D36" s="850"/>
      <c r="E36" s="842" t="str">
        <f>E3</f>
        <v>For the 12 months ended 12/31/2026</v>
      </c>
    </row>
    <row r="37" spans="1:5" ht="15">
      <c r="A37" s="846"/>
      <c r="B37" s="510"/>
      <c r="C37" s="850"/>
      <c r="D37" s="850"/>
      <c r="E37" s="842"/>
    </row>
    <row r="38" spans="1:5" ht="15">
      <c r="A38" s="846"/>
      <c r="B38" s="515" t="s">
        <v>1066</v>
      </c>
      <c r="C38" s="515" t="s">
        <v>1067</v>
      </c>
      <c r="D38" s="515" t="s">
        <v>1068</v>
      </c>
      <c r="E38" s="515" t="s">
        <v>1069</v>
      </c>
    </row>
    <row r="39" spans="1:4" ht="15">
      <c r="A39" s="846"/>
      <c r="B39" s="844"/>
      <c r="C39" s="844"/>
      <c r="D39" s="844"/>
    </row>
    <row r="40" spans="1:5" ht="15">
      <c r="A40" s="846"/>
      <c r="B40" s="844"/>
      <c r="C40" s="845" t="s">
        <v>1070</v>
      </c>
      <c r="D40" s="845" t="s">
        <v>1070</v>
      </c>
      <c r="E40" s="510" t="s">
        <v>1071</v>
      </c>
    </row>
    <row r="41" spans="1:5" ht="15">
      <c r="A41" s="846"/>
      <c r="B41" s="515"/>
      <c r="C41" s="512" t="s">
        <v>1442</v>
      </c>
      <c r="D41" s="512" t="s">
        <v>1461</v>
      </c>
      <c r="E41" s="513" t="s">
        <v>1072</v>
      </c>
    </row>
    <row r="42" spans="1:4" ht="15">
      <c r="A42" s="846"/>
      <c r="B42" s="516"/>
      <c r="C42" s="850"/>
      <c r="D42" s="850"/>
    </row>
    <row r="43" spans="1:4" ht="15">
      <c r="A43" s="846"/>
      <c r="B43" s="516" t="s">
        <v>1079</v>
      </c>
      <c r="C43" s="850"/>
      <c r="D43" s="850"/>
    </row>
    <row r="44" spans="1:4" ht="15">
      <c r="A44" s="846"/>
      <c r="B44" s="516"/>
      <c r="C44" s="850"/>
      <c r="D44" s="850"/>
    </row>
    <row r="45" spans="1:6" ht="15">
      <c r="A45" s="846"/>
      <c r="B45" s="847" t="s">
        <v>1412</v>
      </c>
      <c r="C45" s="848">
        <v>7478624.4529494746</v>
      </c>
      <c r="D45" s="848">
        <v>11519192.786881439</v>
      </c>
      <c r="E45" s="514">
        <f t="shared" si="1" ref="E45:E51">AVERAGE(C45:D45)</f>
        <v>9498908.6199154574</v>
      </c>
      <c r="F45" s="1148"/>
    </row>
    <row r="46" spans="1:6" ht="15">
      <c r="A46" s="846"/>
      <c r="B46" s="847" t="s">
        <v>1413</v>
      </c>
      <c r="C46" s="848">
        <v>-28187985.077067476</v>
      </c>
      <c r="D46" s="848">
        <v>-27260439.409246497</v>
      </c>
      <c r="E46" s="514">
        <f t="shared" si="1"/>
        <v>-27724212.243156984</v>
      </c>
      <c r="F46" s="1148"/>
    </row>
    <row r="47" spans="1:6" ht="15">
      <c r="A47" s="846"/>
      <c r="B47" s="847" t="s">
        <v>1302</v>
      </c>
      <c r="C47" s="848">
        <v>439991.75091116002</v>
      </c>
      <c r="D47" s="848">
        <v>566920.94022032002</v>
      </c>
      <c r="E47" s="514">
        <f t="shared" si="1"/>
        <v>503456.34556574002</v>
      </c>
      <c r="F47" s="1148"/>
    </row>
    <row r="48" spans="1:6" ht="15">
      <c r="A48" s="846"/>
      <c r="B48" s="847" t="s">
        <v>1414</v>
      </c>
      <c r="C48" s="848">
        <v>3221498.4418109674</v>
      </c>
      <c r="D48" s="848">
        <v>2959423.2505586059</v>
      </c>
      <c r="E48" s="514">
        <f t="shared" si="1"/>
        <v>3090460.8461847864</v>
      </c>
      <c r="F48" s="1148"/>
    </row>
    <row r="49" spans="1:6" ht="15">
      <c r="A49" s="846"/>
      <c r="B49" s="847" t="s">
        <v>1303</v>
      </c>
      <c r="C49" s="848">
        <v>1834680.1763296297</v>
      </c>
      <c r="D49" s="848">
        <v>1748214.5186602597</v>
      </c>
      <c r="E49" s="514">
        <f t="shared" si="1"/>
        <v>1791447.3474949447</v>
      </c>
      <c r="F49" s="1148"/>
    </row>
    <row r="50" spans="1:6" ht="15">
      <c r="A50" s="846"/>
      <c r="B50" s="847" t="s">
        <v>1433</v>
      </c>
      <c r="C50" s="848">
        <v>166268.99842812447</v>
      </c>
      <c r="D50" s="848">
        <v>92013.415583048016</v>
      </c>
      <c r="E50" s="514">
        <f t="shared" si="1"/>
        <v>129141.20700558624</v>
      </c>
      <c r="F50" s="1148"/>
    </row>
    <row r="51" spans="1:6" ht="15">
      <c r="A51" s="846"/>
      <c r="B51" s="847" t="s">
        <v>1434</v>
      </c>
      <c r="C51" s="848">
        <v>676131.97</v>
      </c>
      <c r="D51" s="848">
        <v>676131.97</v>
      </c>
      <c r="E51" s="514">
        <f t="shared" si="1"/>
        <v>676131.97</v>
      </c>
      <c r="F51" s="1148"/>
    </row>
    <row r="52" spans="1:5" ht="15.75" thickBot="1">
      <c r="A52" s="846">
        <v>3</v>
      </c>
      <c r="B52" s="516" t="s">
        <v>1080</v>
      </c>
      <c r="C52" s="849">
        <f>SUM(C45:C51)</f>
        <v>-14370789.286638118</v>
      </c>
      <c r="D52" s="849">
        <f>SUM(D45:D51)</f>
        <v>-9698542.5273428224</v>
      </c>
      <c r="E52" s="514"/>
    </row>
    <row r="53" ht="15.75" thickTop="1"/>
    <row r="54" spans="5:5" ht="15">
      <c r="E54" s="842" t="s">
        <v>1063</v>
      </c>
    </row>
    <row r="55" spans="5:5" ht="15">
      <c r="E55" s="842" t="s">
        <v>1081</v>
      </c>
    </row>
    <row r="56" spans="2:5" ht="15">
      <c r="B56" s="510" t="s">
        <v>1065</v>
      </c>
      <c r="E56" s="842" t="str">
        <f>E36</f>
        <v>For the 12 months ended 12/31/2026</v>
      </c>
    </row>
    <row r="57" spans="5:5" ht="15">
      <c r="E57" s="842"/>
    </row>
    <row r="58" spans="1:5" ht="15">
      <c r="A58" s="844"/>
      <c r="B58" s="515" t="s">
        <v>1066</v>
      </c>
      <c r="C58" s="515" t="s">
        <v>1067</v>
      </c>
      <c r="D58" s="515" t="s">
        <v>1068</v>
      </c>
      <c r="E58" s="515" t="s">
        <v>1069</v>
      </c>
    </row>
    <row r="59" spans="1:5" ht="15">
      <c r="A59" s="844"/>
      <c r="B59" s="844"/>
      <c r="C59" s="844"/>
      <c r="D59" s="844"/>
      <c r="E59" s="516"/>
    </row>
    <row r="60" spans="1:5" ht="15">
      <c r="A60" s="844"/>
      <c r="B60" s="844"/>
      <c r="C60" s="845" t="s">
        <v>1070</v>
      </c>
      <c r="D60" s="845" t="s">
        <v>1070</v>
      </c>
      <c r="E60" s="509" t="s">
        <v>1071</v>
      </c>
    </row>
    <row r="61" spans="1:5" ht="15">
      <c r="A61" s="844"/>
      <c r="B61" s="515"/>
      <c r="C61" s="512" t="s">
        <v>1442</v>
      </c>
      <c r="D61" s="512" t="s">
        <v>1461</v>
      </c>
      <c r="E61" s="509" t="s">
        <v>1072</v>
      </c>
    </row>
    <row r="62" spans="1:4" ht="15">
      <c r="A62" s="844"/>
      <c r="B62" s="844"/>
      <c r="C62" s="844"/>
      <c r="D62" s="844"/>
    </row>
    <row r="63" spans="1:4" ht="15.6" customHeight="1">
      <c r="A63" s="846"/>
      <c r="B63" s="850" t="s">
        <v>1082</v>
      </c>
      <c r="C63" s="850"/>
      <c r="D63" s="850"/>
    </row>
    <row r="64" spans="1:6" ht="15.6" customHeight="1">
      <c r="A64" s="846"/>
      <c r="B64" s="847" t="s">
        <v>1447</v>
      </c>
      <c r="C64" s="848">
        <v>2541184.0705168396</v>
      </c>
      <c r="D64" s="848">
        <v>16745716.705711139</v>
      </c>
      <c r="E64" s="514">
        <f t="shared" si="2" ref="E64:E70">AVERAGE(C64:D64)</f>
        <v>9643450.3881139904</v>
      </c>
      <c r="F64" s="1159"/>
    </row>
    <row r="65" spans="1:6" ht="15.6" customHeight="1">
      <c r="A65" s="846"/>
      <c r="B65" s="847" t="s">
        <v>1484</v>
      </c>
      <c r="C65" s="848">
        <v>15307283.397779131</v>
      </c>
      <c r="D65" s="848">
        <v>11267677.99012867</v>
      </c>
      <c r="E65" s="514">
        <f t="shared" si="2"/>
        <v>13287480.693953902</v>
      </c>
      <c r="F65" s="1159"/>
    </row>
    <row r="66" spans="1:6" ht="15.6" customHeight="1">
      <c r="A66" s="846"/>
      <c r="B66" s="847" t="s">
        <v>1485</v>
      </c>
      <c r="C66" s="848">
        <v>600960.80941976176</v>
      </c>
      <c r="D66" s="848">
        <v>564245.91102238698</v>
      </c>
      <c r="E66" s="514">
        <f t="shared" si="2"/>
        <v>582603.36022107443</v>
      </c>
      <c r="F66" s="1159"/>
    </row>
    <row r="67" spans="1:6" ht="15">
      <c r="A67" s="846"/>
      <c r="B67" s="847" t="s">
        <v>1415</v>
      </c>
      <c r="C67" s="848">
        <v>9936972.0399999991</v>
      </c>
      <c r="D67" s="848">
        <v>16968351.539999999</v>
      </c>
      <c r="E67" s="514">
        <f t="shared" si="2"/>
        <v>13452661.789999999</v>
      </c>
      <c r="F67" s="1159"/>
    </row>
    <row r="68" spans="1:6" ht="15.6" customHeight="1">
      <c r="A68" s="846"/>
      <c r="B68" s="847" t="s">
        <v>1416</v>
      </c>
      <c r="C68" s="848">
        <v>3731780.8699999996</v>
      </c>
      <c r="D68" s="848">
        <v>3623508.83</v>
      </c>
      <c r="E68" s="514">
        <f t="shared" si="2"/>
        <v>3677644.8499999996</v>
      </c>
      <c r="F68" s="1159"/>
    </row>
    <row r="69" spans="1:6" ht="15">
      <c r="A69" s="846"/>
      <c r="B69" s="1137" t="s">
        <v>1306</v>
      </c>
      <c r="C69" s="848">
        <v>2267918.5541462805</v>
      </c>
      <c r="D69" s="848">
        <v>1649327.3463592804</v>
      </c>
      <c r="E69" s="514">
        <f t="shared" si="2"/>
        <v>1958622.9502527805</v>
      </c>
      <c r="F69" s="1159"/>
    </row>
    <row r="70" spans="1:6" ht="15">
      <c r="A70" s="846"/>
      <c r="B70" s="847" t="s">
        <v>1417</v>
      </c>
      <c r="C70" s="848">
        <v>-716454.21419999993</v>
      </c>
      <c r="D70" s="848">
        <v>-610166.44799999997</v>
      </c>
      <c r="E70" s="514">
        <f t="shared" si="2"/>
        <v>-663310.33109999995</v>
      </c>
      <c r="F70" s="1159"/>
    </row>
    <row r="71" spans="1:5" ht="15.75" thickBot="1">
      <c r="A71" s="846">
        <v>4</v>
      </c>
      <c r="B71" s="850" t="s">
        <v>1083</v>
      </c>
      <c r="C71" s="849">
        <f>SUM(C64:C70)</f>
        <v>33669645.527662016</v>
      </c>
      <c r="D71" s="849">
        <f>SUM(D64:D70)</f>
        <v>50208661.875221476</v>
      </c>
      <c r="E71" s="849">
        <f t="shared" si="3" ref="E71">SUM(E64:E70)</f>
        <v>41939153.701441742</v>
      </c>
    </row>
    <row r="72" ht="15.75" thickTop="1"/>
  </sheetData>
  <customSheetViews>
    <customSheetView guid="{33e6ffdf-cb42-4a87-b460-a01a45f9a9a1}" printArea="1" scale="60" showPageBreaks="1" topLeftCell="A4" view="pageBreakPreview">
      <pane xSplit="2" ySplit="5" topLeftCell="C9" activePane="bottomRight" state="frozen"/>
      <selection pane="bottomRight" activeCell="A4" sqref="A4:D4"/>
      <rowBreaks count="2" manualBreakCount="2">
        <brk id="32" max="4" man="1"/>
        <brk id="53" max="4" man="1"/>
      </rowBreaks>
      <pageMargins left="0.7" right="0.7" top="0.75" bottom="0.75" header="0.3" footer="0.3"/>
      <pageSetup orientation="portrait" paperSize="1" scale="92" r:id="rId2"/>
    </customSheetView>
    <customSheetView guid="{394295c0-a883-44ec-b980-c2facd4b6eba}" printArea="1" scale="60" showPageBreaks="1" topLeftCell="A4" view="pageBreakPreview">
      <pane xSplit="2" ySplit="5" topLeftCell="C9" activePane="bottomRight" state="frozen"/>
      <selection pane="bottomRight" activeCell="A4" sqref="A4:D4"/>
      <rowBreaks count="2" manualBreakCount="2">
        <brk id="32" max="4" man="1"/>
        <brk id="53" max="4" man="1"/>
      </rowBreaks>
      <pageMargins left="0.7" right="0.7" top="0.75" bottom="0.75" header="0.3" footer="0.3"/>
      <pageSetup orientation="portrait" paperSize="1" scale="92" r:id="rId3"/>
    </customSheetView>
  </customSheetViews>
  <mergeCells count="1">
    <mergeCell ref="A4:D4"/>
  </mergeCells>
  <pageMargins left="0.7" right="0.7" top="0.75" bottom="0.75" header="0.3" footer="0.3"/>
  <pageSetup orientation="portrait" paperSize="1" scale="59" r:id="rId1"/>
  <rowBreaks count="2" manualBreakCount="2">
    <brk id="33" max="16383" man="1"/>
    <brk id="53"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dimension ref="A1:J17"/>
  <sheetViews>
    <sheetView view="pageBreakPreview" zoomScale="90" zoomScaleNormal="110" zoomScaleSheetLayoutView="90" workbookViewId="0" topLeftCell="A1"/>
  </sheetViews>
  <sheetFormatPr defaultRowHeight="15"/>
  <cols>
    <col min="1" max="1" width="3" customWidth="1"/>
    <col min="2" max="2" width="1.88888888888889" customWidth="1"/>
    <col min="3" max="3" width="46.5555555555556" customWidth="1"/>
    <col min="4" max="4" width="7.22222222222222" customWidth="1"/>
    <col min="5" max="5" width="13.2222222222222" customWidth="1"/>
    <col min="6" max="6" width="2" customWidth="1"/>
    <col min="10" max="10" width="4.11111111111111" customWidth="1"/>
  </cols>
  <sheetData>
    <row r="1" spans="5:10" ht="15.75">
      <c r="E1" s="4"/>
      <c r="I1" s="4"/>
      <c r="J1" s="4" t="s">
        <v>784</v>
      </c>
    </row>
    <row r="2" spans="5:10" ht="15.75">
      <c r="E2" s="4"/>
      <c r="I2" s="4"/>
      <c r="J2" s="4" t="s">
        <v>220</v>
      </c>
    </row>
    <row r="3" spans="1:10" ht="15.75">
      <c r="A3" s="31"/>
      <c r="B3" s="69"/>
      <c r="C3" s="69"/>
      <c r="D3" s="69"/>
      <c r="E3" s="4"/>
      <c r="I3" s="4"/>
      <c r="J3" s="4" t="str">
        <f>'Attachment 1 - Sched 1A'!$J$3</f>
        <v>For the 12 months ended 12/31/2026</v>
      </c>
    </row>
    <row r="4" spans="1:5" ht="15.75">
      <c r="A4" s="31"/>
      <c r="B4" s="69"/>
      <c r="C4" s="69"/>
      <c r="D4" s="69"/>
      <c r="E4" s="69"/>
    </row>
    <row r="5" spans="1:5" ht="15">
      <c r="A5" s="136">
        <v>1</v>
      </c>
      <c r="B5" s="134"/>
      <c r="C5" s="135" t="s">
        <v>398</v>
      </c>
      <c r="D5" s="134"/>
      <c r="E5" s="136"/>
    </row>
    <row r="6" spans="1:5" ht="15">
      <c r="A6" s="136"/>
      <c r="B6" s="134"/>
      <c r="C6" s="135"/>
      <c r="D6" s="134"/>
      <c r="E6" s="136"/>
    </row>
    <row r="7" spans="1:7" ht="15">
      <c r="A7" s="136">
        <f>+A5+1</f>
        <v>2</v>
      </c>
      <c r="B7" s="134"/>
      <c r="C7" s="137" t="s">
        <v>857</v>
      </c>
      <c r="D7" s="138"/>
      <c r="E7" s="538" t="s">
        <v>8</v>
      </c>
      <c r="F7" s="537"/>
      <c r="G7" s="537" t="s">
        <v>369</v>
      </c>
    </row>
    <row r="8" spans="1:7" ht="15">
      <c r="A8" s="136">
        <f t="shared" si="0" ref="A8:A14">+A7+1</f>
        <v>3</v>
      </c>
      <c r="B8" s="134"/>
      <c r="C8" s="139" t="s">
        <v>914</v>
      </c>
      <c r="D8" s="139"/>
      <c r="E8" s="476">
        <v>-108686300</v>
      </c>
      <c r="F8" s="139"/>
      <c r="G8" s="139" t="s">
        <v>1153</v>
      </c>
    </row>
    <row r="9" spans="1:7" ht="15">
      <c r="A9" s="136">
        <f t="shared" si="0"/>
        <v>4</v>
      </c>
      <c r="B9" s="134"/>
      <c r="C9" s="139" t="s">
        <v>915</v>
      </c>
      <c r="D9" s="139"/>
      <c r="E9" s="476">
        <v>2024261894</v>
      </c>
      <c r="F9" s="139"/>
      <c r="G9" s="139" t="s">
        <v>1154</v>
      </c>
    </row>
    <row r="10" spans="1:7" ht="15">
      <c r="A10" s="136">
        <f t="shared" si="0"/>
        <v>5</v>
      </c>
      <c r="B10" s="136"/>
      <c r="C10" s="139" t="s">
        <v>890</v>
      </c>
      <c r="D10" s="139"/>
      <c r="E10" s="142">
        <f>E8/E9</f>
        <v>-0.053691817408681605</v>
      </c>
      <c r="F10" s="139"/>
      <c r="G10" s="139"/>
    </row>
    <row r="11" spans="1:7" ht="15">
      <c r="A11" s="136">
        <f t="shared" si="0"/>
        <v>6</v>
      </c>
      <c r="B11" s="136"/>
      <c r="C11" s="139" t="s">
        <v>400</v>
      </c>
      <c r="D11" s="139"/>
      <c r="E11" s="402">
        <v>36235267</v>
      </c>
      <c r="F11" s="139"/>
      <c r="G11" s="139" t="s">
        <v>1155</v>
      </c>
    </row>
    <row r="12" spans="1:6" ht="15">
      <c r="A12" s="136">
        <f t="shared" si="0"/>
        <v>7</v>
      </c>
      <c r="B12" s="136"/>
      <c r="C12" s="139" t="s">
        <v>891</v>
      </c>
      <c r="D12" s="140"/>
      <c r="E12" s="1113">
        <f>E10*E11</f>
        <v>-1945537.339518826</v>
      </c>
      <c r="F12" s="139"/>
    </row>
    <row r="13" spans="1:7" ht="15">
      <c r="A13" s="136">
        <f t="shared" si="0"/>
        <v>8</v>
      </c>
      <c r="B13" s="136"/>
      <c r="C13" s="139" t="s">
        <v>1156</v>
      </c>
      <c r="D13" s="139"/>
      <c r="E13" s="402">
        <v>-422217</v>
      </c>
      <c r="F13" s="139"/>
      <c r="G13" s="139" t="s">
        <v>1157</v>
      </c>
    </row>
    <row r="14" spans="1:6" ht="15">
      <c r="A14" s="136">
        <f t="shared" si="0"/>
        <v>9</v>
      </c>
      <c r="B14" s="136"/>
      <c r="C14" s="139" t="s">
        <v>892</v>
      </c>
      <c r="D14" s="139"/>
      <c r="E14" s="141">
        <f>E12-E13</f>
        <v>-1523320.339518826</v>
      </c>
      <c r="F14" s="139"/>
    </row>
    <row r="15" spans="1:5" ht="15">
      <c r="A15" s="136"/>
      <c r="B15" s="136"/>
      <c r="C15" s="139"/>
      <c r="D15" s="139"/>
      <c r="E15" s="143"/>
    </row>
    <row r="16" spans="1:5" ht="15">
      <c r="A16" s="136"/>
      <c r="B16" s="136"/>
      <c r="C16" s="139"/>
      <c r="D16" s="139"/>
      <c r="E16" s="141"/>
    </row>
    <row r="17" spans="1:5" ht="15">
      <c r="A17" s="136">
        <v>10</v>
      </c>
      <c r="B17" s="136"/>
      <c r="C17" s="139" t="s">
        <v>1182</v>
      </c>
      <c r="D17" s="139"/>
      <c r="E17" s="139"/>
    </row>
  </sheetData>
  <customSheetViews>
    <customSheetView guid="{33e6ffdf-cb42-4a87-b460-a01a45f9a9a1}" scale="60" showPageBreaks="1" topLeftCell="A1" view="pageBreakPreview">
      <pageMargins left="0.7" right="0.7" top="0.75" bottom="0.75" header="0.3" footer="0.3"/>
      <pageSetup orientation="portrait" paperSize="1" scale="57" r:id="rId2"/>
    </customSheetView>
    <customSheetView guid="{394295c0-a883-44ec-b980-c2facd4b6eba}" scale="60" showPageBreaks="1" topLeftCell="A1" view="pageBreakPreview">
      <pageMargins left="0.7" right="0.7" top="0.75" bottom="0.75" header="0.3" footer="0.3"/>
      <pageSetup orientation="portrait" paperSize="1" scale="57" r:id="rId3"/>
    </customSheetView>
  </customSheetViews>
  <pageMargins left="0.7" right="0.7" top="0.75" bottom="0.75" header="0.3" footer="0.3"/>
  <pageSetup orientation="portrait" paperSize="1" scale="57"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F40"/>
  <sheetViews>
    <sheetView view="pageBreakPreview" zoomScale="90" zoomScaleNormal="80" zoomScaleSheetLayoutView="90" workbookViewId="0" topLeftCell="A1"/>
  </sheetViews>
  <sheetFormatPr defaultColWidth="8.88555555555556" defaultRowHeight="20.1" customHeight="1"/>
  <cols>
    <col min="1" max="1" width="3.88888888888889" style="28" customWidth="1"/>
    <col min="2" max="2" width="40.8888888888889" style="22" customWidth="1"/>
    <col min="3" max="3" width="10.8888888888889" style="27" customWidth="1"/>
    <col min="4" max="4" width="12.8888888888889" style="37" customWidth="1"/>
    <col min="5" max="16384" width="8.88888888888889" style="22"/>
  </cols>
  <sheetData>
    <row r="1" spans="4:4" ht="20.1" customHeight="1">
      <c r="D1" s="4" t="s">
        <v>785</v>
      </c>
    </row>
    <row r="2" spans="4:4" ht="20.1" customHeight="1">
      <c r="D2" s="4" t="s">
        <v>220</v>
      </c>
    </row>
    <row r="3" spans="4:4" ht="20.1" customHeight="1">
      <c r="D3" s="4" t="str">
        <f>'Attachment 1 - Sched 1A'!$J$3</f>
        <v>For the 12 months ended 12/31/2026</v>
      </c>
    </row>
    <row r="4" spans="1:2" ht="20.1" customHeight="1">
      <c r="A4" s="31"/>
      <c r="B4" s="30" t="s">
        <v>786</v>
      </c>
    </row>
    <row r="6" spans="2:6" ht="20.1" customHeight="1">
      <c r="B6" s="27"/>
      <c r="C6" s="29" t="s">
        <v>256</v>
      </c>
      <c r="D6" s="393" t="s">
        <v>1458</v>
      </c>
      <c r="F6" s="30"/>
    </row>
    <row r="7" spans="1:4" ht="20.1" customHeight="1">
      <c r="A7" s="41">
        <v>1</v>
      </c>
      <c r="B7" s="33" t="s">
        <v>275</v>
      </c>
      <c r="C7" s="37"/>
      <c r="D7" s="30"/>
    </row>
    <row r="8" spans="1:4" ht="20.1" customHeight="1">
      <c r="A8" s="41" t="s">
        <v>725</v>
      </c>
      <c r="B8" s="550" t="s">
        <v>1380</v>
      </c>
      <c r="C8" s="37" t="s">
        <v>67</v>
      </c>
      <c r="D8" s="61">
        <v>586643.17999999982</v>
      </c>
    </row>
    <row r="9" spans="1:4" ht="20.1" customHeight="1">
      <c r="A9" s="41" t="s">
        <v>726</v>
      </c>
      <c r="B9" s="550"/>
      <c r="C9" s="37" t="s">
        <v>67</v>
      </c>
      <c r="D9" s="61">
        <v>0</v>
      </c>
    </row>
    <row r="10" spans="1:6" ht="20.1" customHeight="1" thickBot="1">
      <c r="A10" s="41" t="s">
        <v>727</v>
      </c>
      <c r="B10" s="550"/>
      <c r="C10" s="37" t="s">
        <v>67</v>
      </c>
      <c r="D10" s="66">
        <v>0</v>
      </c>
      <c r="F10" s="23"/>
    </row>
    <row r="11" spans="1:6" ht="20.1" customHeight="1">
      <c r="A11" s="41" t="s">
        <v>734</v>
      </c>
      <c r="B11" s="38" t="s">
        <v>277</v>
      </c>
      <c r="C11" s="37"/>
      <c r="D11" s="67">
        <f>SUM(D8:D10)</f>
        <v>586643.17999999982</v>
      </c>
      <c r="F11" s="23"/>
    </row>
    <row r="12" spans="1:4" ht="20.1" customHeight="1">
      <c r="A12" s="41"/>
      <c r="B12" s="33"/>
      <c r="C12" s="37"/>
      <c r="D12" s="67"/>
    </row>
    <row r="13" spans="1:6" ht="20.1" customHeight="1">
      <c r="A13" s="41" t="s">
        <v>728</v>
      </c>
      <c r="B13" s="33" t="s">
        <v>274</v>
      </c>
      <c r="C13" s="37"/>
      <c r="D13" s="67"/>
      <c r="E13" s="34"/>
      <c r="F13" s="34"/>
    </row>
    <row r="14" spans="1:6" ht="20.1" customHeight="1" thickBot="1">
      <c r="A14" s="41" t="s">
        <v>631</v>
      </c>
      <c r="B14" s="550"/>
      <c r="C14" s="37" t="s">
        <v>67</v>
      </c>
      <c r="D14" s="66">
        <v>0</v>
      </c>
      <c r="E14" s="34"/>
      <c r="F14" s="34"/>
    </row>
    <row r="15" spans="1:6" ht="20.1" customHeight="1">
      <c r="A15" s="41" t="s">
        <v>735</v>
      </c>
      <c r="B15" s="39" t="s">
        <v>274</v>
      </c>
      <c r="C15" s="37"/>
      <c r="D15" s="67">
        <f>SUM(D14)</f>
        <v>0</v>
      </c>
      <c r="E15" s="34"/>
      <c r="F15" s="34"/>
    </row>
    <row r="16" spans="1:6" ht="20.1" customHeight="1">
      <c r="A16" s="41"/>
      <c r="B16" s="33"/>
      <c r="C16" s="37"/>
      <c r="D16" s="67"/>
      <c r="E16" s="34"/>
      <c r="F16" s="34"/>
    </row>
    <row r="17" spans="1:6" ht="20.1" customHeight="1">
      <c r="A17" s="41" t="s">
        <v>244</v>
      </c>
      <c r="B17" s="33" t="s">
        <v>272</v>
      </c>
      <c r="C17" s="37"/>
      <c r="D17" s="67"/>
      <c r="E17" s="34"/>
      <c r="F17" s="34"/>
    </row>
    <row r="18" spans="1:6" ht="20.1" customHeight="1">
      <c r="A18" s="41" t="s">
        <v>829</v>
      </c>
      <c r="B18" s="550" t="s">
        <v>1444</v>
      </c>
      <c r="C18" s="37" t="s">
        <v>67</v>
      </c>
      <c r="D18" s="555">
        <v>98400</v>
      </c>
      <c r="E18" s="1143"/>
      <c r="F18" s="34"/>
    </row>
    <row r="19" spans="1:6" ht="20.1" customHeight="1">
      <c r="A19" s="41" t="s">
        <v>729</v>
      </c>
      <c r="B19" s="550" t="s">
        <v>1445</v>
      </c>
      <c r="C19" s="37" t="s">
        <v>67</v>
      </c>
      <c r="D19" s="61">
        <v>106800</v>
      </c>
      <c r="E19" s="34"/>
      <c r="F19" s="34"/>
    </row>
    <row r="20" spans="1:6" ht="20.1" customHeight="1" thickBot="1">
      <c r="A20" s="41" t="s">
        <v>730</v>
      </c>
      <c r="B20" s="550"/>
      <c r="C20" s="37"/>
      <c r="D20" s="66">
        <v>0</v>
      </c>
      <c r="E20" s="34"/>
      <c r="F20" s="34"/>
    </row>
    <row r="21" spans="1:6" ht="20.1" customHeight="1">
      <c r="A21" s="41" t="s">
        <v>736</v>
      </c>
      <c r="B21" s="39" t="s">
        <v>272</v>
      </c>
      <c r="C21" s="37"/>
      <c r="D21" s="67">
        <f>SUM(D18:D20)</f>
        <v>205200</v>
      </c>
      <c r="E21" s="34"/>
      <c r="F21" s="34"/>
    </row>
    <row r="22" spans="1:6" ht="20.1" customHeight="1">
      <c r="A22" s="41"/>
      <c r="B22" s="33"/>
      <c r="C22" s="37"/>
      <c r="D22" s="67"/>
      <c r="E22" s="34"/>
      <c r="F22" s="34"/>
    </row>
    <row r="23" spans="1:6" ht="20.1" customHeight="1">
      <c r="A23" s="41" t="s">
        <v>245</v>
      </c>
      <c r="B23" s="33" t="s">
        <v>273</v>
      </c>
      <c r="C23" s="22"/>
      <c r="D23" s="67"/>
      <c r="E23" s="34"/>
      <c r="F23" s="34"/>
    </row>
    <row r="24" spans="1:6" ht="20.1" customHeight="1" thickBot="1">
      <c r="A24" s="41" t="s">
        <v>640</v>
      </c>
      <c r="B24" s="550"/>
      <c r="C24" s="37" t="s">
        <v>67</v>
      </c>
      <c r="D24" s="66">
        <v>0</v>
      </c>
      <c r="E24" s="34"/>
      <c r="F24" s="34"/>
    </row>
    <row r="25" spans="1:6" ht="20.1" customHeight="1">
      <c r="A25" s="41" t="s">
        <v>737</v>
      </c>
      <c r="B25" s="39" t="s">
        <v>273</v>
      </c>
      <c r="C25" s="22"/>
      <c r="D25" s="62">
        <f>SUM(D24:D24)</f>
        <v>0</v>
      </c>
      <c r="E25" s="34"/>
      <c r="F25" s="34"/>
    </row>
    <row r="26" spans="1:6" ht="20.1" customHeight="1">
      <c r="A26" s="41"/>
      <c r="B26" s="33"/>
      <c r="C26" s="37"/>
      <c r="D26" s="67"/>
      <c r="E26" s="34"/>
      <c r="F26" s="34"/>
    </row>
    <row r="27" spans="1:6" ht="20.1" customHeight="1">
      <c r="A27" s="41" t="s">
        <v>196</v>
      </c>
      <c r="B27" s="33" t="s">
        <v>276</v>
      </c>
      <c r="C27" s="37"/>
      <c r="D27" s="67"/>
      <c r="E27" s="34"/>
      <c r="F27" s="34"/>
    </row>
    <row r="28" spans="1:6" ht="20.1" customHeight="1">
      <c r="A28" s="41" t="s">
        <v>731</v>
      </c>
      <c r="B28" s="551"/>
      <c r="C28" s="37" t="s">
        <v>67</v>
      </c>
      <c r="D28" s="61">
        <v>0</v>
      </c>
      <c r="E28" s="34"/>
      <c r="F28" s="34"/>
    </row>
    <row r="29" spans="1:6" ht="20.1" customHeight="1">
      <c r="A29" s="41" t="s">
        <v>732</v>
      </c>
      <c r="B29" s="551"/>
      <c r="C29" s="37" t="s">
        <v>67</v>
      </c>
      <c r="D29" s="61">
        <v>0</v>
      </c>
      <c r="E29" s="34"/>
      <c r="F29" s="34"/>
    </row>
    <row r="30" spans="1:4" ht="20.1" customHeight="1" thickBot="1">
      <c r="A30" s="41" t="s">
        <v>733</v>
      </c>
      <c r="B30" s="551"/>
      <c r="C30" s="37"/>
      <c r="D30" s="66">
        <v>0</v>
      </c>
    </row>
    <row r="31" spans="1:4" ht="20.1" customHeight="1">
      <c r="A31" s="41" t="s">
        <v>738</v>
      </c>
      <c r="B31" s="39" t="s">
        <v>276</v>
      </c>
      <c r="C31" s="37"/>
      <c r="D31" s="67">
        <f>SUM(D28:D30)</f>
        <v>0</v>
      </c>
    </row>
    <row r="32" spans="1:4" ht="20.1" customHeight="1">
      <c r="A32" s="41"/>
      <c r="B32" s="27"/>
      <c r="C32" s="37"/>
      <c r="D32" s="67"/>
    </row>
    <row r="33" spans="1:4" ht="20.1" customHeight="1">
      <c r="A33" s="41" t="s">
        <v>739</v>
      </c>
      <c r="B33" s="33" t="s">
        <v>278</v>
      </c>
      <c r="C33" s="37"/>
      <c r="D33" s="61"/>
    </row>
    <row r="35" spans="1:4" ht="31.5" customHeight="1">
      <c r="A35" s="41" t="s">
        <v>199</v>
      </c>
      <c r="B35" s="1207" t="s">
        <v>740</v>
      </c>
      <c r="C35" s="1207"/>
      <c r="D35" s="700">
        <f>D11+D15+D21+D25+D31+D33</f>
        <v>791843.17999999982</v>
      </c>
    </row>
    <row r="39" spans="1:2" ht="20.1" customHeight="1">
      <c r="A39" s="22" t="s">
        <v>257</v>
      </c>
      <c r="B39" s="27"/>
    </row>
    <row r="40" spans="1:6" s="37" customFormat="1" ht="20.1" customHeight="1">
      <c r="A40" s="28" t="s">
        <v>256</v>
      </c>
      <c r="B40" s="22" t="s">
        <v>258</v>
      </c>
      <c r="E40" s="22"/>
      <c r="F40" s="22"/>
    </row>
  </sheetData>
  <customSheetViews>
    <customSheetView guid="{33e6ffdf-cb42-4a87-b460-a01a45f9a9a1}" scale="60" showPageBreaks="1" topLeftCell="A1" view="pageBreakPreview">
      <pageMargins left="0.7" right="0.7" top="0.75" bottom="0.75" header="0.3" footer="0.3"/>
      <pageSetup orientation="portrait" paperSize="1" scale="60"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scale="60" showPageBreaks="1" topLeftCell="A1" view="pageBreakPreview">
      <pageMargins left="0.7" right="0.7" top="0.75" bottom="0.75" header="0.3" footer="0.3"/>
      <pageSetup orientation="portrait" paperSize="1" scale="60" r:id="rId4"/>
      <headerFooter alignWithMargins="0"/>
    </customSheetView>
  </customSheetViews>
  <mergeCells count="1">
    <mergeCell ref="B35:C35"/>
  </mergeCells>
  <pageMargins left="0.7" right="0.7" top="0.75" bottom="0.75" header="0.3" footer="0.3"/>
  <pageSetup orientation="portrait" paperSize="1" scale="6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M28"/>
  <sheetViews>
    <sheetView view="pageBreakPreview" zoomScale="90" zoomScaleNormal="80" zoomScaleSheetLayoutView="90" workbookViewId="0" topLeftCell="A1"/>
  </sheetViews>
  <sheetFormatPr defaultColWidth="8.88555555555556" defaultRowHeight="20.1" customHeight="1"/>
  <cols>
    <col min="1" max="1" width="2.88888888888889" style="28" customWidth="1"/>
    <col min="2" max="2" width="10.8888888888889" style="22" customWidth="1"/>
    <col min="3" max="3" width="8.88888888888889" style="22"/>
    <col min="4" max="4" width="2.88888888888889" style="22" customWidth="1"/>
    <col min="5" max="11" width="12.8888888888889" style="28" customWidth="1"/>
    <col min="12" max="12" width="8.88888888888889" style="22"/>
    <col min="13" max="13" width="14.1111111111111" style="22" bestFit="1" customWidth="1"/>
    <col min="14" max="15" width="13.5555555555556" style="22" bestFit="1" customWidth="1"/>
    <col min="16" max="16384" width="8.88888888888889" style="22"/>
  </cols>
  <sheetData>
    <row r="1" spans="13:13" ht="20.1" customHeight="1">
      <c r="M1" s="4" t="s">
        <v>787</v>
      </c>
    </row>
    <row r="2" spans="13:13" ht="20.1" customHeight="1">
      <c r="M2" s="4" t="s">
        <v>220</v>
      </c>
    </row>
    <row r="3" spans="8:13" ht="20.1" customHeight="1">
      <c r="H3" s="30" t="s">
        <v>788</v>
      </c>
      <c r="M3" s="4" t="str">
        <f>'Attachment 1 - Sched 1A'!$J$3</f>
        <v>For the 12 months ended 12/31/2026</v>
      </c>
    </row>
    <row r="4" spans="1:1" ht="20.1" customHeight="1">
      <c r="A4" s="31"/>
    </row>
    <row r="5" spans="5:11" ht="20.1" customHeight="1">
      <c r="E5" s="40" t="s">
        <v>707</v>
      </c>
      <c r="F5" s="40" t="s">
        <v>708</v>
      </c>
      <c r="G5" s="40" t="s">
        <v>709</v>
      </c>
      <c r="H5" s="40" t="s">
        <v>710</v>
      </c>
      <c r="I5" s="40" t="s">
        <v>711</v>
      </c>
      <c r="J5" s="40" t="s">
        <v>712</v>
      </c>
      <c r="K5" s="40" t="s">
        <v>713</v>
      </c>
    </row>
    <row r="6" spans="5:11" ht="20.1" customHeight="1">
      <c r="E6" s="30" t="s">
        <v>279</v>
      </c>
      <c r="F6" s="30" t="s">
        <v>281</v>
      </c>
      <c r="G6" s="30" t="s">
        <v>282</v>
      </c>
      <c r="H6" s="30" t="s">
        <v>586</v>
      </c>
      <c r="I6" s="30" t="s">
        <v>653</v>
      </c>
      <c r="J6" s="30" t="s">
        <v>107</v>
      </c>
      <c r="K6" s="30" t="s">
        <v>283</v>
      </c>
    </row>
    <row r="7" spans="5:11" ht="20.1" customHeight="1">
      <c r="E7" s="30" t="s">
        <v>280</v>
      </c>
      <c r="F7" s="30"/>
      <c r="G7" s="30"/>
      <c r="H7" s="30"/>
      <c r="I7" s="30"/>
      <c r="J7" s="30"/>
      <c r="K7" s="30"/>
    </row>
    <row r="8" spans="4:11" ht="20.1" customHeight="1">
      <c r="D8" s="26" t="s">
        <v>256</v>
      </c>
      <c r="E8" s="29" t="s">
        <v>284</v>
      </c>
      <c r="F8" s="29" t="s">
        <v>285</v>
      </c>
      <c r="G8" s="29" t="s">
        <v>286</v>
      </c>
      <c r="H8" s="29" t="s">
        <v>585</v>
      </c>
      <c r="I8" s="29" t="s">
        <v>654</v>
      </c>
      <c r="J8" s="29" t="s">
        <v>655</v>
      </c>
      <c r="K8" s="32" t="s">
        <v>867</v>
      </c>
    </row>
    <row r="9" spans="1:11" ht="20.1" customHeight="1">
      <c r="A9" s="32">
        <v>1</v>
      </c>
      <c r="B9" s="22" t="s">
        <v>233</v>
      </c>
      <c r="C9" s="25">
        <v>2025</v>
      </c>
      <c r="D9" s="26"/>
      <c r="E9" s="928">
        <v>2343767831.0468202</v>
      </c>
      <c r="F9" s="61"/>
      <c r="G9" s="61"/>
      <c r="H9" s="61"/>
      <c r="I9" s="928">
        <v>223591970</v>
      </c>
      <c r="J9" s="67">
        <f>E9-F9-G9-H9-I9</f>
        <v>2120175861.0468202</v>
      </c>
      <c r="K9" s="928">
        <v>1479850116.5150256</v>
      </c>
    </row>
    <row r="10" spans="1:11" ht="20.1" customHeight="1">
      <c r="A10" s="32">
        <v>2</v>
      </c>
      <c r="B10" s="22" t="s">
        <v>234</v>
      </c>
      <c r="C10" s="24">
        <f>C9+1</f>
        <v>2026</v>
      </c>
      <c r="E10" s="928">
        <v>2613659719.3560925</v>
      </c>
      <c r="F10" s="61"/>
      <c r="G10" s="61"/>
      <c r="H10" s="61"/>
      <c r="I10" s="928">
        <v>223591970</v>
      </c>
      <c r="J10" s="67">
        <f t="shared" si="0" ref="J10:J21">E10-F10-G10-H10-I10</f>
        <v>2390067749.3560925</v>
      </c>
      <c r="K10" s="928">
        <v>1479679902.888027</v>
      </c>
    </row>
    <row r="11" spans="1:11" ht="20.1" customHeight="1">
      <c r="A11" s="32">
        <v>3</v>
      </c>
      <c r="B11" s="22" t="s">
        <v>235</v>
      </c>
      <c r="C11" s="24">
        <f>C10</f>
        <v>2026</v>
      </c>
      <c r="E11" s="928">
        <v>2634221255.3536406</v>
      </c>
      <c r="F11" s="61"/>
      <c r="G11" s="61"/>
      <c r="H11" s="61"/>
      <c r="I11" s="928">
        <v>223591970</v>
      </c>
      <c r="J11" s="67">
        <f t="shared" si="0"/>
        <v>2410629285.3536406</v>
      </c>
      <c r="K11" s="928">
        <v>1479509689.2610378</v>
      </c>
    </row>
    <row r="12" spans="1:11" ht="20.1" customHeight="1">
      <c r="A12" s="32">
        <v>4</v>
      </c>
      <c r="B12" s="22" t="s">
        <v>236</v>
      </c>
      <c r="C12" s="24">
        <f t="shared" si="1" ref="C12:C21">C11</f>
        <v>2026</v>
      </c>
      <c r="E12" s="928">
        <v>2655325583.283112</v>
      </c>
      <c r="F12" s="61"/>
      <c r="G12" s="61"/>
      <c r="H12" s="61"/>
      <c r="I12" s="928">
        <v>223591970</v>
      </c>
      <c r="J12" s="67">
        <f t="shared" si="0"/>
        <v>2431733613.283112</v>
      </c>
      <c r="K12" s="928">
        <v>1479339475.6340392</v>
      </c>
    </row>
    <row r="13" spans="1:11" ht="20.1" customHeight="1">
      <c r="A13" s="32">
        <v>5</v>
      </c>
      <c r="B13" s="22" t="s">
        <v>237</v>
      </c>
      <c r="C13" s="24">
        <f t="shared" si="1"/>
        <v>2026</v>
      </c>
      <c r="E13" s="928">
        <v>2676657915.3673539</v>
      </c>
      <c r="F13" s="61"/>
      <c r="G13" s="61"/>
      <c r="H13" s="61"/>
      <c r="I13" s="928">
        <v>223591970</v>
      </c>
      <c r="J13" s="67">
        <f t="shared" si="0"/>
        <v>2453065945.3673539</v>
      </c>
      <c r="K13" s="928">
        <v>1479169262.0070503</v>
      </c>
    </row>
    <row r="14" spans="1:11" ht="20.1" customHeight="1">
      <c r="A14" s="32">
        <v>6</v>
      </c>
      <c r="B14" s="22" t="s">
        <v>238</v>
      </c>
      <c r="C14" s="24">
        <f t="shared" si="1"/>
        <v>2026</v>
      </c>
      <c r="E14" s="928">
        <v>2698685544.5307288</v>
      </c>
      <c r="F14" s="61"/>
      <c r="G14" s="61"/>
      <c r="H14" s="61"/>
      <c r="I14" s="928">
        <v>223591970</v>
      </c>
      <c r="J14" s="67">
        <f t="shared" si="0"/>
        <v>2475093574.5307288</v>
      </c>
      <c r="K14" s="928">
        <v>1478999048.3800514</v>
      </c>
    </row>
    <row r="15" spans="1:11" ht="20.1" customHeight="1">
      <c r="A15" s="32">
        <v>7</v>
      </c>
      <c r="B15" s="22" t="s">
        <v>249</v>
      </c>
      <c r="C15" s="24">
        <f t="shared" si="1"/>
        <v>2026</v>
      </c>
      <c r="E15" s="928">
        <v>2721134951.8170776</v>
      </c>
      <c r="F15" s="61"/>
      <c r="G15" s="61"/>
      <c r="H15" s="61"/>
      <c r="I15" s="928">
        <v>223591970</v>
      </c>
      <c r="J15" s="67">
        <f t="shared" si="0"/>
        <v>2497542981.8170776</v>
      </c>
      <c r="K15" s="928">
        <v>1728828834.7530637</v>
      </c>
    </row>
    <row r="16" spans="1:11" ht="20.1" customHeight="1">
      <c r="A16" s="32">
        <v>8</v>
      </c>
      <c r="B16" s="22" t="s">
        <v>239</v>
      </c>
      <c r="C16" s="24">
        <f t="shared" si="1"/>
        <v>2026</v>
      </c>
      <c r="E16" s="928">
        <v>2742159984.8693156</v>
      </c>
      <c r="F16" s="61"/>
      <c r="G16" s="61"/>
      <c r="H16" s="61"/>
      <c r="I16" s="928">
        <v>223591970</v>
      </c>
      <c r="J16" s="67">
        <f t="shared" si="0"/>
        <v>2518568014.8693156</v>
      </c>
      <c r="K16" s="928">
        <v>1728658621.1260638</v>
      </c>
    </row>
    <row r="17" spans="1:11" ht="20.1" customHeight="1">
      <c r="A17" s="32">
        <v>9</v>
      </c>
      <c r="B17" s="22" t="s">
        <v>240</v>
      </c>
      <c r="C17" s="24">
        <f t="shared" si="1"/>
        <v>2026</v>
      </c>
      <c r="E17" s="928">
        <v>2763374662.0998545</v>
      </c>
      <c r="F17" s="61"/>
      <c r="G17" s="61"/>
      <c r="H17" s="61"/>
      <c r="I17" s="928">
        <v>223591970</v>
      </c>
      <c r="J17" s="67">
        <f t="shared" si="0"/>
        <v>2539782692.0998545</v>
      </c>
      <c r="K17" s="928">
        <v>1728488407.499074</v>
      </c>
    </row>
    <row r="18" spans="1:11" ht="20.1" customHeight="1">
      <c r="A18" s="32">
        <v>10</v>
      </c>
      <c r="B18" s="22" t="s">
        <v>241</v>
      </c>
      <c r="C18" s="24">
        <f t="shared" si="1"/>
        <v>2026</v>
      </c>
      <c r="E18" s="928">
        <v>2785299465.7884827</v>
      </c>
      <c r="F18" s="61"/>
      <c r="G18" s="61"/>
      <c r="H18" s="61"/>
      <c r="I18" s="928">
        <v>223591970</v>
      </c>
      <c r="J18" s="67">
        <f t="shared" si="0"/>
        <v>2561707495.7884827</v>
      </c>
      <c r="K18" s="928">
        <v>1728318193.8720841</v>
      </c>
    </row>
    <row r="19" spans="1:11" ht="20.1" customHeight="1">
      <c r="A19" s="32">
        <v>11</v>
      </c>
      <c r="B19" s="22" t="s">
        <v>243</v>
      </c>
      <c r="C19" s="24">
        <f t="shared" si="1"/>
        <v>2026</v>
      </c>
      <c r="E19" s="928">
        <v>2807251726.1147037</v>
      </c>
      <c r="F19" s="61"/>
      <c r="G19" s="61"/>
      <c r="H19" s="61"/>
      <c r="I19" s="928">
        <v>223591970</v>
      </c>
      <c r="J19" s="67">
        <f t="shared" si="0"/>
        <v>2583659756.1147037</v>
      </c>
      <c r="K19" s="928">
        <v>1728147980.2450845</v>
      </c>
    </row>
    <row r="20" spans="1:11" ht="20.1" customHeight="1">
      <c r="A20" s="32">
        <v>12</v>
      </c>
      <c r="B20" s="22" t="s">
        <v>242</v>
      </c>
      <c r="C20" s="24">
        <f t="shared" si="1"/>
        <v>2026</v>
      </c>
      <c r="E20" s="928">
        <v>2829044170.1251168</v>
      </c>
      <c r="F20" s="61"/>
      <c r="G20" s="61"/>
      <c r="H20" s="61"/>
      <c r="I20" s="928">
        <v>223591970</v>
      </c>
      <c r="J20" s="67">
        <f t="shared" si="0"/>
        <v>2605452200.1251168</v>
      </c>
      <c r="K20" s="928">
        <v>1727977766.6180947</v>
      </c>
    </row>
    <row r="21" spans="1:11" ht="20.1" customHeight="1">
      <c r="A21" s="32">
        <v>13</v>
      </c>
      <c r="B21" s="22" t="s">
        <v>233</v>
      </c>
      <c r="C21" s="24">
        <f t="shared" si="1"/>
        <v>2026</v>
      </c>
      <c r="E21" s="928">
        <v>2811932080.1763301</v>
      </c>
      <c r="F21" s="61">
        <v>0</v>
      </c>
      <c r="G21" s="61">
        <v>0</v>
      </c>
      <c r="H21" s="61">
        <v>0</v>
      </c>
      <c r="I21" s="928">
        <v>223591970</v>
      </c>
      <c r="J21" s="67">
        <f t="shared" si="0"/>
        <v>2588340110.1763301</v>
      </c>
      <c r="K21" s="928">
        <v>1727807552.9910948</v>
      </c>
    </row>
    <row r="22" spans="1:11" ht="20.1" customHeight="1">
      <c r="A22" s="22"/>
      <c r="E22" s="63"/>
      <c r="F22" s="63"/>
      <c r="G22" s="63"/>
      <c r="H22" s="63"/>
      <c r="I22" s="63"/>
      <c r="J22" s="63"/>
      <c r="K22" s="63"/>
    </row>
    <row r="23" spans="1:11" ht="20.1" customHeight="1">
      <c r="A23" s="32">
        <v>14</v>
      </c>
      <c r="B23" s="22" t="s">
        <v>255</v>
      </c>
      <c r="E23" s="63">
        <f t="shared" si="2" ref="E23:K23">SUM(E9:E21)/13</f>
        <v>2698654991.5329714</v>
      </c>
      <c r="F23" s="63">
        <f t="shared" si="2"/>
        <v>0</v>
      </c>
      <c r="G23" s="63">
        <f t="shared" si="2"/>
        <v>0</v>
      </c>
      <c r="H23" s="63">
        <f t="shared" si="2"/>
        <v>0</v>
      </c>
      <c r="I23" s="63">
        <f t="shared" si="2"/>
        <v>223591970</v>
      </c>
      <c r="J23" s="63">
        <f t="shared" si="2"/>
        <v>2475063021.5329714</v>
      </c>
      <c r="K23" s="63">
        <f t="shared" si="2"/>
        <v>1613444219.3684454</v>
      </c>
    </row>
    <row r="24" spans="1:1" ht="20.1" customHeight="1">
      <c r="A24" s="32"/>
    </row>
    <row r="26" spans="1:13" ht="20.1" customHeight="1">
      <c r="A26" s="22" t="s">
        <v>257</v>
      </c>
      <c r="M26" s="732"/>
    </row>
    <row r="27" spans="1:13" ht="20.1" customHeight="1">
      <c r="A27" s="28" t="s">
        <v>256</v>
      </c>
      <c r="B27" s="22" t="s">
        <v>258</v>
      </c>
      <c r="J27" s="42"/>
      <c r="M27" s="732"/>
    </row>
    <row r="28" spans="13:13" ht="20.1" customHeight="1">
      <c r="M28" s="732"/>
    </row>
  </sheetData>
  <customSheetViews>
    <customSheetView guid="{33e6ffdf-cb42-4a87-b460-a01a45f9a9a1}" scale="60" showPageBreaks="1" topLeftCell="A1" view="pageBreakPreview">
      <selection pane="topLeft" activeCell="K9" sqref="K9:K21"/>
      <pageMargins left="0.7" right="0.7" top="0.75" bottom="0.75" header="0.3" footer="0.3"/>
      <pageSetup orientation="portrait" paperSize="1" scale="55"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scale="60" showPageBreaks="1" topLeftCell="A1" view="pageBreakPreview">
      <selection pane="topLeft" activeCell="K9" sqref="K9:K21"/>
      <pageMargins left="0.7" right="0.7" top="0.75" bottom="0.75" header="0.3" footer="0.3"/>
      <pageSetup orientation="portrait" paperSize="1" scale="55" r:id="rId4"/>
      <headerFooter alignWithMargins="0"/>
    </customSheetView>
  </customSheetViews>
  <pageMargins left="0.7" right="0.7" top="0.75" bottom="0.75" header="0.3" footer="0.3"/>
  <pageSetup orientation="portrait" paperSize="1" scale="54"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O48"/>
  <sheetViews>
    <sheetView view="pageBreakPreview" zoomScale="90" zoomScaleNormal="100" zoomScaleSheetLayoutView="90" workbookViewId="0" topLeftCell="A1"/>
  </sheetViews>
  <sheetFormatPr defaultColWidth="8.88555555555556" defaultRowHeight="12.75"/>
  <cols>
    <col min="1" max="1" width="8.88888888888889" style="69"/>
    <col min="2" max="2" width="14.8888888888889" style="69" customWidth="1"/>
    <col min="3" max="3" width="12" style="69" customWidth="1"/>
    <col min="4" max="16384" width="8.88888888888889" style="69"/>
  </cols>
  <sheetData>
    <row r="1" spans="1:9" ht="15.75">
      <c r="A1" s="31"/>
      <c r="I1" s="4" t="s">
        <v>789</v>
      </c>
    </row>
    <row r="2" spans="1:9" ht="15.75">
      <c r="A2" s="31"/>
      <c r="I2" s="4" t="s">
        <v>220</v>
      </c>
    </row>
    <row r="3" spans="1:9" ht="15.75">
      <c r="A3" s="31"/>
      <c r="D3" s="70" t="s">
        <v>790</v>
      </c>
      <c r="I3" s="4" t="str">
        <f>'Attachment 1 - Sched 1A'!$J$3</f>
        <v>For the 12 months ended 12/31/2026</v>
      </c>
    </row>
    <row r="4" spans="1:1" ht="15.75">
      <c r="A4" s="31"/>
    </row>
    <row r="5" spans="1:1" ht="12.75">
      <c r="A5" s="70"/>
    </row>
    <row r="6" spans="1:1" ht="12.75">
      <c r="A6" s="70" t="s">
        <v>340</v>
      </c>
    </row>
    <row r="7" spans="1:1" ht="12.75">
      <c r="A7" s="79" t="s">
        <v>357</v>
      </c>
    </row>
    <row r="8" spans="1:1" ht="12.75">
      <c r="A8" s="70"/>
    </row>
    <row r="10" spans="1:1" ht="12.75">
      <c r="A10" s="70" t="s">
        <v>341</v>
      </c>
    </row>
    <row r="12" spans="1:9" ht="15" customHeight="1">
      <c r="A12" s="1208" t="s">
        <v>1192</v>
      </c>
      <c r="B12" s="1209"/>
      <c r="C12" s="1209"/>
      <c r="D12" s="1209"/>
      <c r="E12" s="1209"/>
      <c r="F12" s="1209"/>
      <c r="G12" s="1209"/>
      <c r="H12" s="1209"/>
      <c r="I12" s="1209"/>
    </row>
    <row r="15" spans="1:1" ht="12.75">
      <c r="A15" s="70" t="s">
        <v>342</v>
      </c>
    </row>
    <row r="16" spans="1:2" ht="12.75">
      <c r="A16" s="70"/>
      <c r="B16" s="483" t="s">
        <v>343</v>
      </c>
    </row>
    <row r="17" spans="1:15" s="71" customFormat="1" ht="15" customHeight="1">
      <c r="A17" s="139" t="s">
        <v>914</v>
      </c>
      <c r="B17" s="139"/>
      <c r="C17" s="476">
        <v>-108686300</v>
      </c>
      <c r="D17" s="139"/>
      <c r="E17" s="139"/>
      <c r="F17" s="476"/>
      <c r="G17" s="139"/>
      <c r="H17" s="139"/>
      <c r="I17" s="476"/>
      <c r="J17" s="72"/>
      <c r="K17" s="72"/>
      <c r="L17" s="88"/>
      <c r="M17" s="72"/>
      <c r="N17" s="72"/>
      <c r="O17" s="72"/>
    </row>
    <row r="18" spans="1:9" ht="14.25" customHeight="1">
      <c r="A18" s="139" t="s">
        <v>915</v>
      </c>
      <c r="B18" s="139"/>
      <c r="C18" s="476">
        <v>2024261894</v>
      </c>
      <c r="D18" s="139"/>
      <c r="E18" s="139"/>
      <c r="F18" s="476"/>
      <c r="G18" s="139"/>
      <c r="H18" s="139"/>
      <c r="I18" s="476"/>
    </row>
    <row r="20" spans="1:1" ht="12.75">
      <c r="A20" s="70" t="s">
        <v>344</v>
      </c>
    </row>
    <row r="21" spans="1:1" ht="12.75">
      <c r="A21" s="70"/>
    </row>
    <row r="22" spans="1:3" ht="12.75">
      <c r="A22" s="69" t="s">
        <v>345</v>
      </c>
      <c r="C22" s="482" t="s">
        <v>346</v>
      </c>
    </row>
    <row r="23" spans="1:10" ht="15">
      <c r="A23" s="455">
        <v>352</v>
      </c>
      <c r="C23" s="481">
        <v>0.012800000000000001</v>
      </c>
      <c r="J23" s="454"/>
    </row>
    <row r="24" spans="1:10" ht="15">
      <c r="A24" s="455">
        <v>353</v>
      </c>
      <c r="C24" s="481">
        <v>0.020499999999999997</v>
      </c>
      <c r="J24" s="454"/>
    </row>
    <row r="25" spans="1:10" ht="15">
      <c r="A25" s="455">
        <v>354</v>
      </c>
      <c r="C25" s="481">
        <v>0.013899999999999999</v>
      </c>
      <c r="J25" s="454"/>
    </row>
    <row r="26" spans="1:10" ht="15">
      <c r="A26" s="455">
        <v>355</v>
      </c>
      <c r="C26" s="481">
        <v>0.023199999999999998</v>
      </c>
      <c r="J26" s="454"/>
    </row>
    <row r="27" spans="1:10" ht="15">
      <c r="A27" s="455">
        <v>356</v>
      </c>
      <c r="C27" s="481">
        <v>0.026800000000000001</v>
      </c>
      <c r="J27" s="454"/>
    </row>
    <row r="28" spans="1:10" ht="15">
      <c r="A28" s="455">
        <v>356.10</v>
      </c>
      <c r="C28" s="481">
        <v>0.012699999999999999</v>
      </c>
      <c r="J28" s="454"/>
    </row>
    <row r="29" spans="1:10" ht="15">
      <c r="A29" s="455">
        <v>358</v>
      </c>
      <c r="C29" s="481">
        <v>0.0252</v>
      </c>
      <c r="J29" s="454"/>
    </row>
    <row r="30" spans="1:10" ht="15">
      <c r="A30" s="455">
        <v>359</v>
      </c>
      <c r="C30" s="481">
        <v>0.0086999999999999994</v>
      </c>
      <c r="J30" s="454"/>
    </row>
    <row r="31" spans="1:10" ht="15">
      <c r="A31" s="546">
        <v>390.10</v>
      </c>
      <c r="B31" s="547"/>
      <c r="C31" s="548">
        <v>0.029000000000000001</v>
      </c>
      <c r="J31" s="454"/>
    </row>
    <row r="32" spans="1:10" ht="15">
      <c r="A32" s="546">
        <v>390.20</v>
      </c>
      <c r="B32" s="547"/>
      <c r="C32" s="548">
        <v>0.0124</v>
      </c>
      <c r="J32" s="454"/>
    </row>
    <row r="33" spans="1:10" ht="15">
      <c r="A33" s="546">
        <v>391.10</v>
      </c>
      <c r="B33" s="547"/>
      <c r="C33" s="548">
        <v>0.0063</v>
      </c>
      <c r="J33" s="454"/>
    </row>
    <row r="34" spans="1:10" ht="15">
      <c r="A34" s="546">
        <v>391.20</v>
      </c>
      <c r="B34" s="547"/>
      <c r="C34" s="548">
        <v>0.18820000000000001</v>
      </c>
      <c r="J34" s="454"/>
    </row>
    <row r="35" spans="1:10" ht="15">
      <c r="A35" s="546">
        <v>392</v>
      </c>
      <c r="B35" s="547"/>
      <c r="C35" s="548">
        <v>0.048399999999999999</v>
      </c>
      <c r="J35" s="454"/>
    </row>
    <row r="36" spans="1:10" ht="15">
      <c r="A36" s="546">
        <v>393</v>
      </c>
      <c r="B36" s="547"/>
      <c r="C36" s="548">
        <v>0.0001</v>
      </c>
      <c r="J36" s="454"/>
    </row>
    <row r="37" spans="1:10" ht="15">
      <c r="A37" s="546">
        <v>394</v>
      </c>
      <c r="B37" s="547"/>
      <c r="C37" s="548">
        <v>0.046199999999999998</v>
      </c>
      <c r="J37" s="454"/>
    </row>
    <row r="38" spans="1:10" ht="15">
      <c r="A38" s="546">
        <v>395</v>
      </c>
      <c r="B38" s="547"/>
      <c r="C38" s="548">
        <v>0</v>
      </c>
      <c r="J38" s="454"/>
    </row>
    <row r="39" spans="1:10" ht="15">
      <c r="A39" s="546">
        <v>396</v>
      </c>
      <c r="B39" s="547"/>
      <c r="C39" s="548">
        <v>0.0047000000000000002</v>
      </c>
      <c r="J39" s="454"/>
    </row>
    <row r="40" spans="1:10" ht="15">
      <c r="A40" s="546">
        <v>397</v>
      </c>
      <c r="B40" s="547"/>
      <c r="C40" s="548">
        <v>0.017999999999999999</v>
      </c>
      <c r="J40" s="454"/>
    </row>
    <row r="41" spans="1:10" ht="15">
      <c r="A41" s="546">
        <v>398</v>
      </c>
      <c r="B41" s="547"/>
      <c r="C41" s="548">
        <v>0.0032000000000000002</v>
      </c>
      <c r="J41" s="454"/>
    </row>
    <row r="42" spans="1:10" ht="15">
      <c r="A42" s="546">
        <v>303</v>
      </c>
      <c r="B42" s="547"/>
      <c r="C42" s="549">
        <v>0.1429</v>
      </c>
      <c r="J42" s="454"/>
    </row>
    <row r="43" spans="1:1" ht="12.75">
      <c r="A43" s="70"/>
    </row>
    <row r="44" spans="1:1" ht="12.75">
      <c r="A44" s="70" t="s">
        <v>1160</v>
      </c>
    </row>
    <row r="45" spans="1:9" ht="27.75" customHeight="1">
      <c r="A45" s="1208" t="s">
        <v>1193</v>
      </c>
      <c r="B45" s="1208"/>
      <c r="C45" s="1208"/>
      <c r="D45" s="1208"/>
      <c r="E45" s="1208"/>
      <c r="F45" s="1208"/>
      <c r="G45" s="1208"/>
      <c r="H45" s="1208"/>
      <c r="I45" s="1208"/>
    </row>
    <row r="47" spans="1:1" ht="12.75">
      <c r="A47" s="70" t="s">
        <v>1189</v>
      </c>
    </row>
    <row r="48" spans="1:1" ht="12.75">
      <c r="A48" s="69" t="s">
        <v>1190</v>
      </c>
    </row>
  </sheetData>
  <customSheetViews>
    <customSheetView guid="{33e6ffdf-cb42-4a87-b460-a01a45f9a9a1}" printArea="1" scale="60" showPageBreaks="1" topLeftCell="A1" view="pageBreakPreview">
      <selection pane="topLeft" activeCell="I3" sqref="I3"/>
      <pageMargins left="0.7" right="0.7" top="0.75" bottom="0.75" header="0.3" footer="0.3"/>
      <pageSetup orientation="portrait" paperSize="1" scale="60" r:id="rId2"/>
      <headerFooter alignWithMargins="0"/>
    </customSheetView>
    <customSheetView guid="{394295c0-a883-44ec-b980-c2facd4b6eba}" printArea="1" scale="60" showPageBreaks="1" topLeftCell="A1" view="pageBreakPreview">
      <selection pane="topLeft" activeCell="I3" sqref="I3"/>
      <pageMargins left="0.7" right="0.7" top="0.75" bottom="0.75" header="0.3" footer="0.3"/>
      <pageSetup orientation="portrait" paperSize="1" scale="60" r:id="rId3"/>
      <headerFooter alignWithMargins="0"/>
    </customSheetView>
  </customSheetViews>
  <mergeCells count="2">
    <mergeCell ref="A12:I12"/>
    <mergeCell ref="A45:I45"/>
  </mergeCells>
  <pageMargins left="0.7" right="0.7" top="0.75" bottom="0.75" header="0.3" footer="0.3"/>
  <pageSetup orientation="portrait" paperSize="1" scale="60"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AU141"/>
  <sheetViews>
    <sheetView view="pageBreakPreview" zoomScale="80" zoomScaleNormal="100" zoomScaleSheetLayoutView="80" workbookViewId="0" topLeftCell="A1"/>
  </sheetViews>
  <sheetFormatPr defaultColWidth="13.2155555555556" defaultRowHeight="12.75"/>
  <cols>
    <col min="1" max="1" width="3.11111111111111" style="219" customWidth="1"/>
    <col min="2" max="2" width="36.3333333333333" style="219" customWidth="1"/>
    <col min="3" max="3" width="13.5555555555556" style="219" bestFit="1" customWidth="1"/>
    <col min="4" max="4" width="15.1111111111111" style="219" bestFit="1" customWidth="1"/>
    <col min="5" max="6" width="3.11111111111111" style="219" customWidth="1"/>
    <col min="7" max="7" width="13.5555555555556" style="219" bestFit="1" customWidth="1"/>
    <col min="8" max="8" width="4.44444444444444" style="219" customWidth="1"/>
    <col min="9" max="9" width="21.1111111111111" style="219" customWidth="1"/>
    <col min="10" max="10" width="4.44444444444444" style="219" customWidth="1"/>
    <col min="11" max="11" width="13.5555555555556" style="219" customWidth="1"/>
    <col min="12" max="12" width="4.44444444444444" style="219" customWidth="1"/>
    <col min="13" max="13" width="23.5555555555556" style="219" bestFit="1" customWidth="1"/>
    <col min="14" max="14" width="4.44444444444444" style="219" customWidth="1"/>
    <col min="15" max="15" width="13.5555555555556" style="219" bestFit="1" customWidth="1"/>
    <col min="16" max="16" width="4.44444444444444" style="219" customWidth="1"/>
    <col min="17" max="17" width="15.1111111111111" style="219" bestFit="1" customWidth="1"/>
    <col min="18" max="18" width="4.44444444444444" style="219" customWidth="1"/>
    <col min="19" max="19" width="16.4444444444444" style="219" customWidth="1"/>
    <col min="20" max="20" width="4.44444444444444" style="219" customWidth="1"/>
    <col min="21" max="21" width="13.4444444444444" style="219" bestFit="1" customWidth="1"/>
    <col min="22" max="22" width="4.44444444444444" style="219" customWidth="1"/>
    <col min="23" max="23" width="13.4444444444444" style="219" bestFit="1" customWidth="1"/>
    <col min="24" max="24" width="4.44444444444444" style="219" customWidth="1"/>
    <col min="25" max="25" width="13.4444444444444" style="219" bestFit="1" customWidth="1"/>
    <col min="26" max="26" width="4.44444444444444" style="219" customWidth="1"/>
    <col min="27" max="27" width="13.4444444444444" style="219" bestFit="1" customWidth="1"/>
    <col min="28" max="257" width="13.2222222222222" style="219"/>
    <col min="258" max="258" width="14.4444444444444" style="219" customWidth="1"/>
    <col min="259" max="259" width="13.4444444444444" style="219" bestFit="1" customWidth="1"/>
    <col min="260" max="260" width="14.2222222222222" style="219" bestFit="1" customWidth="1"/>
    <col min="261" max="262" width="13.2222222222222" style="219"/>
    <col min="263" max="263" width="13.4444444444444" style="219" bestFit="1" customWidth="1"/>
    <col min="264" max="264" width="13.2222222222222" style="219"/>
    <col min="265" max="265" width="13.4444444444444" style="219" bestFit="1" customWidth="1"/>
    <col min="266" max="266" width="13.2222222222222" style="219"/>
    <col min="267" max="269" width="13.4444444444444" style="219" bestFit="1" customWidth="1"/>
    <col min="270" max="270" width="13.2222222222222" style="219"/>
    <col min="271" max="271" width="13.4444444444444" style="219" bestFit="1" customWidth="1"/>
    <col min="272" max="272" width="13.2222222222222" style="219"/>
    <col min="273" max="273" width="14.1111111111111" style="219" bestFit="1" customWidth="1"/>
    <col min="274" max="274" width="13.2222222222222" style="219"/>
    <col min="275" max="275" width="13.4444444444444" style="219" bestFit="1" customWidth="1"/>
    <col min="276" max="513" width="13.2222222222222" style="219"/>
    <col min="514" max="514" width="14.4444444444444" style="219" customWidth="1"/>
    <col min="515" max="515" width="13.4444444444444" style="219" bestFit="1" customWidth="1"/>
    <col min="516" max="516" width="14.2222222222222" style="219" bestFit="1" customWidth="1"/>
    <col min="517" max="518" width="13.2222222222222" style="219"/>
    <col min="519" max="519" width="13.4444444444444" style="219" bestFit="1" customWidth="1"/>
    <col min="520" max="520" width="13.2222222222222" style="219"/>
    <col min="521" max="521" width="13.4444444444444" style="219" bestFit="1" customWidth="1"/>
    <col min="522" max="522" width="13.2222222222222" style="219"/>
    <col min="523" max="525" width="13.4444444444444" style="219" bestFit="1" customWidth="1"/>
    <col min="526" max="526" width="13.2222222222222" style="219"/>
    <col min="527" max="527" width="13.4444444444444" style="219" bestFit="1" customWidth="1"/>
    <col min="528" max="528" width="13.2222222222222" style="219"/>
    <col min="529" max="529" width="14.1111111111111" style="219" bestFit="1" customWidth="1"/>
    <col min="530" max="530" width="13.2222222222222" style="219"/>
    <col min="531" max="531" width="13.4444444444444" style="219" bestFit="1" customWidth="1"/>
    <col min="532" max="769" width="13.2222222222222" style="219"/>
    <col min="770" max="770" width="14.4444444444444" style="219" customWidth="1"/>
    <col min="771" max="771" width="13.4444444444444" style="219" bestFit="1" customWidth="1"/>
    <col min="772" max="772" width="14.2222222222222" style="219" bestFit="1" customWidth="1"/>
    <col min="773" max="774" width="13.2222222222222" style="219"/>
    <col min="775" max="775" width="13.4444444444444" style="219" bestFit="1" customWidth="1"/>
    <col min="776" max="776" width="13.2222222222222" style="219"/>
    <col min="777" max="777" width="13.4444444444444" style="219" bestFit="1" customWidth="1"/>
    <col min="778" max="778" width="13.2222222222222" style="219"/>
    <col min="779" max="781" width="13.4444444444444" style="219" bestFit="1" customWidth="1"/>
    <col min="782" max="782" width="13.2222222222222" style="219"/>
    <col min="783" max="783" width="13.4444444444444" style="219" bestFit="1" customWidth="1"/>
    <col min="784" max="784" width="13.2222222222222" style="219"/>
    <col min="785" max="785" width="14.1111111111111" style="219" bestFit="1" customWidth="1"/>
    <col min="786" max="786" width="13.2222222222222" style="219"/>
    <col min="787" max="787" width="13.4444444444444" style="219" bestFit="1" customWidth="1"/>
    <col min="788" max="1025" width="13.2222222222222" style="219"/>
    <col min="1026" max="1026" width="14.4444444444444" style="219" customWidth="1"/>
    <col min="1027" max="1027" width="13.4444444444444" style="219" bestFit="1" customWidth="1"/>
    <col min="1028" max="1028" width="14.2222222222222" style="219" bestFit="1" customWidth="1"/>
    <col min="1029" max="1030" width="13.2222222222222" style="219"/>
    <col min="1031" max="1031" width="13.4444444444444" style="219" bestFit="1" customWidth="1"/>
    <col min="1032" max="1032" width="13.2222222222222" style="219"/>
    <col min="1033" max="1033" width="13.4444444444444" style="219" bestFit="1" customWidth="1"/>
    <col min="1034" max="1034" width="13.2222222222222" style="219"/>
    <col min="1035" max="1037" width="13.4444444444444" style="219" bestFit="1" customWidth="1"/>
    <col min="1038" max="1038" width="13.2222222222222" style="219"/>
    <col min="1039" max="1039" width="13.4444444444444" style="219" bestFit="1" customWidth="1"/>
    <col min="1040" max="1040" width="13.2222222222222" style="219"/>
    <col min="1041" max="1041" width="14.1111111111111" style="219" bestFit="1" customWidth="1"/>
    <col min="1042" max="1042" width="13.2222222222222" style="219"/>
    <col min="1043" max="1043" width="13.4444444444444" style="219" bestFit="1" customWidth="1"/>
    <col min="1044" max="1281" width="13.2222222222222" style="219"/>
    <col min="1282" max="1282" width="14.4444444444444" style="219" customWidth="1"/>
    <col min="1283" max="1283" width="13.4444444444444" style="219" bestFit="1" customWidth="1"/>
    <col min="1284" max="1284" width="14.2222222222222" style="219" bestFit="1" customWidth="1"/>
    <col min="1285" max="1286" width="13.2222222222222" style="219"/>
    <col min="1287" max="1287" width="13.4444444444444" style="219" bestFit="1" customWidth="1"/>
    <col min="1288" max="1288" width="13.2222222222222" style="219"/>
    <col min="1289" max="1289" width="13.4444444444444" style="219" bestFit="1" customWidth="1"/>
    <col min="1290" max="1290" width="13.2222222222222" style="219"/>
    <col min="1291" max="1293" width="13.4444444444444" style="219" bestFit="1" customWidth="1"/>
    <col min="1294" max="1294" width="13.2222222222222" style="219"/>
    <col min="1295" max="1295" width="13.4444444444444" style="219" bestFit="1" customWidth="1"/>
    <col min="1296" max="1296" width="13.2222222222222" style="219"/>
    <col min="1297" max="1297" width="14.1111111111111" style="219" bestFit="1" customWidth="1"/>
    <col min="1298" max="1298" width="13.2222222222222" style="219"/>
    <col min="1299" max="1299" width="13.4444444444444" style="219" bestFit="1" customWidth="1"/>
    <col min="1300" max="1537" width="13.2222222222222" style="219"/>
    <col min="1538" max="1538" width="14.4444444444444" style="219" customWidth="1"/>
    <col min="1539" max="1539" width="13.4444444444444" style="219" bestFit="1" customWidth="1"/>
    <col min="1540" max="1540" width="14.2222222222222" style="219" bestFit="1" customWidth="1"/>
    <col min="1541" max="1542" width="13.2222222222222" style="219"/>
    <col min="1543" max="1543" width="13.4444444444444" style="219" bestFit="1" customWidth="1"/>
    <col min="1544" max="1544" width="13.2222222222222" style="219"/>
    <col min="1545" max="1545" width="13.4444444444444" style="219" bestFit="1" customWidth="1"/>
    <col min="1546" max="1546" width="13.2222222222222" style="219"/>
    <col min="1547" max="1549" width="13.4444444444444" style="219" bestFit="1" customWidth="1"/>
    <col min="1550" max="1550" width="13.2222222222222" style="219"/>
    <col min="1551" max="1551" width="13.4444444444444" style="219" bestFit="1" customWidth="1"/>
    <col min="1552" max="1552" width="13.2222222222222" style="219"/>
    <col min="1553" max="1553" width="14.1111111111111" style="219" bestFit="1" customWidth="1"/>
    <col min="1554" max="1554" width="13.2222222222222" style="219"/>
    <col min="1555" max="1555" width="13.4444444444444" style="219" bestFit="1" customWidth="1"/>
    <col min="1556" max="1793" width="13.2222222222222" style="219"/>
    <col min="1794" max="1794" width="14.4444444444444" style="219" customWidth="1"/>
    <col min="1795" max="1795" width="13.4444444444444" style="219" bestFit="1" customWidth="1"/>
    <col min="1796" max="1796" width="14.2222222222222" style="219" bestFit="1" customWidth="1"/>
    <col min="1797" max="1798" width="13.2222222222222" style="219"/>
    <col min="1799" max="1799" width="13.4444444444444" style="219" bestFit="1" customWidth="1"/>
    <col min="1800" max="1800" width="13.2222222222222" style="219"/>
    <col min="1801" max="1801" width="13.4444444444444" style="219" bestFit="1" customWidth="1"/>
    <col min="1802" max="1802" width="13.2222222222222" style="219"/>
    <col min="1803" max="1805" width="13.4444444444444" style="219" bestFit="1" customWidth="1"/>
    <col min="1806" max="1806" width="13.2222222222222" style="219"/>
    <col min="1807" max="1807" width="13.4444444444444" style="219" bestFit="1" customWidth="1"/>
    <col min="1808" max="1808" width="13.2222222222222" style="219"/>
    <col min="1809" max="1809" width="14.1111111111111" style="219" bestFit="1" customWidth="1"/>
    <col min="1810" max="1810" width="13.2222222222222" style="219"/>
    <col min="1811" max="1811" width="13.4444444444444" style="219" bestFit="1" customWidth="1"/>
    <col min="1812" max="2049" width="13.2222222222222" style="219"/>
    <col min="2050" max="2050" width="14.4444444444444" style="219" customWidth="1"/>
    <col min="2051" max="2051" width="13.4444444444444" style="219" bestFit="1" customWidth="1"/>
    <col min="2052" max="2052" width="14.2222222222222" style="219" bestFit="1" customWidth="1"/>
    <col min="2053" max="2054" width="13.2222222222222" style="219"/>
    <col min="2055" max="2055" width="13.4444444444444" style="219" bestFit="1" customWidth="1"/>
    <col min="2056" max="2056" width="13.2222222222222" style="219"/>
    <col min="2057" max="2057" width="13.4444444444444" style="219" bestFit="1" customWidth="1"/>
    <col min="2058" max="2058" width="13.2222222222222" style="219"/>
    <col min="2059" max="2061" width="13.4444444444444" style="219" bestFit="1" customWidth="1"/>
    <col min="2062" max="2062" width="13.2222222222222" style="219"/>
    <col min="2063" max="2063" width="13.4444444444444" style="219" bestFit="1" customWidth="1"/>
    <col min="2064" max="2064" width="13.2222222222222" style="219"/>
    <col min="2065" max="2065" width="14.1111111111111" style="219" bestFit="1" customWidth="1"/>
    <col min="2066" max="2066" width="13.2222222222222" style="219"/>
    <col min="2067" max="2067" width="13.4444444444444" style="219" bestFit="1" customWidth="1"/>
    <col min="2068" max="2305" width="13.2222222222222" style="219"/>
    <col min="2306" max="2306" width="14.4444444444444" style="219" customWidth="1"/>
    <col min="2307" max="2307" width="13.4444444444444" style="219" bestFit="1" customWidth="1"/>
    <col min="2308" max="2308" width="14.2222222222222" style="219" bestFit="1" customWidth="1"/>
    <col min="2309" max="2310" width="13.2222222222222" style="219"/>
    <col min="2311" max="2311" width="13.4444444444444" style="219" bestFit="1" customWidth="1"/>
    <col min="2312" max="2312" width="13.2222222222222" style="219"/>
    <col min="2313" max="2313" width="13.4444444444444" style="219" bestFit="1" customWidth="1"/>
    <col min="2314" max="2314" width="13.2222222222222" style="219"/>
    <col min="2315" max="2317" width="13.4444444444444" style="219" bestFit="1" customWidth="1"/>
    <col min="2318" max="2318" width="13.2222222222222" style="219"/>
    <col min="2319" max="2319" width="13.4444444444444" style="219" bestFit="1" customWidth="1"/>
    <col min="2320" max="2320" width="13.2222222222222" style="219"/>
    <col min="2321" max="2321" width="14.1111111111111" style="219" bestFit="1" customWidth="1"/>
    <col min="2322" max="2322" width="13.2222222222222" style="219"/>
    <col min="2323" max="2323" width="13.4444444444444" style="219" bestFit="1" customWidth="1"/>
    <col min="2324" max="2561" width="13.2222222222222" style="219"/>
    <col min="2562" max="2562" width="14.4444444444444" style="219" customWidth="1"/>
    <col min="2563" max="2563" width="13.4444444444444" style="219" bestFit="1" customWidth="1"/>
    <col min="2564" max="2564" width="14.2222222222222" style="219" bestFit="1" customWidth="1"/>
    <col min="2565" max="2566" width="13.2222222222222" style="219"/>
    <col min="2567" max="2567" width="13.4444444444444" style="219" bestFit="1" customWidth="1"/>
    <col min="2568" max="2568" width="13.2222222222222" style="219"/>
    <col min="2569" max="2569" width="13.4444444444444" style="219" bestFit="1" customWidth="1"/>
    <col min="2570" max="2570" width="13.2222222222222" style="219"/>
    <col min="2571" max="2573" width="13.4444444444444" style="219" bestFit="1" customWidth="1"/>
    <col min="2574" max="2574" width="13.2222222222222" style="219"/>
    <col min="2575" max="2575" width="13.4444444444444" style="219" bestFit="1" customWidth="1"/>
    <col min="2576" max="2576" width="13.2222222222222" style="219"/>
    <col min="2577" max="2577" width="14.1111111111111" style="219" bestFit="1" customWidth="1"/>
    <col min="2578" max="2578" width="13.2222222222222" style="219"/>
    <col min="2579" max="2579" width="13.4444444444444" style="219" bestFit="1" customWidth="1"/>
    <col min="2580" max="2817" width="13.2222222222222" style="219"/>
    <col min="2818" max="2818" width="14.4444444444444" style="219" customWidth="1"/>
    <col min="2819" max="2819" width="13.4444444444444" style="219" bestFit="1" customWidth="1"/>
    <col min="2820" max="2820" width="14.2222222222222" style="219" bestFit="1" customWidth="1"/>
    <col min="2821" max="2822" width="13.2222222222222" style="219"/>
    <col min="2823" max="2823" width="13.4444444444444" style="219" bestFit="1" customWidth="1"/>
    <col min="2824" max="2824" width="13.2222222222222" style="219"/>
    <col min="2825" max="2825" width="13.4444444444444" style="219" bestFit="1" customWidth="1"/>
    <col min="2826" max="2826" width="13.2222222222222" style="219"/>
    <col min="2827" max="2829" width="13.4444444444444" style="219" bestFit="1" customWidth="1"/>
    <col min="2830" max="2830" width="13.2222222222222" style="219"/>
    <col min="2831" max="2831" width="13.4444444444444" style="219" bestFit="1" customWidth="1"/>
    <col min="2832" max="2832" width="13.2222222222222" style="219"/>
    <col min="2833" max="2833" width="14.1111111111111" style="219" bestFit="1" customWidth="1"/>
    <col min="2834" max="2834" width="13.2222222222222" style="219"/>
    <col min="2835" max="2835" width="13.4444444444444" style="219" bestFit="1" customWidth="1"/>
    <col min="2836" max="3073" width="13.2222222222222" style="219"/>
    <col min="3074" max="3074" width="14.4444444444444" style="219" customWidth="1"/>
    <col min="3075" max="3075" width="13.4444444444444" style="219" bestFit="1" customWidth="1"/>
    <col min="3076" max="3076" width="14.2222222222222" style="219" bestFit="1" customWidth="1"/>
    <col min="3077" max="3078" width="13.2222222222222" style="219"/>
    <col min="3079" max="3079" width="13.4444444444444" style="219" bestFit="1" customWidth="1"/>
    <col min="3080" max="3080" width="13.2222222222222" style="219"/>
    <col min="3081" max="3081" width="13.4444444444444" style="219" bestFit="1" customWidth="1"/>
    <col min="3082" max="3082" width="13.2222222222222" style="219"/>
    <col min="3083" max="3085" width="13.4444444444444" style="219" bestFit="1" customWidth="1"/>
    <col min="3086" max="3086" width="13.2222222222222" style="219"/>
    <col min="3087" max="3087" width="13.4444444444444" style="219" bestFit="1" customWidth="1"/>
    <col min="3088" max="3088" width="13.2222222222222" style="219"/>
    <col min="3089" max="3089" width="14.1111111111111" style="219" bestFit="1" customWidth="1"/>
    <col min="3090" max="3090" width="13.2222222222222" style="219"/>
    <col min="3091" max="3091" width="13.4444444444444" style="219" bestFit="1" customWidth="1"/>
    <col min="3092" max="3329" width="13.2222222222222" style="219"/>
    <col min="3330" max="3330" width="14.4444444444444" style="219" customWidth="1"/>
    <col min="3331" max="3331" width="13.4444444444444" style="219" bestFit="1" customWidth="1"/>
    <col min="3332" max="3332" width="14.2222222222222" style="219" bestFit="1" customWidth="1"/>
    <col min="3333" max="3334" width="13.2222222222222" style="219"/>
    <col min="3335" max="3335" width="13.4444444444444" style="219" bestFit="1" customWidth="1"/>
    <col min="3336" max="3336" width="13.2222222222222" style="219"/>
    <col min="3337" max="3337" width="13.4444444444444" style="219" bestFit="1" customWidth="1"/>
    <col min="3338" max="3338" width="13.2222222222222" style="219"/>
    <col min="3339" max="3341" width="13.4444444444444" style="219" bestFit="1" customWidth="1"/>
    <col min="3342" max="3342" width="13.2222222222222" style="219"/>
    <col min="3343" max="3343" width="13.4444444444444" style="219" bestFit="1" customWidth="1"/>
    <col min="3344" max="3344" width="13.2222222222222" style="219"/>
    <col min="3345" max="3345" width="14.1111111111111" style="219" bestFit="1" customWidth="1"/>
    <col min="3346" max="3346" width="13.2222222222222" style="219"/>
    <col min="3347" max="3347" width="13.4444444444444" style="219" bestFit="1" customWidth="1"/>
    <col min="3348" max="3585" width="13.2222222222222" style="219"/>
    <col min="3586" max="3586" width="14.4444444444444" style="219" customWidth="1"/>
    <col min="3587" max="3587" width="13.4444444444444" style="219" bestFit="1" customWidth="1"/>
    <col min="3588" max="3588" width="14.2222222222222" style="219" bestFit="1" customWidth="1"/>
    <col min="3589" max="3590" width="13.2222222222222" style="219"/>
    <col min="3591" max="3591" width="13.4444444444444" style="219" bestFit="1" customWidth="1"/>
    <col min="3592" max="3592" width="13.2222222222222" style="219"/>
    <col min="3593" max="3593" width="13.4444444444444" style="219" bestFit="1" customWidth="1"/>
    <col min="3594" max="3594" width="13.2222222222222" style="219"/>
    <col min="3595" max="3597" width="13.4444444444444" style="219" bestFit="1" customWidth="1"/>
    <col min="3598" max="3598" width="13.2222222222222" style="219"/>
    <col min="3599" max="3599" width="13.4444444444444" style="219" bestFit="1" customWidth="1"/>
    <col min="3600" max="3600" width="13.2222222222222" style="219"/>
    <col min="3601" max="3601" width="14.1111111111111" style="219" bestFit="1" customWidth="1"/>
    <col min="3602" max="3602" width="13.2222222222222" style="219"/>
    <col min="3603" max="3603" width="13.4444444444444" style="219" bestFit="1" customWidth="1"/>
    <col min="3604" max="3841" width="13.2222222222222" style="219"/>
    <col min="3842" max="3842" width="14.4444444444444" style="219" customWidth="1"/>
    <col min="3843" max="3843" width="13.4444444444444" style="219" bestFit="1" customWidth="1"/>
    <col min="3844" max="3844" width="14.2222222222222" style="219" bestFit="1" customWidth="1"/>
    <col min="3845" max="3846" width="13.2222222222222" style="219"/>
    <col min="3847" max="3847" width="13.4444444444444" style="219" bestFit="1" customWidth="1"/>
    <col min="3848" max="3848" width="13.2222222222222" style="219"/>
    <col min="3849" max="3849" width="13.4444444444444" style="219" bestFit="1" customWidth="1"/>
    <col min="3850" max="3850" width="13.2222222222222" style="219"/>
    <col min="3851" max="3853" width="13.4444444444444" style="219" bestFit="1" customWidth="1"/>
    <col min="3854" max="3854" width="13.2222222222222" style="219"/>
    <col min="3855" max="3855" width="13.4444444444444" style="219" bestFit="1" customWidth="1"/>
    <col min="3856" max="3856" width="13.2222222222222" style="219"/>
    <col min="3857" max="3857" width="14.1111111111111" style="219" bestFit="1" customWidth="1"/>
    <col min="3858" max="3858" width="13.2222222222222" style="219"/>
    <col min="3859" max="3859" width="13.4444444444444" style="219" bestFit="1" customWidth="1"/>
    <col min="3860" max="4097" width="13.2222222222222" style="219"/>
    <col min="4098" max="4098" width="14.4444444444444" style="219" customWidth="1"/>
    <col min="4099" max="4099" width="13.4444444444444" style="219" bestFit="1" customWidth="1"/>
    <col min="4100" max="4100" width="14.2222222222222" style="219" bestFit="1" customWidth="1"/>
    <col min="4101" max="4102" width="13.2222222222222" style="219"/>
    <col min="4103" max="4103" width="13.4444444444444" style="219" bestFit="1" customWidth="1"/>
    <col min="4104" max="4104" width="13.2222222222222" style="219"/>
    <col min="4105" max="4105" width="13.4444444444444" style="219" bestFit="1" customWidth="1"/>
    <col min="4106" max="4106" width="13.2222222222222" style="219"/>
    <col min="4107" max="4109" width="13.4444444444444" style="219" bestFit="1" customWidth="1"/>
    <col min="4110" max="4110" width="13.2222222222222" style="219"/>
    <col min="4111" max="4111" width="13.4444444444444" style="219" bestFit="1" customWidth="1"/>
    <col min="4112" max="4112" width="13.2222222222222" style="219"/>
    <col min="4113" max="4113" width="14.1111111111111" style="219" bestFit="1" customWidth="1"/>
    <col min="4114" max="4114" width="13.2222222222222" style="219"/>
    <col min="4115" max="4115" width="13.4444444444444" style="219" bestFit="1" customWidth="1"/>
    <col min="4116" max="4353" width="13.2222222222222" style="219"/>
    <col min="4354" max="4354" width="14.4444444444444" style="219" customWidth="1"/>
    <col min="4355" max="4355" width="13.4444444444444" style="219" bestFit="1" customWidth="1"/>
    <col min="4356" max="4356" width="14.2222222222222" style="219" bestFit="1" customWidth="1"/>
    <col min="4357" max="4358" width="13.2222222222222" style="219"/>
    <col min="4359" max="4359" width="13.4444444444444" style="219" bestFit="1" customWidth="1"/>
    <col min="4360" max="4360" width="13.2222222222222" style="219"/>
    <col min="4361" max="4361" width="13.4444444444444" style="219" bestFit="1" customWidth="1"/>
    <col min="4362" max="4362" width="13.2222222222222" style="219"/>
    <col min="4363" max="4365" width="13.4444444444444" style="219" bestFit="1" customWidth="1"/>
    <col min="4366" max="4366" width="13.2222222222222" style="219"/>
    <col min="4367" max="4367" width="13.4444444444444" style="219" bestFit="1" customWidth="1"/>
    <col min="4368" max="4368" width="13.2222222222222" style="219"/>
    <col min="4369" max="4369" width="14.1111111111111" style="219" bestFit="1" customWidth="1"/>
    <col min="4370" max="4370" width="13.2222222222222" style="219"/>
    <col min="4371" max="4371" width="13.4444444444444" style="219" bestFit="1" customWidth="1"/>
    <col min="4372" max="4609" width="13.2222222222222" style="219"/>
    <col min="4610" max="4610" width="14.4444444444444" style="219" customWidth="1"/>
    <col min="4611" max="4611" width="13.4444444444444" style="219" bestFit="1" customWidth="1"/>
    <col min="4612" max="4612" width="14.2222222222222" style="219" bestFit="1" customWidth="1"/>
    <col min="4613" max="4614" width="13.2222222222222" style="219"/>
    <col min="4615" max="4615" width="13.4444444444444" style="219" bestFit="1" customWidth="1"/>
    <col min="4616" max="4616" width="13.2222222222222" style="219"/>
    <col min="4617" max="4617" width="13.4444444444444" style="219" bestFit="1" customWidth="1"/>
    <col min="4618" max="4618" width="13.2222222222222" style="219"/>
    <col min="4619" max="4621" width="13.4444444444444" style="219" bestFit="1" customWidth="1"/>
    <col min="4622" max="4622" width="13.2222222222222" style="219"/>
    <col min="4623" max="4623" width="13.4444444444444" style="219" bestFit="1" customWidth="1"/>
    <col min="4624" max="4624" width="13.2222222222222" style="219"/>
    <col min="4625" max="4625" width="14.1111111111111" style="219" bestFit="1" customWidth="1"/>
    <col min="4626" max="4626" width="13.2222222222222" style="219"/>
    <col min="4627" max="4627" width="13.4444444444444" style="219" bestFit="1" customWidth="1"/>
    <col min="4628" max="4865" width="13.2222222222222" style="219"/>
    <col min="4866" max="4866" width="14.4444444444444" style="219" customWidth="1"/>
    <col min="4867" max="4867" width="13.4444444444444" style="219" bestFit="1" customWidth="1"/>
    <col min="4868" max="4868" width="14.2222222222222" style="219" bestFit="1" customWidth="1"/>
    <col min="4869" max="4870" width="13.2222222222222" style="219"/>
    <col min="4871" max="4871" width="13.4444444444444" style="219" bestFit="1" customWidth="1"/>
    <col min="4872" max="4872" width="13.2222222222222" style="219"/>
    <col min="4873" max="4873" width="13.4444444444444" style="219" bestFit="1" customWidth="1"/>
    <col min="4874" max="4874" width="13.2222222222222" style="219"/>
    <col min="4875" max="4877" width="13.4444444444444" style="219" bestFit="1" customWidth="1"/>
    <col min="4878" max="4878" width="13.2222222222222" style="219"/>
    <col min="4879" max="4879" width="13.4444444444444" style="219" bestFit="1" customWidth="1"/>
    <col min="4880" max="4880" width="13.2222222222222" style="219"/>
    <col min="4881" max="4881" width="14.1111111111111" style="219" bestFit="1" customWidth="1"/>
    <col min="4882" max="4882" width="13.2222222222222" style="219"/>
    <col min="4883" max="4883" width="13.4444444444444" style="219" bestFit="1" customWidth="1"/>
    <col min="4884" max="5121" width="13.2222222222222" style="219"/>
    <col min="5122" max="5122" width="14.4444444444444" style="219" customWidth="1"/>
    <col min="5123" max="5123" width="13.4444444444444" style="219" bestFit="1" customWidth="1"/>
    <col min="5124" max="5124" width="14.2222222222222" style="219" bestFit="1" customWidth="1"/>
    <col min="5125" max="5126" width="13.2222222222222" style="219"/>
    <col min="5127" max="5127" width="13.4444444444444" style="219" bestFit="1" customWidth="1"/>
    <col min="5128" max="5128" width="13.2222222222222" style="219"/>
    <col min="5129" max="5129" width="13.4444444444444" style="219" bestFit="1" customWidth="1"/>
    <col min="5130" max="5130" width="13.2222222222222" style="219"/>
    <col min="5131" max="5133" width="13.4444444444444" style="219" bestFit="1" customWidth="1"/>
    <col min="5134" max="5134" width="13.2222222222222" style="219"/>
    <col min="5135" max="5135" width="13.4444444444444" style="219" bestFit="1" customWidth="1"/>
    <col min="5136" max="5136" width="13.2222222222222" style="219"/>
    <col min="5137" max="5137" width="14.1111111111111" style="219" bestFit="1" customWidth="1"/>
    <col min="5138" max="5138" width="13.2222222222222" style="219"/>
    <col min="5139" max="5139" width="13.4444444444444" style="219" bestFit="1" customWidth="1"/>
    <col min="5140" max="5377" width="13.2222222222222" style="219"/>
    <col min="5378" max="5378" width="14.4444444444444" style="219" customWidth="1"/>
    <col min="5379" max="5379" width="13.4444444444444" style="219" bestFit="1" customWidth="1"/>
    <col min="5380" max="5380" width="14.2222222222222" style="219" bestFit="1" customWidth="1"/>
    <col min="5381" max="5382" width="13.2222222222222" style="219"/>
    <col min="5383" max="5383" width="13.4444444444444" style="219" bestFit="1" customWidth="1"/>
    <col min="5384" max="5384" width="13.2222222222222" style="219"/>
    <col min="5385" max="5385" width="13.4444444444444" style="219" bestFit="1" customWidth="1"/>
    <col min="5386" max="5386" width="13.2222222222222" style="219"/>
    <col min="5387" max="5389" width="13.4444444444444" style="219" bestFit="1" customWidth="1"/>
    <col min="5390" max="5390" width="13.2222222222222" style="219"/>
    <col min="5391" max="5391" width="13.4444444444444" style="219" bestFit="1" customWidth="1"/>
    <col min="5392" max="5392" width="13.2222222222222" style="219"/>
    <col min="5393" max="5393" width="14.1111111111111" style="219" bestFit="1" customWidth="1"/>
    <col min="5394" max="5394" width="13.2222222222222" style="219"/>
    <col min="5395" max="5395" width="13.4444444444444" style="219" bestFit="1" customWidth="1"/>
    <col min="5396" max="5633" width="13.2222222222222" style="219"/>
    <col min="5634" max="5634" width="14.4444444444444" style="219" customWidth="1"/>
    <col min="5635" max="5635" width="13.4444444444444" style="219" bestFit="1" customWidth="1"/>
    <col min="5636" max="5636" width="14.2222222222222" style="219" bestFit="1" customWidth="1"/>
    <col min="5637" max="5638" width="13.2222222222222" style="219"/>
    <col min="5639" max="5639" width="13.4444444444444" style="219" bestFit="1" customWidth="1"/>
    <col min="5640" max="5640" width="13.2222222222222" style="219"/>
    <col min="5641" max="5641" width="13.4444444444444" style="219" bestFit="1" customWidth="1"/>
    <col min="5642" max="5642" width="13.2222222222222" style="219"/>
    <col min="5643" max="5645" width="13.4444444444444" style="219" bestFit="1" customWidth="1"/>
    <col min="5646" max="5646" width="13.2222222222222" style="219"/>
    <col min="5647" max="5647" width="13.4444444444444" style="219" bestFit="1" customWidth="1"/>
    <col min="5648" max="5648" width="13.2222222222222" style="219"/>
    <col min="5649" max="5649" width="14.1111111111111" style="219" bestFit="1" customWidth="1"/>
    <col min="5650" max="5650" width="13.2222222222222" style="219"/>
    <col min="5651" max="5651" width="13.4444444444444" style="219" bestFit="1" customWidth="1"/>
    <col min="5652" max="5889" width="13.2222222222222" style="219"/>
    <col min="5890" max="5890" width="14.4444444444444" style="219" customWidth="1"/>
    <col min="5891" max="5891" width="13.4444444444444" style="219" bestFit="1" customWidth="1"/>
    <col min="5892" max="5892" width="14.2222222222222" style="219" bestFit="1" customWidth="1"/>
    <col min="5893" max="5894" width="13.2222222222222" style="219"/>
    <col min="5895" max="5895" width="13.4444444444444" style="219" bestFit="1" customWidth="1"/>
    <col min="5896" max="5896" width="13.2222222222222" style="219"/>
    <col min="5897" max="5897" width="13.4444444444444" style="219" bestFit="1" customWidth="1"/>
    <col min="5898" max="5898" width="13.2222222222222" style="219"/>
    <col min="5899" max="5901" width="13.4444444444444" style="219" bestFit="1" customWidth="1"/>
    <col min="5902" max="5902" width="13.2222222222222" style="219"/>
    <col min="5903" max="5903" width="13.4444444444444" style="219" bestFit="1" customWidth="1"/>
    <col min="5904" max="5904" width="13.2222222222222" style="219"/>
    <col min="5905" max="5905" width="14.1111111111111" style="219" bestFit="1" customWidth="1"/>
    <col min="5906" max="5906" width="13.2222222222222" style="219"/>
    <col min="5907" max="5907" width="13.4444444444444" style="219" bestFit="1" customWidth="1"/>
    <col min="5908" max="6145" width="13.2222222222222" style="219"/>
    <col min="6146" max="6146" width="14.4444444444444" style="219" customWidth="1"/>
    <col min="6147" max="6147" width="13.4444444444444" style="219" bestFit="1" customWidth="1"/>
    <col min="6148" max="6148" width="14.2222222222222" style="219" bestFit="1" customWidth="1"/>
    <col min="6149" max="6150" width="13.2222222222222" style="219"/>
    <col min="6151" max="6151" width="13.4444444444444" style="219" bestFit="1" customWidth="1"/>
    <col min="6152" max="6152" width="13.2222222222222" style="219"/>
    <col min="6153" max="6153" width="13.4444444444444" style="219" bestFit="1" customWidth="1"/>
    <col min="6154" max="6154" width="13.2222222222222" style="219"/>
    <col min="6155" max="6157" width="13.4444444444444" style="219" bestFit="1" customWidth="1"/>
    <col min="6158" max="6158" width="13.2222222222222" style="219"/>
    <col min="6159" max="6159" width="13.4444444444444" style="219" bestFit="1" customWidth="1"/>
    <col min="6160" max="6160" width="13.2222222222222" style="219"/>
    <col min="6161" max="6161" width="14.1111111111111" style="219" bestFit="1" customWidth="1"/>
    <col min="6162" max="6162" width="13.2222222222222" style="219"/>
    <col min="6163" max="6163" width="13.4444444444444" style="219" bestFit="1" customWidth="1"/>
    <col min="6164" max="6401" width="13.2222222222222" style="219"/>
    <col min="6402" max="6402" width="14.4444444444444" style="219" customWidth="1"/>
    <col min="6403" max="6403" width="13.4444444444444" style="219" bestFit="1" customWidth="1"/>
    <col min="6404" max="6404" width="14.2222222222222" style="219" bestFit="1" customWidth="1"/>
    <col min="6405" max="6406" width="13.2222222222222" style="219"/>
    <col min="6407" max="6407" width="13.4444444444444" style="219" bestFit="1" customWidth="1"/>
    <col min="6408" max="6408" width="13.2222222222222" style="219"/>
    <col min="6409" max="6409" width="13.4444444444444" style="219" bestFit="1" customWidth="1"/>
    <col min="6410" max="6410" width="13.2222222222222" style="219"/>
    <col min="6411" max="6413" width="13.4444444444444" style="219" bestFit="1" customWidth="1"/>
    <col min="6414" max="6414" width="13.2222222222222" style="219"/>
    <col min="6415" max="6415" width="13.4444444444444" style="219" bestFit="1" customWidth="1"/>
    <col min="6416" max="6416" width="13.2222222222222" style="219"/>
    <col min="6417" max="6417" width="14.1111111111111" style="219" bestFit="1" customWidth="1"/>
    <col min="6418" max="6418" width="13.2222222222222" style="219"/>
    <col min="6419" max="6419" width="13.4444444444444" style="219" bestFit="1" customWidth="1"/>
    <col min="6420" max="6657" width="13.2222222222222" style="219"/>
    <col min="6658" max="6658" width="14.4444444444444" style="219" customWidth="1"/>
    <col min="6659" max="6659" width="13.4444444444444" style="219" bestFit="1" customWidth="1"/>
    <col min="6660" max="6660" width="14.2222222222222" style="219" bestFit="1" customWidth="1"/>
    <col min="6661" max="6662" width="13.2222222222222" style="219"/>
    <col min="6663" max="6663" width="13.4444444444444" style="219" bestFit="1" customWidth="1"/>
    <col min="6664" max="6664" width="13.2222222222222" style="219"/>
    <col min="6665" max="6665" width="13.4444444444444" style="219" bestFit="1" customWidth="1"/>
    <col min="6666" max="6666" width="13.2222222222222" style="219"/>
    <col min="6667" max="6669" width="13.4444444444444" style="219" bestFit="1" customWidth="1"/>
    <col min="6670" max="6670" width="13.2222222222222" style="219"/>
    <col min="6671" max="6671" width="13.4444444444444" style="219" bestFit="1" customWidth="1"/>
    <col min="6672" max="6672" width="13.2222222222222" style="219"/>
    <col min="6673" max="6673" width="14.1111111111111" style="219" bestFit="1" customWidth="1"/>
    <col min="6674" max="6674" width="13.2222222222222" style="219"/>
    <col min="6675" max="6675" width="13.4444444444444" style="219" bestFit="1" customWidth="1"/>
    <col min="6676" max="6913" width="13.2222222222222" style="219"/>
    <col min="6914" max="6914" width="14.4444444444444" style="219" customWidth="1"/>
    <col min="6915" max="6915" width="13.4444444444444" style="219" bestFit="1" customWidth="1"/>
    <col min="6916" max="6916" width="14.2222222222222" style="219" bestFit="1" customWidth="1"/>
    <col min="6917" max="6918" width="13.2222222222222" style="219"/>
    <col min="6919" max="6919" width="13.4444444444444" style="219" bestFit="1" customWidth="1"/>
    <col min="6920" max="6920" width="13.2222222222222" style="219"/>
    <col min="6921" max="6921" width="13.4444444444444" style="219" bestFit="1" customWidth="1"/>
    <col min="6922" max="6922" width="13.2222222222222" style="219"/>
    <col min="6923" max="6925" width="13.4444444444444" style="219" bestFit="1" customWidth="1"/>
    <col min="6926" max="6926" width="13.2222222222222" style="219"/>
    <col min="6927" max="6927" width="13.4444444444444" style="219" bestFit="1" customWidth="1"/>
    <col min="6928" max="6928" width="13.2222222222222" style="219"/>
    <col min="6929" max="6929" width="14.1111111111111" style="219" bestFit="1" customWidth="1"/>
    <col min="6930" max="6930" width="13.2222222222222" style="219"/>
    <col min="6931" max="6931" width="13.4444444444444" style="219" bestFit="1" customWidth="1"/>
    <col min="6932" max="7169" width="13.2222222222222" style="219"/>
    <col min="7170" max="7170" width="14.4444444444444" style="219" customWidth="1"/>
    <col min="7171" max="7171" width="13.4444444444444" style="219" bestFit="1" customWidth="1"/>
    <col min="7172" max="7172" width="14.2222222222222" style="219" bestFit="1" customWidth="1"/>
    <col min="7173" max="7174" width="13.2222222222222" style="219"/>
    <col min="7175" max="7175" width="13.4444444444444" style="219" bestFit="1" customWidth="1"/>
    <col min="7176" max="7176" width="13.2222222222222" style="219"/>
    <col min="7177" max="7177" width="13.4444444444444" style="219" bestFit="1" customWidth="1"/>
    <col min="7178" max="7178" width="13.2222222222222" style="219"/>
    <col min="7179" max="7181" width="13.4444444444444" style="219" bestFit="1" customWidth="1"/>
    <col min="7182" max="7182" width="13.2222222222222" style="219"/>
    <col min="7183" max="7183" width="13.4444444444444" style="219" bestFit="1" customWidth="1"/>
    <col min="7184" max="7184" width="13.2222222222222" style="219"/>
    <col min="7185" max="7185" width="14.1111111111111" style="219" bestFit="1" customWidth="1"/>
    <col min="7186" max="7186" width="13.2222222222222" style="219"/>
    <col min="7187" max="7187" width="13.4444444444444" style="219" bestFit="1" customWidth="1"/>
    <col min="7188" max="7425" width="13.2222222222222" style="219"/>
    <col min="7426" max="7426" width="14.4444444444444" style="219" customWidth="1"/>
    <col min="7427" max="7427" width="13.4444444444444" style="219" bestFit="1" customWidth="1"/>
    <col min="7428" max="7428" width="14.2222222222222" style="219" bestFit="1" customWidth="1"/>
    <col min="7429" max="7430" width="13.2222222222222" style="219"/>
    <col min="7431" max="7431" width="13.4444444444444" style="219" bestFit="1" customWidth="1"/>
    <col min="7432" max="7432" width="13.2222222222222" style="219"/>
    <col min="7433" max="7433" width="13.4444444444444" style="219" bestFit="1" customWidth="1"/>
    <col min="7434" max="7434" width="13.2222222222222" style="219"/>
    <col min="7435" max="7437" width="13.4444444444444" style="219" bestFit="1" customWidth="1"/>
    <col min="7438" max="7438" width="13.2222222222222" style="219"/>
    <col min="7439" max="7439" width="13.4444444444444" style="219" bestFit="1" customWidth="1"/>
    <col min="7440" max="7440" width="13.2222222222222" style="219"/>
    <col min="7441" max="7441" width="14.1111111111111" style="219" bestFit="1" customWidth="1"/>
    <col min="7442" max="7442" width="13.2222222222222" style="219"/>
    <col min="7443" max="7443" width="13.4444444444444" style="219" bestFit="1" customWidth="1"/>
    <col min="7444" max="7681" width="13.2222222222222" style="219"/>
    <col min="7682" max="7682" width="14.4444444444444" style="219" customWidth="1"/>
    <col min="7683" max="7683" width="13.4444444444444" style="219" bestFit="1" customWidth="1"/>
    <col min="7684" max="7684" width="14.2222222222222" style="219" bestFit="1" customWidth="1"/>
    <col min="7685" max="7686" width="13.2222222222222" style="219"/>
    <col min="7687" max="7687" width="13.4444444444444" style="219" bestFit="1" customWidth="1"/>
    <col min="7688" max="7688" width="13.2222222222222" style="219"/>
    <col min="7689" max="7689" width="13.4444444444444" style="219" bestFit="1" customWidth="1"/>
    <col min="7690" max="7690" width="13.2222222222222" style="219"/>
    <col min="7691" max="7693" width="13.4444444444444" style="219" bestFit="1" customWidth="1"/>
    <col min="7694" max="7694" width="13.2222222222222" style="219"/>
    <col min="7695" max="7695" width="13.4444444444444" style="219" bestFit="1" customWidth="1"/>
    <col min="7696" max="7696" width="13.2222222222222" style="219"/>
    <col min="7697" max="7697" width="14.1111111111111" style="219" bestFit="1" customWidth="1"/>
    <col min="7698" max="7698" width="13.2222222222222" style="219"/>
    <col min="7699" max="7699" width="13.4444444444444" style="219" bestFit="1" customWidth="1"/>
    <col min="7700" max="7937" width="13.2222222222222" style="219"/>
    <col min="7938" max="7938" width="14.4444444444444" style="219" customWidth="1"/>
    <col min="7939" max="7939" width="13.4444444444444" style="219" bestFit="1" customWidth="1"/>
    <col min="7940" max="7940" width="14.2222222222222" style="219" bestFit="1" customWidth="1"/>
    <col min="7941" max="7942" width="13.2222222222222" style="219"/>
    <col min="7943" max="7943" width="13.4444444444444" style="219" bestFit="1" customWidth="1"/>
    <col min="7944" max="7944" width="13.2222222222222" style="219"/>
    <col min="7945" max="7945" width="13.4444444444444" style="219" bestFit="1" customWidth="1"/>
    <col min="7946" max="7946" width="13.2222222222222" style="219"/>
    <col min="7947" max="7949" width="13.4444444444444" style="219" bestFit="1" customWidth="1"/>
    <col min="7950" max="7950" width="13.2222222222222" style="219"/>
    <col min="7951" max="7951" width="13.4444444444444" style="219" bestFit="1" customWidth="1"/>
    <col min="7952" max="7952" width="13.2222222222222" style="219"/>
    <col min="7953" max="7953" width="14.1111111111111" style="219" bestFit="1" customWidth="1"/>
    <col min="7954" max="7954" width="13.2222222222222" style="219"/>
    <col min="7955" max="7955" width="13.4444444444444" style="219" bestFit="1" customWidth="1"/>
    <col min="7956" max="8193" width="13.2222222222222" style="219"/>
    <col min="8194" max="8194" width="14.4444444444444" style="219" customWidth="1"/>
    <col min="8195" max="8195" width="13.4444444444444" style="219" bestFit="1" customWidth="1"/>
    <col min="8196" max="8196" width="14.2222222222222" style="219" bestFit="1" customWidth="1"/>
    <col min="8197" max="8198" width="13.2222222222222" style="219"/>
    <col min="8199" max="8199" width="13.4444444444444" style="219" bestFit="1" customWidth="1"/>
    <col min="8200" max="8200" width="13.2222222222222" style="219"/>
    <col min="8201" max="8201" width="13.4444444444444" style="219" bestFit="1" customWidth="1"/>
    <col min="8202" max="8202" width="13.2222222222222" style="219"/>
    <col min="8203" max="8205" width="13.4444444444444" style="219" bestFit="1" customWidth="1"/>
    <col min="8206" max="8206" width="13.2222222222222" style="219"/>
    <col min="8207" max="8207" width="13.4444444444444" style="219" bestFit="1" customWidth="1"/>
    <col min="8208" max="8208" width="13.2222222222222" style="219"/>
    <col min="8209" max="8209" width="14.1111111111111" style="219" bestFit="1" customWidth="1"/>
    <col min="8210" max="8210" width="13.2222222222222" style="219"/>
    <col min="8211" max="8211" width="13.4444444444444" style="219" bestFit="1" customWidth="1"/>
    <col min="8212" max="8449" width="13.2222222222222" style="219"/>
    <col min="8450" max="8450" width="14.4444444444444" style="219" customWidth="1"/>
    <col min="8451" max="8451" width="13.4444444444444" style="219" bestFit="1" customWidth="1"/>
    <col min="8452" max="8452" width="14.2222222222222" style="219" bestFit="1" customWidth="1"/>
    <col min="8453" max="8454" width="13.2222222222222" style="219"/>
    <col min="8455" max="8455" width="13.4444444444444" style="219" bestFit="1" customWidth="1"/>
    <col min="8456" max="8456" width="13.2222222222222" style="219"/>
    <col min="8457" max="8457" width="13.4444444444444" style="219" bestFit="1" customWidth="1"/>
    <col min="8458" max="8458" width="13.2222222222222" style="219"/>
    <col min="8459" max="8461" width="13.4444444444444" style="219" bestFit="1" customWidth="1"/>
    <col min="8462" max="8462" width="13.2222222222222" style="219"/>
    <col min="8463" max="8463" width="13.4444444444444" style="219" bestFit="1" customWidth="1"/>
    <col min="8464" max="8464" width="13.2222222222222" style="219"/>
    <col min="8465" max="8465" width="14.1111111111111" style="219" bestFit="1" customWidth="1"/>
    <col min="8466" max="8466" width="13.2222222222222" style="219"/>
    <col min="8467" max="8467" width="13.4444444444444" style="219" bestFit="1" customWidth="1"/>
    <col min="8468" max="8705" width="13.2222222222222" style="219"/>
    <col min="8706" max="8706" width="14.4444444444444" style="219" customWidth="1"/>
    <col min="8707" max="8707" width="13.4444444444444" style="219" bestFit="1" customWidth="1"/>
    <col min="8708" max="8708" width="14.2222222222222" style="219" bestFit="1" customWidth="1"/>
    <col min="8709" max="8710" width="13.2222222222222" style="219"/>
    <col min="8711" max="8711" width="13.4444444444444" style="219" bestFit="1" customWidth="1"/>
    <col min="8712" max="8712" width="13.2222222222222" style="219"/>
    <col min="8713" max="8713" width="13.4444444444444" style="219" bestFit="1" customWidth="1"/>
    <col min="8714" max="8714" width="13.2222222222222" style="219"/>
    <col min="8715" max="8717" width="13.4444444444444" style="219" bestFit="1" customWidth="1"/>
    <col min="8718" max="8718" width="13.2222222222222" style="219"/>
    <col min="8719" max="8719" width="13.4444444444444" style="219" bestFit="1" customWidth="1"/>
    <col min="8720" max="8720" width="13.2222222222222" style="219"/>
    <col min="8721" max="8721" width="14.1111111111111" style="219" bestFit="1" customWidth="1"/>
    <col min="8722" max="8722" width="13.2222222222222" style="219"/>
    <col min="8723" max="8723" width="13.4444444444444" style="219" bestFit="1" customWidth="1"/>
    <col min="8724" max="8961" width="13.2222222222222" style="219"/>
    <col min="8962" max="8962" width="14.4444444444444" style="219" customWidth="1"/>
    <col min="8963" max="8963" width="13.4444444444444" style="219" bestFit="1" customWidth="1"/>
    <col min="8964" max="8964" width="14.2222222222222" style="219" bestFit="1" customWidth="1"/>
    <col min="8965" max="8966" width="13.2222222222222" style="219"/>
    <col min="8967" max="8967" width="13.4444444444444" style="219" bestFit="1" customWidth="1"/>
    <col min="8968" max="8968" width="13.2222222222222" style="219"/>
    <col min="8969" max="8969" width="13.4444444444444" style="219" bestFit="1" customWidth="1"/>
    <col min="8970" max="8970" width="13.2222222222222" style="219"/>
    <col min="8971" max="8973" width="13.4444444444444" style="219" bestFit="1" customWidth="1"/>
    <col min="8974" max="8974" width="13.2222222222222" style="219"/>
    <col min="8975" max="8975" width="13.4444444444444" style="219" bestFit="1" customWidth="1"/>
    <col min="8976" max="8976" width="13.2222222222222" style="219"/>
    <col min="8977" max="8977" width="14.1111111111111" style="219" bestFit="1" customWidth="1"/>
    <col min="8978" max="8978" width="13.2222222222222" style="219"/>
    <col min="8979" max="8979" width="13.4444444444444" style="219" bestFit="1" customWidth="1"/>
    <col min="8980" max="9217" width="13.2222222222222" style="219"/>
    <col min="9218" max="9218" width="14.4444444444444" style="219" customWidth="1"/>
    <col min="9219" max="9219" width="13.4444444444444" style="219" bestFit="1" customWidth="1"/>
    <col min="9220" max="9220" width="14.2222222222222" style="219" bestFit="1" customWidth="1"/>
    <col min="9221" max="9222" width="13.2222222222222" style="219"/>
    <col min="9223" max="9223" width="13.4444444444444" style="219" bestFit="1" customWidth="1"/>
    <col min="9224" max="9224" width="13.2222222222222" style="219"/>
    <col min="9225" max="9225" width="13.4444444444444" style="219" bestFit="1" customWidth="1"/>
    <col min="9226" max="9226" width="13.2222222222222" style="219"/>
    <col min="9227" max="9229" width="13.4444444444444" style="219" bestFit="1" customWidth="1"/>
    <col min="9230" max="9230" width="13.2222222222222" style="219"/>
    <col min="9231" max="9231" width="13.4444444444444" style="219" bestFit="1" customWidth="1"/>
    <col min="9232" max="9232" width="13.2222222222222" style="219"/>
    <col min="9233" max="9233" width="14.1111111111111" style="219" bestFit="1" customWidth="1"/>
    <col min="9234" max="9234" width="13.2222222222222" style="219"/>
    <col min="9235" max="9235" width="13.4444444444444" style="219" bestFit="1" customWidth="1"/>
    <col min="9236" max="9473" width="13.2222222222222" style="219"/>
    <col min="9474" max="9474" width="14.4444444444444" style="219" customWidth="1"/>
    <col min="9475" max="9475" width="13.4444444444444" style="219" bestFit="1" customWidth="1"/>
    <col min="9476" max="9476" width="14.2222222222222" style="219" bestFit="1" customWidth="1"/>
    <col min="9477" max="9478" width="13.2222222222222" style="219"/>
    <col min="9479" max="9479" width="13.4444444444444" style="219" bestFit="1" customWidth="1"/>
    <col min="9480" max="9480" width="13.2222222222222" style="219"/>
    <col min="9481" max="9481" width="13.4444444444444" style="219" bestFit="1" customWidth="1"/>
    <col min="9482" max="9482" width="13.2222222222222" style="219"/>
    <col min="9483" max="9485" width="13.4444444444444" style="219" bestFit="1" customWidth="1"/>
    <col min="9486" max="9486" width="13.2222222222222" style="219"/>
    <col min="9487" max="9487" width="13.4444444444444" style="219" bestFit="1" customWidth="1"/>
    <col min="9488" max="9488" width="13.2222222222222" style="219"/>
    <col min="9489" max="9489" width="14.1111111111111" style="219" bestFit="1" customWidth="1"/>
    <col min="9490" max="9490" width="13.2222222222222" style="219"/>
    <col min="9491" max="9491" width="13.4444444444444" style="219" bestFit="1" customWidth="1"/>
    <col min="9492" max="9729" width="13.2222222222222" style="219"/>
    <col min="9730" max="9730" width="14.4444444444444" style="219" customWidth="1"/>
    <col min="9731" max="9731" width="13.4444444444444" style="219" bestFit="1" customWidth="1"/>
    <col min="9732" max="9732" width="14.2222222222222" style="219" bestFit="1" customWidth="1"/>
    <col min="9733" max="9734" width="13.2222222222222" style="219"/>
    <col min="9735" max="9735" width="13.4444444444444" style="219" bestFit="1" customWidth="1"/>
    <col min="9736" max="9736" width="13.2222222222222" style="219"/>
    <col min="9737" max="9737" width="13.4444444444444" style="219" bestFit="1" customWidth="1"/>
    <col min="9738" max="9738" width="13.2222222222222" style="219"/>
    <col min="9739" max="9741" width="13.4444444444444" style="219" bestFit="1" customWidth="1"/>
    <col min="9742" max="9742" width="13.2222222222222" style="219"/>
    <col min="9743" max="9743" width="13.4444444444444" style="219" bestFit="1" customWidth="1"/>
    <col min="9744" max="9744" width="13.2222222222222" style="219"/>
    <col min="9745" max="9745" width="14.1111111111111" style="219" bestFit="1" customWidth="1"/>
    <col min="9746" max="9746" width="13.2222222222222" style="219"/>
    <col min="9747" max="9747" width="13.4444444444444" style="219" bestFit="1" customWidth="1"/>
    <col min="9748" max="9985" width="13.2222222222222" style="219"/>
    <col min="9986" max="9986" width="14.4444444444444" style="219" customWidth="1"/>
    <col min="9987" max="9987" width="13.4444444444444" style="219" bestFit="1" customWidth="1"/>
    <col min="9988" max="9988" width="14.2222222222222" style="219" bestFit="1" customWidth="1"/>
    <col min="9989" max="9990" width="13.2222222222222" style="219"/>
    <col min="9991" max="9991" width="13.4444444444444" style="219" bestFit="1" customWidth="1"/>
    <col min="9992" max="9992" width="13.2222222222222" style="219"/>
    <col min="9993" max="9993" width="13.4444444444444" style="219" bestFit="1" customWidth="1"/>
    <col min="9994" max="9994" width="13.2222222222222" style="219"/>
    <col min="9995" max="9997" width="13.4444444444444" style="219" bestFit="1" customWidth="1"/>
    <col min="9998" max="9998" width="13.2222222222222" style="219"/>
    <col min="9999" max="9999" width="13.4444444444444" style="219" bestFit="1" customWidth="1"/>
    <col min="10000" max="10000" width="13.2222222222222" style="219"/>
    <col min="10001" max="10001" width="14.1111111111111" style="219" bestFit="1" customWidth="1"/>
    <col min="10002" max="10002" width="13.2222222222222" style="219"/>
    <col min="10003" max="10003" width="13.4444444444444" style="219" bestFit="1" customWidth="1"/>
    <col min="10004" max="10241" width="13.2222222222222" style="219"/>
    <col min="10242" max="10242" width="14.4444444444444" style="219" customWidth="1"/>
    <col min="10243" max="10243" width="13.4444444444444" style="219" bestFit="1" customWidth="1"/>
    <col min="10244" max="10244" width="14.2222222222222" style="219" bestFit="1" customWidth="1"/>
    <col min="10245" max="10246" width="13.2222222222222" style="219"/>
    <col min="10247" max="10247" width="13.4444444444444" style="219" bestFit="1" customWidth="1"/>
    <col min="10248" max="10248" width="13.2222222222222" style="219"/>
    <col min="10249" max="10249" width="13.4444444444444" style="219" bestFit="1" customWidth="1"/>
    <col min="10250" max="10250" width="13.2222222222222" style="219"/>
    <col min="10251" max="10253" width="13.4444444444444" style="219" bestFit="1" customWidth="1"/>
    <col min="10254" max="10254" width="13.2222222222222" style="219"/>
    <col min="10255" max="10255" width="13.4444444444444" style="219" bestFit="1" customWidth="1"/>
    <col min="10256" max="10256" width="13.2222222222222" style="219"/>
    <col min="10257" max="10257" width="14.1111111111111" style="219" bestFit="1" customWidth="1"/>
    <col min="10258" max="10258" width="13.2222222222222" style="219"/>
    <col min="10259" max="10259" width="13.4444444444444" style="219" bestFit="1" customWidth="1"/>
    <col min="10260" max="10497" width="13.2222222222222" style="219"/>
    <col min="10498" max="10498" width="14.4444444444444" style="219" customWidth="1"/>
    <col min="10499" max="10499" width="13.4444444444444" style="219" bestFit="1" customWidth="1"/>
    <col min="10500" max="10500" width="14.2222222222222" style="219" bestFit="1" customWidth="1"/>
    <col min="10501" max="10502" width="13.2222222222222" style="219"/>
    <col min="10503" max="10503" width="13.4444444444444" style="219" bestFit="1" customWidth="1"/>
    <col min="10504" max="10504" width="13.2222222222222" style="219"/>
    <col min="10505" max="10505" width="13.4444444444444" style="219" bestFit="1" customWidth="1"/>
    <col min="10506" max="10506" width="13.2222222222222" style="219"/>
    <col min="10507" max="10509" width="13.4444444444444" style="219" bestFit="1" customWidth="1"/>
    <col min="10510" max="10510" width="13.2222222222222" style="219"/>
    <col min="10511" max="10511" width="13.4444444444444" style="219" bestFit="1" customWidth="1"/>
    <col min="10512" max="10512" width="13.2222222222222" style="219"/>
    <col min="10513" max="10513" width="14.1111111111111" style="219" bestFit="1" customWidth="1"/>
    <col min="10514" max="10514" width="13.2222222222222" style="219"/>
    <col min="10515" max="10515" width="13.4444444444444" style="219" bestFit="1" customWidth="1"/>
    <col min="10516" max="10753" width="13.2222222222222" style="219"/>
    <col min="10754" max="10754" width="14.4444444444444" style="219" customWidth="1"/>
    <col min="10755" max="10755" width="13.4444444444444" style="219" bestFit="1" customWidth="1"/>
    <col min="10756" max="10756" width="14.2222222222222" style="219" bestFit="1" customWidth="1"/>
    <col min="10757" max="10758" width="13.2222222222222" style="219"/>
    <col min="10759" max="10759" width="13.4444444444444" style="219" bestFit="1" customWidth="1"/>
    <col min="10760" max="10760" width="13.2222222222222" style="219"/>
    <col min="10761" max="10761" width="13.4444444444444" style="219" bestFit="1" customWidth="1"/>
    <col min="10762" max="10762" width="13.2222222222222" style="219"/>
    <col min="10763" max="10765" width="13.4444444444444" style="219" bestFit="1" customWidth="1"/>
    <col min="10766" max="10766" width="13.2222222222222" style="219"/>
    <col min="10767" max="10767" width="13.4444444444444" style="219" bestFit="1" customWidth="1"/>
    <col min="10768" max="10768" width="13.2222222222222" style="219"/>
    <col min="10769" max="10769" width="14.1111111111111" style="219" bestFit="1" customWidth="1"/>
    <col min="10770" max="10770" width="13.2222222222222" style="219"/>
    <col min="10771" max="10771" width="13.4444444444444" style="219" bestFit="1" customWidth="1"/>
    <col min="10772" max="11009" width="13.2222222222222" style="219"/>
    <col min="11010" max="11010" width="14.4444444444444" style="219" customWidth="1"/>
    <col min="11011" max="11011" width="13.4444444444444" style="219" bestFit="1" customWidth="1"/>
    <col min="11012" max="11012" width="14.2222222222222" style="219" bestFit="1" customWidth="1"/>
    <col min="11013" max="11014" width="13.2222222222222" style="219"/>
    <col min="11015" max="11015" width="13.4444444444444" style="219" bestFit="1" customWidth="1"/>
    <col min="11016" max="11016" width="13.2222222222222" style="219"/>
    <col min="11017" max="11017" width="13.4444444444444" style="219" bestFit="1" customWidth="1"/>
    <col min="11018" max="11018" width="13.2222222222222" style="219"/>
    <col min="11019" max="11021" width="13.4444444444444" style="219" bestFit="1" customWidth="1"/>
    <col min="11022" max="11022" width="13.2222222222222" style="219"/>
    <col min="11023" max="11023" width="13.4444444444444" style="219" bestFit="1" customWidth="1"/>
    <col min="11024" max="11024" width="13.2222222222222" style="219"/>
    <col min="11025" max="11025" width="14.1111111111111" style="219" bestFit="1" customWidth="1"/>
    <col min="11026" max="11026" width="13.2222222222222" style="219"/>
    <col min="11027" max="11027" width="13.4444444444444" style="219" bestFit="1" customWidth="1"/>
    <col min="11028" max="11265" width="13.2222222222222" style="219"/>
    <col min="11266" max="11266" width="14.4444444444444" style="219" customWidth="1"/>
    <col min="11267" max="11267" width="13.4444444444444" style="219" bestFit="1" customWidth="1"/>
    <col min="11268" max="11268" width="14.2222222222222" style="219" bestFit="1" customWidth="1"/>
    <col min="11269" max="11270" width="13.2222222222222" style="219"/>
    <col min="11271" max="11271" width="13.4444444444444" style="219" bestFit="1" customWidth="1"/>
    <col min="11272" max="11272" width="13.2222222222222" style="219"/>
    <col min="11273" max="11273" width="13.4444444444444" style="219" bestFit="1" customWidth="1"/>
    <col min="11274" max="11274" width="13.2222222222222" style="219"/>
    <col min="11275" max="11277" width="13.4444444444444" style="219" bestFit="1" customWidth="1"/>
    <col min="11278" max="11278" width="13.2222222222222" style="219"/>
    <col min="11279" max="11279" width="13.4444444444444" style="219" bestFit="1" customWidth="1"/>
    <col min="11280" max="11280" width="13.2222222222222" style="219"/>
    <col min="11281" max="11281" width="14.1111111111111" style="219" bestFit="1" customWidth="1"/>
    <col min="11282" max="11282" width="13.2222222222222" style="219"/>
    <col min="11283" max="11283" width="13.4444444444444" style="219" bestFit="1" customWidth="1"/>
    <col min="11284" max="11521" width="13.2222222222222" style="219"/>
    <col min="11522" max="11522" width="14.4444444444444" style="219" customWidth="1"/>
    <col min="11523" max="11523" width="13.4444444444444" style="219" bestFit="1" customWidth="1"/>
    <col min="11524" max="11524" width="14.2222222222222" style="219" bestFit="1" customWidth="1"/>
    <col min="11525" max="11526" width="13.2222222222222" style="219"/>
    <col min="11527" max="11527" width="13.4444444444444" style="219" bestFit="1" customWidth="1"/>
    <col min="11528" max="11528" width="13.2222222222222" style="219"/>
    <col min="11529" max="11529" width="13.4444444444444" style="219" bestFit="1" customWidth="1"/>
    <col min="11530" max="11530" width="13.2222222222222" style="219"/>
    <col min="11531" max="11533" width="13.4444444444444" style="219" bestFit="1" customWidth="1"/>
    <col min="11534" max="11534" width="13.2222222222222" style="219"/>
    <col min="11535" max="11535" width="13.4444444444444" style="219" bestFit="1" customWidth="1"/>
    <col min="11536" max="11536" width="13.2222222222222" style="219"/>
    <col min="11537" max="11537" width="14.1111111111111" style="219" bestFit="1" customWidth="1"/>
    <col min="11538" max="11538" width="13.2222222222222" style="219"/>
    <col min="11539" max="11539" width="13.4444444444444" style="219" bestFit="1" customWidth="1"/>
    <col min="11540" max="11777" width="13.2222222222222" style="219"/>
    <col min="11778" max="11778" width="14.4444444444444" style="219" customWidth="1"/>
    <col min="11779" max="11779" width="13.4444444444444" style="219" bestFit="1" customWidth="1"/>
    <col min="11780" max="11780" width="14.2222222222222" style="219" bestFit="1" customWidth="1"/>
    <col min="11781" max="11782" width="13.2222222222222" style="219"/>
    <col min="11783" max="11783" width="13.4444444444444" style="219" bestFit="1" customWidth="1"/>
    <col min="11784" max="11784" width="13.2222222222222" style="219"/>
    <col min="11785" max="11785" width="13.4444444444444" style="219" bestFit="1" customWidth="1"/>
    <col min="11786" max="11786" width="13.2222222222222" style="219"/>
    <col min="11787" max="11789" width="13.4444444444444" style="219" bestFit="1" customWidth="1"/>
    <col min="11790" max="11790" width="13.2222222222222" style="219"/>
    <col min="11791" max="11791" width="13.4444444444444" style="219" bestFit="1" customWidth="1"/>
    <col min="11792" max="11792" width="13.2222222222222" style="219"/>
    <col min="11793" max="11793" width="14.1111111111111" style="219" bestFit="1" customWidth="1"/>
    <col min="11794" max="11794" width="13.2222222222222" style="219"/>
    <col min="11795" max="11795" width="13.4444444444444" style="219" bestFit="1" customWidth="1"/>
    <col min="11796" max="12033" width="13.2222222222222" style="219"/>
    <col min="12034" max="12034" width="14.4444444444444" style="219" customWidth="1"/>
    <col min="12035" max="12035" width="13.4444444444444" style="219" bestFit="1" customWidth="1"/>
    <col min="12036" max="12036" width="14.2222222222222" style="219" bestFit="1" customWidth="1"/>
    <col min="12037" max="12038" width="13.2222222222222" style="219"/>
    <col min="12039" max="12039" width="13.4444444444444" style="219" bestFit="1" customWidth="1"/>
    <col min="12040" max="12040" width="13.2222222222222" style="219"/>
    <col min="12041" max="12041" width="13.4444444444444" style="219" bestFit="1" customWidth="1"/>
    <col min="12042" max="12042" width="13.2222222222222" style="219"/>
    <col min="12043" max="12045" width="13.4444444444444" style="219" bestFit="1" customWidth="1"/>
    <col min="12046" max="12046" width="13.2222222222222" style="219"/>
    <col min="12047" max="12047" width="13.4444444444444" style="219" bestFit="1" customWidth="1"/>
    <col min="12048" max="12048" width="13.2222222222222" style="219"/>
    <col min="12049" max="12049" width="14.1111111111111" style="219" bestFit="1" customWidth="1"/>
    <col min="12050" max="12050" width="13.2222222222222" style="219"/>
    <col min="12051" max="12051" width="13.4444444444444" style="219" bestFit="1" customWidth="1"/>
    <col min="12052" max="12289" width="13.2222222222222" style="219"/>
    <col min="12290" max="12290" width="14.4444444444444" style="219" customWidth="1"/>
    <col min="12291" max="12291" width="13.4444444444444" style="219" bestFit="1" customWidth="1"/>
    <col min="12292" max="12292" width="14.2222222222222" style="219" bestFit="1" customWidth="1"/>
    <col min="12293" max="12294" width="13.2222222222222" style="219"/>
    <col min="12295" max="12295" width="13.4444444444444" style="219" bestFit="1" customWidth="1"/>
    <col min="12296" max="12296" width="13.2222222222222" style="219"/>
    <col min="12297" max="12297" width="13.4444444444444" style="219" bestFit="1" customWidth="1"/>
    <col min="12298" max="12298" width="13.2222222222222" style="219"/>
    <col min="12299" max="12301" width="13.4444444444444" style="219" bestFit="1" customWidth="1"/>
    <col min="12302" max="12302" width="13.2222222222222" style="219"/>
    <col min="12303" max="12303" width="13.4444444444444" style="219" bestFit="1" customWidth="1"/>
    <col min="12304" max="12304" width="13.2222222222222" style="219"/>
    <col min="12305" max="12305" width="14.1111111111111" style="219" bestFit="1" customWidth="1"/>
    <col min="12306" max="12306" width="13.2222222222222" style="219"/>
    <col min="12307" max="12307" width="13.4444444444444" style="219" bestFit="1" customWidth="1"/>
    <col min="12308" max="12545" width="13.2222222222222" style="219"/>
    <col min="12546" max="12546" width="14.4444444444444" style="219" customWidth="1"/>
    <col min="12547" max="12547" width="13.4444444444444" style="219" bestFit="1" customWidth="1"/>
    <col min="12548" max="12548" width="14.2222222222222" style="219" bestFit="1" customWidth="1"/>
    <col min="12549" max="12550" width="13.2222222222222" style="219"/>
    <col min="12551" max="12551" width="13.4444444444444" style="219" bestFit="1" customWidth="1"/>
    <col min="12552" max="12552" width="13.2222222222222" style="219"/>
    <col min="12553" max="12553" width="13.4444444444444" style="219" bestFit="1" customWidth="1"/>
    <col min="12554" max="12554" width="13.2222222222222" style="219"/>
    <col min="12555" max="12557" width="13.4444444444444" style="219" bestFit="1" customWidth="1"/>
    <col min="12558" max="12558" width="13.2222222222222" style="219"/>
    <col min="12559" max="12559" width="13.4444444444444" style="219" bestFit="1" customWidth="1"/>
    <col min="12560" max="12560" width="13.2222222222222" style="219"/>
    <col min="12561" max="12561" width="14.1111111111111" style="219" bestFit="1" customWidth="1"/>
    <col min="12562" max="12562" width="13.2222222222222" style="219"/>
    <col min="12563" max="12563" width="13.4444444444444" style="219" bestFit="1" customWidth="1"/>
    <col min="12564" max="12801" width="13.2222222222222" style="219"/>
    <col min="12802" max="12802" width="14.4444444444444" style="219" customWidth="1"/>
    <col min="12803" max="12803" width="13.4444444444444" style="219" bestFit="1" customWidth="1"/>
    <col min="12804" max="12804" width="14.2222222222222" style="219" bestFit="1" customWidth="1"/>
    <col min="12805" max="12806" width="13.2222222222222" style="219"/>
    <col min="12807" max="12807" width="13.4444444444444" style="219" bestFit="1" customWidth="1"/>
    <col min="12808" max="12808" width="13.2222222222222" style="219"/>
    <col min="12809" max="12809" width="13.4444444444444" style="219" bestFit="1" customWidth="1"/>
    <col min="12810" max="12810" width="13.2222222222222" style="219"/>
    <col min="12811" max="12813" width="13.4444444444444" style="219" bestFit="1" customWidth="1"/>
    <col min="12814" max="12814" width="13.2222222222222" style="219"/>
    <col min="12815" max="12815" width="13.4444444444444" style="219" bestFit="1" customWidth="1"/>
    <col min="12816" max="12816" width="13.2222222222222" style="219"/>
    <col min="12817" max="12817" width="14.1111111111111" style="219" bestFit="1" customWidth="1"/>
    <col min="12818" max="12818" width="13.2222222222222" style="219"/>
    <col min="12819" max="12819" width="13.4444444444444" style="219" bestFit="1" customWidth="1"/>
    <col min="12820" max="13057" width="13.2222222222222" style="219"/>
    <col min="13058" max="13058" width="14.4444444444444" style="219" customWidth="1"/>
    <col min="13059" max="13059" width="13.4444444444444" style="219" bestFit="1" customWidth="1"/>
    <col min="13060" max="13060" width="14.2222222222222" style="219" bestFit="1" customWidth="1"/>
    <col min="13061" max="13062" width="13.2222222222222" style="219"/>
    <col min="13063" max="13063" width="13.4444444444444" style="219" bestFit="1" customWidth="1"/>
    <col min="13064" max="13064" width="13.2222222222222" style="219"/>
    <col min="13065" max="13065" width="13.4444444444444" style="219" bestFit="1" customWidth="1"/>
    <col min="13066" max="13066" width="13.2222222222222" style="219"/>
    <col min="13067" max="13069" width="13.4444444444444" style="219" bestFit="1" customWidth="1"/>
    <col min="13070" max="13070" width="13.2222222222222" style="219"/>
    <col min="13071" max="13071" width="13.4444444444444" style="219" bestFit="1" customWidth="1"/>
    <col min="13072" max="13072" width="13.2222222222222" style="219"/>
    <col min="13073" max="13073" width="14.1111111111111" style="219" bestFit="1" customWidth="1"/>
    <col min="13074" max="13074" width="13.2222222222222" style="219"/>
    <col min="13075" max="13075" width="13.4444444444444" style="219" bestFit="1" customWidth="1"/>
    <col min="13076" max="13313" width="13.2222222222222" style="219"/>
    <col min="13314" max="13314" width="14.4444444444444" style="219" customWidth="1"/>
    <col min="13315" max="13315" width="13.4444444444444" style="219" bestFit="1" customWidth="1"/>
    <col min="13316" max="13316" width="14.2222222222222" style="219" bestFit="1" customWidth="1"/>
    <col min="13317" max="13318" width="13.2222222222222" style="219"/>
    <col min="13319" max="13319" width="13.4444444444444" style="219" bestFit="1" customWidth="1"/>
    <col min="13320" max="13320" width="13.2222222222222" style="219"/>
    <col min="13321" max="13321" width="13.4444444444444" style="219" bestFit="1" customWidth="1"/>
    <col min="13322" max="13322" width="13.2222222222222" style="219"/>
    <col min="13323" max="13325" width="13.4444444444444" style="219" bestFit="1" customWidth="1"/>
    <col min="13326" max="13326" width="13.2222222222222" style="219"/>
    <col min="13327" max="13327" width="13.4444444444444" style="219" bestFit="1" customWidth="1"/>
    <col min="13328" max="13328" width="13.2222222222222" style="219"/>
    <col min="13329" max="13329" width="14.1111111111111" style="219" bestFit="1" customWidth="1"/>
    <col min="13330" max="13330" width="13.2222222222222" style="219"/>
    <col min="13331" max="13331" width="13.4444444444444" style="219" bestFit="1" customWidth="1"/>
    <col min="13332" max="13569" width="13.2222222222222" style="219"/>
    <col min="13570" max="13570" width="14.4444444444444" style="219" customWidth="1"/>
    <col min="13571" max="13571" width="13.4444444444444" style="219" bestFit="1" customWidth="1"/>
    <col min="13572" max="13572" width="14.2222222222222" style="219" bestFit="1" customWidth="1"/>
    <col min="13573" max="13574" width="13.2222222222222" style="219"/>
    <col min="13575" max="13575" width="13.4444444444444" style="219" bestFit="1" customWidth="1"/>
    <col min="13576" max="13576" width="13.2222222222222" style="219"/>
    <col min="13577" max="13577" width="13.4444444444444" style="219" bestFit="1" customWidth="1"/>
    <col min="13578" max="13578" width="13.2222222222222" style="219"/>
    <col min="13579" max="13581" width="13.4444444444444" style="219" bestFit="1" customWidth="1"/>
    <col min="13582" max="13582" width="13.2222222222222" style="219"/>
    <col min="13583" max="13583" width="13.4444444444444" style="219" bestFit="1" customWidth="1"/>
    <col min="13584" max="13584" width="13.2222222222222" style="219"/>
    <col min="13585" max="13585" width="14.1111111111111" style="219" bestFit="1" customWidth="1"/>
    <col min="13586" max="13586" width="13.2222222222222" style="219"/>
    <col min="13587" max="13587" width="13.4444444444444" style="219" bestFit="1" customWidth="1"/>
    <col min="13588" max="13825" width="13.2222222222222" style="219"/>
    <col min="13826" max="13826" width="14.4444444444444" style="219" customWidth="1"/>
    <col min="13827" max="13827" width="13.4444444444444" style="219" bestFit="1" customWidth="1"/>
    <col min="13828" max="13828" width="14.2222222222222" style="219" bestFit="1" customWidth="1"/>
    <col min="13829" max="13830" width="13.2222222222222" style="219"/>
    <col min="13831" max="13831" width="13.4444444444444" style="219" bestFit="1" customWidth="1"/>
    <col min="13832" max="13832" width="13.2222222222222" style="219"/>
    <col min="13833" max="13833" width="13.4444444444444" style="219" bestFit="1" customWidth="1"/>
    <col min="13834" max="13834" width="13.2222222222222" style="219"/>
    <col min="13835" max="13837" width="13.4444444444444" style="219" bestFit="1" customWidth="1"/>
    <col min="13838" max="13838" width="13.2222222222222" style="219"/>
    <col min="13839" max="13839" width="13.4444444444444" style="219" bestFit="1" customWidth="1"/>
    <col min="13840" max="13840" width="13.2222222222222" style="219"/>
    <col min="13841" max="13841" width="14.1111111111111" style="219" bestFit="1" customWidth="1"/>
    <col min="13842" max="13842" width="13.2222222222222" style="219"/>
    <col min="13843" max="13843" width="13.4444444444444" style="219" bestFit="1" customWidth="1"/>
    <col min="13844" max="14081" width="13.2222222222222" style="219"/>
    <col min="14082" max="14082" width="14.4444444444444" style="219" customWidth="1"/>
    <col min="14083" max="14083" width="13.4444444444444" style="219" bestFit="1" customWidth="1"/>
    <col min="14084" max="14084" width="14.2222222222222" style="219" bestFit="1" customWidth="1"/>
    <col min="14085" max="14086" width="13.2222222222222" style="219"/>
    <col min="14087" max="14087" width="13.4444444444444" style="219" bestFit="1" customWidth="1"/>
    <col min="14088" max="14088" width="13.2222222222222" style="219"/>
    <col min="14089" max="14089" width="13.4444444444444" style="219" bestFit="1" customWidth="1"/>
    <col min="14090" max="14090" width="13.2222222222222" style="219"/>
    <col min="14091" max="14093" width="13.4444444444444" style="219" bestFit="1" customWidth="1"/>
    <col min="14094" max="14094" width="13.2222222222222" style="219"/>
    <col min="14095" max="14095" width="13.4444444444444" style="219" bestFit="1" customWidth="1"/>
    <col min="14096" max="14096" width="13.2222222222222" style="219"/>
    <col min="14097" max="14097" width="14.1111111111111" style="219" bestFit="1" customWidth="1"/>
    <col min="14098" max="14098" width="13.2222222222222" style="219"/>
    <col min="14099" max="14099" width="13.4444444444444" style="219" bestFit="1" customWidth="1"/>
    <col min="14100" max="14337" width="13.2222222222222" style="219"/>
    <col min="14338" max="14338" width="14.4444444444444" style="219" customWidth="1"/>
    <col min="14339" max="14339" width="13.4444444444444" style="219" bestFit="1" customWidth="1"/>
    <col min="14340" max="14340" width="14.2222222222222" style="219" bestFit="1" customWidth="1"/>
    <col min="14341" max="14342" width="13.2222222222222" style="219"/>
    <col min="14343" max="14343" width="13.4444444444444" style="219" bestFit="1" customWidth="1"/>
    <col min="14344" max="14344" width="13.2222222222222" style="219"/>
    <col min="14345" max="14345" width="13.4444444444444" style="219" bestFit="1" customWidth="1"/>
    <col min="14346" max="14346" width="13.2222222222222" style="219"/>
    <col min="14347" max="14349" width="13.4444444444444" style="219" bestFit="1" customWidth="1"/>
    <col min="14350" max="14350" width="13.2222222222222" style="219"/>
    <col min="14351" max="14351" width="13.4444444444444" style="219" bestFit="1" customWidth="1"/>
    <col min="14352" max="14352" width="13.2222222222222" style="219"/>
    <col min="14353" max="14353" width="14.1111111111111" style="219" bestFit="1" customWidth="1"/>
    <col min="14354" max="14354" width="13.2222222222222" style="219"/>
    <col min="14355" max="14355" width="13.4444444444444" style="219" bestFit="1" customWidth="1"/>
    <col min="14356" max="14593" width="13.2222222222222" style="219"/>
    <col min="14594" max="14594" width="14.4444444444444" style="219" customWidth="1"/>
    <col min="14595" max="14595" width="13.4444444444444" style="219" bestFit="1" customWidth="1"/>
    <col min="14596" max="14596" width="14.2222222222222" style="219" bestFit="1" customWidth="1"/>
    <col min="14597" max="14598" width="13.2222222222222" style="219"/>
    <col min="14599" max="14599" width="13.4444444444444" style="219" bestFit="1" customWidth="1"/>
    <col min="14600" max="14600" width="13.2222222222222" style="219"/>
    <col min="14601" max="14601" width="13.4444444444444" style="219" bestFit="1" customWidth="1"/>
    <col min="14602" max="14602" width="13.2222222222222" style="219"/>
    <col min="14603" max="14605" width="13.4444444444444" style="219" bestFit="1" customWidth="1"/>
    <col min="14606" max="14606" width="13.2222222222222" style="219"/>
    <col min="14607" max="14607" width="13.4444444444444" style="219" bestFit="1" customWidth="1"/>
    <col min="14608" max="14608" width="13.2222222222222" style="219"/>
    <col min="14609" max="14609" width="14.1111111111111" style="219" bestFit="1" customWidth="1"/>
    <col min="14610" max="14610" width="13.2222222222222" style="219"/>
    <col min="14611" max="14611" width="13.4444444444444" style="219" bestFit="1" customWidth="1"/>
    <col min="14612" max="14849" width="13.2222222222222" style="219"/>
    <col min="14850" max="14850" width="14.4444444444444" style="219" customWidth="1"/>
    <col min="14851" max="14851" width="13.4444444444444" style="219" bestFit="1" customWidth="1"/>
    <col min="14852" max="14852" width="14.2222222222222" style="219" bestFit="1" customWidth="1"/>
    <col min="14853" max="14854" width="13.2222222222222" style="219"/>
    <col min="14855" max="14855" width="13.4444444444444" style="219" bestFit="1" customWidth="1"/>
    <col min="14856" max="14856" width="13.2222222222222" style="219"/>
    <col min="14857" max="14857" width="13.4444444444444" style="219" bestFit="1" customWidth="1"/>
    <col min="14858" max="14858" width="13.2222222222222" style="219"/>
    <col min="14859" max="14861" width="13.4444444444444" style="219" bestFit="1" customWidth="1"/>
    <col min="14862" max="14862" width="13.2222222222222" style="219"/>
    <col min="14863" max="14863" width="13.4444444444444" style="219" bestFit="1" customWidth="1"/>
    <col min="14864" max="14864" width="13.2222222222222" style="219"/>
    <col min="14865" max="14865" width="14.1111111111111" style="219" bestFit="1" customWidth="1"/>
    <col min="14866" max="14866" width="13.2222222222222" style="219"/>
    <col min="14867" max="14867" width="13.4444444444444" style="219" bestFit="1" customWidth="1"/>
    <col min="14868" max="15105" width="13.2222222222222" style="219"/>
    <col min="15106" max="15106" width="14.4444444444444" style="219" customWidth="1"/>
    <col min="15107" max="15107" width="13.4444444444444" style="219" bestFit="1" customWidth="1"/>
    <col min="15108" max="15108" width="14.2222222222222" style="219" bestFit="1" customWidth="1"/>
    <col min="15109" max="15110" width="13.2222222222222" style="219"/>
    <col min="15111" max="15111" width="13.4444444444444" style="219" bestFit="1" customWidth="1"/>
    <col min="15112" max="15112" width="13.2222222222222" style="219"/>
    <col min="15113" max="15113" width="13.4444444444444" style="219" bestFit="1" customWidth="1"/>
    <col min="15114" max="15114" width="13.2222222222222" style="219"/>
    <col min="15115" max="15117" width="13.4444444444444" style="219" bestFit="1" customWidth="1"/>
    <col min="15118" max="15118" width="13.2222222222222" style="219"/>
    <col min="15119" max="15119" width="13.4444444444444" style="219" bestFit="1" customWidth="1"/>
    <col min="15120" max="15120" width="13.2222222222222" style="219"/>
    <col min="15121" max="15121" width="14.1111111111111" style="219" bestFit="1" customWidth="1"/>
    <col min="15122" max="15122" width="13.2222222222222" style="219"/>
    <col min="15123" max="15123" width="13.4444444444444" style="219" bestFit="1" customWidth="1"/>
    <col min="15124" max="15361" width="13.2222222222222" style="219"/>
    <col min="15362" max="15362" width="14.4444444444444" style="219" customWidth="1"/>
    <col min="15363" max="15363" width="13.4444444444444" style="219" bestFit="1" customWidth="1"/>
    <col min="15364" max="15364" width="14.2222222222222" style="219" bestFit="1" customWidth="1"/>
    <col min="15365" max="15366" width="13.2222222222222" style="219"/>
    <col min="15367" max="15367" width="13.4444444444444" style="219" bestFit="1" customWidth="1"/>
    <col min="15368" max="15368" width="13.2222222222222" style="219"/>
    <col min="15369" max="15369" width="13.4444444444444" style="219" bestFit="1" customWidth="1"/>
    <col min="15370" max="15370" width="13.2222222222222" style="219"/>
    <col min="15371" max="15373" width="13.4444444444444" style="219" bestFit="1" customWidth="1"/>
    <col min="15374" max="15374" width="13.2222222222222" style="219"/>
    <col min="15375" max="15375" width="13.4444444444444" style="219" bestFit="1" customWidth="1"/>
    <col min="15376" max="15376" width="13.2222222222222" style="219"/>
    <col min="15377" max="15377" width="14.1111111111111" style="219" bestFit="1" customWidth="1"/>
    <col min="15378" max="15378" width="13.2222222222222" style="219"/>
    <col min="15379" max="15379" width="13.4444444444444" style="219" bestFit="1" customWidth="1"/>
    <col min="15380" max="15617" width="13.2222222222222" style="219"/>
    <col min="15618" max="15618" width="14.4444444444444" style="219" customWidth="1"/>
    <col min="15619" max="15619" width="13.4444444444444" style="219" bestFit="1" customWidth="1"/>
    <col min="15620" max="15620" width="14.2222222222222" style="219" bestFit="1" customWidth="1"/>
    <col min="15621" max="15622" width="13.2222222222222" style="219"/>
    <col min="15623" max="15623" width="13.4444444444444" style="219" bestFit="1" customWidth="1"/>
    <col min="15624" max="15624" width="13.2222222222222" style="219"/>
    <col min="15625" max="15625" width="13.4444444444444" style="219" bestFit="1" customWidth="1"/>
    <col min="15626" max="15626" width="13.2222222222222" style="219"/>
    <col min="15627" max="15629" width="13.4444444444444" style="219" bestFit="1" customWidth="1"/>
    <col min="15630" max="15630" width="13.2222222222222" style="219"/>
    <col min="15631" max="15631" width="13.4444444444444" style="219" bestFit="1" customWidth="1"/>
    <col min="15632" max="15632" width="13.2222222222222" style="219"/>
    <col min="15633" max="15633" width="14.1111111111111" style="219" bestFit="1" customWidth="1"/>
    <col min="15634" max="15634" width="13.2222222222222" style="219"/>
    <col min="15635" max="15635" width="13.4444444444444" style="219" bestFit="1" customWidth="1"/>
    <col min="15636" max="15873" width="13.2222222222222" style="219"/>
    <col min="15874" max="15874" width="14.4444444444444" style="219" customWidth="1"/>
    <col min="15875" max="15875" width="13.4444444444444" style="219" bestFit="1" customWidth="1"/>
    <col min="15876" max="15876" width="14.2222222222222" style="219" bestFit="1" customWidth="1"/>
    <col min="15877" max="15878" width="13.2222222222222" style="219"/>
    <col min="15879" max="15879" width="13.4444444444444" style="219" bestFit="1" customWidth="1"/>
    <col min="15880" max="15880" width="13.2222222222222" style="219"/>
    <col min="15881" max="15881" width="13.4444444444444" style="219" bestFit="1" customWidth="1"/>
    <col min="15882" max="15882" width="13.2222222222222" style="219"/>
    <col min="15883" max="15885" width="13.4444444444444" style="219" bestFit="1" customWidth="1"/>
    <col min="15886" max="15886" width="13.2222222222222" style="219"/>
    <col min="15887" max="15887" width="13.4444444444444" style="219" bestFit="1" customWidth="1"/>
    <col min="15888" max="15888" width="13.2222222222222" style="219"/>
    <col min="15889" max="15889" width="14.1111111111111" style="219" bestFit="1" customWidth="1"/>
    <col min="15890" max="15890" width="13.2222222222222" style="219"/>
    <col min="15891" max="15891" width="13.4444444444444" style="219" bestFit="1" customWidth="1"/>
    <col min="15892" max="16129" width="13.2222222222222" style="219"/>
    <col min="16130" max="16130" width="14.4444444444444" style="219" customWidth="1"/>
    <col min="16131" max="16131" width="13.4444444444444" style="219" bestFit="1" customWidth="1"/>
    <col min="16132" max="16132" width="14.2222222222222" style="219" bestFit="1" customWidth="1"/>
    <col min="16133" max="16134" width="13.2222222222222" style="219"/>
    <col min="16135" max="16135" width="13.4444444444444" style="219" bestFit="1" customWidth="1"/>
    <col min="16136" max="16136" width="13.2222222222222" style="219"/>
    <col min="16137" max="16137" width="13.4444444444444" style="219" bestFit="1" customWidth="1"/>
    <col min="16138" max="16138" width="13.2222222222222" style="219"/>
    <col min="16139" max="16141" width="13.4444444444444" style="219" bestFit="1" customWidth="1"/>
    <col min="16142" max="16142" width="13.2222222222222" style="219"/>
    <col min="16143" max="16143" width="13.4444444444444" style="219" bestFit="1" customWidth="1"/>
    <col min="16144" max="16144" width="13.2222222222222" style="219"/>
    <col min="16145" max="16145" width="14.1111111111111" style="219" bestFit="1" customWidth="1"/>
    <col min="16146" max="16146" width="13.2222222222222" style="219"/>
    <col min="16147" max="16147" width="13.4444444444444" style="219" bestFit="1" customWidth="1"/>
    <col min="16148" max="16384" width="13.2222222222222" style="219"/>
  </cols>
  <sheetData>
    <row r="1" spans="1:27" ht="18">
      <c r="A1" s="278"/>
      <c r="B1" s="220"/>
      <c r="AA1" s="4" t="s">
        <v>792</v>
      </c>
    </row>
    <row r="2" spans="2:27" ht="15.75">
      <c r="B2" s="221"/>
      <c r="AA2" s="18" t="s">
        <v>220</v>
      </c>
    </row>
    <row r="3" spans="2:27" ht="18">
      <c r="B3" s="221"/>
      <c r="M3" s="220" t="s">
        <v>791</v>
      </c>
      <c r="AA3" s="18" t="str">
        <f>'Attachment 1 - Sched 1A'!J3</f>
        <v>For the 12 months ended 12/31/2026</v>
      </c>
    </row>
    <row r="4" spans="2:2" ht="15.75">
      <c r="B4" s="222"/>
    </row>
    <row r="5" spans="1:35" ht="15.75">
      <c r="A5" s="223"/>
      <c r="B5" s="224" t="s">
        <v>512</v>
      </c>
      <c r="C5" s="225"/>
      <c r="D5" s="225"/>
      <c r="E5" s="225"/>
      <c r="F5" s="225"/>
      <c r="G5" s="225"/>
      <c r="H5" s="225"/>
      <c r="I5" s="225"/>
      <c r="J5" s="225"/>
      <c r="K5" s="225"/>
      <c r="L5" s="225"/>
      <c r="M5" s="225"/>
      <c r="N5" s="225"/>
      <c r="O5" s="225"/>
      <c r="P5" s="225"/>
      <c r="Q5" s="225"/>
      <c r="R5" s="225"/>
      <c r="S5" s="225"/>
      <c r="T5" s="225"/>
      <c r="U5" s="225"/>
      <c r="V5" s="225"/>
      <c r="W5" s="225"/>
      <c r="X5" s="225"/>
      <c r="Y5" s="226"/>
      <c r="Z5" s="227"/>
      <c r="AA5" s="228"/>
      <c r="AB5" s="228"/>
      <c r="AC5" s="228"/>
      <c r="AD5" s="228"/>
      <c r="AE5" s="228"/>
      <c r="AF5" s="228"/>
      <c r="AG5" s="228"/>
      <c r="AH5" s="228"/>
      <c r="AI5" s="228"/>
    </row>
    <row r="6" spans="1:35" ht="12.75">
      <c r="A6" s="229"/>
      <c r="C6" s="227"/>
      <c r="D6" s="227"/>
      <c r="E6" s="227"/>
      <c r="F6" s="227"/>
      <c r="G6" s="230"/>
      <c r="H6" s="230"/>
      <c r="I6" s="230"/>
      <c r="J6" s="230"/>
      <c r="K6" s="227"/>
      <c r="L6" s="227"/>
      <c r="M6" s="227"/>
      <c r="N6" s="227"/>
      <c r="O6" s="227"/>
      <c r="P6" s="227"/>
      <c r="Q6" s="227"/>
      <c r="R6" s="227"/>
      <c r="S6" s="227"/>
      <c r="T6" s="227"/>
      <c r="U6" s="227"/>
      <c r="V6" s="227"/>
      <c r="W6" s="227"/>
      <c r="X6" s="227"/>
      <c r="Y6" s="231"/>
      <c r="Z6" s="227"/>
      <c r="AA6" s="228"/>
      <c r="AB6" s="228"/>
      <c r="AC6" s="228"/>
      <c r="AD6" s="228"/>
      <c r="AE6" s="228"/>
      <c r="AF6" s="228"/>
      <c r="AG6" s="228"/>
      <c r="AH6" s="228"/>
      <c r="AI6" s="228"/>
    </row>
    <row r="7" spans="1:35" ht="12.75">
      <c r="A7" s="229"/>
      <c r="B7" s="227" t="s">
        <v>513</v>
      </c>
      <c r="C7" s="227"/>
      <c r="D7" s="227"/>
      <c r="E7" s="227"/>
      <c r="F7" s="227"/>
      <c r="G7" s="230"/>
      <c r="H7" s="230"/>
      <c r="I7" s="230"/>
      <c r="J7" s="230"/>
      <c r="K7" s="227"/>
      <c r="L7" s="227"/>
      <c r="M7" s="227"/>
      <c r="N7" s="227"/>
      <c r="O7" s="227"/>
      <c r="P7" s="227"/>
      <c r="Q7" s="227"/>
      <c r="R7" s="227"/>
      <c r="S7" s="227"/>
      <c r="T7" s="227"/>
      <c r="U7" s="227"/>
      <c r="V7" s="227"/>
      <c r="W7" s="227"/>
      <c r="X7" s="227"/>
      <c r="Y7" s="231"/>
      <c r="Z7" s="227"/>
      <c r="AA7" s="228"/>
      <c r="AB7" s="228"/>
      <c r="AC7" s="228"/>
      <c r="AD7" s="228"/>
      <c r="AE7" s="228"/>
      <c r="AF7" s="228"/>
      <c r="AG7" s="228"/>
      <c r="AH7" s="228"/>
      <c r="AI7" s="228"/>
    </row>
    <row r="8" spans="1:35" ht="13.5" thickBot="1">
      <c r="A8" s="229"/>
      <c r="D8" s="227"/>
      <c r="E8" s="227"/>
      <c r="F8" s="227"/>
      <c r="G8" s="230"/>
      <c r="H8" s="230"/>
      <c r="I8" s="230"/>
      <c r="J8" s="230"/>
      <c r="K8" s="227"/>
      <c r="L8" s="227"/>
      <c r="M8" s="227"/>
      <c r="N8" s="227"/>
      <c r="O8" s="227"/>
      <c r="P8" s="227"/>
      <c r="Q8" s="227"/>
      <c r="R8" s="227"/>
      <c r="S8" s="227"/>
      <c r="T8" s="227"/>
      <c r="U8" s="227"/>
      <c r="V8" s="227"/>
      <c r="W8" s="227"/>
      <c r="X8" s="227"/>
      <c r="Y8" s="231"/>
      <c r="Z8" s="227"/>
      <c r="AA8" s="228"/>
      <c r="AB8" s="228"/>
      <c r="AC8" s="228"/>
      <c r="AD8" s="228"/>
      <c r="AE8" s="228"/>
      <c r="AF8" s="228"/>
      <c r="AG8" s="228"/>
      <c r="AH8" s="228"/>
      <c r="AI8" s="228"/>
    </row>
    <row r="9" spans="1:35" ht="15.75" thickBot="1">
      <c r="A9" s="229"/>
      <c r="B9" s="232" t="s">
        <v>514</v>
      </c>
      <c r="C9" s="233">
        <v>46387</v>
      </c>
      <c r="D9" s="227"/>
      <c r="E9" s="227"/>
      <c r="F9" s="227"/>
      <c r="G9" s="227"/>
      <c r="H9" s="227"/>
      <c r="J9" s="227"/>
      <c r="K9" s="234"/>
      <c r="L9" s="227"/>
      <c r="M9" s="227"/>
      <c r="N9" s="227"/>
      <c r="O9" s="227"/>
      <c r="P9" s="227"/>
      <c r="Q9" s="227"/>
      <c r="R9" s="227"/>
      <c r="S9" s="227"/>
      <c r="T9" s="227"/>
      <c r="U9" s="227"/>
      <c r="V9" s="227"/>
      <c r="W9" s="227"/>
      <c r="X9" s="227"/>
      <c r="Y9" s="231"/>
      <c r="Z9" s="227"/>
      <c r="AA9" s="228"/>
      <c r="AB9" s="228"/>
      <c r="AC9" s="228"/>
      <c r="AD9" s="228"/>
      <c r="AE9" s="228"/>
      <c r="AF9" s="228"/>
      <c r="AG9" s="228"/>
      <c r="AH9" s="228"/>
      <c r="AI9" s="228"/>
    </row>
    <row r="10" spans="1:35" ht="12.75">
      <c r="A10" s="229"/>
      <c r="B10" s="235"/>
      <c r="C10" s="227"/>
      <c r="E10" s="227"/>
      <c r="F10" s="227"/>
      <c r="H10" s="227"/>
      <c r="I10" s="227"/>
      <c r="J10" s="227"/>
      <c r="K10" s="234"/>
      <c r="L10" s="227"/>
      <c r="M10" s="227"/>
      <c r="N10" s="227"/>
      <c r="O10" s="227"/>
      <c r="P10" s="227"/>
      <c r="Q10" s="227"/>
      <c r="R10" s="227"/>
      <c r="S10" s="227"/>
      <c r="T10" s="227"/>
      <c r="U10" s="227"/>
      <c r="V10" s="227"/>
      <c r="W10" s="227"/>
      <c r="X10" s="227"/>
      <c r="Y10" s="231"/>
      <c r="Z10" s="227"/>
      <c r="AA10" s="228"/>
      <c r="AB10" s="228"/>
      <c r="AC10" s="228"/>
      <c r="AD10" s="228"/>
      <c r="AE10" s="228"/>
      <c r="AF10" s="228"/>
      <c r="AG10" s="228"/>
      <c r="AH10" s="228"/>
      <c r="AI10" s="228"/>
    </row>
    <row r="11" spans="1:35" s="241" customFormat="1" ht="15.75">
      <c r="A11" s="236"/>
      <c r="B11" s="237"/>
      <c r="C11" s="238"/>
      <c r="D11" s="238" t="s">
        <v>293</v>
      </c>
      <c r="E11" s="238"/>
      <c r="F11" s="238"/>
      <c r="G11" s="238" t="s">
        <v>294</v>
      </c>
      <c r="H11" s="238"/>
      <c r="I11" s="238" t="s">
        <v>515</v>
      </c>
      <c r="J11" s="238"/>
      <c r="K11" s="238" t="s">
        <v>296</v>
      </c>
      <c r="L11" s="238"/>
      <c r="M11" s="239" t="s">
        <v>297</v>
      </c>
      <c r="N11" s="238"/>
      <c r="O11" s="239" t="s">
        <v>298</v>
      </c>
      <c r="P11" s="238"/>
      <c r="Q11" s="238" t="s">
        <v>299</v>
      </c>
      <c r="R11" s="238"/>
      <c r="S11" s="238" t="s">
        <v>300</v>
      </c>
      <c r="T11" s="238"/>
      <c r="U11" s="238" t="s">
        <v>301</v>
      </c>
      <c r="V11" s="238"/>
      <c r="W11" s="238" t="s">
        <v>302</v>
      </c>
      <c r="X11" s="238"/>
      <c r="Y11" s="240"/>
      <c r="Z11" s="238"/>
      <c r="AD11" s="238"/>
      <c r="AE11" s="238"/>
      <c r="AF11" s="238"/>
      <c r="AG11" s="238"/>
      <c r="AH11" s="238"/>
      <c r="AI11" s="238"/>
    </row>
    <row r="12" spans="1:47" ht="14.25">
      <c r="A12" s="229"/>
      <c r="B12" s="242"/>
      <c r="C12" s="228"/>
      <c r="E12" s="228"/>
      <c r="F12" s="228"/>
      <c r="H12" s="228"/>
      <c r="J12" s="228"/>
      <c r="L12" s="228"/>
      <c r="N12" s="243"/>
      <c r="O12" s="228"/>
      <c r="P12" s="228"/>
      <c r="Q12" s="228"/>
      <c r="R12" s="228"/>
      <c r="S12" s="244"/>
      <c r="T12" s="228"/>
      <c r="U12" s="228"/>
      <c r="V12" s="228"/>
      <c r="X12" s="244"/>
      <c r="Y12" s="245"/>
      <c r="Z12" s="228"/>
      <c r="AD12" s="228"/>
      <c r="AE12" s="246"/>
      <c r="AF12" s="228"/>
      <c r="AG12" s="228"/>
      <c r="AH12" s="228"/>
      <c r="AI12" s="228"/>
      <c r="AK12" s="247"/>
      <c r="AL12" s="242"/>
      <c r="AM12" s="242"/>
      <c r="AN12" s="242"/>
      <c r="AO12" s="242"/>
      <c r="AP12" s="242"/>
      <c r="AQ12" s="242"/>
      <c r="AR12" s="242"/>
      <c r="AS12" s="242"/>
      <c r="AT12" s="1210"/>
      <c r="AU12" s="1210"/>
    </row>
    <row r="13" spans="1:47" ht="14.25">
      <c r="A13" s="229"/>
      <c r="C13" s="228"/>
      <c r="E13" s="228"/>
      <c r="F13" s="228"/>
      <c r="H13" s="228"/>
      <c r="J13" s="228"/>
      <c r="L13" s="228"/>
      <c r="M13" s="243" t="s">
        <v>516</v>
      </c>
      <c r="N13" s="243"/>
      <c r="O13" s="228"/>
      <c r="P13" s="228"/>
      <c r="Q13" s="243" t="s">
        <v>517</v>
      </c>
      <c r="R13" s="228"/>
      <c r="S13" s="244"/>
      <c r="T13" s="228"/>
      <c r="V13" s="228"/>
      <c r="W13" s="243" t="s">
        <v>111</v>
      </c>
      <c r="X13" s="244"/>
      <c r="Y13" s="245"/>
      <c r="Z13" s="228"/>
      <c r="AD13" s="228"/>
      <c r="AE13" s="246"/>
      <c r="AF13" s="228"/>
      <c r="AG13" s="228"/>
      <c r="AH13" s="228"/>
      <c r="AI13" s="228"/>
      <c r="AK13" s="247"/>
      <c r="AL13" s="242"/>
      <c r="AM13" s="242"/>
      <c r="AN13" s="242"/>
      <c r="AO13" s="242"/>
      <c r="AP13" s="242"/>
      <c r="AQ13" s="242"/>
      <c r="AR13" s="242"/>
      <c r="AS13" s="242"/>
      <c r="AT13" s="242"/>
      <c r="AU13" s="242"/>
    </row>
    <row r="14" spans="1:47" ht="14.25">
      <c r="A14" s="229"/>
      <c r="B14" s="227"/>
      <c r="D14" s="248"/>
      <c r="E14" s="248"/>
      <c r="F14" s="248"/>
      <c r="G14" s="243"/>
      <c r="H14" s="243"/>
      <c r="I14" s="243"/>
      <c r="J14" s="243"/>
      <c r="K14" s="243"/>
      <c r="L14" s="243"/>
      <c r="M14" s="243" t="s">
        <v>8</v>
      </c>
      <c r="N14" s="243"/>
      <c r="O14" s="243" t="s">
        <v>322</v>
      </c>
      <c r="P14" s="243"/>
      <c r="Q14" s="243" t="s">
        <v>518</v>
      </c>
      <c r="R14" s="243"/>
      <c r="S14" s="243" t="s">
        <v>111</v>
      </c>
      <c r="T14" s="243"/>
      <c r="U14" s="243" t="s">
        <v>519</v>
      </c>
      <c r="V14" s="243"/>
      <c r="W14" s="243" t="s">
        <v>520</v>
      </c>
      <c r="X14" s="248"/>
      <c r="Y14" s="249"/>
      <c r="Z14" s="248"/>
      <c r="AD14" s="248"/>
      <c r="AE14" s="250"/>
      <c r="AF14" s="248"/>
      <c r="AG14" s="248"/>
      <c r="AH14" s="248"/>
      <c r="AI14" s="248"/>
      <c r="AK14" s="251"/>
      <c r="AL14" s="252"/>
      <c r="AM14" s="252"/>
      <c r="AN14" s="252"/>
      <c r="AO14" s="252"/>
      <c r="AP14" s="252"/>
      <c r="AQ14" s="252"/>
      <c r="AR14" s="252"/>
      <c r="AS14" s="252"/>
      <c r="AT14" s="252"/>
      <c r="AU14" s="252"/>
    </row>
    <row r="15" spans="1:47" ht="14.25">
      <c r="A15" s="229"/>
      <c r="B15" s="253"/>
      <c r="E15" s="243"/>
      <c r="F15" s="243"/>
      <c r="G15" s="243"/>
      <c r="H15" s="243"/>
      <c r="I15" s="243" t="s">
        <v>521</v>
      </c>
      <c r="J15" s="243"/>
      <c r="K15" s="243" t="s">
        <v>522</v>
      </c>
      <c r="L15" s="243"/>
      <c r="M15" s="243" t="s">
        <v>518</v>
      </c>
      <c r="N15" s="243"/>
      <c r="O15" s="243" t="s">
        <v>518</v>
      </c>
      <c r="P15" s="243"/>
      <c r="Q15" s="243" t="s">
        <v>523</v>
      </c>
      <c r="R15" s="243"/>
      <c r="S15" s="242" t="s">
        <v>518</v>
      </c>
      <c r="T15" s="243"/>
      <c r="U15" s="243" t="s">
        <v>524</v>
      </c>
      <c r="V15" s="243"/>
      <c r="W15" s="243" t="s">
        <v>525</v>
      </c>
      <c r="X15" s="248"/>
      <c r="Y15" s="249"/>
      <c r="Z15" s="248"/>
      <c r="AD15" s="248"/>
      <c r="AE15" s="250"/>
      <c r="AF15" s="248"/>
      <c r="AG15" s="248"/>
      <c r="AH15" s="248"/>
      <c r="AI15" s="248"/>
      <c r="AK15" s="254"/>
      <c r="AL15" s="255"/>
      <c r="AM15" s="255"/>
      <c r="AN15" s="255"/>
      <c r="AO15" s="255"/>
      <c r="AP15" s="255"/>
      <c r="AQ15" s="255"/>
      <c r="AR15" s="255"/>
      <c r="AS15" s="255"/>
      <c r="AT15" s="255"/>
      <c r="AU15" s="255"/>
    </row>
    <row r="16" spans="1:47" ht="15">
      <c r="A16" s="229"/>
      <c r="B16" s="248"/>
      <c r="C16" s="256" t="s">
        <v>526</v>
      </c>
      <c r="D16" s="243" t="s">
        <v>527</v>
      </c>
      <c r="E16" s="243"/>
      <c r="F16" s="243"/>
      <c r="G16" s="243" t="s">
        <v>528</v>
      </c>
      <c r="H16" s="243"/>
      <c r="I16" s="243" t="s">
        <v>529</v>
      </c>
      <c r="J16" s="243"/>
      <c r="K16" s="243" t="s">
        <v>530</v>
      </c>
      <c r="L16" s="243"/>
      <c r="M16" s="243" t="s">
        <v>531</v>
      </c>
      <c r="N16" s="243"/>
      <c r="O16" s="242" t="s">
        <v>531</v>
      </c>
      <c r="P16" s="243"/>
      <c r="Q16" s="243" t="s">
        <v>532</v>
      </c>
      <c r="R16" s="243"/>
      <c r="S16" s="242" t="s">
        <v>533</v>
      </c>
      <c r="T16" s="243"/>
      <c r="U16" s="278" t="s">
        <v>588</v>
      </c>
      <c r="V16" s="242"/>
      <c r="W16" s="243" t="s">
        <v>534</v>
      </c>
      <c r="X16" s="248"/>
      <c r="Y16" s="249"/>
      <c r="Z16" s="248"/>
      <c r="AD16" s="248"/>
      <c r="AE16" s="248"/>
      <c r="AF16" s="248"/>
      <c r="AG16" s="248"/>
      <c r="AH16" s="248"/>
      <c r="AI16" s="248"/>
      <c r="AK16" s="254"/>
      <c r="AL16" s="255"/>
      <c r="AM16" s="255"/>
      <c r="AN16" s="255"/>
      <c r="AO16" s="255"/>
      <c r="AP16" s="255"/>
      <c r="AQ16" s="255"/>
      <c r="AR16" s="255"/>
      <c r="AS16" s="255"/>
      <c r="AT16" s="255"/>
      <c r="AU16" s="255"/>
    </row>
    <row r="17" spans="1:47" ht="15.75">
      <c r="A17" s="229"/>
      <c r="B17" s="257" t="s">
        <v>535</v>
      </c>
      <c r="C17" s="258">
        <f>C41</f>
        <v>46387</v>
      </c>
      <c r="E17" s="243"/>
      <c r="F17" s="243"/>
      <c r="G17" s="243"/>
      <c r="H17" s="243"/>
      <c r="I17" s="243" t="s">
        <v>895</v>
      </c>
      <c r="J17" s="243"/>
      <c r="K17" s="243" t="s">
        <v>896</v>
      </c>
      <c r="L17" s="243"/>
      <c r="M17" s="243"/>
      <c r="N17" s="243"/>
      <c r="O17" s="243"/>
      <c r="P17" s="243"/>
      <c r="Q17" s="243" t="s">
        <v>897</v>
      </c>
      <c r="R17" s="243"/>
      <c r="S17" s="243" t="s">
        <v>898</v>
      </c>
      <c r="T17" s="243"/>
      <c r="U17" s="243"/>
      <c r="V17" s="243"/>
      <c r="W17" s="248"/>
      <c r="X17" s="248"/>
      <c r="Y17" s="249"/>
      <c r="Z17" s="248"/>
      <c r="AD17" s="248"/>
      <c r="AE17" s="248"/>
      <c r="AF17" s="248"/>
      <c r="AG17" s="248"/>
      <c r="AH17" s="248"/>
      <c r="AI17" s="248"/>
      <c r="AK17" s="254"/>
      <c r="AL17" s="255"/>
      <c r="AM17" s="255"/>
      <c r="AN17" s="255"/>
      <c r="AO17" s="255"/>
      <c r="AP17" s="255"/>
      <c r="AQ17" s="255"/>
      <c r="AR17" s="255"/>
      <c r="AS17" s="255"/>
      <c r="AT17" s="255"/>
      <c r="AU17" s="255"/>
    </row>
    <row r="18" spans="1:47" ht="14.25">
      <c r="A18" s="229"/>
      <c r="B18" s="259" t="s">
        <v>536</v>
      </c>
      <c r="C18" s="248"/>
      <c r="E18" s="260"/>
      <c r="F18" s="260"/>
      <c r="G18" s="260"/>
      <c r="H18" s="260"/>
      <c r="I18" s="260"/>
      <c r="J18" s="260"/>
      <c r="K18" s="260"/>
      <c r="L18" s="260"/>
      <c r="M18" s="260"/>
      <c r="N18" s="260"/>
      <c r="O18" s="243"/>
      <c r="P18" s="260"/>
      <c r="Q18" s="260"/>
      <c r="R18" s="260"/>
      <c r="S18" s="243"/>
      <c r="T18" s="243"/>
      <c r="U18" s="243"/>
      <c r="V18" s="243"/>
      <c r="W18" s="248"/>
      <c r="X18" s="248"/>
      <c r="Y18" s="249"/>
      <c r="Z18" s="248"/>
      <c r="AD18" s="248"/>
      <c r="AE18" s="248"/>
      <c r="AF18" s="248"/>
      <c r="AG18" s="248"/>
      <c r="AH18" s="248"/>
      <c r="AI18" s="248"/>
      <c r="AK18" s="254"/>
      <c r="AL18" s="255"/>
      <c r="AM18" s="255"/>
      <c r="AN18" s="255"/>
      <c r="AO18" s="255"/>
      <c r="AP18" s="255"/>
      <c r="AQ18" s="255"/>
      <c r="AR18" s="255"/>
      <c r="AS18" s="255"/>
      <c r="AT18" s="255"/>
      <c r="AU18" s="255"/>
    </row>
    <row r="19" spans="1:47" ht="14.25">
      <c r="A19" s="261" t="s">
        <v>22</v>
      </c>
      <c r="B19" s="262" t="s">
        <v>1311</v>
      </c>
      <c r="C19" s="263"/>
      <c r="D19" s="264">
        <v>43230</v>
      </c>
      <c r="E19" s="260"/>
      <c r="F19" s="260"/>
      <c r="G19" s="264">
        <v>46888</v>
      </c>
      <c r="H19" s="260"/>
      <c r="I19" s="265">
        <f>I48</f>
        <v>450000000</v>
      </c>
      <c r="J19" s="265"/>
      <c r="K19" s="265">
        <f>S48</f>
        <v>445906699</v>
      </c>
      <c r="L19" s="265"/>
      <c r="M19" s="733">
        <v>450151929.99631315</v>
      </c>
      <c r="N19" s="260"/>
      <c r="O19" s="352">
        <v>12</v>
      </c>
      <c r="P19" s="260"/>
      <c r="Q19" s="277">
        <f>M19*O19/12</f>
        <v>450151929.99631315</v>
      </c>
      <c r="R19" s="260"/>
      <c r="S19" s="266">
        <f>Q19/$Q$27</f>
        <v>0.27820156439206589</v>
      </c>
      <c r="T19" s="248"/>
      <c r="U19" s="267">
        <f>AA48</f>
        <v>0.042122043970539917</v>
      </c>
      <c r="V19" s="248"/>
      <c r="W19" s="267">
        <f>S19*U19</f>
        <v>0.011718418527995591</v>
      </c>
      <c r="X19" s="248"/>
      <c r="Y19" s="249"/>
      <c r="Z19" s="268"/>
      <c r="AD19" s="248"/>
      <c r="AE19" s="248"/>
      <c r="AF19" s="248"/>
      <c r="AG19" s="248"/>
      <c r="AH19" s="248"/>
      <c r="AI19" s="248"/>
      <c r="AK19" s="254"/>
      <c r="AL19" s="255"/>
      <c r="AM19" s="255"/>
      <c r="AN19" s="255"/>
      <c r="AO19" s="255"/>
      <c r="AP19" s="255"/>
      <c r="AQ19" s="255"/>
      <c r="AR19" s="255"/>
      <c r="AS19" s="255"/>
      <c r="AT19" s="255"/>
      <c r="AU19" s="255"/>
    </row>
    <row r="20" spans="1:47" ht="14.25">
      <c r="A20" s="721" t="s">
        <v>23</v>
      </c>
      <c r="B20" s="262" t="s">
        <v>1312</v>
      </c>
      <c r="C20" s="269"/>
      <c r="D20" s="264">
        <v>43921</v>
      </c>
      <c r="E20" s="270"/>
      <c r="F20" s="270"/>
      <c r="G20" s="271">
        <v>48305</v>
      </c>
      <c r="H20" s="270"/>
      <c r="I20" s="265">
        <f t="shared" si="0" ref="I20:I26">I49</f>
        <v>125000000</v>
      </c>
      <c r="J20" s="272"/>
      <c r="K20" s="265">
        <f t="shared" si="1" ref="K20:K26">S49</f>
        <v>124111544</v>
      </c>
      <c r="L20" s="272"/>
      <c r="M20" s="734">
        <v>124611300.5</v>
      </c>
      <c r="N20" s="273"/>
      <c r="O20" s="353">
        <v>12</v>
      </c>
      <c r="P20" s="273"/>
      <c r="Q20" s="277">
        <f t="shared" si="2" ref="Q20:Q26">M20*O20/12</f>
        <v>124611300.5</v>
      </c>
      <c r="R20" s="273"/>
      <c r="S20" s="266">
        <f t="shared" si="3" ref="S20:S26">Q20/$Q$27</f>
        <v>0.077011907380500969</v>
      </c>
      <c r="T20" s="269"/>
      <c r="U20" s="267">
        <f t="shared" si="4" ref="U20:U26">AA49</f>
        <v>0.036737762812174224</v>
      </c>
      <c r="V20" s="269"/>
      <c r="W20" s="267">
        <f t="shared" si="5" ref="W20:W26">S20*U20</f>
        <v>0.0028292451870579743</v>
      </c>
      <c r="X20" s="269"/>
      <c r="Y20" s="249"/>
      <c r="Z20" s="268"/>
      <c r="AD20" s="248"/>
      <c r="AE20" s="248"/>
      <c r="AF20" s="248"/>
      <c r="AG20" s="248"/>
      <c r="AH20" s="248"/>
      <c r="AI20" s="248"/>
      <c r="AK20" s="254"/>
      <c r="AL20" s="255"/>
      <c r="AM20" s="255"/>
      <c r="AN20" s="255"/>
      <c r="AO20" s="255"/>
      <c r="AP20" s="255"/>
      <c r="AQ20" s="255"/>
      <c r="AR20" s="255"/>
      <c r="AS20" s="255"/>
      <c r="AT20" s="255"/>
      <c r="AU20" s="255"/>
    </row>
    <row r="21" spans="1:47" ht="14.25">
      <c r="A21" s="721" t="s">
        <v>24</v>
      </c>
      <c r="B21" s="262" t="s">
        <v>1313</v>
      </c>
      <c r="C21" s="269"/>
      <c r="D21" s="264">
        <v>43921</v>
      </c>
      <c r="E21" s="270"/>
      <c r="F21" s="270"/>
      <c r="G21" s="271">
        <v>49400</v>
      </c>
      <c r="H21" s="270"/>
      <c r="I21" s="265">
        <f t="shared" si="0"/>
        <v>125000000</v>
      </c>
      <c r="J21" s="272"/>
      <c r="K21" s="265">
        <f t="shared" si="1"/>
        <v>124111544</v>
      </c>
      <c r="L21" s="272"/>
      <c r="M21" s="734">
        <v>124511422.17046906</v>
      </c>
      <c r="N21" s="273"/>
      <c r="O21" s="353">
        <v>12</v>
      </c>
      <c r="P21" s="273"/>
      <c r="Q21" s="277">
        <f t="shared" si="2"/>
        <v>124511422.17046906</v>
      </c>
      <c r="R21" s="273"/>
      <c r="S21" s="266">
        <f t="shared" si="3"/>
        <v>0.076950180870687709</v>
      </c>
      <c r="T21" s="269"/>
      <c r="U21" s="267">
        <f t="shared" si="4"/>
        <v>0.037624392499742552</v>
      </c>
      <c r="V21" s="269"/>
      <c r="W21" s="267">
        <f t="shared" si="5"/>
        <v>0.0028952038080049354</v>
      </c>
      <c r="X21" s="269"/>
      <c r="Y21" s="249"/>
      <c r="Z21" s="268"/>
      <c r="AD21" s="248"/>
      <c r="AE21" s="248"/>
      <c r="AF21" s="248"/>
      <c r="AG21" s="248"/>
      <c r="AH21" s="248"/>
      <c r="AI21" s="248"/>
      <c r="AK21" s="254"/>
      <c r="AL21" s="255"/>
      <c r="AM21" s="255"/>
      <c r="AN21" s="255"/>
      <c r="AO21" s="255"/>
      <c r="AP21" s="255"/>
      <c r="AQ21" s="255"/>
      <c r="AR21" s="255"/>
      <c r="AS21" s="255"/>
      <c r="AT21" s="255"/>
      <c r="AU21" s="255"/>
    </row>
    <row r="22" spans="1:47" ht="13.5" customHeight="1">
      <c r="A22" s="721" t="s">
        <v>25</v>
      </c>
      <c r="B22" s="262" t="s">
        <v>1311</v>
      </c>
      <c r="C22" s="248"/>
      <c r="D22" s="264">
        <v>44340</v>
      </c>
      <c r="E22" s="275"/>
      <c r="F22" s="275"/>
      <c r="G22" s="271">
        <v>46888</v>
      </c>
      <c r="H22" s="275"/>
      <c r="I22" s="265">
        <f>I51</f>
        <v>150000000</v>
      </c>
      <c r="J22" s="274"/>
      <c r="K22" s="265">
        <f t="shared" si="1"/>
        <v>163054375</v>
      </c>
      <c r="L22" s="274"/>
      <c r="M22" s="734">
        <v>152566813.92268446</v>
      </c>
      <c r="N22" s="276"/>
      <c r="O22" s="929">
        <v>12</v>
      </c>
      <c r="P22" s="276"/>
      <c r="Q22" s="277">
        <f t="shared" si="2"/>
        <v>152566813.92268446</v>
      </c>
      <c r="R22" s="276"/>
      <c r="S22" s="266">
        <f t="shared" si="3"/>
        <v>0.094288891103836134</v>
      </c>
      <c r="T22" s="248"/>
      <c r="U22" s="267">
        <f t="shared" si="4"/>
        <v>0.027215493135828474</v>
      </c>
      <c r="V22" s="248"/>
      <c r="W22" s="267">
        <f t="shared" si="5"/>
        <v>0.0025661186686213307</v>
      </c>
      <c r="X22" s="248"/>
      <c r="Y22" s="249"/>
      <c r="Z22" s="248"/>
      <c r="AD22" s="248"/>
      <c r="AE22" s="248"/>
      <c r="AF22" s="248"/>
      <c r="AG22" s="248"/>
      <c r="AH22" s="248"/>
      <c r="AI22" s="248"/>
      <c r="AK22" s="254"/>
      <c r="AL22" s="255"/>
      <c r="AM22" s="255"/>
      <c r="AN22" s="255"/>
      <c r="AO22" s="255"/>
      <c r="AP22" s="255"/>
      <c r="AQ22" s="255"/>
      <c r="AR22" s="255"/>
      <c r="AS22" s="255"/>
      <c r="AT22" s="255"/>
      <c r="AU22" s="255"/>
    </row>
    <row r="23" spans="1:47" ht="14.25">
      <c r="A23" s="721" t="s">
        <v>26</v>
      </c>
      <c r="B23" s="262" t="s">
        <v>1404</v>
      </c>
      <c r="C23" s="248"/>
      <c r="D23" s="264">
        <v>44984</v>
      </c>
      <c r="E23" s="275"/>
      <c r="F23" s="275"/>
      <c r="G23" s="271">
        <v>48639</v>
      </c>
      <c r="H23" s="275"/>
      <c r="I23" s="265">
        <f t="shared" si="0"/>
        <v>175000000</v>
      </c>
      <c r="J23" s="274"/>
      <c r="K23" s="265">
        <f t="shared" si="1"/>
        <v>173747081</v>
      </c>
      <c r="L23" s="274"/>
      <c r="M23" s="734">
        <v>174228023.64213407</v>
      </c>
      <c r="N23" s="276"/>
      <c r="O23" s="929">
        <v>12</v>
      </c>
      <c r="P23" s="276"/>
      <c r="Q23" s="277">
        <f t="shared" si="2"/>
        <v>174228023.64213407</v>
      </c>
      <c r="R23" s="276"/>
      <c r="S23" s="266">
        <f t="shared" si="3"/>
        <v>0.10767588786873918</v>
      </c>
      <c r="T23" s="248"/>
      <c r="U23" s="267">
        <f t="shared" si="4"/>
        <v>0.054837816775816693</v>
      </c>
      <c r="V23" s="248"/>
      <c r="W23" s="267">
        <f t="shared" si="5"/>
        <v>0.0059047106101193019</v>
      </c>
      <c r="X23" s="248"/>
      <c r="Y23" s="249"/>
      <c r="Z23" s="248"/>
      <c r="AD23" s="248"/>
      <c r="AE23" s="248"/>
      <c r="AF23" s="248"/>
      <c r="AG23" s="248"/>
      <c r="AH23" s="248"/>
      <c r="AI23" s="248"/>
      <c r="AK23" s="254"/>
      <c r="AL23" s="255"/>
      <c r="AM23" s="255"/>
      <c r="AN23" s="255"/>
      <c r="AO23" s="255"/>
      <c r="AP23" s="255"/>
      <c r="AQ23" s="255"/>
      <c r="AR23" s="255"/>
      <c r="AS23" s="255"/>
      <c r="AT23" s="255"/>
      <c r="AU23" s="255"/>
    </row>
    <row r="24" spans="1:47" ht="14.25">
      <c r="A24" s="721" t="s">
        <v>27</v>
      </c>
      <c r="B24" s="262" t="s">
        <v>1438</v>
      </c>
      <c r="C24" s="248"/>
      <c r="D24" s="264">
        <v>45414</v>
      </c>
      <c r="E24" s="275"/>
      <c r="F24" s="275"/>
      <c r="G24" s="271">
        <v>49065</v>
      </c>
      <c r="H24" s="275"/>
      <c r="I24" s="265">
        <f t="shared" si="0"/>
        <v>250000000</v>
      </c>
      <c r="J24" s="274"/>
      <c r="K24" s="265">
        <f t="shared" si="1"/>
        <v>248564681</v>
      </c>
      <c r="L24" s="274"/>
      <c r="M24" s="734">
        <v>248947196.8551082</v>
      </c>
      <c r="N24" s="276"/>
      <c r="O24" s="929">
        <v>12</v>
      </c>
      <c r="P24" s="276"/>
      <c r="Q24" s="277">
        <f t="shared" si="2"/>
        <v>248947196.85510817</v>
      </c>
      <c r="R24" s="276"/>
      <c r="S24" s="266">
        <f t="shared" si="3"/>
        <v>0.15385361030592032</v>
      </c>
      <c r="T24" s="248"/>
      <c r="U24" s="267">
        <f t="shared" si="4"/>
        <v>0.060172254169243579</v>
      </c>
      <c r="V24" s="248"/>
      <c r="W24" s="267">
        <f t="shared" si="5"/>
        <v>0.0092577185441835904</v>
      </c>
      <c r="X24" s="248"/>
      <c r="Y24" s="249"/>
      <c r="Z24" s="248"/>
      <c r="AD24" s="248"/>
      <c r="AE24" s="248"/>
      <c r="AF24" s="248"/>
      <c r="AG24" s="248"/>
      <c r="AH24" s="248"/>
      <c r="AI24" s="248"/>
      <c r="AK24" s="254"/>
      <c r="AL24" s="255"/>
      <c r="AM24" s="255"/>
      <c r="AN24" s="255"/>
      <c r="AO24" s="255"/>
      <c r="AP24" s="255"/>
      <c r="AQ24" s="255"/>
      <c r="AR24" s="255"/>
      <c r="AS24" s="255"/>
      <c r="AT24" s="255"/>
      <c r="AU24" s="255"/>
    </row>
    <row r="25" spans="1:47" ht="14.25">
      <c r="A25" s="721" t="s">
        <v>493</v>
      </c>
      <c r="B25" s="262" t="s">
        <v>1439</v>
      </c>
      <c r="C25" s="248"/>
      <c r="D25" s="264">
        <v>45834</v>
      </c>
      <c r="E25" s="275"/>
      <c r="F25" s="275"/>
      <c r="G25" s="271">
        <v>47863</v>
      </c>
      <c r="H25" s="275"/>
      <c r="I25" s="265">
        <f t="shared" si="0"/>
        <v>200000000</v>
      </c>
      <c r="J25" s="274"/>
      <c r="K25" s="265">
        <f t="shared" si="1"/>
        <v>198000000</v>
      </c>
      <c r="L25" s="274"/>
      <c r="M25" s="734">
        <v>198545096.10645637</v>
      </c>
      <c r="N25" s="276"/>
      <c r="O25" s="929">
        <v>12</v>
      </c>
      <c r="P25" s="276"/>
      <c r="Q25" s="277">
        <f t="shared" si="2"/>
        <v>198545096.10645637</v>
      </c>
      <c r="R25" s="276"/>
      <c r="S25" s="266">
        <f t="shared" si="3"/>
        <v>0.12270425307216083</v>
      </c>
      <c r="T25" s="248"/>
      <c r="U25" s="267">
        <f t="shared" si="4"/>
        <v>0.052090699326318039</v>
      </c>
      <c r="V25" s="248"/>
      <c r="W25" s="267">
        <f t="shared" si="5"/>
        <v>0.0063917503528423663</v>
      </c>
      <c r="X25" s="248"/>
      <c r="Y25" s="249"/>
      <c r="Z25" s="248"/>
      <c r="AD25" s="248"/>
      <c r="AE25" s="248"/>
      <c r="AF25" s="248"/>
      <c r="AG25" s="248"/>
      <c r="AH25" s="248"/>
      <c r="AI25" s="248"/>
      <c r="AK25" s="254"/>
      <c r="AL25" s="255"/>
      <c r="AM25" s="255"/>
      <c r="AN25" s="255"/>
      <c r="AO25" s="255"/>
      <c r="AP25" s="255"/>
      <c r="AQ25" s="255"/>
      <c r="AR25" s="255"/>
      <c r="AS25" s="255"/>
      <c r="AT25" s="255"/>
      <c r="AU25" s="255"/>
    </row>
    <row r="26" spans="1:47" ht="14.25">
      <c r="A26" s="721" t="s">
        <v>494</v>
      </c>
      <c r="B26" s="262" t="s">
        <v>1459</v>
      </c>
      <c r="C26" s="248"/>
      <c r="D26" s="264">
        <v>46174</v>
      </c>
      <c r="E26" s="275"/>
      <c r="F26" s="275"/>
      <c r="G26" s="271">
        <v>49827</v>
      </c>
      <c r="H26" s="275"/>
      <c r="I26" s="265">
        <f t="shared" si="0"/>
        <v>250000000</v>
      </c>
      <c r="J26" s="274"/>
      <c r="K26" s="265">
        <f t="shared" si="1"/>
        <v>247500000</v>
      </c>
      <c r="L26" s="274"/>
      <c r="M26" s="734">
        <v>247645770.59950724</v>
      </c>
      <c r="N26" s="276"/>
      <c r="O26" s="929">
        <v>7.0027397260273974</v>
      </c>
      <c r="P26" s="276"/>
      <c r="Q26" s="277">
        <f t="shared" si="2"/>
        <v>144516572.97998643</v>
      </c>
      <c r="R26" s="276"/>
      <c r="S26" s="266">
        <f t="shared" si="3"/>
        <v>0.089313705006089109</v>
      </c>
      <c r="T26" s="248"/>
      <c r="U26" s="267">
        <f t="shared" si="4"/>
        <v>0.055315370900008133</v>
      </c>
      <c r="V26" s="248"/>
      <c r="W26" s="267">
        <f t="shared" si="5"/>
        <v>0.0049404207188657326</v>
      </c>
      <c r="X26" s="248"/>
      <c r="Y26" s="249"/>
      <c r="Z26" s="248"/>
      <c r="AD26" s="248"/>
      <c r="AE26" s="248"/>
      <c r="AF26" s="248"/>
      <c r="AG26" s="248"/>
      <c r="AH26" s="248"/>
      <c r="AI26" s="248"/>
      <c r="AK26" s="254"/>
      <c r="AL26" s="255"/>
      <c r="AM26" s="255"/>
      <c r="AN26" s="255"/>
      <c r="AO26" s="255"/>
      <c r="AP26" s="255"/>
      <c r="AQ26" s="255"/>
      <c r="AR26" s="255"/>
      <c r="AS26" s="255"/>
      <c r="AT26" s="255"/>
      <c r="AU26" s="255"/>
    </row>
    <row r="27" spans="1:45" ht="15" thickBot="1">
      <c r="A27" s="229"/>
      <c r="B27" s="281" t="s">
        <v>10</v>
      </c>
      <c r="C27" s="268"/>
      <c r="E27" s="268"/>
      <c r="F27" s="268"/>
      <c r="G27" s="250"/>
      <c r="H27" s="268"/>
      <c r="I27" s="1144">
        <f>SUM(I19:I26)</f>
        <v>1725000000</v>
      </c>
      <c r="J27" s="282"/>
      <c r="K27" s="282"/>
      <c r="L27" s="282"/>
      <c r="M27" s="1144">
        <f>SUM(M19:M26)</f>
        <v>1721207553.7926724</v>
      </c>
      <c r="N27" s="250"/>
      <c r="O27" s="268"/>
      <c r="P27" s="250"/>
      <c r="Q27" s="1145">
        <f>SUM(Q19:Q26)</f>
        <v>1618078356.1731515</v>
      </c>
      <c r="R27" s="250"/>
      <c r="S27" s="1146">
        <f>SUM(S19:S26)</f>
        <v>1.0000000000000002</v>
      </c>
      <c r="T27" s="268"/>
      <c r="V27" s="268"/>
      <c r="W27" s="1147">
        <f>ROUND(SUM(W19:W26),4)</f>
        <v>0.0465</v>
      </c>
      <c r="X27" s="268"/>
      <c r="Y27" s="736" t="s">
        <v>537</v>
      </c>
      <c r="Z27" s="248"/>
      <c r="AD27" s="248"/>
      <c r="AE27" s="248"/>
      <c r="AF27" s="248"/>
      <c r="AG27" s="248"/>
      <c r="AH27" s="248"/>
      <c r="AI27" s="248"/>
      <c r="AQ27" s="279"/>
      <c r="AR27" s="228"/>
      <c r="AS27" s="279"/>
    </row>
    <row r="28" spans="1:45" ht="15" hidden="1" thickTop="1">
      <c r="A28" s="229"/>
      <c r="B28" s="248" t="s">
        <v>538</v>
      </c>
      <c r="C28" s="268"/>
      <c r="D28" s="268">
        <f>490000000+195750000-I27</f>
        <v>-1039250000</v>
      </c>
      <c r="E28" s="268"/>
      <c r="F28" s="268"/>
      <c r="G28" s="268">
        <f>3568918-G27</f>
        <v>3568918</v>
      </c>
      <c r="H28" s="268"/>
      <c r="I28" s="268" t="e">
        <f>724091+#REF!</f>
        <v>#REF!</v>
      </c>
      <c r="J28" s="268"/>
      <c r="K28" s="268">
        <f>16241315-K27+834137</f>
        <v>17075452</v>
      </c>
      <c r="L28" s="268"/>
      <c r="M28" s="268"/>
      <c r="N28" s="268"/>
      <c r="O28" s="268"/>
      <c r="P28" s="268"/>
      <c r="Q28" s="284"/>
      <c r="R28" s="268"/>
      <c r="S28" s="268"/>
      <c r="T28" s="268"/>
      <c r="U28" s="268"/>
      <c r="V28" s="268"/>
      <c r="W28" s="283"/>
      <c r="X28" s="268"/>
      <c r="Y28" s="285"/>
      <c r="Z28" s="268"/>
      <c r="AA28" s="249"/>
      <c r="AB28" s="248"/>
      <c r="AC28" s="286"/>
      <c r="AD28" s="248"/>
      <c r="AE28" s="248"/>
      <c r="AF28" s="248"/>
      <c r="AG28" s="248"/>
      <c r="AH28" s="248"/>
      <c r="AI28" s="248"/>
      <c r="AQ28" s="279"/>
      <c r="AR28" s="228"/>
      <c r="AS28" s="279"/>
    </row>
    <row r="29" spans="1:45" ht="15">
      <c r="A29" s="229"/>
      <c r="B29" s="248"/>
      <c r="C29" s="268"/>
      <c r="D29" s="268"/>
      <c r="E29" s="268"/>
      <c r="F29" s="268"/>
      <c r="G29" s="268"/>
      <c r="H29" s="268"/>
      <c r="I29" s="268"/>
      <c r="J29" s="268"/>
      <c r="K29" s="268"/>
      <c r="L29" s="268"/>
      <c r="M29" s="268"/>
      <c r="N29" s="268"/>
      <c r="O29" s="268"/>
      <c r="P29" s="268"/>
      <c r="Q29" s="284"/>
      <c r="R29" s="268"/>
      <c r="S29" s="268"/>
      <c r="T29" s="268"/>
      <c r="U29" s="268"/>
      <c r="V29" s="268"/>
      <c r="W29" s="283"/>
      <c r="X29" s="268"/>
      <c r="Y29" s="285"/>
      <c r="Z29" s="268"/>
      <c r="AA29" s="248"/>
      <c r="AB29" s="248"/>
      <c r="AC29" s="248"/>
      <c r="AD29" s="248"/>
      <c r="AE29" s="248"/>
      <c r="AF29" s="248"/>
      <c r="AG29" s="248"/>
      <c r="AH29" s="248"/>
      <c r="AI29" s="248"/>
      <c r="AQ29" s="279"/>
      <c r="AR29" s="228"/>
      <c r="AS29" s="279"/>
    </row>
    <row r="30" spans="1:45" ht="14.25">
      <c r="A30" s="229"/>
      <c r="B30" s="248" t="s">
        <v>539</v>
      </c>
      <c r="C30" s="268"/>
      <c r="D30" s="268"/>
      <c r="E30" s="268"/>
      <c r="F30" s="268"/>
      <c r="G30" s="268"/>
      <c r="H30" s="268"/>
      <c r="I30" s="268"/>
      <c r="J30" s="268"/>
      <c r="K30" s="268"/>
      <c r="L30" s="268"/>
      <c r="M30" s="268"/>
      <c r="N30" s="268"/>
      <c r="O30" s="268"/>
      <c r="P30" s="268"/>
      <c r="Q30" s="268"/>
      <c r="R30" s="268"/>
      <c r="S30" s="268"/>
      <c r="T30" s="268"/>
      <c r="U30" s="268"/>
      <c r="V30" s="268"/>
      <c r="W30" s="283"/>
      <c r="X30" s="268"/>
      <c r="Y30" s="285"/>
      <c r="Z30" s="268"/>
      <c r="AA30" s="248"/>
      <c r="AB30" s="248"/>
      <c r="AC30" s="248"/>
      <c r="AD30" s="248"/>
      <c r="AE30" s="248"/>
      <c r="AF30" s="248"/>
      <c r="AG30" s="248"/>
      <c r="AH30" s="248"/>
      <c r="AI30" s="248"/>
      <c r="AQ30" s="279"/>
      <c r="AR30" s="228"/>
      <c r="AS30" s="279"/>
    </row>
    <row r="31" spans="1:45" ht="14.25">
      <c r="A31" s="229"/>
      <c r="B31" s="228" t="s">
        <v>540</v>
      </c>
      <c r="C31" s="268"/>
      <c r="D31" s="268"/>
      <c r="E31" s="268"/>
      <c r="F31" s="268"/>
      <c r="G31" s="268"/>
      <c r="H31" s="268"/>
      <c r="I31" s="268"/>
      <c r="J31" s="268"/>
      <c r="K31" s="268"/>
      <c r="L31" s="268"/>
      <c r="M31" s="268"/>
      <c r="N31" s="268"/>
      <c r="O31" s="268"/>
      <c r="P31" s="268"/>
      <c r="Q31" s="268"/>
      <c r="R31" s="268"/>
      <c r="S31" s="268"/>
      <c r="T31" s="268"/>
      <c r="U31" s="268"/>
      <c r="V31" s="268"/>
      <c r="W31" s="283"/>
      <c r="X31" s="268"/>
      <c r="Y31" s="285"/>
      <c r="Z31" s="268"/>
      <c r="AA31" s="248"/>
      <c r="AB31" s="248"/>
      <c r="AC31" s="248"/>
      <c r="AD31" s="248"/>
      <c r="AE31" s="248"/>
      <c r="AF31" s="248"/>
      <c r="AG31" s="248"/>
      <c r="AH31" s="248"/>
      <c r="AI31" s="248"/>
      <c r="AQ31" s="279"/>
      <c r="AR31" s="228"/>
      <c r="AS31" s="279"/>
    </row>
    <row r="32" spans="1:45" ht="14.25">
      <c r="A32" s="229"/>
      <c r="B32" s="287" t="s">
        <v>541</v>
      </c>
      <c r="C32" s="268"/>
      <c r="D32" s="268"/>
      <c r="E32" s="268"/>
      <c r="F32" s="268"/>
      <c r="G32" s="268"/>
      <c r="H32" s="268"/>
      <c r="I32" s="268"/>
      <c r="J32" s="268"/>
      <c r="K32" s="268"/>
      <c r="L32" s="268"/>
      <c r="M32" s="268"/>
      <c r="N32" s="268"/>
      <c r="O32" s="268"/>
      <c r="P32" s="268"/>
      <c r="Q32" s="268"/>
      <c r="R32" s="268"/>
      <c r="S32" s="268"/>
      <c r="T32" s="268"/>
      <c r="U32" s="268"/>
      <c r="V32" s="268"/>
      <c r="W32" s="268"/>
      <c r="X32" s="268"/>
      <c r="Y32" s="285"/>
      <c r="Z32" s="268"/>
      <c r="AA32" s="248"/>
      <c r="AB32" s="248"/>
      <c r="AC32" s="248"/>
      <c r="AD32" s="248"/>
      <c r="AE32" s="248"/>
      <c r="AF32" s="248"/>
      <c r="AG32" s="248"/>
      <c r="AH32" s="248"/>
      <c r="AI32" s="248"/>
      <c r="AQ32" s="228"/>
      <c r="AR32" s="228"/>
      <c r="AS32" s="228"/>
    </row>
    <row r="33" spans="1:45" ht="14.25">
      <c r="A33" s="229"/>
      <c r="B33" s="287" t="s">
        <v>542</v>
      </c>
      <c r="C33" s="268"/>
      <c r="D33" s="268"/>
      <c r="E33" s="268"/>
      <c r="F33" s="268"/>
      <c r="G33" s="268"/>
      <c r="H33" s="268"/>
      <c r="I33" s="268"/>
      <c r="J33" s="268"/>
      <c r="K33" s="268"/>
      <c r="L33" s="268"/>
      <c r="M33" s="268"/>
      <c r="N33" s="268"/>
      <c r="O33" s="268"/>
      <c r="P33" s="268"/>
      <c r="Q33" s="268"/>
      <c r="R33" s="268"/>
      <c r="S33" s="268"/>
      <c r="T33" s="268"/>
      <c r="U33" s="268"/>
      <c r="V33" s="268"/>
      <c r="W33" s="268"/>
      <c r="X33" s="268"/>
      <c r="Y33" s="285"/>
      <c r="Z33" s="268"/>
      <c r="AA33" s="248"/>
      <c r="AB33" s="248"/>
      <c r="AC33" s="248"/>
      <c r="AD33" s="248"/>
      <c r="AE33" s="248"/>
      <c r="AF33" s="248"/>
      <c r="AG33" s="248"/>
      <c r="AH33" s="248"/>
      <c r="AI33" s="248"/>
      <c r="AQ33" s="228"/>
      <c r="AR33" s="228"/>
      <c r="AS33" s="228"/>
    </row>
    <row r="34" spans="1:45" ht="14.25">
      <c r="A34" s="288"/>
      <c r="B34" s="289" t="s">
        <v>543</v>
      </c>
      <c r="C34" s="290"/>
      <c r="D34" s="290"/>
      <c r="E34" s="290"/>
      <c r="F34" s="290"/>
      <c r="G34" s="290"/>
      <c r="H34" s="290"/>
      <c r="I34" s="290"/>
      <c r="J34" s="290"/>
      <c r="K34" s="290"/>
      <c r="L34" s="290"/>
      <c r="M34" s="290"/>
      <c r="N34" s="290"/>
      <c r="O34" s="290"/>
      <c r="P34" s="290"/>
      <c r="Q34" s="290"/>
      <c r="R34" s="290"/>
      <c r="S34" s="290"/>
      <c r="T34" s="290"/>
      <c r="U34" s="290"/>
      <c r="V34" s="290"/>
      <c r="W34" s="290"/>
      <c r="X34" s="290"/>
      <c r="Y34" s="291"/>
      <c r="Z34" s="268"/>
      <c r="AA34" s="248"/>
      <c r="AB34" s="248"/>
      <c r="AC34" s="248"/>
      <c r="AD34" s="248"/>
      <c r="AE34" s="248"/>
      <c r="AF34" s="248"/>
      <c r="AG34" s="248"/>
      <c r="AH34" s="248"/>
      <c r="AI34" s="248"/>
      <c r="AQ34" s="228"/>
      <c r="AR34" s="228"/>
      <c r="AS34" s="228"/>
    </row>
    <row r="35" spans="1:45" ht="14.25">
      <c r="A35" s="288"/>
      <c r="B35" s="289" t="s">
        <v>992</v>
      </c>
      <c r="C35" s="290"/>
      <c r="D35" s="290"/>
      <c r="E35" s="290"/>
      <c r="F35" s="290"/>
      <c r="G35" s="290"/>
      <c r="H35" s="290"/>
      <c r="I35" s="290"/>
      <c r="J35" s="290"/>
      <c r="K35" s="290"/>
      <c r="L35" s="290"/>
      <c r="M35" s="290"/>
      <c r="N35" s="290"/>
      <c r="O35" s="290"/>
      <c r="P35" s="290"/>
      <c r="Q35" s="290"/>
      <c r="R35" s="290"/>
      <c r="S35" s="290"/>
      <c r="T35" s="290"/>
      <c r="U35" s="290"/>
      <c r="V35" s="290"/>
      <c r="W35" s="290"/>
      <c r="X35" s="290"/>
      <c r="Y35" s="291"/>
      <c r="Z35" s="268"/>
      <c r="AA35" s="248"/>
      <c r="AB35" s="248"/>
      <c r="AC35" s="248"/>
      <c r="AD35" s="248"/>
      <c r="AE35" s="248"/>
      <c r="AF35" s="248"/>
      <c r="AG35" s="248"/>
      <c r="AH35" s="248"/>
      <c r="AI35" s="248"/>
      <c r="AQ35" s="228"/>
      <c r="AR35" s="228"/>
      <c r="AS35" s="228"/>
    </row>
    <row r="36" spans="2:45" ht="14.25">
      <c r="B36" s="287"/>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48"/>
      <c r="AB36" s="248"/>
      <c r="AC36" s="248"/>
      <c r="AD36" s="248"/>
      <c r="AE36" s="248"/>
      <c r="AF36" s="248"/>
      <c r="AG36" s="248"/>
      <c r="AH36" s="248"/>
      <c r="AI36" s="248"/>
      <c r="AQ36" s="228"/>
      <c r="AR36" s="228"/>
      <c r="AS36" s="228"/>
    </row>
    <row r="37" spans="2:45" ht="14.25">
      <c r="B37" s="287"/>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48"/>
      <c r="AB37" s="248"/>
      <c r="AC37" s="248"/>
      <c r="AD37" s="248"/>
      <c r="AE37" s="248"/>
      <c r="AF37" s="248"/>
      <c r="AG37" s="248"/>
      <c r="AH37" s="248"/>
      <c r="AI37" s="248"/>
      <c r="AQ37" s="228"/>
      <c r="AR37" s="228"/>
      <c r="AS37" s="228"/>
    </row>
    <row r="38" spans="2:45" ht="15.75">
      <c r="B38" s="292"/>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90"/>
      <c r="AA38" s="280"/>
      <c r="AB38" s="248"/>
      <c r="AC38" s="248"/>
      <c r="AD38" s="248"/>
      <c r="AE38" s="248"/>
      <c r="AF38" s="248"/>
      <c r="AG38" s="248"/>
      <c r="AH38" s="248"/>
      <c r="AI38" s="248"/>
      <c r="AQ38" s="228"/>
      <c r="AR38" s="228"/>
      <c r="AS38" s="228"/>
    </row>
    <row r="39" spans="1:45" ht="15.75">
      <c r="A39" s="223"/>
      <c r="B39" s="293" t="s">
        <v>544</v>
      </c>
      <c r="C39" s="294"/>
      <c r="D39" s="294"/>
      <c r="E39" s="294"/>
      <c r="F39" s="294"/>
      <c r="G39" s="294"/>
      <c r="H39" s="294"/>
      <c r="I39" s="294"/>
      <c r="J39" s="294"/>
      <c r="K39" s="294"/>
      <c r="L39" s="294"/>
      <c r="M39" s="294"/>
      <c r="N39" s="294"/>
      <c r="O39" s="294"/>
      <c r="P39" s="294"/>
      <c r="Q39" s="294"/>
      <c r="R39" s="294"/>
      <c r="S39" s="295"/>
      <c r="T39" s="294"/>
      <c r="U39" s="294"/>
      <c r="V39" s="294"/>
      <c r="W39" s="294"/>
      <c r="X39" s="294"/>
      <c r="Y39" s="294"/>
      <c r="Z39" s="268"/>
      <c r="AA39" s="296"/>
      <c r="AB39" s="248"/>
      <c r="AC39" s="248"/>
      <c r="AD39" s="248"/>
      <c r="AE39" s="248"/>
      <c r="AF39" s="248"/>
      <c r="AG39" s="248"/>
      <c r="AH39" s="248"/>
      <c r="AI39" s="248"/>
      <c r="AQ39" s="228"/>
      <c r="AR39" s="228"/>
      <c r="AS39" s="228"/>
    </row>
    <row r="40" spans="1:45" ht="16.5" thickBot="1">
      <c r="A40" s="229"/>
      <c r="B40" s="257"/>
      <c r="C40" s="268"/>
      <c r="D40" s="268"/>
      <c r="E40" s="268"/>
      <c r="F40" s="268"/>
      <c r="G40" s="268"/>
      <c r="H40" s="268"/>
      <c r="I40" s="268"/>
      <c r="J40" s="268"/>
      <c r="K40" s="268"/>
      <c r="L40" s="268"/>
      <c r="M40" s="268"/>
      <c r="N40" s="268"/>
      <c r="O40" s="268"/>
      <c r="P40" s="268"/>
      <c r="Q40" s="268"/>
      <c r="R40" s="268"/>
      <c r="S40" s="285"/>
      <c r="T40" s="268"/>
      <c r="U40" s="268"/>
      <c r="V40" s="268"/>
      <c r="W40" s="268"/>
      <c r="X40" s="268"/>
      <c r="Y40" s="268"/>
      <c r="Z40" s="268"/>
      <c r="AA40" s="297"/>
      <c r="AB40" s="248"/>
      <c r="AC40" s="248"/>
      <c r="AD40" s="248"/>
      <c r="AE40" s="248"/>
      <c r="AF40" s="248"/>
      <c r="AG40" s="248"/>
      <c r="AH40" s="248"/>
      <c r="AI40" s="248"/>
      <c r="AQ40" s="228"/>
      <c r="AR40" s="228"/>
      <c r="AS40" s="228"/>
    </row>
    <row r="41" spans="1:45" ht="15.75" thickBot="1">
      <c r="A41" s="229"/>
      <c r="B41" s="232" t="s">
        <v>514</v>
      </c>
      <c r="C41" s="233">
        <v>46387</v>
      </c>
      <c r="D41" s="268"/>
      <c r="E41" s="268"/>
      <c r="F41" s="268"/>
      <c r="G41" s="268"/>
      <c r="H41" s="268"/>
      <c r="I41" s="268"/>
      <c r="J41" s="268"/>
      <c r="K41" s="268"/>
      <c r="L41" s="268"/>
      <c r="M41" s="268" t="s">
        <v>1440</v>
      </c>
      <c r="N41" s="268" t="s">
        <v>1441</v>
      </c>
      <c r="O41" s="268"/>
      <c r="P41" s="268"/>
      <c r="Q41" s="268"/>
      <c r="R41" s="268"/>
      <c r="S41" s="285"/>
      <c r="T41" s="268"/>
      <c r="U41" s="268"/>
      <c r="V41" s="268"/>
      <c r="W41" s="268"/>
      <c r="X41" s="268"/>
      <c r="Y41" s="268"/>
      <c r="Z41" s="268"/>
      <c r="AA41" s="297"/>
      <c r="AB41" s="248"/>
      <c r="AC41" s="248"/>
      <c r="AD41" s="248"/>
      <c r="AE41" s="248"/>
      <c r="AF41" s="248"/>
      <c r="AG41" s="248"/>
      <c r="AH41" s="248"/>
      <c r="AI41" s="248"/>
      <c r="AQ41" s="228"/>
      <c r="AR41" s="228"/>
      <c r="AS41" s="228"/>
    </row>
    <row r="42" spans="1:45" s="241" customFormat="1" ht="15">
      <c r="A42" s="236"/>
      <c r="C42" s="256"/>
      <c r="D42" s="298" t="s">
        <v>545</v>
      </c>
      <c r="E42" s="256"/>
      <c r="F42" s="256"/>
      <c r="G42" s="298" t="s">
        <v>546</v>
      </c>
      <c r="H42" s="256"/>
      <c r="I42" s="298" t="s">
        <v>547</v>
      </c>
      <c r="J42" s="256"/>
      <c r="K42" s="298" t="s">
        <v>548</v>
      </c>
      <c r="L42" s="256"/>
      <c r="M42" s="298" t="s">
        <v>549</v>
      </c>
      <c r="N42" s="256"/>
      <c r="O42" s="298" t="s">
        <v>550</v>
      </c>
      <c r="P42" s="256"/>
      <c r="Q42" s="241" t="s">
        <v>551</v>
      </c>
      <c r="S42" s="299" t="s">
        <v>552</v>
      </c>
      <c r="T42" s="256"/>
      <c r="U42" s="298" t="s">
        <v>553</v>
      </c>
      <c r="V42" s="256"/>
      <c r="W42" s="300" t="s">
        <v>554</v>
      </c>
      <c r="X42" s="256"/>
      <c r="Y42" s="241" t="s">
        <v>555</v>
      </c>
      <c r="Z42" s="256"/>
      <c r="AA42" s="299" t="s">
        <v>556</v>
      </c>
      <c r="AB42" s="256"/>
      <c r="AD42" s="256"/>
      <c r="AE42" s="256"/>
      <c r="AF42" s="256"/>
      <c r="AG42" s="256"/>
      <c r="AH42" s="256"/>
      <c r="AI42" s="256"/>
      <c r="AQ42" s="301"/>
      <c r="AR42" s="238"/>
      <c r="AS42" s="301"/>
    </row>
    <row r="43" spans="1:35" ht="15">
      <c r="A43" s="229"/>
      <c r="B43" s="302"/>
      <c r="C43" s="248"/>
      <c r="D43" s="248"/>
      <c r="E43" s="248"/>
      <c r="F43" s="248"/>
      <c r="G43" s="248"/>
      <c r="H43" s="248"/>
      <c r="I43" s="248"/>
      <c r="J43" s="248"/>
      <c r="K43" s="243" t="s">
        <v>557</v>
      </c>
      <c r="L43" s="243"/>
      <c r="M43" s="248"/>
      <c r="N43" s="248"/>
      <c r="O43" s="243" t="s">
        <v>558</v>
      </c>
      <c r="P43" s="248"/>
      <c r="Q43" s="303" t="s">
        <v>559</v>
      </c>
      <c r="S43" s="249"/>
      <c r="T43" s="248"/>
      <c r="U43" s="243" t="s">
        <v>516</v>
      </c>
      <c r="V43" s="248"/>
      <c r="X43" s="248"/>
      <c r="Z43" s="248"/>
      <c r="AA43" s="304" t="s">
        <v>560</v>
      </c>
      <c r="AB43" s="243"/>
      <c r="AD43" s="243"/>
      <c r="AE43" s="243"/>
      <c r="AF43" s="243"/>
      <c r="AG43" s="243"/>
      <c r="AH43" s="248"/>
      <c r="AI43" s="248"/>
    </row>
    <row r="44" spans="1:34" ht="14.25">
      <c r="A44" s="229"/>
      <c r="C44" s="248"/>
      <c r="D44" s="243" t="s">
        <v>561</v>
      </c>
      <c r="E44" s="243"/>
      <c r="F44" s="243"/>
      <c r="G44" s="243" t="s">
        <v>562</v>
      </c>
      <c r="H44" s="243"/>
      <c r="I44" s="243" t="s">
        <v>8</v>
      </c>
      <c r="J44" s="243"/>
      <c r="K44" s="243" t="s">
        <v>563</v>
      </c>
      <c r="L44" s="243"/>
      <c r="M44" s="243" t="s">
        <v>564</v>
      </c>
      <c r="N44" s="243"/>
      <c r="O44" s="243" t="s">
        <v>565</v>
      </c>
      <c r="P44" s="243"/>
      <c r="Q44" s="303" t="s">
        <v>446</v>
      </c>
      <c r="S44" s="305" t="s">
        <v>516</v>
      </c>
      <c r="T44" s="243"/>
      <c r="U44" s="243" t="s">
        <v>566</v>
      </c>
      <c r="V44" s="243"/>
      <c r="W44" s="243" t="s">
        <v>567</v>
      </c>
      <c r="X44" s="243"/>
      <c r="Y44" s="243" t="s">
        <v>568</v>
      </c>
      <c r="Z44" s="243"/>
      <c r="AA44" s="304" t="s">
        <v>569</v>
      </c>
      <c r="AB44" s="243"/>
      <c r="AD44" s="243"/>
      <c r="AF44" s="243"/>
      <c r="AG44" s="306"/>
      <c r="AH44" s="243"/>
    </row>
    <row r="45" spans="1:34" ht="15">
      <c r="A45" s="229"/>
      <c r="B45" s="307" t="s">
        <v>570</v>
      </c>
      <c r="C45" s="248" t="s">
        <v>571</v>
      </c>
      <c r="D45" s="243" t="s">
        <v>572</v>
      </c>
      <c r="E45" s="308"/>
      <c r="F45" s="308"/>
      <c r="G45" s="243" t="s">
        <v>572</v>
      </c>
      <c r="H45" s="308"/>
      <c r="I45" s="243" t="s">
        <v>573</v>
      </c>
      <c r="J45" s="308"/>
      <c r="K45" s="243" t="s">
        <v>574</v>
      </c>
      <c r="L45" s="308"/>
      <c r="M45" s="243" t="s">
        <v>575</v>
      </c>
      <c r="N45" s="243"/>
      <c r="O45" s="243" t="s">
        <v>576</v>
      </c>
      <c r="P45" s="243"/>
      <c r="Q45" s="303"/>
      <c r="S45" s="305" t="s">
        <v>566</v>
      </c>
      <c r="T45" s="243"/>
      <c r="U45" s="243" t="s">
        <v>577</v>
      </c>
      <c r="V45" s="308"/>
      <c r="W45" s="243" t="s">
        <v>578</v>
      </c>
      <c r="X45" s="308"/>
      <c r="Y45" s="243" t="s">
        <v>579</v>
      </c>
      <c r="Z45" s="308"/>
      <c r="AA45" s="304" t="s">
        <v>580</v>
      </c>
      <c r="AB45" s="243"/>
      <c r="AD45" s="243"/>
      <c r="AF45" s="243"/>
      <c r="AG45" s="306"/>
      <c r="AH45" s="243"/>
    </row>
    <row r="46" spans="1:34" ht="28.5">
      <c r="A46" s="229"/>
      <c r="C46" s="248"/>
      <c r="D46" s="243"/>
      <c r="E46" s="308"/>
      <c r="F46" s="308"/>
      <c r="G46" s="243"/>
      <c r="H46" s="308"/>
      <c r="I46" s="243"/>
      <c r="J46" s="308"/>
      <c r="K46" s="243"/>
      <c r="L46" s="308"/>
      <c r="M46" s="243"/>
      <c r="N46" s="243"/>
      <c r="O46" s="243"/>
      <c r="P46" s="243"/>
      <c r="Q46" s="278"/>
      <c r="S46" s="469" t="s">
        <v>899</v>
      </c>
      <c r="T46" s="243"/>
      <c r="U46" s="470" t="s">
        <v>900</v>
      </c>
      <c r="V46" s="308"/>
      <c r="W46" s="243"/>
      <c r="X46" s="308"/>
      <c r="Y46" s="243" t="s">
        <v>901</v>
      </c>
      <c r="Z46" s="308"/>
      <c r="AA46" s="304"/>
      <c r="AB46" s="243"/>
      <c r="AD46" s="243"/>
      <c r="AF46" s="243"/>
      <c r="AG46" s="306"/>
      <c r="AH46" s="243"/>
    </row>
    <row r="47" spans="1:34" ht="14.25">
      <c r="A47" s="229"/>
      <c r="B47" s="309"/>
      <c r="C47" s="248"/>
      <c r="D47" s="243"/>
      <c r="E47" s="308"/>
      <c r="F47" s="308"/>
      <c r="G47" s="243"/>
      <c r="H47" s="308"/>
      <c r="I47" s="243"/>
      <c r="J47" s="308"/>
      <c r="K47" s="243"/>
      <c r="L47" s="308"/>
      <c r="M47" s="243"/>
      <c r="N47" s="243"/>
      <c r="O47" s="243"/>
      <c r="P47" s="243"/>
      <c r="Q47" s="278"/>
      <c r="S47" s="310"/>
      <c r="T47" s="243"/>
      <c r="U47" s="243"/>
      <c r="V47" s="308"/>
      <c r="W47" s="243"/>
      <c r="X47" s="308"/>
      <c r="Y47" s="243"/>
      <c r="Z47" s="308"/>
      <c r="AA47" s="305"/>
      <c r="AB47" s="243"/>
      <c r="AD47" s="243"/>
      <c r="AF47" s="243"/>
      <c r="AG47" s="243"/>
      <c r="AH47" s="243"/>
    </row>
    <row r="48" spans="1:34" ht="14.25">
      <c r="A48" s="931" t="s">
        <v>22</v>
      </c>
      <c r="B48" s="932" t="s">
        <v>1311</v>
      </c>
      <c r="C48" s="933"/>
      <c r="D48" s="934">
        <v>43230</v>
      </c>
      <c r="E48" s="933"/>
      <c r="F48" s="933"/>
      <c r="G48" s="934">
        <v>46888</v>
      </c>
      <c r="H48" s="933"/>
      <c r="I48" s="935">
        <v>450000000</v>
      </c>
      <c r="J48" s="933"/>
      <c r="K48" s="935">
        <v>-112500</v>
      </c>
      <c r="L48" s="933"/>
      <c r="M48" s="936">
        <v>3980801</v>
      </c>
      <c r="N48" s="311"/>
      <c r="O48" s="275">
        <v>0</v>
      </c>
      <c r="P48" s="311"/>
      <c r="Q48" s="303" t="s">
        <v>581</v>
      </c>
      <c r="S48" s="312">
        <v>445906699</v>
      </c>
      <c r="T48" s="311"/>
      <c r="U48" s="313">
        <v>99.090377555555548</v>
      </c>
      <c r="V48" s="248"/>
      <c r="W48" s="930">
        <v>0.041000000000000002</v>
      </c>
      <c r="X48" s="248"/>
      <c r="Y48" s="250">
        <v>18450000</v>
      </c>
      <c r="Z48" s="248"/>
      <c r="AA48" s="314">
        <v>0.042122043970539917</v>
      </c>
      <c r="AB48" s="315"/>
      <c r="AD48" s="315"/>
      <c r="AF48" s="316"/>
      <c r="AG48" s="283"/>
      <c r="AH48" s="283"/>
    </row>
    <row r="49" spans="1:34" ht="14.25">
      <c r="A49" s="931" t="s">
        <v>23</v>
      </c>
      <c r="B49" s="932" t="s">
        <v>1312</v>
      </c>
      <c r="C49" s="933"/>
      <c r="D49" s="934">
        <v>43921</v>
      </c>
      <c r="E49" s="937"/>
      <c r="F49" s="937"/>
      <c r="G49" s="934">
        <v>48305</v>
      </c>
      <c r="H49" s="937"/>
      <c r="I49" s="935">
        <v>125000000</v>
      </c>
      <c r="J49" s="937"/>
      <c r="K49" s="935">
        <v>0</v>
      </c>
      <c r="L49" s="937"/>
      <c r="M49" s="938">
        <v>888456</v>
      </c>
      <c r="N49" s="243"/>
      <c r="O49" s="275">
        <v>0</v>
      </c>
      <c r="P49" s="243"/>
      <c r="Q49" s="303" t="s">
        <v>581</v>
      </c>
      <c r="S49" s="312">
        <v>124111544</v>
      </c>
      <c r="T49" s="243"/>
      <c r="U49" s="313">
        <v>99.289235200000007</v>
      </c>
      <c r="V49" s="308"/>
      <c r="W49" s="930">
        <v>0.035999999999999997</v>
      </c>
      <c r="X49" s="308"/>
      <c r="Y49" s="250">
        <v>4500000</v>
      </c>
      <c r="Z49" s="308"/>
      <c r="AA49" s="314">
        <v>0.036737762812174224</v>
      </c>
      <c r="AB49" s="243"/>
      <c r="AD49" s="243"/>
      <c r="AF49" s="243"/>
      <c r="AG49" s="243"/>
      <c r="AH49" s="243"/>
    </row>
    <row r="50" spans="1:27" ht="14.25">
      <c r="A50" s="939" t="s">
        <v>24</v>
      </c>
      <c r="B50" s="940" t="s">
        <v>1313</v>
      </c>
      <c r="C50" s="941"/>
      <c r="D50" s="934">
        <v>43921</v>
      </c>
      <c r="E50" s="941"/>
      <c r="F50" s="941"/>
      <c r="G50" s="934">
        <v>49400</v>
      </c>
      <c r="H50" s="941"/>
      <c r="I50" s="935">
        <v>125000000</v>
      </c>
      <c r="J50" s="941"/>
      <c r="K50" s="935">
        <v>0</v>
      </c>
      <c r="L50" s="941"/>
      <c r="M50" s="938">
        <v>888456</v>
      </c>
      <c r="N50" s="243"/>
      <c r="O50" s="275">
        <v>0</v>
      </c>
      <c r="P50" s="243"/>
      <c r="Q50" s="303" t="s">
        <v>581</v>
      </c>
      <c r="S50" s="312">
        <v>124111544</v>
      </c>
      <c r="T50" s="243"/>
      <c r="U50" s="313">
        <v>99.289235200000007</v>
      </c>
      <c r="V50" s="308"/>
      <c r="W50" s="930">
        <v>0.036999999999999998</v>
      </c>
      <c r="X50" s="308"/>
      <c r="Y50" s="250">
        <v>4625000</v>
      </c>
      <c r="Z50" s="308"/>
      <c r="AA50" s="314">
        <v>0.037624392499742552</v>
      </c>
    </row>
    <row r="51" spans="1:34" ht="14.25">
      <c r="A51" s="931" t="s">
        <v>25</v>
      </c>
      <c r="B51" s="940" t="s">
        <v>1311</v>
      </c>
      <c r="C51" s="933"/>
      <c r="D51" s="934">
        <v>44340</v>
      </c>
      <c r="E51" s="933"/>
      <c r="F51" s="933"/>
      <c r="G51" s="934">
        <v>46888</v>
      </c>
      <c r="H51" s="933"/>
      <c r="I51" s="935">
        <v>150000000</v>
      </c>
      <c r="J51" s="933"/>
      <c r="K51" s="935">
        <v>14337000</v>
      </c>
      <c r="L51" s="933"/>
      <c r="M51" s="938">
        <v>1282625</v>
      </c>
      <c r="N51" s="317"/>
      <c r="O51" s="275">
        <v>0</v>
      </c>
      <c r="P51" s="317"/>
      <c r="Q51" s="303" t="s">
        <v>581</v>
      </c>
      <c r="S51" s="312">
        <v>163054375</v>
      </c>
      <c r="T51" s="317"/>
      <c r="U51" s="313">
        <v>108.70291666666667</v>
      </c>
      <c r="V51" s="248"/>
      <c r="W51" s="930">
        <v>0.041000000000000002</v>
      </c>
      <c r="X51" s="248"/>
      <c r="Y51" s="250">
        <v>6150000</v>
      </c>
      <c r="Z51" s="248"/>
      <c r="AA51" s="314">
        <v>0.027215493135828474</v>
      </c>
      <c r="AB51" s="248"/>
      <c r="AD51" s="248"/>
      <c r="AF51" s="248"/>
      <c r="AG51" s="283"/>
      <c r="AH51" s="248"/>
    </row>
    <row r="52" spans="1:34" ht="14.25">
      <c r="A52" s="931" t="s">
        <v>26</v>
      </c>
      <c r="B52" s="940" t="s">
        <v>1404</v>
      </c>
      <c r="C52" s="933"/>
      <c r="D52" s="934">
        <v>44984</v>
      </c>
      <c r="E52" s="933"/>
      <c r="F52" s="933"/>
      <c r="G52" s="934">
        <v>48639</v>
      </c>
      <c r="H52" s="933"/>
      <c r="I52" s="935">
        <v>175000000</v>
      </c>
      <c r="J52" s="933"/>
      <c r="K52" s="935"/>
      <c r="L52" s="933"/>
      <c r="M52" s="938">
        <v>1252919</v>
      </c>
      <c r="N52" s="317"/>
      <c r="O52" s="275">
        <v>0</v>
      </c>
      <c r="P52" s="317"/>
      <c r="Q52" s="303" t="s">
        <v>581</v>
      </c>
      <c r="S52" s="312">
        <v>173747081</v>
      </c>
      <c r="T52" s="317"/>
      <c r="U52" s="313">
        <v>99.284046285714282</v>
      </c>
      <c r="V52" s="248"/>
      <c r="W52" s="930">
        <v>0.053900000000000003</v>
      </c>
      <c r="X52" s="248"/>
      <c r="Y52" s="250">
        <v>9432500</v>
      </c>
      <c r="Z52" s="248"/>
      <c r="AA52" s="314">
        <v>0.054837816775816693</v>
      </c>
      <c r="AB52" s="248"/>
      <c r="AD52" s="248"/>
      <c r="AF52" s="248"/>
      <c r="AG52" s="283"/>
      <c r="AH52" s="248"/>
    </row>
    <row r="53" spans="1:34" ht="14.25">
      <c r="A53" s="931" t="s">
        <v>27</v>
      </c>
      <c r="B53" s="940" t="s">
        <v>1438</v>
      </c>
      <c r="C53" s="933"/>
      <c r="D53" s="934">
        <v>45414</v>
      </c>
      <c r="E53" s="933"/>
      <c r="F53" s="933"/>
      <c r="G53" s="934">
        <v>49065</v>
      </c>
      <c r="H53" s="933"/>
      <c r="I53" s="935">
        <v>250000000</v>
      </c>
      <c r="J53" s="933"/>
      <c r="K53" s="935"/>
      <c r="L53" s="933"/>
      <c r="M53" s="938">
        <v>1435319</v>
      </c>
      <c r="N53" s="317"/>
      <c r="O53" s="275">
        <v>0</v>
      </c>
      <c r="P53" s="317"/>
      <c r="Q53" s="303" t="s">
        <v>581</v>
      </c>
      <c r="S53" s="312">
        <v>248564681</v>
      </c>
      <c r="T53" s="317"/>
      <c r="U53" s="313">
        <v>99.425872400000003</v>
      </c>
      <c r="V53" s="248"/>
      <c r="W53" s="930">
        <v>0.059400000000000001</v>
      </c>
      <c r="X53" s="248"/>
      <c r="Y53" s="250">
        <v>14850000</v>
      </c>
      <c r="Z53" s="248"/>
      <c r="AA53" s="314">
        <v>0.060172254169243579</v>
      </c>
      <c r="AB53" s="248"/>
      <c r="AD53" s="248"/>
      <c r="AF53" s="248"/>
      <c r="AG53" s="283"/>
      <c r="AH53" s="248"/>
    </row>
    <row r="54" spans="1:34" ht="14.25">
      <c r="A54" s="931" t="s">
        <v>493</v>
      </c>
      <c r="B54" s="940" t="s">
        <v>1439</v>
      </c>
      <c r="C54" s="933"/>
      <c r="D54" s="934">
        <v>45834</v>
      </c>
      <c r="E54" s="933"/>
      <c r="F54" s="933"/>
      <c r="G54" s="934">
        <v>47863</v>
      </c>
      <c r="H54" s="933"/>
      <c r="I54" s="935">
        <v>200000000</v>
      </c>
      <c r="J54" s="933"/>
      <c r="K54" s="935"/>
      <c r="L54" s="933"/>
      <c r="M54" s="938">
        <v>2000000</v>
      </c>
      <c r="N54" s="317"/>
      <c r="O54" s="275">
        <v>0</v>
      </c>
      <c r="P54" s="317"/>
      <c r="Q54" s="303" t="s">
        <v>581</v>
      </c>
      <c r="S54" s="312">
        <v>198000000</v>
      </c>
      <c r="T54" s="317"/>
      <c r="U54" s="313">
        <v>99</v>
      </c>
      <c r="V54" s="248"/>
      <c r="W54" s="930">
        <v>0.05</v>
      </c>
      <c r="X54" s="248"/>
      <c r="Y54" s="250">
        <v>10000000</v>
      </c>
      <c r="Z54" s="248"/>
      <c r="AA54" s="314">
        <v>0.052090699326318039</v>
      </c>
      <c r="AB54" s="248"/>
      <c r="AD54" s="248"/>
      <c r="AF54" s="248"/>
      <c r="AG54" s="283"/>
      <c r="AH54" s="248"/>
    </row>
    <row r="55" spans="1:34" ht="14.25">
      <c r="A55" s="931" t="s">
        <v>494</v>
      </c>
      <c r="B55" s="940" t="s">
        <v>1459</v>
      </c>
      <c r="C55" s="933"/>
      <c r="D55" s="934">
        <v>46174</v>
      </c>
      <c r="E55" s="933"/>
      <c r="F55" s="933"/>
      <c r="G55" s="934">
        <v>49827</v>
      </c>
      <c r="H55" s="933"/>
      <c r="I55" s="935">
        <v>250000000</v>
      </c>
      <c r="J55" s="933"/>
      <c r="K55" s="935"/>
      <c r="L55" s="933"/>
      <c r="M55" s="938">
        <v>2500000</v>
      </c>
      <c r="N55" s="317"/>
      <c r="O55" s="275"/>
      <c r="P55" s="317"/>
      <c r="Q55" s="303"/>
      <c r="S55" s="1152">
        <v>247500000</v>
      </c>
      <c r="T55" s="317"/>
      <c r="U55" s="313">
        <v>99</v>
      </c>
      <c r="V55" s="248"/>
      <c r="W55" s="930">
        <v>0.053999999999999999</v>
      </c>
      <c r="X55" s="248"/>
      <c r="Y55" s="250">
        <v>13500000</v>
      </c>
      <c r="Z55" s="248"/>
      <c r="AA55" s="1153">
        <v>0.055315370900008133</v>
      </c>
      <c r="AB55" s="248"/>
      <c r="AD55" s="248"/>
      <c r="AF55" s="248"/>
      <c r="AG55" s="283"/>
      <c r="AH55" s="248"/>
    </row>
    <row r="56" spans="1:36" ht="14.25">
      <c r="A56" s="229"/>
      <c r="B56" s="321" t="s">
        <v>582</v>
      </c>
      <c r="C56" s="248"/>
      <c r="D56" s="318"/>
      <c r="E56" s="248"/>
      <c r="F56" s="248"/>
      <c r="G56" s="319"/>
      <c r="H56" s="248"/>
      <c r="I56" s="1120">
        <f>SUM(I48:I55)</f>
        <v>1725000000</v>
      </c>
      <c r="J56" s="1120"/>
      <c r="K56" s="1120">
        <f>SUM(K48:K54)</f>
        <v>14224500</v>
      </c>
      <c r="L56" s="1120"/>
      <c r="M56" s="1120">
        <f>SUM(M48:M55)</f>
        <v>14228576</v>
      </c>
      <c r="N56" s="1120"/>
      <c r="O56" s="1120"/>
      <c r="P56" s="1120"/>
      <c r="Q56" s="1120"/>
      <c r="R56" s="1120"/>
      <c r="S56" s="1120">
        <f>SUM(S48:S55)</f>
        <v>1724995924</v>
      </c>
      <c r="T56" s="1120"/>
      <c r="U56" s="1120"/>
      <c r="V56" s="1120"/>
      <c r="W56" s="1120"/>
      <c r="X56" s="1120"/>
      <c r="Y56" s="1120">
        <f>SUM(Y48:Y55)</f>
        <v>81507500</v>
      </c>
      <c r="Z56" s="1120"/>
      <c r="AA56" s="1120"/>
      <c r="AB56" s="248"/>
      <c r="AD56" s="248"/>
      <c r="AE56" s="316"/>
      <c r="AF56" s="248"/>
      <c r="AG56" s="283"/>
      <c r="AH56" s="248"/>
      <c r="AJ56" s="228"/>
    </row>
    <row r="57" spans="1:36" ht="14.25">
      <c r="A57" s="229"/>
      <c r="B57" s="228" t="s">
        <v>583</v>
      </c>
      <c r="C57" s="248"/>
      <c r="D57" s="318"/>
      <c r="E57" s="248"/>
      <c r="F57" s="248"/>
      <c r="G57" s="319"/>
      <c r="H57" s="248"/>
      <c r="I57" s="317"/>
      <c r="J57" s="248"/>
      <c r="K57" s="317"/>
      <c r="L57" s="248"/>
      <c r="M57" s="317"/>
      <c r="N57" s="317"/>
      <c r="O57" s="317"/>
      <c r="P57" s="317"/>
      <c r="Q57" s="317"/>
      <c r="R57" s="317"/>
      <c r="S57" s="249"/>
      <c r="T57" s="248"/>
      <c r="U57" s="248"/>
      <c r="V57" s="248"/>
      <c r="W57" s="317"/>
      <c r="X57" s="248"/>
      <c r="Y57" s="317"/>
      <c r="Z57" s="248"/>
      <c r="AA57" s="322"/>
      <c r="AB57" s="248"/>
      <c r="AC57" s="248"/>
      <c r="AD57" s="248"/>
      <c r="AE57" s="316"/>
      <c r="AF57" s="248"/>
      <c r="AG57" s="283"/>
      <c r="AH57" s="248"/>
      <c r="AI57" s="250"/>
      <c r="AJ57" s="228"/>
    </row>
    <row r="58" spans="1:36" ht="15">
      <c r="A58" s="288"/>
      <c r="B58" s="289" t="s">
        <v>584</v>
      </c>
      <c r="C58" s="280"/>
      <c r="D58" s="280"/>
      <c r="E58" s="280"/>
      <c r="F58" s="280"/>
      <c r="G58" s="280"/>
      <c r="H58" s="280"/>
      <c r="I58" s="280"/>
      <c r="J58" s="280"/>
      <c r="K58" s="280"/>
      <c r="L58" s="280"/>
      <c r="M58" s="323"/>
      <c r="N58" s="323"/>
      <c r="O58" s="323"/>
      <c r="P58" s="323"/>
      <c r="Q58" s="323"/>
      <c r="R58" s="323"/>
      <c r="S58" s="320"/>
      <c r="T58" s="280"/>
      <c r="U58" s="280"/>
      <c r="V58" s="280"/>
      <c r="W58" s="280"/>
      <c r="X58" s="280"/>
      <c r="Y58" s="280"/>
      <c r="Z58" s="280"/>
      <c r="AA58" s="324"/>
      <c r="AB58" s="248"/>
      <c r="AC58" s="248"/>
      <c r="AD58" s="248"/>
      <c r="AE58" s="248"/>
      <c r="AF58" s="248"/>
      <c r="AG58" s="248"/>
      <c r="AH58" s="248"/>
      <c r="AI58" s="248"/>
      <c r="AJ58" s="228"/>
    </row>
    <row r="59" spans="1:36" ht="14.25">
      <c r="A59" s="288"/>
      <c r="B59" s="289"/>
      <c r="C59" s="280"/>
      <c r="D59" s="280"/>
      <c r="E59" s="280"/>
      <c r="F59" s="280"/>
      <c r="G59" s="280"/>
      <c r="H59" s="280"/>
      <c r="I59" s="280"/>
      <c r="J59" s="280"/>
      <c r="K59" s="280"/>
      <c r="L59" s="280"/>
      <c r="M59" s="323"/>
      <c r="N59" s="323"/>
      <c r="O59" s="323"/>
      <c r="P59" s="323"/>
      <c r="Q59" s="323"/>
      <c r="R59" s="323"/>
      <c r="S59" s="320"/>
      <c r="T59" s="248"/>
      <c r="U59" s="248"/>
      <c r="V59" s="248"/>
      <c r="W59" s="248"/>
      <c r="X59" s="248"/>
      <c r="Y59" s="248"/>
      <c r="Z59" s="248"/>
      <c r="AA59" s="315"/>
      <c r="AB59" s="248"/>
      <c r="AC59" s="248"/>
      <c r="AD59" s="248"/>
      <c r="AE59" s="248"/>
      <c r="AF59" s="248"/>
      <c r="AG59" s="248"/>
      <c r="AH59" s="248"/>
      <c r="AI59" s="248"/>
      <c r="AJ59" s="228"/>
    </row>
    <row r="60" spans="2:36" ht="14.25">
      <c r="B60" s="283"/>
      <c r="C60" s="248"/>
      <c r="D60" s="248"/>
      <c r="E60" s="248"/>
      <c r="F60" s="248"/>
      <c r="G60" s="248"/>
      <c r="H60" s="248"/>
      <c r="I60" s="248"/>
      <c r="J60" s="248"/>
      <c r="K60" s="248"/>
      <c r="L60" s="248"/>
      <c r="M60" s="325"/>
      <c r="N60" s="325"/>
      <c r="O60" s="325"/>
      <c r="P60" s="325"/>
      <c r="Q60" s="325"/>
      <c r="R60" s="325"/>
      <c r="S60" s="248"/>
      <c r="T60" s="248"/>
      <c r="U60" s="248"/>
      <c r="V60" s="248"/>
      <c r="W60" s="248"/>
      <c r="X60" s="248"/>
      <c r="Y60" s="276"/>
      <c r="Z60" s="248"/>
      <c r="AA60" s="248"/>
      <c r="AB60" s="248"/>
      <c r="AC60" s="248"/>
      <c r="AD60" s="248"/>
      <c r="AE60" s="248"/>
      <c r="AF60" s="248"/>
      <c r="AG60" s="248"/>
      <c r="AH60" s="248"/>
      <c r="AI60" s="248"/>
      <c r="AJ60" s="228"/>
    </row>
    <row r="61" spans="2:36" ht="14.25">
      <c r="B61" s="326"/>
      <c r="C61" s="248"/>
      <c r="D61" s="248"/>
      <c r="E61" s="248"/>
      <c r="F61" s="248"/>
      <c r="G61" s="248"/>
      <c r="H61" s="248"/>
      <c r="I61" s="248"/>
      <c r="J61" s="248"/>
      <c r="K61" s="248"/>
      <c r="L61" s="248"/>
      <c r="M61" s="327"/>
      <c r="N61" s="327"/>
      <c r="O61" s="327"/>
      <c r="P61" s="327"/>
      <c r="Q61" s="327"/>
      <c r="R61" s="327"/>
      <c r="S61" s="248"/>
      <c r="T61" s="248"/>
      <c r="U61" s="248"/>
      <c r="V61" s="248"/>
      <c r="W61" s="248"/>
      <c r="X61" s="248"/>
      <c r="Y61" s="317"/>
      <c r="Z61" s="248"/>
      <c r="AA61" s="248"/>
      <c r="AB61" s="248"/>
      <c r="AC61" s="248"/>
      <c r="AD61" s="248"/>
      <c r="AE61" s="248"/>
      <c r="AF61" s="248"/>
      <c r="AG61" s="248"/>
      <c r="AH61" s="248"/>
      <c r="AI61" s="248"/>
      <c r="AJ61" s="228"/>
    </row>
    <row r="62" spans="3:36" ht="14.25">
      <c r="C62" s="248"/>
      <c r="D62" s="248"/>
      <c r="E62" s="248"/>
      <c r="F62" s="248"/>
      <c r="G62" s="248"/>
      <c r="H62" s="248"/>
      <c r="I62" s="248"/>
      <c r="J62" s="248"/>
      <c r="K62" s="248"/>
      <c r="L62" s="248"/>
      <c r="M62" s="248"/>
      <c r="N62" s="248"/>
      <c r="O62" s="248"/>
      <c r="P62" s="248"/>
      <c r="Q62" s="248"/>
      <c r="R62" s="248"/>
      <c r="S62" s="248"/>
      <c r="T62" s="248"/>
      <c r="U62" s="248"/>
      <c r="V62" s="248"/>
      <c r="W62" s="248"/>
      <c r="X62" s="248"/>
      <c r="Y62" s="317"/>
      <c r="Z62" s="248"/>
      <c r="AA62" s="276"/>
      <c r="AB62" s="248"/>
      <c r="AC62" s="248"/>
      <c r="AD62" s="248"/>
      <c r="AE62" s="248"/>
      <c r="AF62" s="248"/>
      <c r="AG62" s="248"/>
      <c r="AH62" s="248"/>
      <c r="AI62" s="248"/>
      <c r="AJ62" s="228"/>
    </row>
    <row r="63" spans="3:36" ht="14.25">
      <c r="C63" s="248"/>
      <c r="D63" s="317"/>
      <c r="E63" s="248"/>
      <c r="F63" s="248"/>
      <c r="G63" s="317"/>
      <c r="H63" s="248"/>
      <c r="I63" s="248"/>
      <c r="J63" s="248"/>
      <c r="K63" s="248"/>
      <c r="L63" s="248"/>
      <c r="M63" s="317"/>
      <c r="N63" s="317"/>
      <c r="O63" s="317"/>
      <c r="P63" s="317"/>
      <c r="Q63" s="317"/>
      <c r="R63" s="317"/>
      <c r="S63" s="248"/>
      <c r="T63" s="248"/>
      <c r="U63" s="248"/>
      <c r="V63" s="248"/>
      <c r="W63" s="328"/>
      <c r="X63" s="248"/>
      <c r="Y63" s="317"/>
      <c r="Z63" s="248"/>
      <c r="AA63" s="248"/>
      <c r="AB63" s="248"/>
      <c r="AC63" s="248"/>
      <c r="AD63" s="248"/>
      <c r="AE63" s="248"/>
      <c r="AF63" s="248"/>
      <c r="AG63" s="248"/>
      <c r="AH63" s="248"/>
      <c r="AI63" s="248"/>
      <c r="AJ63" s="228"/>
    </row>
    <row r="64" spans="3:36" ht="14.25">
      <c r="C64" s="248"/>
      <c r="D64" s="248"/>
      <c r="E64" s="248"/>
      <c r="F64" s="248"/>
      <c r="G64" s="248"/>
      <c r="H64" s="248"/>
      <c r="I64" s="248"/>
      <c r="J64" s="248"/>
      <c r="K64" s="248"/>
      <c r="L64" s="248"/>
      <c r="M64" s="248"/>
      <c r="N64" s="248"/>
      <c r="O64" s="248"/>
      <c r="P64" s="248"/>
      <c r="Q64" s="248"/>
      <c r="R64" s="248"/>
      <c r="S64" s="248"/>
      <c r="T64" s="248"/>
      <c r="U64" s="248"/>
      <c r="V64" s="248"/>
      <c r="W64" s="328"/>
      <c r="X64" s="248"/>
      <c r="Y64" s="248"/>
      <c r="Z64" s="248"/>
      <c r="AA64" s="248"/>
      <c r="AB64" s="248"/>
      <c r="AC64" s="248"/>
      <c r="AD64" s="248"/>
      <c r="AE64" s="248"/>
      <c r="AF64" s="248"/>
      <c r="AG64" s="248"/>
      <c r="AH64" s="248"/>
      <c r="AI64" s="248"/>
      <c r="AJ64" s="228"/>
    </row>
    <row r="65" spans="3:36" ht="14.25">
      <c r="C65" s="248"/>
      <c r="D65" s="329"/>
      <c r="E65" s="248"/>
      <c r="F65" s="248"/>
      <c r="G65" s="329"/>
      <c r="H65" s="248"/>
      <c r="I65" s="248"/>
      <c r="J65" s="248"/>
      <c r="K65" s="248"/>
      <c r="L65" s="248"/>
      <c r="M65" s="329"/>
      <c r="N65" s="329"/>
      <c r="O65" s="329"/>
      <c r="P65" s="329"/>
      <c r="Q65" s="329"/>
      <c r="R65" s="329"/>
      <c r="S65" s="248"/>
      <c r="T65" s="248"/>
      <c r="U65" s="248"/>
      <c r="V65" s="248"/>
      <c r="W65" s="328"/>
      <c r="X65" s="248"/>
      <c r="Y65" s="329"/>
      <c r="Z65" s="248"/>
      <c r="AA65" s="248"/>
      <c r="AB65" s="248"/>
      <c r="AC65" s="248"/>
      <c r="AD65" s="248"/>
      <c r="AE65" s="248"/>
      <c r="AF65" s="248"/>
      <c r="AG65" s="248"/>
      <c r="AH65" s="248"/>
      <c r="AI65" s="248"/>
      <c r="AJ65" s="228"/>
    </row>
    <row r="66" spans="2:36" ht="14.25">
      <c r="B66" s="283"/>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28"/>
    </row>
    <row r="67" spans="2:36" ht="14.25">
      <c r="B67" s="283"/>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28"/>
    </row>
    <row r="68" spans="2:36" ht="14.25">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28"/>
    </row>
    <row r="69" spans="2:36" ht="14.25">
      <c r="B69" s="330"/>
      <c r="C69" s="248"/>
      <c r="D69" s="311"/>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28"/>
    </row>
    <row r="70" spans="2:36" ht="14.25">
      <c r="B70" s="330"/>
      <c r="C70" s="248"/>
      <c r="D70" s="311"/>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28"/>
    </row>
    <row r="71" spans="2:36" ht="15">
      <c r="B71" s="331"/>
      <c r="C71" s="332"/>
      <c r="D71" s="332"/>
      <c r="E71" s="332"/>
      <c r="F71" s="332"/>
      <c r="G71" s="332"/>
      <c r="H71" s="332"/>
      <c r="I71" s="332"/>
      <c r="J71" s="332"/>
      <c r="K71" s="332"/>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28"/>
    </row>
    <row r="72" spans="2:36" ht="14.25">
      <c r="B72" s="248"/>
      <c r="C72" s="248"/>
      <c r="D72" s="243"/>
      <c r="E72" s="248"/>
      <c r="F72" s="248"/>
      <c r="G72" s="243"/>
      <c r="H72" s="248"/>
      <c r="I72" s="243"/>
      <c r="J72" s="248"/>
      <c r="K72" s="243"/>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28"/>
    </row>
    <row r="73" spans="2:36" ht="14.25">
      <c r="B73" s="248"/>
      <c r="C73" s="248"/>
      <c r="D73" s="243"/>
      <c r="E73" s="248"/>
      <c r="F73" s="248"/>
      <c r="G73" s="243"/>
      <c r="H73" s="248"/>
      <c r="I73" s="243"/>
      <c r="J73" s="248"/>
      <c r="K73" s="243"/>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28"/>
    </row>
    <row r="74" spans="2:36" ht="14.25">
      <c r="B74" s="248"/>
      <c r="C74" s="248"/>
      <c r="D74" s="311"/>
      <c r="E74" s="248"/>
      <c r="F74" s="248"/>
      <c r="G74" s="333"/>
      <c r="H74" s="248"/>
      <c r="I74" s="333"/>
      <c r="J74" s="248"/>
      <c r="K74" s="333"/>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28"/>
    </row>
    <row r="75" spans="2:36" ht="14.25">
      <c r="B75" s="248"/>
      <c r="C75" s="248"/>
      <c r="D75" s="311"/>
      <c r="E75" s="248"/>
      <c r="F75" s="248"/>
      <c r="G75" s="333"/>
      <c r="H75" s="248"/>
      <c r="I75" s="333"/>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28"/>
    </row>
    <row r="76" spans="2:36" ht="14.25">
      <c r="B76" s="248"/>
      <c r="C76" s="248"/>
      <c r="D76" s="311"/>
      <c r="E76" s="248"/>
      <c r="F76" s="248"/>
      <c r="G76" s="333"/>
      <c r="H76" s="248"/>
      <c r="I76" s="333"/>
      <c r="J76" s="248"/>
      <c r="K76" s="333"/>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28"/>
    </row>
    <row r="77" spans="2:36" ht="14.25">
      <c r="B77" s="248"/>
      <c r="C77" s="248"/>
      <c r="D77" s="311"/>
      <c r="E77" s="248"/>
      <c r="F77" s="248"/>
      <c r="G77" s="333"/>
      <c r="H77" s="248"/>
      <c r="I77" s="333"/>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28"/>
    </row>
    <row r="78" spans="2:36" ht="14.25">
      <c r="B78" s="248"/>
      <c r="C78" s="248"/>
      <c r="D78" s="311"/>
      <c r="E78" s="248"/>
      <c r="F78" s="248"/>
      <c r="G78" s="333"/>
      <c r="H78" s="248"/>
      <c r="I78" s="333"/>
      <c r="J78" s="248"/>
      <c r="K78" s="333"/>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28"/>
    </row>
    <row r="79" spans="2:36" ht="14.25">
      <c r="B79" s="248"/>
      <c r="C79" s="248"/>
      <c r="D79" s="311"/>
      <c r="E79" s="248"/>
      <c r="F79" s="248"/>
      <c r="G79" s="333"/>
      <c r="H79" s="248"/>
      <c r="I79" s="333"/>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28"/>
    </row>
    <row r="80" spans="2:36" ht="15">
      <c r="B80" s="248"/>
      <c r="C80" s="248"/>
      <c r="D80" s="311"/>
      <c r="E80" s="248"/>
      <c r="F80" s="248"/>
      <c r="G80" s="333"/>
      <c r="H80" s="248"/>
      <c r="I80" s="248"/>
      <c r="J80" s="248"/>
      <c r="K80" s="333"/>
      <c r="L80" s="332"/>
      <c r="M80" s="332"/>
      <c r="N80" s="332"/>
      <c r="O80" s="332"/>
      <c r="P80" s="332"/>
      <c r="Q80" s="332"/>
      <c r="R80" s="332"/>
      <c r="S80" s="332"/>
      <c r="T80" s="332"/>
      <c r="U80" s="332"/>
      <c r="V80" s="332"/>
      <c r="W80" s="332"/>
      <c r="X80" s="332"/>
      <c r="Y80" s="332"/>
      <c r="Z80" s="332"/>
      <c r="AA80" s="248"/>
      <c r="AB80" s="248"/>
      <c r="AC80" s="248"/>
      <c r="AD80" s="248"/>
      <c r="AE80" s="248"/>
      <c r="AF80" s="248"/>
      <c r="AG80" s="248"/>
      <c r="AH80" s="248"/>
      <c r="AI80" s="248"/>
      <c r="AJ80" s="228"/>
    </row>
    <row r="81" spans="2:36" ht="12.75">
      <c r="B81" s="228"/>
      <c r="C81" s="228"/>
      <c r="D81" s="334"/>
      <c r="E81" s="228"/>
      <c r="F81" s="228"/>
      <c r="G81" s="335"/>
      <c r="H81" s="228"/>
      <c r="I81" s="228"/>
      <c r="J81" s="228"/>
      <c r="K81" s="335"/>
      <c r="L81" s="227"/>
      <c r="M81" s="227"/>
      <c r="N81" s="227"/>
      <c r="O81" s="227"/>
      <c r="P81" s="227"/>
      <c r="Q81" s="227"/>
      <c r="R81" s="227"/>
      <c r="S81" s="227"/>
      <c r="T81" s="227"/>
      <c r="U81" s="227"/>
      <c r="V81" s="227"/>
      <c r="W81" s="227"/>
      <c r="X81" s="227"/>
      <c r="Y81" s="227"/>
      <c r="Z81" s="227"/>
      <c r="AA81" s="228"/>
      <c r="AB81" s="228"/>
      <c r="AC81" s="228"/>
      <c r="AD81" s="228"/>
      <c r="AE81" s="228"/>
      <c r="AF81" s="228"/>
      <c r="AG81" s="228"/>
      <c r="AH81" s="228"/>
      <c r="AI81" s="228"/>
      <c r="AJ81" s="228"/>
    </row>
    <row r="82" spans="2:36" ht="12.75">
      <c r="B82" s="228"/>
      <c r="C82" s="228"/>
      <c r="D82" s="334"/>
      <c r="E82" s="228"/>
      <c r="F82" s="228"/>
      <c r="G82" s="335"/>
      <c r="H82" s="228"/>
      <c r="I82" s="228"/>
      <c r="J82" s="228"/>
      <c r="K82" s="335"/>
      <c r="L82" s="227"/>
      <c r="M82" s="227"/>
      <c r="N82" s="227"/>
      <c r="O82" s="227"/>
      <c r="P82" s="227"/>
      <c r="Q82" s="227"/>
      <c r="R82" s="227"/>
      <c r="S82" s="227"/>
      <c r="T82" s="227"/>
      <c r="U82" s="227"/>
      <c r="V82" s="227"/>
      <c r="W82" s="227"/>
      <c r="X82" s="227"/>
      <c r="Y82" s="227"/>
      <c r="Z82" s="227"/>
      <c r="AA82" s="228"/>
      <c r="AB82" s="228"/>
      <c r="AC82" s="228"/>
      <c r="AD82" s="228"/>
      <c r="AE82" s="228"/>
      <c r="AF82" s="228"/>
      <c r="AG82" s="228"/>
      <c r="AH82" s="228"/>
      <c r="AI82" s="228"/>
      <c r="AJ82" s="228"/>
    </row>
    <row r="83" spans="2:36" ht="12.75">
      <c r="B83" s="228"/>
      <c r="C83" s="228"/>
      <c r="D83" s="334"/>
      <c r="E83" s="228"/>
      <c r="F83" s="228"/>
      <c r="G83" s="335"/>
      <c r="H83" s="228"/>
      <c r="I83" s="228"/>
      <c r="J83" s="228"/>
      <c r="K83" s="335"/>
      <c r="L83" s="227"/>
      <c r="M83" s="227"/>
      <c r="N83" s="227"/>
      <c r="O83" s="227"/>
      <c r="P83" s="227"/>
      <c r="Q83" s="227"/>
      <c r="R83" s="227"/>
      <c r="S83" s="227"/>
      <c r="T83" s="227"/>
      <c r="U83" s="227"/>
      <c r="V83" s="227"/>
      <c r="W83" s="227"/>
      <c r="X83" s="227"/>
      <c r="Y83" s="227"/>
      <c r="Z83" s="227"/>
      <c r="AA83" s="228"/>
      <c r="AB83" s="228"/>
      <c r="AC83" s="228"/>
      <c r="AD83" s="228"/>
      <c r="AE83" s="228"/>
      <c r="AF83" s="228"/>
      <c r="AG83" s="228"/>
      <c r="AH83" s="228"/>
      <c r="AI83" s="228"/>
      <c r="AJ83" s="228"/>
    </row>
    <row r="84" spans="2:35" ht="12.75">
      <c r="B84" s="227"/>
      <c r="C84" s="227"/>
      <c r="D84" s="227"/>
      <c r="E84" s="227"/>
      <c r="F84" s="227"/>
      <c r="G84" s="227"/>
      <c r="H84" s="227"/>
      <c r="I84" s="227"/>
      <c r="J84" s="227"/>
      <c r="K84" s="227"/>
      <c r="L84" s="227"/>
      <c r="M84" s="227"/>
      <c r="N84" s="227"/>
      <c r="O84" s="227"/>
      <c r="P84" s="227"/>
      <c r="Q84" s="227"/>
      <c r="R84" s="227"/>
      <c r="S84" s="227"/>
      <c r="T84" s="227"/>
      <c r="U84" s="227"/>
      <c r="V84" s="227"/>
      <c r="W84" s="227"/>
      <c r="X84" s="227"/>
      <c r="Y84" s="227"/>
      <c r="Z84" s="227"/>
      <c r="AA84" s="228"/>
      <c r="AB84" s="228"/>
      <c r="AC84" s="228"/>
      <c r="AD84" s="228"/>
      <c r="AE84" s="228"/>
      <c r="AF84" s="228"/>
      <c r="AG84" s="228"/>
      <c r="AH84" s="228"/>
      <c r="AI84" s="228"/>
    </row>
    <row r="85" spans="2:35" ht="12.75">
      <c r="B85" s="336"/>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row>
    <row r="86" spans="2:35" ht="12.75">
      <c r="B86" s="337"/>
      <c r="C86" s="228"/>
      <c r="D86" s="228"/>
      <c r="E86" s="228"/>
      <c r="F86" s="228"/>
      <c r="G86" s="338"/>
      <c r="H86" s="338"/>
      <c r="I86" s="338"/>
      <c r="J86" s="338"/>
      <c r="K86" s="338"/>
      <c r="L86" s="338"/>
      <c r="M86" s="338"/>
      <c r="N86" s="338"/>
      <c r="O86" s="338"/>
      <c r="P86" s="338"/>
      <c r="Q86" s="338"/>
      <c r="R86" s="338"/>
      <c r="S86" s="338"/>
      <c r="T86" s="338"/>
      <c r="U86" s="338"/>
      <c r="V86" s="338"/>
      <c r="W86" s="228"/>
      <c r="X86" s="228"/>
      <c r="Y86" s="228"/>
      <c r="Z86" s="228"/>
      <c r="AA86" s="228"/>
      <c r="AB86" s="228"/>
      <c r="AC86" s="228"/>
      <c r="AD86" s="228"/>
      <c r="AE86" s="228"/>
      <c r="AF86" s="228"/>
      <c r="AG86" s="228"/>
      <c r="AH86" s="228"/>
      <c r="AI86" s="228"/>
    </row>
    <row r="87" spans="2:35" ht="12.75">
      <c r="B87" s="228"/>
      <c r="C87" s="228"/>
      <c r="D87" s="338"/>
      <c r="E87" s="338"/>
      <c r="F87" s="338"/>
      <c r="G87" s="338"/>
      <c r="H87" s="338"/>
      <c r="I87" s="338"/>
      <c r="J87" s="338"/>
      <c r="K87" s="338"/>
      <c r="L87" s="338"/>
      <c r="M87" s="338"/>
      <c r="N87" s="338"/>
      <c r="O87" s="338"/>
      <c r="P87" s="338"/>
      <c r="Q87" s="338"/>
      <c r="R87" s="338"/>
      <c r="S87" s="338"/>
      <c r="T87" s="338"/>
      <c r="U87" s="338"/>
      <c r="V87" s="338"/>
      <c r="W87" s="338"/>
      <c r="X87" s="228"/>
      <c r="Y87" s="338"/>
      <c r="Z87" s="338"/>
      <c r="AA87" s="228"/>
      <c r="AB87" s="228"/>
      <c r="AC87" s="228"/>
      <c r="AD87" s="228"/>
      <c r="AE87" s="228"/>
      <c r="AF87" s="228"/>
      <c r="AG87" s="228"/>
      <c r="AH87" s="228"/>
      <c r="AI87" s="228"/>
    </row>
    <row r="88" spans="2:35" ht="12.75">
      <c r="B88" s="339"/>
      <c r="C88" s="228"/>
      <c r="D88" s="338"/>
      <c r="E88" s="338"/>
      <c r="F88" s="338"/>
      <c r="G88" s="338"/>
      <c r="H88" s="338"/>
      <c r="I88" s="338"/>
      <c r="J88" s="338"/>
      <c r="K88" s="338"/>
      <c r="L88" s="338"/>
      <c r="M88" s="338"/>
      <c r="N88" s="338"/>
      <c r="O88" s="338"/>
      <c r="P88" s="338"/>
      <c r="Q88" s="338"/>
      <c r="R88" s="338"/>
      <c r="S88" s="338"/>
      <c r="T88" s="338"/>
      <c r="U88" s="338"/>
      <c r="V88" s="338"/>
      <c r="W88" s="338"/>
      <c r="X88" s="228"/>
      <c r="Y88" s="338"/>
      <c r="Z88" s="338"/>
      <c r="AA88" s="228"/>
      <c r="AB88" s="228"/>
      <c r="AC88" s="228"/>
      <c r="AD88" s="228"/>
      <c r="AE88" s="228"/>
      <c r="AF88" s="228"/>
      <c r="AG88" s="228"/>
      <c r="AH88" s="228"/>
      <c r="AI88" s="228"/>
    </row>
    <row r="89" spans="2:35" ht="12.75">
      <c r="B89" s="339"/>
      <c r="C89" s="228"/>
      <c r="D89" s="338"/>
      <c r="E89" s="338"/>
      <c r="F89" s="338"/>
      <c r="G89" s="338"/>
      <c r="H89" s="338"/>
      <c r="I89" s="338"/>
      <c r="J89" s="338"/>
      <c r="K89" s="338"/>
      <c r="L89" s="338"/>
      <c r="M89" s="338"/>
      <c r="N89" s="338"/>
      <c r="O89" s="338"/>
      <c r="P89" s="338"/>
      <c r="Q89" s="338"/>
      <c r="R89" s="338"/>
      <c r="S89" s="338"/>
      <c r="T89" s="338"/>
      <c r="U89" s="338"/>
      <c r="V89" s="338"/>
      <c r="W89" s="338"/>
      <c r="X89" s="228"/>
      <c r="Y89" s="338"/>
      <c r="Z89" s="338"/>
      <c r="AA89" s="228"/>
      <c r="AB89" s="228"/>
      <c r="AC89" s="228"/>
      <c r="AD89" s="228"/>
      <c r="AE89" s="228"/>
      <c r="AF89" s="228"/>
      <c r="AG89" s="228"/>
      <c r="AH89" s="228"/>
      <c r="AI89" s="228"/>
    </row>
    <row r="90" spans="2:35" ht="12.75">
      <c r="B90" s="287"/>
      <c r="C90" s="228"/>
      <c r="D90" s="246"/>
      <c r="E90" s="246"/>
      <c r="F90" s="246"/>
      <c r="G90" s="246"/>
      <c r="H90" s="340"/>
      <c r="I90" s="246"/>
      <c r="J90" s="340"/>
      <c r="K90" s="340"/>
      <c r="L90" s="340"/>
      <c r="M90" s="340"/>
      <c r="N90" s="340"/>
      <c r="O90" s="340"/>
      <c r="P90" s="340"/>
      <c r="Q90" s="340"/>
      <c r="R90" s="340"/>
      <c r="S90" s="228"/>
      <c r="T90" s="228"/>
      <c r="U90" s="228"/>
      <c r="V90" s="228"/>
      <c r="W90" s="287"/>
      <c r="X90" s="228"/>
      <c r="Y90" s="340"/>
      <c r="Z90" s="338"/>
      <c r="AA90" s="228"/>
      <c r="AB90" s="228"/>
      <c r="AC90" s="228"/>
      <c r="AD90" s="228"/>
      <c r="AE90" s="228"/>
      <c r="AF90" s="228"/>
      <c r="AG90" s="228"/>
      <c r="AH90" s="228"/>
      <c r="AI90" s="228"/>
    </row>
    <row r="91" spans="2:35" ht="12.75">
      <c r="B91" s="287"/>
      <c r="C91" s="228"/>
      <c r="D91" s="246"/>
      <c r="E91" s="246"/>
      <c r="F91" s="246"/>
      <c r="G91" s="246"/>
      <c r="H91" s="340"/>
      <c r="I91" s="246"/>
      <c r="J91" s="340"/>
      <c r="K91" s="340"/>
      <c r="L91" s="340"/>
      <c r="M91" s="340"/>
      <c r="N91" s="340"/>
      <c r="O91" s="340"/>
      <c r="P91" s="340"/>
      <c r="Q91" s="340"/>
      <c r="R91" s="340"/>
      <c r="S91" s="228"/>
      <c r="T91" s="228"/>
      <c r="U91" s="228"/>
      <c r="V91" s="228"/>
      <c r="W91" s="287"/>
      <c r="X91" s="228"/>
      <c r="Y91" s="340"/>
      <c r="Z91" s="338"/>
      <c r="AA91" s="228"/>
      <c r="AB91" s="228"/>
      <c r="AC91" s="228"/>
      <c r="AD91" s="228"/>
      <c r="AE91" s="228"/>
      <c r="AF91" s="228"/>
      <c r="AG91" s="228"/>
      <c r="AH91" s="228"/>
      <c r="AI91" s="228"/>
    </row>
    <row r="92" spans="2:35" ht="12.75">
      <c r="B92" s="287"/>
      <c r="C92" s="228"/>
      <c r="D92" s="246"/>
      <c r="E92" s="246"/>
      <c r="F92" s="246"/>
      <c r="G92" s="246"/>
      <c r="H92" s="340"/>
      <c r="I92" s="246"/>
      <c r="J92" s="340"/>
      <c r="K92" s="340"/>
      <c r="L92" s="340"/>
      <c r="M92" s="340"/>
      <c r="N92" s="340"/>
      <c r="O92" s="340"/>
      <c r="P92" s="340"/>
      <c r="Q92" s="340"/>
      <c r="R92" s="340"/>
      <c r="S92" s="228"/>
      <c r="T92" s="228"/>
      <c r="U92" s="228"/>
      <c r="V92" s="228"/>
      <c r="W92" s="287"/>
      <c r="X92" s="228"/>
      <c r="Y92" s="340"/>
      <c r="Z92" s="338"/>
      <c r="AA92" s="228"/>
      <c r="AB92" s="228"/>
      <c r="AC92" s="228"/>
      <c r="AD92" s="228"/>
      <c r="AE92" s="228"/>
      <c r="AF92" s="228"/>
      <c r="AG92" s="228"/>
      <c r="AH92" s="228"/>
      <c r="AI92" s="228"/>
    </row>
    <row r="93" spans="2:35" ht="12.75">
      <c r="B93" s="341"/>
      <c r="C93" s="228"/>
      <c r="D93" s="246"/>
      <c r="E93" s="246"/>
      <c r="F93" s="246"/>
      <c r="G93" s="246"/>
      <c r="H93" s="340"/>
      <c r="I93" s="246"/>
      <c r="J93" s="340"/>
      <c r="K93" s="340"/>
      <c r="L93" s="340"/>
      <c r="M93" s="340"/>
      <c r="N93" s="340"/>
      <c r="O93" s="340"/>
      <c r="P93" s="340"/>
      <c r="Q93" s="340"/>
      <c r="R93" s="340"/>
      <c r="S93" s="228"/>
      <c r="T93" s="228"/>
      <c r="U93" s="228"/>
      <c r="V93" s="228"/>
      <c r="W93" s="287"/>
      <c r="X93" s="228"/>
      <c r="Y93" s="340"/>
      <c r="Z93" s="338"/>
      <c r="AA93" s="228"/>
      <c r="AB93" s="228"/>
      <c r="AC93" s="228"/>
      <c r="AD93" s="228"/>
      <c r="AE93" s="228"/>
      <c r="AF93" s="228"/>
      <c r="AG93" s="228"/>
      <c r="AH93" s="228"/>
      <c r="AI93" s="228"/>
    </row>
    <row r="94" spans="2:35" ht="12.75">
      <c r="B94" s="341"/>
      <c r="C94" s="228"/>
      <c r="D94" s="246"/>
      <c r="E94" s="246"/>
      <c r="F94" s="246"/>
      <c r="G94" s="246"/>
      <c r="H94" s="340"/>
      <c r="I94" s="246"/>
      <c r="J94" s="340"/>
      <c r="K94" s="340"/>
      <c r="L94" s="340"/>
      <c r="M94" s="340"/>
      <c r="N94" s="340"/>
      <c r="O94" s="340"/>
      <c r="P94" s="340"/>
      <c r="Q94" s="340"/>
      <c r="R94" s="340"/>
      <c r="S94" s="228"/>
      <c r="T94" s="228"/>
      <c r="U94" s="228"/>
      <c r="V94" s="228"/>
      <c r="W94" s="287"/>
      <c r="X94" s="228"/>
      <c r="Y94" s="340"/>
      <c r="Z94" s="338"/>
      <c r="AA94" s="228"/>
      <c r="AB94" s="228"/>
      <c r="AC94" s="228"/>
      <c r="AD94" s="228"/>
      <c r="AE94" s="228"/>
      <c r="AF94" s="228"/>
      <c r="AG94" s="228"/>
      <c r="AH94" s="228"/>
      <c r="AI94" s="228"/>
    </row>
    <row r="95" spans="2:35" ht="12.75">
      <c r="B95" s="342"/>
      <c r="C95" s="228"/>
      <c r="D95" s="246"/>
      <c r="E95" s="246"/>
      <c r="F95" s="246"/>
      <c r="G95" s="246"/>
      <c r="H95" s="340"/>
      <c r="I95" s="246"/>
      <c r="J95" s="340"/>
      <c r="K95" s="340"/>
      <c r="L95" s="340"/>
      <c r="M95" s="340"/>
      <c r="N95" s="340"/>
      <c r="O95" s="340"/>
      <c r="P95" s="340"/>
      <c r="Q95" s="340"/>
      <c r="R95" s="340"/>
      <c r="S95" s="228"/>
      <c r="T95" s="228"/>
      <c r="U95" s="228"/>
      <c r="V95" s="228"/>
      <c r="W95" s="287"/>
      <c r="X95" s="228"/>
      <c r="Y95" s="340"/>
      <c r="Z95" s="338"/>
      <c r="AA95" s="228"/>
      <c r="AB95" s="228"/>
      <c r="AC95" s="228"/>
      <c r="AD95" s="228"/>
      <c r="AE95" s="228"/>
      <c r="AF95" s="228"/>
      <c r="AG95" s="228"/>
      <c r="AH95" s="228"/>
      <c r="AI95" s="228"/>
    </row>
    <row r="96" spans="2:35" ht="12.75">
      <c r="B96" s="287"/>
      <c r="C96" s="228"/>
      <c r="D96" s="246"/>
      <c r="E96" s="246"/>
      <c r="F96" s="246"/>
      <c r="G96" s="246"/>
      <c r="H96" s="340"/>
      <c r="I96" s="246"/>
      <c r="J96" s="340"/>
      <c r="K96" s="340"/>
      <c r="L96" s="340"/>
      <c r="M96" s="340"/>
      <c r="N96" s="340"/>
      <c r="O96" s="340"/>
      <c r="P96" s="340"/>
      <c r="Q96" s="340"/>
      <c r="R96" s="340"/>
      <c r="S96" s="228"/>
      <c r="T96" s="228"/>
      <c r="U96" s="228"/>
      <c r="V96" s="228"/>
      <c r="W96" s="287"/>
      <c r="X96" s="228"/>
      <c r="Y96" s="340"/>
      <c r="Z96" s="338"/>
      <c r="AA96" s="228"/>
      <c r="AB96" s="228"/>
      <c r="AC96" s="228"/>
      <c r="AD96" s="228"/>
      <c r="AE96" s="228"/>
      <c r="AF96" s="228"/>
      <c r="AG96" s="228"/>
      <c r="AH96" s="228"/>
      <c r="AI96" s="228"/>
    </row>
    <row r="97" spans="2:35" ht="12.75">
      <c r="B97" s="287"/>
      <c r="C97" s="228"/>
      <c r="D97" s="246"/>
      <c r="E97" s="246"/>
      <c r="F97" s="246"/>
      <c r="G97" s="246"/>
      <c r="H97" s="340"/>
      <c r="I97" s="246"/>
      <c r="J97" s="340"/>
      <c r="K97" s="340"/>
      <c r="L97" s="340"/>
      <c r="M97" s="340"/>
      <c r="N97" s="340"/>
      <c r="O97" s="340"/>
      <c r="P97" s="340"/>
      <c r="Q97" s="340"/>
      <c r="R97" s="340"/>
      <c r="S97" s="228"/>
      <c r="T97" s="228"/>
      <c r="U97" s="228"/>
      <c r="V97" s="228"/>
      <c r="W97" s="287"/>
      <c r="X97" s="228"/>
      <c r="Y97" s="340"/>
      <c r="Z97" s="338"/>
      <c r="AA97" s="228"/>
      <c r="AB97" s="228"/>
      <c r="AC97" s="228"/>
      <c r="AD97" s="228"/>
      <c r="AE97" s="228"/>
      <c r="AF97" s="228"/>
      <c r="AG97" s="228"/>
      <c r="AH97" s="228"/>
      <c r="AI97" s="228"/>
    </row>
    <row r="98" spans="2:35" ht="12.75">
      <c r="B98" s="287"/>
      <c r="C98" s="228"/>
      <c r="D98" s="246"/>
      <c r="E98" s="246"/>
      <c r="F98" s="246"/>
      <c r="G98" s="246"/>
      <c r="H98" s="340"/>
      <c r="I98" s="246"/>
      <c r="J98" s="340"/>
      <c r="K98" s="340"/>
      <c r="L98" s="340"/>
      <c r="M98" s="340"/>
      <c r="N98" s="340"/>
      <c r="O98" s="340"/>
      <c r="P98" s="340"/>
      <c r="Q98" s="340"/>
      <c r="R98" s="340"/>
      <c r="S98" s="228"/>
      <c r="T98" s="228"/>
      <c r="U98" s="228"/>
      <c r="V98" s="228"/>
      <c r="W98" s="287"/>
      <c r="X98" s="228"/>
      <c r="Y98" s="340"/>
      <c r="Z98" s="338"/>
      <c r="AA98" s="228"/>
      <c r="AB98" s="228"/>
      <c r="AC98" s="228"/>
      <c r="AD98" s="228"/>
      <c r="AE98" s="228"/>
      <c r="AF98" s="228"/>
      <c r="AG98" s="228"/>
      <c r="AH98" s="228"/>
      <c r="AI98" s="228"/>
    </row>
    <row r="99" spans="2:35" ht="12.75">
      <c r="B99" s="287"/>
      <c r="C99" s="228"/>
      <c r="D99" s="246"/>
      <c r="E99" s="246"/>
      <c r="F99" s="246"/>
      <c r="G99" s="246"/>
      <c r="H99" s="340"/>
      <c r="I99" s="246"/>
      <c r="J99" s="340"/>
      <c r="K99" s="340"/>
      <c r="L99" s="340"/>
      <c r="M99" s="340"/>
      <c r="N99" s="340"/>
      <c r="O99" s="340"/>
      <c r="P99" s="340"/>
      <c r="Q99" s="340"/>
      <c r="R99" s="340"/>
      <c r="S99" s="228"/>
      <c r="T99" s="228"/>
      <c r="U99" s="228"/>
      <c r="V99" s="228"/>
      <c r="W99" s="287"/>
      <c r="X99" s="228"/>
      <c r="Y99" s="340"/>
      <c r="Z99" s="338"/>
      <c r="AA99" s="228"/>
      <c r="AB99" s="228"/>
      <c r="AC99" s="228"/>
      <c r="AD99" s="228"/>
      <c r="AE99" s="228"/>
      <c r="AF99" s="228"/>
      <c r="AG99" s="228"/>
      <c r="AH99" s="228"/>
      <c r="AI99" s="228"/>
    </row>
    <row r="100" spans="2:35" ht="12.75">
      <c r="B100" s="287"/>
      <c r="C100" s="228"/>
      <c r="D100" s="246"/>
      <c r="E100" s="246"/>
      <c r="F100" s="246"/>
      <c r="G100" s="246"/>
      <c r="H100" s="340"/>
      <c r="I100" s="246"/>
      <c r="J100" s="340"/>
      <c r="K100" s="340"/>
      <c r="L100" s="340"/>
      <c r="M100" s="340"/>
      <c r="N100" s="340"/>
      <c r="O100" s="340"/>
      <c r="P100" s="340"/>
      <c r="Q100" s="340"/>
      <c r="R100" s="340"/>
      <c r="S100" s="228"/>
      <c r="T100" s="228"/>
      <c r="U100" s="228"/>
      <c r="V100" s="228"/>
      <c r="W100" s="287"/>
      <c r="X100" s="228"/>
      <c r="Y100" s="340"/>
      <c r="Z100" s="338"/>
      <c r="AA100" s="228"/>
      <c r="AB100" s="228"/>
      <c r="AC100" s="228"/>
      <c r="AD100" s="228"/>
      <c r="AE100" s="228"/>
      <c r="AF100" s="228"/>
      <c r="AG100" s="228"/>
      <c r="AH100" s="228"/>
      <c r="AI100" s="228"/>
    </row>
    <row r="101" spans="2:35" ht="12.75">
      <c r="B101" s="287"/>
      <c r="C101" s="228"/>
      <c r="D101" s="246"/>
      <c r="E101" s="246"/>
      <c r="F101" s="246"/>
      <c r="G101" s="246"/>
      <c r="H101" s="340"/>
      <c r="I101" s="246"/>
      <c r="J101" s="340"/>
      <c r="K101" s="340"/>
      <c r="L101" s="340"/>
      <c r="M101" s="340"/>
      <c r="N101" s="340"/>
      <c r="O101" s="340"/>
      <c r="P101" s="340"/>
      <c r="Q101" s="340"/>
      <c r="R101" s="340"/>
      <c r="S101" s="228"/>
      <c r="T101" s="228"/>
      <c r="U101" s="228"/>
      <c r="V101" s="228"/>
      <c r="W101" s="287"/>
      <c r="X101" s="228"/>
      <c r="Y101" s="340"/>
      <c r="Z101" s="338"/>
      <c r="AA101" s="228"/>
      <c r="AB101" s="228"/>
      <c r="AC101" s="228"/>
      <c r="AD101" s="228"/>
      <c r="AE101" s="228"/>
      <c r="AF101" s="228"/>
      <c r="AG101" s="228"/>
      <c r="AH101" s="228"/>
      <c r="AI101" s="228"/>
    </row>
    <row r="102" spans="2:35" ht="12.75">
      <c r="B102" s="287"/>
      <c r="C102" s="228"/>
      <c r="D102" s="246"/>
      <c r="E102" s="246"/>
      <c r="F102" s="246"/>
      <c r="G102" s="246"/>
      <c r="H102" s="340"/>
      <c r="I102" s="246"/>
      <c r="J102" s="340"/>
      <c r="K102" s="340"/>
      <c r="L102" s="340"/>
      <c r="M102" s="340"/>
      <c r="N102" s="340"/>
      <c r="O102" s="340"/>
      <c r="P102" s="340"/>
      <c r="Q102" s="340"/>
      <c r="R102" s="340"/>
      <c r="S102" s="228"/>
      <c r="T102" s="228"/>
      <c r="U102" s="228"/>
      <c r="V102" s="228"/>
      <c r="W102" s="287"/>
      <c r="X102" s="228"/>
      <c r="Y102" s="340"/>
      <c r="Z102" s="338"/>
      <c r="AA102" s="228"/>
      <c r="AB102" s="228"/>
      <c r="AC102" s="228"/>
      <c r="AD102" s="228"/>
      <c r="AE102" s="228"/>
      <c r="AF102" s="228"/>
      <c r="AG102" s="228"/>
      <c r="AH102" s="228"/>
      <c r="AI102" s="228"/>
    </row>
    <row r="103" spans="2:35" ht="12.75">
      <c r="B103" s="287"/>
      <c r="C103" s="228"/>
      <c r="D103" s="246"/>
      <c r="E103" s="246"/>
      <c r="F103" s="246"/>
      <c r="G103" s="246"/>
      <c r="H103" s="340"/>
      <c r="I103" s="246"/>
      <c r="J103" s="340"/>
      <c r="K103" s="340"/>
      <c r="L103" s="340"/>
      <c r="M103" s="340"/>
      <c r="N103" s="340"/>
      <c r="O103" s="340"/>
      <c r="P103" s="340"/>
      <c r="Q103" s="340"/>
      <c r="R103" s="340"/>
      <c r="S103" s="228"/>
      <c r="T103" s="228"/>
      <c r="U103" s="228"/>
      <c r="V103" s="228"/>
      <c r="W103" s="287"/>
      <c r="X103" s="228"/>
      <c r="Y103" s="340"/>
      <c r="Z103" s="338"/>
      <c r="AA103" s="228"/>
      <c r="AB103" s="228"/>
      <c r="AC103" s="228"/>
      <c r="AD103" s="228"/>
      <c r="AE103" s="228"/>
      <c r="AF103" s="228"/>
      <c r="AG103" s="228"/>
      <c r="AH103" s="228"/>
      <c r="AI103" s="228"/>
    </row>
    <row r="104" spans="2:35" ht="12.75">
      <c r="B104" s="287"/>
      <c r="C104" s="228"/>
      <c r="D104" s="246"/>
      <c r="E104" s="246"/>
      <c r="F104" s="246"/>
      <c r="G104" s="246"/>
      <c r="H104" s="340"/>
      <c r="I104" s="246"/>
      <c r="J104" s="340"/>
      <c r="K104" s="340"/>
      <c r="L104" s="340"/>
      <c r="M104" s="340"/>
      <c r="N104" s="340"/>
      <c r="O104" s="340"/>
      <c r="P104" s="340"/>
      <c r="Q104" s="340"/>
      <c r="R104" s="340"/>
      <c r="S104" s="228"/>
      <c r="T104" s="228"/>
      <c r="U104" s="228"/>
      <c r="V104" s="228"/>
      <c r="W104" s="287"/>
      <c r="X104" s="228"/>
      <c r="Y104" s="340"/>
      <c r="Z104" s="338"/>
      <c r="AA104" s="228"/>
      <c r="AB104" s="228"/>
      <c r="AC104" s="228"/>
      <c r="AD104" s="228"/>
      <c r="AE104" s="228"/>
      <c r="AF104" s="228"/>
      <c r="AG104" s="228"/>
      <c r="AH104" s="228"/>
      <c r="AI104" s="228"/>
    </row>
    <row r="105" spans="2:35" ht="12.75">
      <c r="B105" s="287"/>
      <c r="C105" s="228"/>
      <c r="D105" s="246"/>
      <c r="E105" s="246"/>
      <c r="F105" s="246"/>
      <c r="G105" s="246"/>
      <c r="H105" s="340"/>
      <c r="I105" s="246"/>
      <c r="J105" s="340"/>
      <c r="K105" s="340"/>
      <c r="L105" s="340"/>
      <c r="M105" s="340"/>
      <c r="N105" s="340"/>
      <c r="O105" s="340"/>
      <c r="P105" s="340"/>
      <c r="Q105" s="340"/>
      <c r="R105" s="340"/>
      <c r="S105" s="228"/>
      <c r="T105" s="228"/>
      <c r="U105" s="228"/>
      <c r="V105" s="228"/>
      <c r="W105" s="287"/>
      <c r="X105" s="228"/>
      <c r="Y105" s="340"/>
      <c r="Z105" s="338"/>
      <c r="AA105" s="228"/>
      <c r="AB105" s="228"/>
      <c r="AC105" s="228"/>
      <c r="AD105" s="228"/>
      <c r="AE105" s="228"/>
      <c r="AF105" s="228"/>
      <c r="AG105" s="228"/>
      <c r="AH105" s="228"/>
      <c r="AI105" s="228"/>
    </row>
    <row r="106" spans="2:35" ht="12.75">
      <c r="B106" s="287"/>
      <c r="C106" s="228"/>
      <c r="D106" s="246"/>
      <c r="E106" s="246"/>
      <c r="F106" s="246"/>
      <c r="G106" s="246"/>
      <c r="H106" s="340"/>
      <c r="I106" s="246"/>
      <c r="J106" s="340"/>
      <c r="K106" s="340"/>
      <c r="L106" s="340"/>
      <c r="M106" s="340"/>
      <c r="N106" s="340"/>
      <c r="O106" s="340"/>
      <c r="P106" s="340"/>
      <c r="Q106" s="340"/>
      <c r="R106" s="340"/>
      <c r="S106" s="228"/>
      <c r="T106" s="228"/>
      <c r="U106" s="228"/>
      <c r="V106" s="228"/>
      <c r="W106" s="287"/>
      <c r="X106" s="228"/>
      <c r="Y106" s="340"/>
      <c r="Z106" s="338"/>
      <c r="AA106" s="228"/>
      <c r="AB106" s="228"/>
      <c r="AC106" s="228"/>
      <c r="AD106" s="228"/>
      <c r="AE106" s="228"/>
      <c r="AF106" s="228"/>
      <c r="AG106" s="228"/>
      <c r="AH106" s="228"/>
      <c r="AI106" s="228"/>
    </row>
    <row r="107" spans="2:35" ht="12.75">
      <c r="B107" s="228"/>
      <c r="C107" s="228"/>
      <c r="D107" s="246"/>
      <c r="E107" s="246"/>
      <c r="F107" s="246"/>
      <c r="G107" s="246"/>
      <c r="H107" s="228"/>
      <c r="I107" s="246"/>
      <c r="J107" s="228"/>
      <c r="K107" s="228"/>
      <c r="L107" s="228"/>
      <c r="M107" s="340"/>
      <c r="N107" s="340"/>
      <c r="O107" s="340"/>
      <c r="P107" s="340"/>
      <c r="Q107" s="340"/>
      <c r="R107" s="340"/>
      <c r="S107" s="228"/>
      <c r="T107" s="228"/>
      <c r="U107" s="228"/>
      <c r="V107" s="228"/>
      <c r="W107" s="228"/>
      <c r="X107" s="228"/>
      <c r="Y107" s="228"/>
      <c r="Z107" s="228"/>
      <c r="AA107" s="228"/>
      <c r="AB107" s="228"/>
      <c r="AC107" s="228"/>
      <c r="AD107" s="228"/>
      <c r="AE107" s="228"/>
      <c r="AF107" s="228"/>
      <c r="AG107" s="228"/>
      <c r="AH107" s="228"/>
      <c r="AI107" s="228"/>
    </row>
    <row r="108" spans="2:35" ht="12.75">
      <c r="B108" s="340"/>
      <c r="C108" s="340"/>
      <c r="D108" s="246"/>
      <c r="E108" s="246"/>
      <c r="F108" s="246"/>
      <c r="G108" s="246"/>
      <c r="H108" s="340"/>
      <c r="I108" s="246"/>
      <c r="J108" s="340"/>
      <c r="K108" s="246"/>
      <c r="L108" s="340"/>
      <c r="M108" s="340"/>
      <c r="N108" s="340"/>
      <c r="O108" s="340"/>
      <c r="P108" s="340"/>
      <c r="Q108" s="340"/>
      <c r="R108" s="340"/>
      <c r="S108" s="340"/>
      <c r="T108" s="340"/>
      <c r="U108" s="340"/>
      <c r="V108" s="340"/>
      <c r="W108" s="287"/>
      <c r="X108" s="340"/>
      <c r="Y108" s="340"/>
      <c r="Z108" s="340"/>
      <c r="AA108" s="228"/>
      <c r="AB108" s="228"/>
      <c r="AC108" s="228"/>
      <c r="AD108" s="228"/>
      <c r="AE108" s="228"/>
      <c r="AF108" s="228"/>
      <c r="AG108" s="228"/>
      <c r="AH108" s="228"/>
      <c r="AI108" s="228"/>
    </row>
    <row r="109" spans="2:35" ht="12.75">
      <c r="B109" s="340"/>
      <c r="C109" s="340"/>
      <c r="D109" s="340"/>
      <c r="E109" s="340"/>
      <c r="F109" s="340"/>
      <c r="G109" s="340"/>
      <c r="H109" s="340"/>
      <c r="I109" s="340"/>
      <c r="J109" s="340"/>
      <c r="K109" s="340"/>
      <c r="L109" s="340"/>
      <c r="M109" s="340"/>
      <c r="N109" s="340"/>
      <c r="O109" s="340"/>
      <c r="P109" s="340"/>
      <c r="Q109" s="340"/>
      <c r="R109" s="340"/>
      <c r="S109" s="340"/>
      <c r="T109" s="340"/>
      <c r="U109" s="340"/>
      <c r="V109" s="340"/>
      <c r="W109" s="287"/>
      <c r="X109" s="340"/>
      <c r="Y109" s="340"/>
      <c r="Z109" s="340"/>
      <c r="AA109" s="228"/>
      <c r="AB109" s="228"/>
      <c r="AC109" s="228"/>
      <c r="AD109" s="228"/>
      <c r="AE109" s="228"/>
      <c r="AF109" s="228"/>
      <c r="AG109" s="228"/>
      <c r="AH109" s="228"/>
      <c r="AI109" s="228"/>
    </row>
    <row r="110" spans="2:35" ht="12.75">
      <c r="B110" s="343"/>
      <c r="C110" s="340"/>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0"/>
      <c r="AA110" s="228"/>
      <c r="AB110" s="228"/>
      <c r="AC110" s="228"/>
      <c r="AD110" s="228"/>
      <c r="AE110" s="228"/>
      <c r="AF110" s="228"/>
      <c r="AG110" s="228"/>
      <c r="AH110" s="228"/>
      <c r="AI110" s="228"/>
    </row>
    <row r="111" spans="2:35" ht="12.75">
      <c r="B111" s="337"/>
      <c r="C111" s="228"/>
      <c r="D111" s="228"/>
      <c r="E111" s="228"/>
      <c r="F111" s="228"/>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row>
    <row r="112" spans="3:35" ht="12.75">
      <c r="C112" s="228"/>
      <c r="D112" s="344"/>
      <c r="E112" s="228"/>
      <c r="F112" s="228"/>
      <c r="G112" s="228"/>
      <c r="H112" s="228"/>
      <c r="I112" s="228"/>
      <c r="J112" s="228"/>
      <c r="K112" s="344"/>
      <c r="L112" s="228"/>
      <c r="M112" s="345"/>
      <c r="N112" s="345"/>
      <c r="O112" s="345"/>
      <c r="P112" s="345"/>
      <c r="Q112" s="345"/>
      <c r="R112" s="345"/>
      <c r="S112" s="228"/>
      <c r="T112" s="228"/>
      <c r="U112" s="228"/>
      <c r="V112" s="228"/>
      <c r="W112" s="346"/>
      <c r="X112" s="228"/>
      <c r="Y112" s="345"/>
      <c r="Z112" s="228"/>
      <c r="AA112" s="228"/>
      <c r="AB112" s="228"/>
      <c r="AC112" s="228"/>
      <c r="AD112" s="228"/>
      <c r="AE112" s="228"/>
      <c r="AF112" s="228"/>
      <c r="AG112" s="228"/>
      <c r="AH112" s="228"/>
      <c r="AI112" s="228"/>
    </row>
    <row r="113" spans="3:35" ht="12.75">
      <c r="C113" s="228"/>
      <c r="D113" s="347"/>
      <c r="E113" s="228"/>
      <c r="F113" s="228"/>
      <c r="G113" s="228"/>
      <c r="H113" s="228"/>
      <c r="I113" s="228"/>
      <c r="J113" s="228"/>
      <c r="K113" s="347"/>
      <c r="L113" s="228"/>
      <c r="M113" s="347"/>
      <c r="N113" s="347"/>
      <c r="O113" s="347"/>
      <c r="P113" s="347"/>
      <c r="Q113" s="347"/>
      <c r="R113" s="347"/>
      <c r="S113" s="228"/>
      <c r="T113" s="228"/>
      <c r="U113" s="228"/>
      <c r="V113" s="228"/>
      <c r="W113" s="346"/>
      <c r="X113" s="228"/>
      <c r="Y113" s="347"/>
      <c r="Z113" s="228"/>
      <c r="AA113" s="228"/>
      <c r="AB113" s="228"/>
      <c r="AC113" s="228"/>
      <c r="AD113" s="228"/>
      <c r="AE113" s="228"/>
      <c r="AF113" s="228"/>
      <c r="AG113" s="228"/>
      <c r="AH113" s="228"/>
      <c r="AI113" s="228"/>
    </row>
    <row r="114" spans="3:35" ht="12.75">
      <c r="C114" s="228"/>
      <c r="D114" s="347"/>
      <c r="E114" s="228"/>
      <c r="F114" s="228"/>
      <c r="G114" s="228"/>
      <c r="H114" s="228"/>
      <c r="I114" s="228"/>
      <c r="J114" s="228"/>
      <c r="K114" s="347"/>
      <c r="L114" s="228"/>
      <c r="M114" s="347"/>
      <c r="N114" s="347"/>
      <c r="O114" s="347"/>
      <c r="P114" s="347"/>
      <c r="Q114" s="347"/>
      <c r="R114" s="347"/>
      <c r="S114" s="228"/>
      <c r="T114" s="228"/>
      <c r="U114" s="228"/>
      <c r="V114" s="228"/>
      <c r="W114" s="346"/>
      <c r="X114" s="228"/>
      <c r="Y114" s="347"/>
      <c r="Z114" s="228"/>
      <c r="AA114" s="228"/>
      <c r="AB114" s="228"/>
      <c r="AC114" s="228"/>
      <c r="AD114" s="228"/>
      <c r="AE114" s="228"/>
      <c r="AF114" s="228"/>
      <c r="AG114" s="228"/>
      <c r="AH114" s="228"/>
      <c r="AI114" s="228"/>
    </row>
    <row r="115" spans="3:35" ht="12.75">
      <c r="C115" s="228"/>
      <c r="D115" s="347"/>
      <c r="E115" s="228"/>
      <c r="F115" s="228"/>
      <c r="G115" s="228"/>
      <c r="H115" s="228"/>
      <c r="I115" s="228"/>
      <c r="J115" s="228"/>
      <c r="K115" s="347"/>
      <c r="L115" s="228"/>
      <c r="M115" s="347"/>
      <c r="N115" s="347"/>
      <c r="O115" s="347"/>
      <c r="P115" s="347"/>
      <c r="Q115" s="347"/>
      <c r="R115" s="347"/>
      <c r="S115" s="228"/>
      <c r="T115" s="228"/>
      <c r="U115" s="228"/>
      <c r="V115" s="228"/>
      <c r="W115" s="346"/>
      <c r="X115" s="228"/>
      <c r="Y115" s="347"/>
      <c r="Z115" s="228"/>
      <c r="AA115" s="228"/>
      <c r="AB115" s="228"/>
      <c r="AC115" s="228"/>
      <c r="AD115" s="228"/>
      <c r="AE115" s="228"/>
      <c r="AF115" s="228"/>
      <c r="AG115" s="228"/>
      <c r="AH115" s="228"/>
      <c r="AI115" s="228"/>
    </row>
    <row r="116" spans="3:35" ht="12.75">
      <c r="C116" s="228"/>
      <c r="D116" s="347"/>
      <c r="E116" s="228"/>
      <c r="F116" s="228"/>
      <c r="G116" s="228"/>
      <c r="H116" s="228"/>
      <c r="I116" s="228"/>
      <c r="J116" s="228"/>
      <c r="K116" s="347"/>
      <c r="L116" s="228"/>
      <c r="M116" s="347"/>
      <c r="N116" s="347"/>
      <c r="O116" s="347"/>
      <c r="P116" s="347"/>
      <c r="Q116" s="347"/>
      <c r="R116" s="347"/>
      <c r="S116" s="228"/>
      <c r="T116" s="228"/>
      <c r="U116" s="228"/>
      <c r="V116" s="228"/>
      <c r="W116" s="346"/>
      <c r="X116" s="228"/>
      <c r="Y116" s="347"/>
      <c r="Z116" s="228"/>
      <c r="AA116" s="228"/>
      <c r="AB116" s="228"/>
      <c r="AC116" s="228"/>
      <c r="AD116" s="228"/>
      <c r="AE116" s="228"/>
      <c r="AF116" s="228"/>
      <c r="AG116" s="228"/>
      <c r="AH116" s="228"/>
      <c r="AI116" s="228"/>
    </row>
    <row r="117" spans="2:35" ht="12.75">
      <c r="B117" s="287"/>
      <c r="C117" s="228"/>
      <c r="E117" s="228"/>
      <c r="F117" s="228"/>
      <c r="G117" s="228"/>
      <c r="H117" s="228"/>
      <c r="I117" s="228"/>
      <c r="J117" s="228"/>
      <c r="L117" s="228"/>
      <c r="M117" s="228"/>
      <c r="N117" s="228"/>
      <c r="O117" s="228"/>
      <c r="P117" s="228"/>
      <c r="Q117" s="228"/>
      <c r="R117" s="228"/>
      <c r="S117" s="228"/>
      <c r="T117" s="228"/>
      <c r="U117" s="228"/>
      <c r="V117" s="228"/>
      <c r="W117" s="346"/>
      <c r="X117" s="228"/>
      <c r="Y117" s="228"/>
      <c r="Z117" s="228"/>
      <c r="AA117" s="228"/>
      <c r="AB117" s="228"/>
      <c r="AC117" s="228"/>
      <c r="AD117" s="228"/>
      <c r="AE117" s="228"/>
      <c r="AF117" s="228"/>
      <c r="AG117" s="228"/>
      <c r="AH117" s="228"/>
      <c r="AI117" s="228"/>
    </row>
    <row r="118" spans="2:35" ht="12.75">
      <c r="B118" s="287"/>
      <c r="C118" s="228"/>
      <c r="D118" s="344"/>
      <c r="E118" s="228"/>
      <c r="F118" s="228"/>
      <c r="G118" s="228"/>
      <c r="H118" s="228"/>
      <c r="I118" s="228"/>
      <c r="J118" s="228"/>
      <c r="K118" s="344"/>
      <c r="L118" s="228"/>
      <c r="M118" s="344"/>
      <c r="N118" s="344"/>
      <c r="O118" s="344"/>
      <c r="P118" s="344"/>
      <c r="Q118" s="344"/>
      <c r="R118" s="344"/>
      <c r="S118" s="228"/>
      <c r="T118" s="228"/>
      <c r="U118" s="228"/>
      <c r="V118" s="228"/>
      <c r="W118" s="346"/>
      <c r="X118" s="228"/>
      <c r="Y118" s="344"/>
      <c r="Z118" s="228"/>
      <c r="AA118" s="228"/>
      <c r="AB118" s="228"/>
      <c r="AC118" s="228"/>
      <c r="AD118" s="228"/>
      <c r="AE118" s="228"/>
      <c r="AF118" s="228"/>
      <c r="AG118" s="228"/>
      <c r="AH118" s="228"/>
      <c r="AI118" s="228"/>
    </row>
    <row r="119" spans="2:35" ht="12.75">
      <c r="B119" s="228"/>
      <c r="C119" s="228"/>
      <c r="D119" s="228"/>
      <c r="E119" s="228"/>
      <c r="F119" s="228"/>
      <c r="G119" s="228"/>
      <c r="H119" s="228"/>
      <c r="I119" s="228"/>
      <c r="J119" s="228"/>
      <c r="K119" s="228"/>
      <c r="L119" s="228"/>
      <c r="M119" s="228"/>
      <c r="N119" s="228"/>
      <c r="O119" s="228"/>
      <c r="P119" s="228"/>
      <c r="Q119" s="228"/>
      <c r="R119" s="228"/>
      <c r="S119" s="228"/>
      <c r="T119" s="228"/>
      <c r="U119" s="228"/>
      <c r="V119" s="228"/>
      <c r="W119" s="228"/>
      <c r="X119" s="228"/>
      <c r="Y119" s="228"/>
      <c r="Z119" s="228"/>
      <c r="AA119" s="228"/>
      <c r="AB119" s="228"/>
      <c r="AC119" s="228"/>
      <c r="AD119" s="228"/>
      <c r="AE119" s="228"/>
      <c r="AF119" s="228"/>
      <c r="AG119" s="228"/>
      <c r="AH119" s="228"/>
      <c r="AI119" s="228"/>
    </row>
    <row r="120" spans="2:35" ht="12.75">
      <c r="B120" s="337"/>
      <c r="C120" s="228"/>
      <c r="D120" s="228"/>
      <c r="E120" s="228"/>
      <c r="F120" s="228"/>
      <c r="G120" s="228"/>
      <c r="H120" s="228"/>
      <c r="I120" s="228"/>
      <c r="J120" s="228"/>
      <c r="K120" s="228"/>
      <c r="L120" s="228"/>
      <c r="M120" s="228"/>
      <c r="N120" s="228"/>
      <c r="O120" s="228"/>
      <c r="P120" s="228"/>
      <c r="Q120" s="228"/>
      <c r="R120" s="228"/>
      <c r="S120" s="228"/>
      <c r="T120" s="228"/>
      <c r="U120" s="228"/>
      <c r="V120" s="228"/>
      <c r="W120" s="228"/>
      <c r="X120" s="228"/>
      <c r="Y120" s="228"/>
      <c r="Z120" s="228"/>
      <c r="AA120" s="228"/>
      <c r="AB120" s="228"/>
      <c r="AC120" s="228"/>
      <c r="AD120" s="228"/>
      <c r="AE120" s="228"/>
      <c r="AF120" s="228"/>
      <c r="AG120" s="228"/>
      <c r="AH120" s="228"/>
      <c r="AI120" s="228"/>
    </row>
    <row r="121" spans="2:35" ht="12.75">
      <c r="B121" s="336"/>
      <c r="C121" s="228"/>
      <c r="D121" s="228"/>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8"/>
      <c r="AI121" s="228"/>
    </row>
    <row r="122" spans="2:35" ht="12.75">
      <c r="B122" s="228"/>
      <c r="C122" s="228"/>
      <c r="D122" s="334"/>
      <c r="E122" s="228"/>
      <c r="F122" s="228"/>
      <c r="G122" s="228"/>
      <c r="H122" s="228"/>
      <c r="I122" s="228"/>
      <c r="J122" s="228"/>
      <c r="K122" s="228"/>
      <c r="L122" s="228"/>
      <c r="M122" s="228"/>
      <c r="N122" s="228"/>
      <c r="O122" s="228"/>
      <c r="P122" s="228"/>
      <c r="Q122" s="228"/>
      <c r="R122" s="228"/>
      <c r="S122" s="228"/>
      <c r="T122" s="228"/>
      <c r="U122" s="228"/>
      <c r="V122" s="228"/>
      <c r="W122" s="228"/>
      <c r="X122" s="228"/>
      <c r="Y122" s="228"/>
      <c r="Z122" s="228"/>
      <c r="AA122" s="228"/>
      <c r="AB122" s="228"/>
      <c r="AC122" s="228"/>
      <c r="AD122" s="228"/>
      <c r="AE122" s="228"/>
      <c r="AF122" s="228"/>
      <c r="AG122" s="228"/>
      <c r="AH122" s="228"/>
      <c r="AI122" s="228"/>
    </row>
    <row r="123" spans="2:35" ht="12.75">
      <c r="B123" s="228"/>
      <c r="C123" s="228"/>
      <c r="D123" s="279"/>
      <c r="E123" s="228"/>
      <c r="F123" s="228"/>
      <c r="G123" s="228"/>
      <c r="H123" s="228"/>
      <c r="I123" s="228"/>
      <c r="J123" s="228"/>
      <c r="K123" s="228"/>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row>
    <row r="124" spans="2:35" ht="12.75">
      <c r="B124" s="228"/>
      <c r="C124" s="228"/>
      <c r="D124" s="279"/>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row>
    <row r="125" spans="2:35" ht="12.75">
      <c r="B125" s="228"/>
      <c r="C125" s="228"/>
      <c r="D125" s="348"/>
      <c r="E125" s="228"/>
      <c r="F125" s="228"/>
      <c r="G125" s="228"/>
      <c r="H125" s="228"/>
      <c r="I125" s="228"/>
      <c r="J125" s="228"/>
      <c r="K125" s="228"/>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8"/>
    </row>
    <row r="126" spans="2:35" ht="12.75">
      <c r="B126" s="228"/>
      <c r="C126" s="228"/>
      <c r="D126" s="279"/>
      <c r="E126" s="228"/>
      <c r="F126" s="228"/>
      <c r="G126" s="228"/>
      <c r="H126" s="228"/>
      <c r="I126" s="228"/>
      <c r="J126" s="228"/>
      <c r="K126" s="228"/>
      <c r="L126" s="228"/>
      <c r="M126" s="228"/>
      <c r="N126" s="228"/>
      <c r="O126" s="228"/>
      <c r="P126" s="228"/>
      <c r="Q126" s="228"/>
      <c r="R126" s="228"/>
      <c r="S126" s="228"/>
      <c r="T126" s="228"/>
      <c r="U126" s="228"/>
      <c r="V126" s="228"/>
      <c r="W126" s="228"/>
      <c r="X126" s="228"/>
      <c r="Y126" s="228"/>
      <c r="Z126" s="228"/>
      <c r="AA126" s="228"/>
      <c r="AB126" s="228"/>
      <c r="AC126" s="228"/>
      <c r="AD126" s="228"/>
      <c r="AE126" s="228"/>
      <c r="AF126" s="228"/>
      <c r="AG126" s="228"/>
      <c r="AH126" s="228"/>
      <c r="AI126" s="228"/>
    </row>
    <row r="127" spans="2:35" ht="12.75">
      <c r="B127" s="228"/>
      <c r="C127" s="228"/>
      <c r="D127" s="279"/>
      <c r="E127" s="228"/>
      <c r="F127" s="228"/>
      <c r="G127" s="228"/>
      <c r="H127" s="228"/>
      <c r="I127" s="228"/>
      <c r="J127" s="228"/>
      <c r="K127" s="228"/>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row>
    <row r="128" spans="2:35" ht="12.75">
      <c r="B128" s="349"/>
      <c r="C128" s="228"/>
      <c r="D128" s="334"/>
      <c r="E128" s="228"/>
      <c r="F128" s="228"/>
      <c r="G128" s="228"/>
      <c r="H128" s="228"/>
      <c r="I128" s="228"/>
      <c r="J128" s="228"/>
      <c r="K128" s="228"/>
      <c r="L128" s="228"/>
      <c r="M128" s="228"/>
      <c r="N128" s="228"/>
      <c r="O128" s="228"/>
      <c r="P128" s="228"/>
      <c r="Q128" s="228"/>
      <c r="R128" s="228"/>
      <c r="S128" s="228"/>
      <c r="T128" s="228"/>
      <c r="U128" s="228"/>
      <c r="V128" s="228"/>
      <c r="W128" s="228"/>
      <c r="X128" s="228"/>
      <c r="Y128" s="228"/>
      <c r="Z128" s="228"/>
      <c r="AA128" s="228"/>
      <c r="AB128" s="228"/>
      <c r="AC128" s="228"/>
      <c r="AD128" s="228"/>
      <c r="AE128" s="228"/>
      <c r="AF128" s="228"/>
      <c r="AG128" s="228"/>
      <c r="AH128" s="228"/>
      <c r="AI128" s="228"/>
    </row>
    <row r="129" spans="2:35" ht="12.75">
      <c r="B129" s="349"/>
      <c r="C129" s="228"/>
      <c r="D129" s="228"/>
      <c r="E129" s="228"/>
      <c r="F129" s="228"/>
      <c r="G129" s="228"/>
      <c r="H129" s="228"/>
      <c r="I129" s="228"/>
      <c r="J129" s="228"/>
      <c r="K129" s="228"/>
      <c r="L129" s="228"/>
      <c r="M129" s="228"/>
      <c r="N129" s="228"/>
      <c r="O129" s="228"/>
      <c r="P129" s="228"/>
      <c r="Q129" s="228"/>
      <c r="R129" s="228"/>
      <c r="S129" s="228"/>
      <c r="T129" s="228"/>
      <c r="U129" s="228"/>
      <c r="V129" s="228"/>
      <c r="W129" s="228"/>
      <c r="X129" s="228"/>
      <c r="Y129" s="228"/>
      <c r="Z129" s="228"/>
      <c r="AA129" s="228"/>
      <c r="AB129" s="228"/>
      <c r="AC129" s="228"/>
      <c r="AD129" s="228"/>
      <c r="AE129" s="228"/>
      <c r="AF129" s="228"/>
      <c r="AG129" s="228"/>
      <c r="AH129" s="228"/>
      <c r="AI129" s="228"/>
    </row>
    <row r="130" spans="2:35" ht="12.75">
      <c r="B130" s="228"/>
      <c r="C130" s="227"/>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row>
    <row r="131" spans="2:35" ht="12.75">
      <c r="B131" s="350"/>
      <c r="C131" s="228"/>
      <c r="D131" s="338"/>
      <c r="E131" s="228"/>
      <c r="F131" s="228"/>
      <c r="G131" s="338"/>
      <c r="H131" s="228"/>
      <c r="I131" s="338"/>
      <c r="J131" s="228"/>
      <c r="K131" s="33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row>
    <row r="132" spans="2:35" ht="12.75">
      <c r="B132" s="228"/>
      <c r="C132" s="228"/>
      <c r="D132" s="338"/>
      <c r="E132" s="228"/>
      <c r="F132" s="228"/>
      <c r="G132" s="338"/>
      <c r="H132" s="228"/>
      <c r="I132" s="338"/>
      <c r="J132" s="228"/>
      <c r="K132" s="33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row>
    <row r="133" spans="2:35" ht="12.75">
      <c r="B133" s="228"/>
      <c r="C133" s="228"/>
      <c r="D133" s="334"/>
      <c r="E133" s="228"/>
      <c r="F133" s="228"/>
      <c r="G133" s="287"/>
      <c r="H133" s="228"/>
      <c r="I133" s="287"/>
      <c r="J133" s="228"/>
      <c r="K133" s="351"/>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row>
    <row r="134" spans="2:35" ht="12.75">
      <c r="B134" s="228"/>
      <c r="C134" s="228"/>
      <c r="D134" s="334"/>
      <c r="E134" s="228"/>
      <c r="F134" s="228"/>
      <c r="G134" s="287"/>
      <c r="H134" s="228"/>
      <c r="I134" s="287"/>
      <c r="J134" s="228"/>
      <c r="K134" s="287"/>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row>
    <row r="135" spans="2:35" ht="12.75">
      <c r="B135" s="228"/>
      <c r="C135" s="228"/>
      <c r="D135" s="334"/>
      <c r="E135" s="228"/>
      <c r="F135" s="228"/>
      <c r="G135" s="287"/>
      <c r="H135" s="228"/>
      <c r="I135" s="287"/>
      <c r="J135" s="228"/>
      <c r="K135" s="287"/>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row>
    <row r="136" spans="2:35" ht="12.75">
      <c r="B136" s="228"/>
      <c r="C136" s="228"/>
      <c r="D136" s="334"/>
      <c r="E136" s="228"/>
      <c r="F136" s="228"/>
      <c r="G136" s="287"/>
      <c r="H136" s="228"/>
      <c r="I136" s="287"/>
      <c r="J136" s="228"/>
      <c r="K136" s="287"/>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row>
    <row r="137" spans="2:35" ht="12.75">
      <c r="B137" s="228"/>
      <c r="C137" s="228"/>
      <c r="D137" s="334"/>
      <c r="E137" s="228"/>
      <c r="F137" s="228"/>
      <c r="G137" s="287"/>
      <c r="H137" s="228"/>
      <c r="I137" s="287"/>
      <c r="J137" s="228"/>
      <c r="K137" s="287"/>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row>
    <row r="138" spans="2:35" ht="12.75">
      <c r="B138" s="228"/>
      <c r="C138" s="228"/>
      <c r="D138" s="334"/>
      <c r="E138" s="228"/>
      <c r="F138" s="228"/>
      <c r="G138" s="287"/>
      <c r="H138" s="228"/>
      <c r="I138" s="287"/>
      <c r="J138" s="228"/>
      <c r="K138" s="287"/>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row>
    <row r="139" spans="2:35" ht="12.75">
      <c r="B139" s="228"/>
      <c r="C139" s="228"/>
      <c r="D139" s="334"/>
      <c r="E139" s="228"/>
      <c r="F139" s="228"/>
      <c r="G139" s="287"/>
      <c r="H139" s="228"/>
      <c r="I139" s="287"/>
      <c r="J139" s="228"/>
      <c r="K139" s="287"/>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row>
    <row r="141" spans="2:2" ht="12.75">
      <c r="B141" s="228"/>
    </row>
  </sheetData>
  <customSheetViews>
    <customSheetView guid="{33e6ffdf-cb42-4a87-b460-a01a45f9a9a1}" hiddenRows="1" printArea="1" scale="60" showPageBreaks="1" topLeftCell="A1" view="pageBreakPreview">
      <colBreaks count="1" manualBreakCount="1">
        <brk id="27" max="54" man="1"/>
      </colBreaks>
      <pageMargins left="0.17" right="0.16" top="1" bottom="1" header="0.5" footer="0.5"/>
      <pageSetup orientation="landscape" paperSize="1" scale="29" r:id="rId2"/>
      <headerFooter alignWithMargins="0"/>
    </customSheetView>
    <customSheetView guid="{394295c0-a883-44ec-b980-c2facd4b6eba}" hiddenRows="1" printArea="1" scale="60" showPageBreaks="1" topLeftCell="A1" view="pageBreakPreview">
      <colBreaks count="1" manualBreakCount="1">
        <brk id="27" max="54" man="1"/>
      </colBreaks>
      <pageMargins left="0.17" right="0.16" top="1" bottom="1" header="0.5" footer="0.5"/>
      <pageSetup orientation="landscape" paperSize="1" scale="29" r:id="rId3"/>
      <headerFooter alignWithMargins="0"/>
    </customSheetView>
  </customSheetViews>
  <mergeCells count="1">
    <mergeCell ref="AT12:AU12"/>
  </mergeCells>
  <pageMargins left="0.17" right="0.16" top="1" bottom="1" header="0.5" footer="0.5"/>
  <pageSetup orientation="landscape" paperSize="1" scale="29" r:id="rId1"/>
  <headerFooter alignWithMargins="0"/>
  <colBreaks count="1" manualBreakCount="1">
    <brk id="27" max="54"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pageSetUpPr fitToPage="1"/>
  </sheetPr>
  <dimension ref="A1:S298"/>
  <sheetViews>
    <sheetView view="pageBreakPreview" zoomScale="70" zoomScaleNormal="80" zoomScaleSheetLayoutView="70" workbookViewId="0" topLeftCell="A1"/>
  </sheetViews>
  <sheetFormatPr defaultColWidth="8.88555555555556" defaultRowHeight="15"/>
  <cols>
    <col min="1" max="1" width="6" style="904" customWidth="1"/>
    <col min="2" max="2" width="1.44444444444444" style="904" customWidth="1"/>
    <col min="3" max="3" width="62.1111111111111" style="904" customWidth="1"/>
    <col min="4" max="4" width="25.6666666666667" style="904" customWidth="1"/>
    <col min="5" max="5" width="14.4444444444444" style="904" customWidth="1"/>
    <col min="6" max="6" width="18.2222222222222" style="904" customWidth="1"/>
    <col min="7" max="7" width="18" style="904" customWidth="1"/>
    <col min="8" max="8" width="13.8888888888889" style="904" customWidth="1"/>
    <col min="9" max="9" width="19.8888888888889" style="904" bestFit="1" customWidth="1"/>
    <col min="10" max="10" width="12.6666666666667" style="904" customWidth="1"/>
    <col min="11" max="11" width="16.8888888888889" style="904" customWidth="1"/>
    <col min="12" max="12" width="15.8888888888889" style="904" customWidth="1"/>
    <col min="13" max="13" width="18" style="904" customWidth="1"/>
    <col min="14" max="14" width="15.4444444444444" style="904" customWidth="1"/>
    <col min="15" max="15" width="30.4444444444444" style="904" customWidth="1"/>
    <col min="16" max="16" width="15.1111111111111" style="904" customWidth="1"/>
    <col min="17" max="17" width="16.2222222222222" style="904" customWidth="1"/>
    <col min="18" max="18" width="8.88888888888889" style="904"/>
    <col min="19" max="19" width="14.2222222222222" style="904" customWidth="1"/>
    <col min="20" max="16384" width="8.88888888888889" style="904"/>
  </cols>
  <sheetData>
    <row r="1" spans="14:19" ht="15">
      <c r="N1" s="407"/>
      <c r="Q1" s="407"/>
      <c r="S1" s="407" t="s">
        <v>793</v>
      </c>
    </row>
    <row r="2" spans="7:19" ht="15.75">
      <c r="G2" s="949"/>
      <c r="N2" s="407"/>
      <c r="Q2" s="407"/>
      <c r="S2" s="407" t="s">
        <v>223</v>
      </c>
    </row>
    <row r="3" spans="14:19" ht="15.75">
      <c r="N3" s="407"/>
      <c r="Q3" s="407"/>
      <c r="S3" s="4" t="str">
        <f>'Attachment 1 - Sched 1A'!$J$3</f>
        <v>For the 12 months ended 12/31/2026</v>
      </c>
    </row>
    <row r="5" spans="1:14" ht="15.75">
      <c r="A5" s="1211" t="s">
        <v>972</v>
      </c>
      <c r="B5" s="1211"/>
      <c r="C5" s="1211"/>
      <c r="D5" s="1211"/>
      <c r="E5" s="1211"/>
      <c r="F5" s="1211"/>
      <c r="G5" s="1211"/>
      <c r="H5" s="1211"/>
      <c r="I5" s="1211"/>
      <c r="J5" s="1211"/>
      <c r="K5" s="1211"/>
      <c r="L5" s="1211"/>
      <c r="M5" s="1211"/>
      <c r="N5" s="1211"/>
    </row>
    <row r="6" spans="1:14" ht="15">
      <c r="A6" s="1212" t="s">
        <v>797</v>
      </c>
      <c r="B6" s="1212"/>
      <c r="C6" s="1212"/>
      <c r="D6" s="1212"/>
      <c r="E6" s="1212"/>
      <c r="F6" s="1212"/>
      <c r="G6" s="1212"/>
      <c r="H6" s="1212"/>
      <c r="I6" s="1212"/>
      <c r="J6" s="1212"/>
      <c r="K6" s="1212"/>
      <c r="L6" s="1212"/>
      <c r="M6" s="1212"/>
      <c r="N6" s="1212"/>
    </row>
    <row r="7" spans="1:12" ht="15">
      <c r="A7" s="1212"/>
      <c r="B7" s="1212"/>
      <c r="C7" s="1212"/>
      <c r="D7" s="1212"/>
      <c r="E7" s="1212"/>
      <c r="F7" s="1212"/>
      <c r="G7" s="1212"/>
      <c r="H7" s="1212"/>
      <c r="I7" s="1212"/>
      <c r="J7" s="1212"/>
      <c r="K7" s="1212"/>
      <c r="L7" s="1212"/>
    </row>
    <row r="8" spans="1:12" ht="15">
      <c r="A8" s="952"/>
      <c r="C8" s="906"/>
      <c r="D8" s="906"/>
      <c r="F8" s="906"/>
      <c r="H8" s="906"/>
      <c r="I8" s="906"/>
      <c r="J8" s="906"/>
      <c r="K8" s="906"/>
      <c r="L8" s="906"/>
    </row>
    <row r="9" spans="1:12" ht="15">
      <c r="A9" s="952"/>
      <c r="C9" s="906"/>
      <c r="D9" s="906"/>
      <c r="E9" s="906"/>
      <c r="F9" s="906"/>
      <c r="G9" s="953"/>
      <c r="H9" s="906"/>
      <c r="I9" s="906"/>
      <c r="J9" s="906"/>
      <c r="K9" s="906"/>
      <c r="L9" s="906"/>
    </row>
    <row r="10" spans="1:12" ht="15">
      <c r="A10" s="952"/>
      <c r="D10" s="906"/>
      <c r="E10" s="906"/>
      <c r="F10" s="906"/>
      <c r="G10" s="953"/>
      <c r="H10" s="906"/>
      <c r="I10" s="906"/>
      <c r="J10" s="906"/>
      <c r="K10" s="906"/>
      <c r="L10" s="906"/>
    </row>
    <row r="11" spans="1:19" ht="15">
      <c r="A11" s="952"/>
      <c r="C11" s="906"/>
      <c r="D11" s="906"/>
      <c r="E11" s="906"/>
      <c r="F11" s="906"/>
      <c r="G11" s="953"/>
      <c r="K11" s="1215" t="s">
        <v>798</v>
      </c>
      <c r="L11" s="1216"/>
      <c r="M11" s="1216"/>
      <c r="N11" s="1216"/>
      <c r="O11" s="1216"/>
      <c r="P11" s="1216"/>
      <c r="Q11" s="1216"/>
      <c r="R11" s="1216"/>
      <c r="S11" s="1217"/>
    </row>
    <row r="12" spans="1:19" ht="15">
      <c r="A12" s="952"/>
      <c r="C12" s="906"/>
      <c r="D12" s="906"/>
      <c r="E12" s="906"/>
      <c r="F12" s="906"/>
      <c r="G12" s="906"/>
      <c r="K12" s="954"/>
      <c r="L12" s="955"/>
      <c r="S12" s="956"/>
    </row>
    <row r="13" spans="3:19" ht="15">
      <c r="C13" s="957" t="s">
        <v>22</v>
      </c>
      <c r="D13" s="957"/>
      <c r="E13" s="957" t="s">
        <v>23</v>
      </c>
      <c r="F13" s="957"/>
      <c r="G13" s="957" t="s">
        <v>24</v>
      </c>
      <c r="I13" s="958" t="s">
        <v>25</v>
      </c>
      <c r="K13" s="959" t="s">
        <v>26</v>
      </c>
      <c r="L13" s="958" t="s">
        <v>27</v>
      </c>
      <c r="O13" s="958" t="s">
        <v>493</v>
      </c>
      <c r="Q13" s="958" t="s">
        <v>494</v>
      </c>
      <c r="S13" s="960" t="s">
        <v>495</v>
      </c>
    </row>
    <row r="14" spans="3:19" ht="15.75">
      <c r="C14" s="906"/>
      <c r="D14" s="906"/>
      <c r="E14" s="961"/>
      <c r="F14" s="961"/>
      <c r="G14" s="955"/>
      <c r="K14" s="954"/>
      <c r="S14" s="956"/>
    </row>
    <row r="15" spans="1:19" ht="15.75">
      <c r="A15" s="952" t="s">
        <v>5</v>
      </c>
      <c r="C15" s="906"/>
      <c r="D15" s="906"/>
      <c r="E15" s="962" t="s">
        <v>222</v>
      </c>
      <c r="F15" s="962"/>
      <c r="G15" s="963" t="s">
        <v>28</v>
      </c>
      <c r="I15" s="963" t="s">
        <v>11</v>
      </c>
      <c r="K15" s="942" t="s">
        <v>5</v>
      </c>
      <c r="L15" s="962"/>
      <c r="O15" s="962" t="s">
        <v>222</v>
      </c>
      <c r="Q15" s="962" t="s">
        <v>496</v>
      </c>
      <c r="S15" s="964" t="s">
        <v>11</v>
      </c>
    </row>
    <row r="16" spans="1:19" ht="15.75">
      <c r="A16" s="952" t="s">
        <v>7</v>
      </c>
      <c r="C16" s="965"/>
      <c r="D16" s="965"/>
      <c r="E16" s="955"/>
      <c r="F16" s="955"/>
      <c r="G16" s="955"/>
      <c r="I16" s="955"/>
      <c r="K16" s="942" t="s">
        <v>7</v>
      </c>
      <c r="S16" s="956"/>
    </row>
    <row r="17" spans="1:19" ht="15.75">
      <c r="A17" s="966"/>
      <c r="C17" s="906"/>
      <c r="D17" s="906"/>
      <c r="E17" s="955"/>
      <c r="F17" s="955"/>
      <c r="G17" s="955"/>
      <c r="I17" s="955"/>
      <c r="K17" s="954"/>
      <c r="S17" s="956"/>
    </row>
    <row r="18" spans="1:19" ht="15">
      <c r="A18" s="951">
        <v>1</v>
      </c>
      <c r="C18" s="906" t="s">
        <v>190</v>
      </c>
      <c r="D18" s="906"/>
      <c r="E18" s="951" t="s">
        <v>832</v>
      </c>
      <c r="F18" s="951"/>
      <c r="G18" s="408">
        <f>'Attachment H-28A MAIT '!I57</f>
        <v>4285379912.4817791</v>
      </c>
      <c r="K18" s="954"/>
      <c r="S18" s="956"/>
    </row>
    <row r="19" spans="1:19" ht="15">
      <c r="A19" s="951">
        <v>2</v>
      </c>
      <c r="C19" s="906" t="s">
        <v>191</v>
      </c>
      <c r="D19" s="906"/>
      <c r="E19" s="951" t="s">
        <v>833</v>
      </c>
      <c r="F19" s="951"/>
      <c r="G19" s="408">
        <f>'Attachment H-28A MAIT '!I73</f>
        <v>3859633350.9716635</v>
      </c>
      <c r="K19" s="954"/>
      <c r="S19" s="956"/>
    </row>
    <row r="20" spans="1:19" ht="15">
      <c r="A20" s="951"/>
      <c r="E20" s="951"/>
      <c r="F20" s="951"/>
      <c r="K20" s="954"/>
      <c r="S20" s="956"/>
    </row>
    <row r="21" spans="1:19" ht="15">
      <c r="A21" s="951"/>
      <c r="C21" s="906" t="s">
        <v>192</v>
      </c>
      <c r="D21" s="906"/>
      <c r="E21" s="951"/>
      <c r="F21" s="951"/>
      <c r="G21" s="955"/>
      <c r="I21" s="955"/>
      <c r="K21" s="954"/>
      <c r="S21" s="956"/>
    </row>
    <row r="22" spans="1:19" ht="15">
      <c r="A22" s="951">
        <v>3</v>
      </c>
      <c r="C22" s="906" t="s">
        <v>193</v>
      </c>
      <c r="D22" s="906"/>
      <c r="E22" s="951" t="s">
        <v>849</v>
      </c>
      <c r="F22" s="951"/>
      <c r="G22" s="408">
        <f>'Attachment H-28A MAIT '!I144</f>
        <v>133889900.95048092</v>
      </c>
      <c r="K22" s="954"/>
      <c r="S22" s="956"/>
    </row>
    <row r="23" spans="1:19" ht="15">
      <c r="A23" s="951">
        <v>4</v>
      </c>
      <c r="C23" s="906" t="s">
        <v>194</v>
      </c>
      <c r="D23" s="906"/>
      <c r="E23" s="951" t="s">
        <v>224</v>
      </c>
      <c r="F23" s="951"/>
      <c r="G23" s="967">
        <f>IF(G22=0,0,G22/G18)</f>
        <v>0.031243414512796761</v>
      </c>
      <c r="I23" s="409">
        <f>G23</f>
        <v>0.031243414512796761</v>
      </c>
      <c r="K23" s="954"/>
      <c r="S23" s="956"/>
    </row>
    <row r="24" spans="1:19" ht="15">
      <c r="A24" s="951"/>
      <c r="C24" s="906"/>
      <c r="D24" s="906"/>
      <c r="E24" s="951"/>
      <c r="F24" s="951"/>
      <c r="G24" s="967"/>
      <c r="I24" s="409"/>
      <c r="K24" s="954"/>
      <c r="S24" s="956"/>
    </row>
    <row r="25" spans="1:19" ht="15">
      <c r="A25" s="951"/>
      <c r="C25" s="906" t="s">
        <v>401</v>
      </c>
      <c r="D25" s="906"/>
      <c r="E25" s="951"/>
      <c r="F25" s="951"/>
      <c r="G25" s="967"/>
      <c r="I25" s="409"/>
      <c r="K25" s="954"/>
      <c r="S25" s="956"/>
    </row>
    <row r="26" spans="1:19" ht="15">
      <c r="A26" s="951">
        <v>5</v>
      </c>
      <c r="C26" s="906" t="s">
        <v>402</v>
      </c>
      <c r="D26" s="906"/>
      <c r="E26" s="951" t="s">
        <v>850</v>
      </c>
      <c r="F26" s="951"/>
      <c r="G26" s="408">
        <f>'Attachment H-28A MAIT '!I148+'Attachment H-28A MAIT '!I149</f>
        <v>8225679</v>
      </c>
      <c r="I26" s="409"/>
      <c r="K26" s="954"/>
      <c r="S26" s="956"/>
    </row>
    <row r="27" spans="1:19" ht="15">
      <c r="A27" s="951">
        <v>6</v>
      </c>
      <c r="C27" s="906" t="s">
        <v>403</v>
      </c>
      <c r="D27" s="906"/>
      <c r="E27" s="951" t="s">
        <v>225</v>
      </c>
      <c r="F27" s="951"/>
      <c r="G27" s="967">
        <f>G26/G18</f>
        <v>0.0019194748582363815</v>
      </c>
      <c r="I27" s="409">
        <f>G27</f>
        <v>0.0019194748582363815</v>
      </c>
      <c r="K27" s="954"/>
      <c r="S27" s="956"/>
    </row>
    <row r="28" spans="1:19" ht="15">
      <c r="A28" s="951"/>
      <c r="C28" s="906"/>
      <c r="D28" s="906"/>
      <c r="E28" s="951"/>
      <c r="F28" s="951"/>
      <c r="G28" s="967"/>
      <c r="I28" s="409"/>
      <c r="K28" s="954"/>
      <c r="S28" s="956"/>
    </row>
    <row r="29" spans="1:19" ht="15">
      <c r="A29" s="958"/>
      <c r="C29" s="906" t="s">
        <v>195</v>
      </c>
      <c r="D29" s="906"/>
      <c r="E29" s="968"/>
      <c r="F29" s="968"/>
      <c r="G29" s="955"/>
      <c r="I29" s="967"/>
      <c r="K29" s="954"/>
      <c r="S29" s="956"/>
    </row>
    <row r="30" spans="1:19" ht="15">
      <c r="A30" s="958" t="s">
        <v>199</v>
      </c>
      <c r="C30" s="906" t="s">
        <v>197</v>
      </c>
      <c r="D30" s="906"/>
      <c r="E30" s="951" t="s">
        <v>851</v>
      </c>
      <c r="F30" s="951"/>
      <c r="G30" s="408">
        <f>'Attachment H-28A MAIT '!I162</f>
        <v>791843.17999999982</v>
      </c>
      <c r="I30" s="967"/>
      <c r="K30" s="954"/>
      <c r="S30" s="956"/>
    </row>
    <row r="31" spans="1:19" ht="15">
      <c r="A31" s="958" t="s">
        <v>202</v>
      </c>
      <c r="C31" s="906" t="s">
        <v>198</v>
      </c>
      <c r="D31" s="906"/>
      <c r="E31" s="951" t="s">
        <v>404</v>
      </c>
      <c r="F31" s="951"/>
      <c r="G31" s="967">
        <f>IF(G30=0,0,G30/G18)</f>
        <v>0.00018477782511035809</v>
      </c>
      <c r="I31" s="409">
        <f>G31</f>
        <v>0.00018477782511035809</v>
      </c>
      <c r="K31" s="954"/>
      <c r="S31" s="956"/>
    </row>
    <row r="32" spans="1:19" ht="15">
      <c r="A32" s="958"/>
      <c r="C32" s="906"/>
      <c r="D32" s="906"/>
      <c r="E32" s="951"/>
      <c r="F32" s="951"/>
      <c r="G32" s="967"/>
      <c r="I32" s="409"/>
      <c r="K32" s="954"/>
      <c r="S32" s="956"/>
    </row>
    <row r="33" spans="1:19" ht="15.75">
      <c r="A33" s="950" t="s">
        <v>203</v>
      </c>
      <c r="B33" s="949"/>
      <c r="C33" s="965" t="s">
        <v>200</v>
      </c>
      <c r="D33" s="965"/>
      <c r="E33" s="961" t="s">
        <v>642</v>
      </c>
      <c r="F33" s="961"/>
      <c r="G33" s="969"/>
      <c r="I33" s="410">
        <f>I23+I27+I31</f>
        <v>0.033347667196143502</v>
      </c>
      <c r="K33" s="954"/>
      <c r="S33" s="956"/>
    </row>
    <row r="34" spans="1:19" ht="15">
      <c r="A34" s="958"/>
      <c r="C34" s="906"/>
      <c r="D34" s="906"/>
      <c r="E34" s="951"/>
      <c r="F34" s="951"/>
      <c r="G34" s="955"/>
      <c r="I34" s="967"/>
      <c r="K34" s="954"/>
      <c r="S34" s="956"/>
    </row>
    <row r="35" spans="1:19" ht="15">
      <c r="A35" s="958"/>
      <c r="C35" s="955" t="s">
        <v>201</v>
      </c>
      <c r="D35" s="955"/>
      <c r="E35" s="951"/>
      <c r="F35" s="951"/>
      <c r="G35" s="955"/>
      <c r="I35" s="967"/>
      <c r="K35" s="959"/>
      <c r="L35" s="955" t="s">
        <v>201</v>
      </c>
      <c r="M35" s="955"/>
      <c r="N35" s="955"/>
      <c r="O35" s="951"/>
      <c r="P35" s="951"/>
      <c r="Q35" s="955"/>
      <c r="S35" s="970"/>
    </row>
    <row r="36" spans="1:19" ht="15">
      <c r="A36" s="958" t="s">
        <v>205</v>
      </c>
      <c r="C36" s="955" t="s">
        <v>78</v>
      </c>
      <c r="D36" s="955"/>
      <c r="E36" s="951" t="s">
        <v>852</v>
      </c>
      <c r="F36" s="951"/>
      <c r="G36" s="408">
        <f>'Attachment H-28A MAIT '!I177</f>
        <v>79039288.346732408</v>
      </c>
      <c r="I36" s="967"/>
      <c r="K36" s="959" t="s">
        <v>643</v>
      </c>
      <c r="L36" s="955" t="s">
        <v>78</v>
      </c>
      <c r="M36" s="955"/>
      <c r="N36" s="955"/>
      <c r="O36" s="951" t="s">
        <v>835</v>
      </c>
      <c r="P36" s="951"/>
      <c r="Q36" s="408">
        <f>'Attachment 2 - Incentive ROE'!I60</f>
        <v>79039288.346732408</v>
      </c>
      <c r="S36" s="970"/>
    </row>
    <row r="37" spans="1:19" ht="15">
      <c r="A37" s="958" t="s">
        <v>207</v>
      </c>
      <c r="C37" s="955" t="s">
        <v>204</v>
      </c>
      <c r="D37" s="955"/>
      <c r="E37" s="951" t="s">
        <v>893</v>
      </c>
      <c r="F37" s="951"/>
      <c r="G37" s="967">
        <f>IF(G36=0,0,G36/G19)</f>
        <v>0.020478444753524127</v>
      </c>
      <c r="I37" s="409">
        <f>G37</f>
        <v>0.020478444753524127</v>
      </c>
      <c r="K37" s="959" t="s">
        <v>644</v>
      </c>
      <c r="L37" s="955" t="s">
        <v>204</v>
      </c>
      <c r="M37" s="955"/>
      <c r="N37" s="955"/>
      <c r="O37" s="951" t="s">
        <v>645</v>
      </c>
      <c r="P37" s="951"/>
      <c r="Q37" s="967">
        <f>IF(Q36=0,0,Q36/G19)</f>
        <v>0.020478444753524127</v>
      </c>
      <c r="S37" s="411">
        <f>Q37</f>
        <v>0.020478444753524127</v>
      </c>
    </row>
    <row r="38" spans="1:19" ht="15">
      <c r="A38" s="958"/>
      <c r="C38" s="955"/>
      <c r="D38" s="955"/>
      <c r="E38" s="951"/>
      <c r="F38" s="951"/>
      <c r="G38" s="955"/>
      <c r="I38" s="967"/>
      <c r="K38" s="959"/>
      <c r="L38" s="955"/>
      <c r="M38" s="955"/>
      <c r="N38" s="955"/>
      <c r="O38" s="951"/>
      <c r="P38" s="951"/>
      <c r="Q38" s="955"/>
      <c r="S38" s="970"/>
    </row>
    <row r="39" spans="1:19" ht="15">
      <c r="A39" s="958"/>
      <c r="C39" s="906" t="s">
        <v>79</v>
      </c>
      <c r="D39" s="906"/>
      <c r="E39" s="971"/>
      <c r="F39" s="971"/>
      <c r="I39" s="967"/>
      <c r="K39" s="959"/>
      <c r="L39" s="906" t="s">
        <v>79</v>
      </c>
      <c r="M39" s="906"/>
      <c r="N39" s="906"/>
      <c r="O39" s="971"/>
      <c r="P39" s="971"/>
      <c r="S39" s="970"/>
    </row>
    <row r="40" spans="1:19" ht="15">
      <c r="A40" s="958" t="s">
        <v>209</v>
      </c>
      <c r="C40" s="906" t="s">
        <v>206</v>
      </c>
      <c r="D40" s="906"/>
      <c r="E40" s="951" t="s">
        <v>834</v>
      </c>
      <c r="F40" s="951"/>
      <c r="G40" s="408">
        <f>'Attachment H-28A MAIT '!I179</f>
        <v>277990514.9743365</v>
      </c>
      <c r="I40" s="967"/>
      <c r="K40" s="959" t="s">
        <v>490</v>
      </c>
      <c r="L40" s="906" t="s">
        <v>206</v>
      </c>
      <c r="M40" s="906"/>
      <c r="N40" s="906"/>
      <c r="O40" s="951" t="s">
        <v>836</v>
      </c>
      <c r="P40" s="951"/>
      <c r="Q40" s="408">
        <f>'Attachment 2 - Incentive ROE'!I43</f>
        <v>277990514.9743365</v>
      </c>
      <c r="S40" s="970"/>
    </row>
    <row r="41" spans="1:19" ht="15">
      <c r="A41" s="958" t="s">
        <v>246</v>
      </c>
      <c r="C41" s="955" t="s">
        <v>208</v>
      </c>
      <c r="D41" s="955"/>
      <c r="E41" s="951" t="s">
        <v>497</v>
      </c>
      <c r="F41" s="951"/>
      <c r="G41" s="409">
        <f>IF(G40=0,0,G40/G19)</f>
        <v>0.072025109562376524</v>
      </c>
      <c r="I41" s="409">
        <f>G41</f>
        <v>0.072025109562376524</v>
      </c>
      <c r="K41" s="959" t="s">
        <v>491</v>
      </c>
      <c r="L41" s="955" t="s">
        <v>208</v>
      </c>
      <c r="M41" s="955"/>
      <c r="N41" s="955"/>
      <c r="O41" s="951" t="s">
        <v>498</v>
      </c>
      <c r="P41" s="951"/>
      <c r="Q41" s="409">
        <f>IF(Q40=0,0,Q40/G19)</f>
        <v>0.072025109562376524</v>
      </c>
      <c r="S41" s="411">
        <f>Q41</f>
        <v>0.072025109562376524</v>
      </c>
    </row>
    <row r="42" spans="1:19" ht="15">
      <c r="A42" s="958"/>
      <c r="C42" s="906"/>
      <c r="D42" s="906"/>
      <c r="E42" s="951"/>
      <c r="F42" s="951"/>
      <c r="G42" s="955"/>
      <c r="I42" s="967"/>
      <c r="K42" s="959"/>
      <c r="L42" s="906"/>
      <c r="M42" s="906"/>
      <c r="N42" s="906"/>
      <c r="O42" s="951"/>
      <c r="P42" s="951"/>
      <c r="Q42" s="955"/>
      <c r="S42" s="970"/>
    </row>
    <row r="43" spans="1:19" ht="15.75">
      <c r="A43" s="950" t="s">
        <v>247</v>
      </c>
      <c r="B43" s="949"/>
      <c r="C43" s="965" t="s">
        <v>210</v>
      </c>
      <c r="D43" s="965"/>
      <c r="E43" s="961" t="s">
        <v>648</v>
      </c>
      <c r="F43" s="961"/>
      <c r="G43" s="969"/>
      <c r="I43" s="410">
        <f>I37+I41</f>
        <v>0.092503554315900655</v>
      </c>
      <c r="K43" s="972" t="s">
        <v>492</v>
      </c>
      <c r="L43" s="965" t="s">
        <v>210</v>
      </c>
      <c r="M43" s="965"/>
      <c r="N43" s="965"/>
      <c r="O43" s="961" t="s">
        <v>646</v>
      </c>
      <c r="P43" s="961"/>
      <c r="Q43" s="969"/>
      <c r="S43" s="412">
        <f>S37+S41</f>
        <v>0.092503554315900655</v>
      </c>
    </row>
    <row r="44" spans="11:19" ht="15">
      <c r="K44" s="954"/>
      <c r="S44" s="956"/>
    </row>
    <row r="45" spans="11:19" ht="15.75">
      <c r="K45" s="973" t="s">
        <v>248</v>
      </c>
      <c r="L45" s="974" t="s">
        <v>597</v>
      </c>
      <c r="M45" s="975"/>
      <c r="N45" s="975"/>
      <c r="O45" s="976"/>
      <c r="P45" s="976" t="s">
        <v>647</v>
      </c>
      <c r="Q45" s="974"/>
      <c r="R45" s="974"/>
      <c r="S45" s="487">
        <f>S43-I43</f>
        <v>0</v>
      </c>
    </row>
    <row r="46" spans="1:7" ht="15">
      <c r="A46" s="952"/>
      <c r="G46" s="955"/>
    </row>
    <row r="47" spans="14:19" ht="15">
      <c r="N47" s="977"/>
      <c r="Q47" s="977"/>
      <c r="S47" s="977" t="str">
        <f>S1</f>
        <v>Attachment  H-28A, Attachment 11</v>
      </c>
    </row>
    <row r="48" spans="14:19" ht="15">
      <c r="N48" s="977"/>
      <c r="Q48" s="977"/>
      <c r="S48" s="977" t="s">
        <v>226</v>
      </c>
    </row>
    <row r="49" spans="14:19" ht="15">
      <c r="N49" s="977"/>
      <c r="Q49" s="977"/>
      <c r="S49" s="977" t="str">
        <f>S3</f>
        <v>For the 12 months ended 12/31/2026</v>
      </c>
    </row>
    <row r="50" spans="1:7" ht="15">
      <c r="A50" s="952"/>
      <c r="G50" s="955"/>
    </row>
    <row r="51" spans="1:4" ht="15">
      <c r="A51" s="952"/>
      <c r="C51" s="906"/>
      <c r="D51" s="906"/>
    </row>
    <row r="52" spans="1:12" ht="15">
      <c r="A52" s="952"/>
      <c r="C52" s="906"/>
      <c r="D52" s="906"/>
      <c r="L52" s="955"/>
    </row>
    <row r="53" spans="1:1" ht="14.25" customHeight="1">
      <c r="A53" s="952"/>
    </row>
    <row r="54" spans="1:14" ht="15.75">
      <c r="A54" s="1218" t="str">
        <f>A5</f>
        <v>Transmission Enhancement Charge (TEC) Worksheet</v>
      </c>
      <c r="B54" s="1218"/>
      <c r="C54" s="1218"/>
      <c r="D54" s="1218"/>
      <c r="E54" s="1218"/>
      <c r="F54" s="1218"/>
      <c r="G54" s="1218"/>
      <c r="H54" s="1218"/>
      <c r="I54" s="1218"/>
      <c r="J54" s="1218"/>
      <c r="K54" s="1218"/>
      <c r="L54" s="1218"/>
      <c r="M54" s="1218"/>
      <c r="N54" s="1218"/>
    </row>
    <row r="55" spans="1:14" ht="15">
      <c r="A55" s="1219" t="str">
        <f>A6</f>
        <v>To be completed in conjunction with Attachment H-28A</v>
      </c>
      <c r="B55" s="1219"/>
      <c r="C55" s="1219"/>
      <c r="D55" s="1219"/>
      <c r="E55" s="1219"/>
      <c r="F55" s="1219"/>
      <c r="G55" s="1219"/>
      <c r="H55" s="1219"/>
      <c r="I55" s="1219"/>
      <c r="J55" s="1219"/>
      <c r="K55" s="1219"/>
      <c r="L55" s="1219"/>
      <c r="M55" s="1219"/>
      <c r="N55" s="1219"/>
    </row>
    <row r="56" spans="1:12" ht="15.75">
      <c r="A56" s="952"/>
      <c r="E56" s="965"/>
      <c r="H56" s="906"/>
      <c r="I56" s="906"/>
      <c r="J56" s="906"/>
      <c r="K56" s="906"/>
      <c r="L56" s="906"/>
    </row>
    <row r="57" spans="1:12" ht="15.75">
      <c r="A57" s="952"/>
      <c r="E57" s="965"/>
      <c r="F57" s="965"/>
      <c r="H57" s="906"/>
      <c r="I57" s="906"/>
      <c r="J57" s="906"/>
      <c r="K57" s="906"/>
      <c r="L57" s="906"/>
    </row>
    <row r="58" spans="1:17" ht="15.75">
      <c r="A58" s="952"/>
      <c r="C58" s="978">
        <v>-1</v>
      </c>
      <c r="D58" s="978">
        <v>-2</v>
      </c>
      <c r="E58" s="978">
        <v>-3</v>
      </c>
      <c r="F58" s="978">
        <v>-4</v>
      </c>
      <c r="G58" s="978">
        <v>-5</v>
      </c>
      <c r="H58" s="978">
        <v>-6</v>
      </c>
      <c r="I58" s="978">
        <v>-7</v>
      </c>
      <c r="J58" s="978">
        <v>-8</v>
      </c>
      <c r="K58" s="978">
        <v>-9</v>
      </c>
      <c r="L58" s="978">
        <v>-10</v>
      </c>
      <c r="M58" s="978">
        <v>-11</v>
      </c>
      <c r="N58" s="978">
        <v>-12</v>
      </c>
      <c r="O58" s="978">
        <v>-13</v>
      </c>
      <c r="P58" s="978">
        <v>-14</v>
      </c>
      <c r="Q58" s="978"/>
    </row>
    <row r="59" spans="1:16" ht="63">
      <c r="A59" s="979" t="s">
        <v>211</v>
      </c>
      <c r="B59" s="980"/>
      <c r="C59" s="981" t="s">
        <v>212</v>
      </c>
      <c r="D59" s="982" t="s">
        <v>228</v>
      </c>
      <c r="E59" s="983" t="s">
        <v>334</v>
      </c>
      <c r="F59" s="983" t="s">
        <v>200</v>
      </c>
      <c r="G59" s="984" t="s">
        <v>213</v>
      </c>
      <c r="H59" s="983" t="s">
        <v>214</v>
      </c>
      <c r="I59" s="983" t="s">
        <v>210</v>
      </c>
      <c r="J59" s="984" t="s">
        <v>215</v>
      </c>
      <c r="K59" s="983" t="s">
        <v>216</v>
      </c>
      <c r="L59" s="985" t="s">
        <v>405</v>
      </c>
      <c r="M59" s="985" t="s">
        <v>667</v>
      </c>
      <c r="N59" s="985" t="s">
        <v>594</v>
      </c>
      <c r="O59" s="985" t="s">
        <v>1446</v>
      </c>
      <c r="P59" s="985" t="s">
        <v>595</v>
      </c>
    </row>
    <row r="60" spans="1:16" ht="46.5" customHeight="1">
      <c r="A60" s="986"/>
      <c r="B60" s="987"/>
      <c r="C60" s="987"/>
      <c r="D60" s="987"/>
      <c r="E60" s="988" t="s">
        <v>663</v>
      </c>
      <c r="F60" s="988" t="s">
        <v>661</v>
      </c>
      <c r="G60" s="989" t="s">
        <v>217</v>
      </c>
      <c r="H60" s="988" t="s">
        <v>664</v>
      </c>
      <c r="I60" s="990" t="s">
        <v>662</v>
      </c>
      <c r="J60" s="989" t="s">
        <v>218</v>
      </c>
      <c r="K60" s="988" t="s">
        <v>163</v>
      </c>
      <c r="L60" s="991" t="s">
        <v>406</v>
      </c>
      <c r="M60" s="991" t="s">
        <v>894</v>
      </c>
      <c r="N60" s="991" t="s">
        <v>596</v>
      </c>
      <c r="O60" s="991" t="s">
        <v>435</v>
      </c>
      <c r="P60" s="991" t="s">
        <v>665</v>
      </c>
    </row>
    <row r="61" spans="1:16" ht="15">
      <c r="A61" s="992"/>
      <c r="B61" s="906"/>
      <c r="C61" s="957"/>
      <c r="D61" s="906"/>
      <c r="E61" s="906"/>
      <c r="F61" s="906"/>
      <c r="G61" s="993"/>
      <c r="H61" s="906"/>
      <c r="I61" s="906"/>
      <c r="J61" s="993"/>
      <c r="K61" s="906"/>
      <c r="L61" s="993"/>
      <c r="M61" s="993"/>
      <c r="N61" s="993"/>
      <c r="O61" s="993"/>
      <c r="P61" s="993"/>
    </row>
    <row r="62" spans="1:16" ht="30">
      <c r="A62" s="942" t="s">
        <v>631</v>
      </c>
      <c r="B62" s="968"/>
      <c r="C62" s="945" t="s">
        <v>1334</v>
      </c>
      <c r="D62" s="944" t="s">
        <v>1335</v>
      </c>
      <c r="E62" s="408">
        <f>'Attach 11a - TEC Cost Support'!E10</f>
        <v>12637431.470000001</v>
      </c>
      <c r="F62" s="409">
        <f t="shared" si="0" ref="F62:F69">$I$33</f>
        <v>0.033347667196143502</v>
      </c>
      <c r="G62" s="943">
        <f>E62*F62</f>
        <v>421428.8588756306</v>
      </c>
      <c r="H62" s="408">
        <f>'Attach 11a - TEC Cost Support'!AI10</f>
        <v>8511468.4463927578</v>
      </c>
      <c r="I62" s="409">
        <f t="shared" si="1" ref="I62:I69">$I$43</f>
        <v>0.092503554315900655</v>
      </c>
      <c r="J62" s="943">
        <f>H62*I62</f>
        <v>787341.08373896708</v>
      </c>
      <c r="K62" s="556">
        <v>259067.34513499995</v>
      </c>
      <c r="L62" s="413">
        <f>G62+J62+K62</f>
        <v>1467837.2877495978</v>
      </c>
      <c r="M62" s="710">
        <f>H62*$S$45</f>
        <v>0</v>
      </c>
      <c r="N62" s="413">
        <f>L62+M62</f>
        <v>1467837.2877495978</v>
      </c>
      <c r="O62" s="1163">
        <v>654220.57107631804</v>
      </c>
      <c r="P62" s="413">
        <f>N62+O62</f>
        <v>2122057.858825916</v>
      </c>
    </row>
    <row r="63" spans="1:16" ht="15">
      <c r="A63" s="942" t="s">
        <v>632</v>
      </c>
      <c r="C63" s="946" t="s">
        <v>1336</v>
      </c>
      <c r="D63" s="944" t="s">
        <v>1337</v>
      </c>
      <c r="E63" s="408">
        <f>'Attach 11a - TEC Cost Support'!E11</f>
        <v>3207134.25</v>
      </c>
      <c r="F63" s="409">
        <f t="shared" si="0"/>
        <v>0.033347667196143502</v>
      </c>
      <c r="G63" s="943">
        <f t="shared" si="2" ref="G63:G68">E63*F63</f>
        <v>106950.44562235329</v>
      </c>
      <c r="H63" s="408">
        <f>'Attach 11a - TEC Cost Support'!AI11</f>
        <v>2405323.0825937474</v>
      </c>
      <c r="I63" s="409">
        <f t="shared" si="1"/>
        <v>0.092503554315900655</v>
      </c>
      <c r="J63" s="943">
        <f t="shared" si="3" ref="J63:J68">H63*I63</f>
        <v>222500.93441800031</v>
      </c>
      <c r="K63" s="944">
        <v>65746.252124999985</v>
      </c>
      <c r="L63" s="413">
        <f t="shared" si="4" ref="L63:L68">G63+J63+K63</f>
        <v>395197.63216535363</v>
      </c>
      <c r="M63" s="710">
        <f t="shared" si="5" ref="M63:M68">H63*$S$45</f>
        <v>0</v>
      </c>
      <c r="N63" s="413">
        <f t="shared" si="6" ref="N63:N68">L63+M63</f>
        <v>395197.63216535363</v>
      </c>
      <c r="O63" s="1163">
        <v>170409.12859145322</v>
      </c>
      <c r="P63" s="413">
        <f t="shared" si="7" ref="P63:P68">N63+O63</f>
        <v>565606.76075680682</v>
      </c>
    </row>
    <row r="64" spans="1:16" ht="15">
      <c r="A64" s="942" t="s">
        <v>1314</v>
      </c>
      <c r="C64" s="946" t="s">
        <v>1338</v>
      </c>
      <c r="D64" s="944" t="s">
        <v>1339</v>
      </c>
      <c r="E64" s="408">
        <f>'Attach 11a - TEC Cost Support'!E12</f>
        <v>1380393.0999999999</v>
      </c>
      <c r="F64" s="409">
        <f t="shared" si="0"/>
        <v>0.033347667196143502</v>
      </c>
      <c r="G64" s="943">
        <f t="shared" si="2"/>
        <v>46032.889698652834</v>
      </c>
      <c r="H64" s="408">
        <f>'Attach 11a - TEC Cost Support'!AI12</f>
        <v>931125.5888728404</v>
      </c>
      <c r="I64" s="409">
        <f t="shared" si="1"/>
        <v>0.092503554315900655</v>
      </c>
      <c r="J64" s="943">
        <f t="shared" si="3"/>
        <v>86132.426485223768</v>
      </c>
      <c r="K64" s="944">
        <v>28036.277029999997</v>
      </c>
      <c r="L64" s="413">
        <f t="shared" si="4"/>
        <v>160201.59321387659</v>
      </c>
      <c r="M64" s="710">
        <f t="shared" si="5"/>
        <v>0</v>
      </c>
      <c r="N64" s="413">
        <f>L64+M64</f>
        <v>160201.59321387659</v>
      </c>
      <c r="O64" s="1163">
        <v>72748.457455123411</v>
      </c>
      <c r="P64" s="413">
        <f t="shared" si="7"/>
        <v>232950.05066900002</v>
      </c>
    </row>
    <row r="65" spans="1:16" ht="15">
      <c r="A65" s="942" t="s">
        <v>1315</v>
      </c>
      <c r="C65" s="946" t="s">
        <v>1340</v>
      </c>
      <c r="D65" s="944" t="s">
        <v>1341</v>
      </c>
      <c r="E65" s="408">
        <f>'Attach 11a - TEC Cost Support'!E13</f>
        <v>1038334.66</v>
      </c>
      <c r="F65" s="409">
        <f t="shared" si="0"/>
        <v>0.033347667196143502</v>
      </c>
      <c r="G65" s="943">
        <f t="shared" si="2"/>
        <v>34626.038679900819</v>
      </c>
      <c r="H65" s="408">
        <f>'Attach 11a - TEC Cost Support'!AI13</f>
        <v>805152.28488800104</v>
      </c>
      <c r="I65" s="409">
        <f t="shared" si="1"/>
        <v>0.092503554315900655</v>
      </c>
      <c r="J65" s="943">
        <f t="shared" si="3"/>
        <v>74479.448117708729</v>
      </c>
      <c r="K65" s="944">
        <v>21285.860530000002</v>
      </c>
      <c r="L65" s="413">
        <f t="shared" si="4"/>
        <v>130391.34732760955</v>
      </c>
      <c r="M65" s="710">
        <f t="shared" si="5"/>
        <v>0</v>
      </c>
      <c r="N65" s="413">
        <f>L65+M65</f>
        <v>130391.34732760955</v>
      </c>
      <c r="O65" s="1163">
        <v>55295.482744681955</v>
      </c>
      <c r="P65" s="413">
        <f t="shared" si="7"/>
        <v>185686.83007229149</v>
      </c>
    </row>
    <row r="66" spans="1:16" ht="15">
      <c r="A66" s="942" t="s">
        <v>1316</v>
      </c>
      <c r="C66" s="946" t="s">
        <v>1342</v>
      </c>
      <c r="D66" s="944" t="s">
        <v>1343</v>
      </c>
      <c r="E66" s="408">
        <f>'Attach 11a - TEC Cost Support'!E14</f>
        <v>927946.84</v>
      </c>
      <c r="F66" s="409">
        <f t="shared" si="0"/>
        <v>0.033347667196143502</v>
      </c>
      <c r="G66" s="943">
        <f t="shared" si="2"/>
        <v>30944.862396033022</v>
      </c>
      <c r="H66" s="408">
        <f>'Attach 11a - TEC Cost Support'!AI14</f>
        <v>695609.70822199981</v>
      </c>
      <c r="I66" s="409">
        <f t="shared" si="1"/>
        <v>0.092503554315900655</v>
      </c>
      <c r="J66" s="943">
        <f t="shared" si="3"/>
        <v>64346.370427181566</v>
      </c>
      <c r="K66" s="944">
        <v>19022.910219999994</v>
      </c>
      <c r="L66" s="413">
        <f t="shared" si="4"/>
        <v>114314.14304321457</v>
      </c>
      <c r="M66" s="710">
        <f t="shared" si="5"/>
        <v>0</v>
      </c>
      <c r="N66" s="413">
        <f t="shared" si="6"/>
        <v>114314.14304321457</v>
      </c>
      <c r="O66" s="1163">
        <v>49303.685932727261</v>
      </c>
      <c r="P66" s="413">
        <f t="shared" si="7"/>
        <v>163617.82897594184</v>
      </c>
    </row>
    <row r="67" spans="1:16" ht="15">
      <c r="A67" s="942" t="s">
        <v>1317</v>
      </c>
      <c r="C67" s="946" t="s">
        <v>1344</v>
      </c>
      <c r="D67" s="944" t="s">
        <v>1345</v>
      </c>
      <c r="E67" s="408">
        <f>'Attach 11a - TEC Cost Support'!E15</f>
        <v>2185556.0799999991</v>
      </c>
      <c r="F67" s="409">
        <f t="shared" si="0"/>
        <v>0.033347667196143502</v>
      </c>
      <c r="G67" s="943">
        <f t="shared" si="2"/>
        <v>72883.196794347954</v>
      </c>
      <c r="H67" s="408">
        <f>'Attach 11a - TEC Cost Support'!AI15</f>
        <v>1642522.4248522215</v>
      </c>
      <c r="I67" s="409">
        <f t="shared" si="1"/>
        <v>0.092503554315900655</v>
      </c>
      <c r="J67" s="943">
        <f t="shared" si="3"/>
        <v>151939.16234240233</v>
      </c>
      <c r="K67" s="944">
        <v>44353.165817999987</v>
      </c>
      <c r="L67" s="413">
        <f t="shared" si="4"/>
        <v>269175.52495475026</v>
      </c>
      <c r="M67" s="710">
        <f t="shared" si="5"/>
        <v>0</v>
      </c>
      <c r="N67" s="413">
        <f t="shared" si="6"/>
        <v>269175.52495475026</v>
      </c>
      <c r="O67" s="1163">
        <v>118934.81373543915</v>
      </c>
      <c r="P67" s="413">
        <f t="shared" si="7"/>
        <v>388110.33869018941</v>
      </c>
    </row>
    <row r="68" spans="1:16" ht="15">
      <c r="A68" s="942" t="s">
        <v>1318</v>
      </c>
      <c r="C68" s="946" t="s">
        <v>1346</v>
      </c>
      <c r="D68" s="944" t="s">
        <v>1347</v>
      </c>
      <c r="E68" s="408">
        <f>'Attach 11a - TEC Cost Support'!E16</f>
        <v>10836996.709999997</v>
      </c>
      <c r="F68" s="409">
        <f t="shared" si="0"/>
        <v>0.033347667196143502</v>
      </c>
      <c r="G68" s="943">
        <f t="shared" si="2"/>
        <v>361388.55969078199</v>
      </c>
      <c r="H68" s="408">
        <f>'Attach 11a - TEC Cost Support'!AI16</f>
        <v>8731890.2787217889</v>
      </c>
      <c r="I68" s="409">
        <f t="shared" si="1"/>
        <v>0.092503554315900655</v>
      </c>
      <c r="J68" s="943">
        <f t="shared" si="3"/>
        <v>807730.88667822594</v>
      </c>
      <c r="K68" s="944">
        <v>224361.79900399991</v>
      </c>
      <c r="L68" s="413">
        <f t="shared" si="4"/>
        <v>1393481.2453730078</v>
      </c>
      <c r="M68" s="710">
        <f t="shared" si="5"/>
        <v>0</v>
      </c>
      <c r="N68" s="413">
        <f t="shared" si="6"/>
        <v>1393481.2453730078</v>
      </c>
      <c r="O68" s="1163">
        <v>652318.60848116688</v>
      </c>
      <c r="P68" s="413">
        <f t="shared" si="7"/>
        <v>2045799.8538541747</v>
      </c>
    </row>
    <row r="69" spans="1:16" ht="25.5">
      <c r="A69" s="942" t="s">
        <v>1319</v>
      </c>
      <c r="C69" s="947" t="s">
        <v>1348</v>
      </c>
      <c r="D69" s="944" t="s">
        <v>1349</v>
      </c>
      <c r="E69" s="408">
        <f>'Attach 11a - TEC Cost Support'!E17</f>
        <v>62931230.730769224</v>
      </c>
      <c r="F69" s="409">
        <f t="shared" si="0"/>
        <v>0.033347667196143502</v>
      </c>
      <c r="G69" s="943">
        <f t="shared" si="8" ref="G69:G78">E69*F69</f>
        <v>2098609.7386534107</v>
      </c>
      <c r="H69" s="408">
        <f>'Attach 11a - TEC Cost Support'!AI17</f>
        <v>52421507.508835576</v>
      </c>
      <c r="I69" s="409">
        <f t="shared" si="1"/>
        <v>0.092503554315900655</v>
      </c>
      <c r="J69" s="943">
        <f t="shared" si="9" ref="J69:J78">H69*I69</f>
        <v>4849175.7671649661</v>
      </c>
      <c r="K69" s="944">
        <v>1488635.2119176246</v>
      </c>
      <c r="L69" s="413">
        <f>G69+J69+K69</f>
        <v>8436420.7177360002</v>
      </c>
      <c r="M69" s="710">
        <f>H69*$S$45</f>
        <v>0</v>
      </c>
      <c r="N69" s="413">
        <f>L69+M69</f>
        <v>8436420.7177360002</v>
      </c>
      <c r="O69" s="1163">
        <v>14370753.71280493</v>
      </c>
      <c r="P69" s="413">
        <f>N69+O69</f>
        <v>22807174.43054093</v>
      </c>
    </row>
    <row r="70" spans="1:16" ht="15">
      <c r="A70" s="942" t="s">
        <v>1320</v>
      </c>
      <c r="C70" s="947" t="s">
        <v>1352</v>
      </c>
      <c r="D70" s="944" t="s">
        <v>1353</v>
      </c>
      <c r="E70" s="408">
        <f>'Attach 11a - TEC Cost Support'!E18</f>
        <v>87274.76</v>
      </c>
      <c r="F70" s="409">
        <f>$I$33</f>
        <v>0.033347667196143502</v>
      </c>
      <c r="G70" s="943">
        <f t="shared" si="8"/>
        <v>2910.4096511032967</v>
      </c>
      <c r="H70" s="408">
        <f>'Attach 11a - TEC Cost Support'!AI18</f>
        <v>62904.31931687508</v>
      </c>
      <c r="I70" s="955">
        <f>$I$43</f>
        <v>0.092503554315900655</v>
      </c>
      <c r="J70" s="955">
        <f t="shared" si="9"/>
        <v>5818.8731186333125</v>
      </c>
      <c r="K70" s="944">
        <v>1789.1325799999993</v>
      </c>
      <c r="L70" s="955">
        <f>G70+J70+K70</f>
        <v>10518.415349736608</v>
      </c>
      <c r="M70" s="710">
        <f>H70*$S$45</f>
        <v>0</v>
      </c>
      <c r="N70" s="955">
        <f>L70+M70</f>
        <v>10518.415349736608</v>
      </c>
      <c r="O70" s="1163">
        <v>36007.180787554549</v>
      </c>
      <c r="P70" s="413">
        <f>N70+O70</f>
        <v>46525.596137291155</v>
      </c>
    </row>
    <row r="71" spans="1:16" ht="15">
      <c r="A71" s="942" t="s">
        <v>1321</v>
      </c>
      <c r="C71" s="947" t="s">
        <v>1354</v>
      </c>
      <c r="D71" s="944" t="s">
        <v>1355</v>
      </c>
      <c r="E71" s="408">
        <f>'Attach 11a - TEC Cost Support'!E19</f>
        <v>52365.25</v>
      </c>
      <c r="F71" s="409">
        <f>$I$33</f>
        <v>0.033347667196143502</v>
      </c>
      <c r="G71" s="943">
        <f t="shared" si="8"/>
        <v>1746.2589296428534</v>
      </c>
      <c r="H71" s="408">
        <f>'Attach 11a - TEC Cost Support'!AI19</f>
        <v>42370.414322706158</v>
      </c>
      <c r="I71" s="409">
        <f>$I$43</f>
        <v>0.092503554315900655</v>
      </c>
      <c r="J71" s="943">
        <f t="shared" si="9"/>
        <v>3919.4139226876641</v>
      </c>
      <c r="K71" s="944">
        <v>697.21364999999969</v>
      </c>
      <c r="L71" s="413">
        <f>G71+J71+K71</f>
        <v>6362.886502330517</v>
      </c>
      <c r="M71" s="710">
        <f>H71*$S$45</f>
        <v>0</v>
      </c>
      <c r="N71" s="413">
        <f>L71+M71</f>
        <v>6362.886502330517</v>
      </c>
      <c r="O71" s="1163">
        <v>24507.288661538922</v>
      </c>
      <c r="P71" s="413">
        <f>N71+O71</f>
        <v>30870.17516386944</v>
      </c>
    </row>
    <row r="72" spans="1:16" ht="15">
      <c r="A72" s="942" t="s">
        <v>1322</v>
      </c>
      <c r="C72" s="947" t="s">
        <v>1356</v>
      </c>
      <c r="D72" s="944" t="s">
        <v>1357</v>
      </c>
      <c r="E72" s="408">
        <f>'Attach 11a - TEC Cost Support'!E20</f>
        <v>65539.14</v>
      </c>
      <c r="F72" s="409">
        <f>$I$33</f>
        <v>0.033347667196143502</v>
      </c>
      <c r="G72" s="943">
        <f t="shared" si="8"/>
        <v>2185.5774290414565</v>
      </c>
      <c r="H72" s="408">
        <f>'Attach 11a - TEC Cost Support'!AI20</f>
        <v>58205.583313749994</v>
      </c>
      <c r="I72" s="409">
        <f>$I$43</f>
        <v>0.092503554315900655</v>
      </c>
      <c r="J72" s="943">
        <f t="shared" si="9"/>
        <v>5384.2233375521537</v>
      </c>
      <c r="K72" s="944">
        <v>1343.5523699999999</v>
      </c>
      <c r="L72" s="413">
        <f>G72+J72+K72</f>
        <v>8913.3531365936105</v>
      </c>
      <c r="M72" s="710">
        <f>H72*$S$45</f>
        <v>0</v>
      </c>
      <c r="N72" s="413">
        <f>L72+M72</f>
        <v>8913.3531365936105</v>
      </c>
      <c r="O72" s="1163">
        <v>39415.401185232608</v>
      </c>
      <c r="P72" s="413">
        <f>N72+O72</f>
        <v>48328.754321826214</v>
      </c>
    </row>
    <row r="73" spans="1:16" ht="30.6" customHeight="1">
      <c r="A73" s="942" t="s">
        <v>1323</v>
      </c>
      <c r="C73" s="947" t="s">
        <v>1358</v>
      </c>
      <c r="D73" s="944" t="s">
        <v>1359</v>
      </c>
      <c r="E73" s="408">
        <f>'Attach 11a - TEC Cost Support'!E21</f>
        <v>6069490.8100000015</v>
      </c>
      <c r="F73" s="409">
        <f t="shared" si="10" ref="F73:F78">$I$33</f>
        <v>0.033347667196143502</v>
      </c>
      <c r="G73" s="943">
        <f t="shared" si="8"/>
        <v>202403.35958193149</v>
      </c>
      <c r="H73" s="408">
        <f>'Attach 11a - TEC Cost Support'!AI21</f>
        <v>5054943.6804999607</v>
      </c>
      <c r="I73" s="409">
        <f t="shared" si="11" ref="I73:I78">$I$43</f>
        <v>0.092503554315900655</v>
      </c>
      <c r="J73" s="943">
        <f t="shared" si="9"/>
        <v>467600.25731294689</v>
      </c>
      <c r="K73" s="944">
        <v>124237.50515141711</v>
      </c>
      <c r="L73" s="413">
        <f>G73+J73+K73</f>
        <v>794241.12204629555</v>
      </c>
      <c r="M73" s="710">
        <f t="shared" si="12" ref="M73:M78">H73*$S$45</f>
        <v>0</v>
      </c>
      <c r="N73" s="413">
        <f>L73+M73</f>
        <v>794241.12204629555</v>
      </c>
      <c r="O73" s="1163">
        <v>180978.23207186576</v>
      </c>
      <c r="P73" s="413">
        <f>N73+O73</f>
        <v>975219.35411816137</v>
      </c>
    </row>
    <row r="74" spans="1:16" ht="25.5">
      <c r="A74" s="942" t="s">
        <v>1324</v>
      </c>
      <c r="C74" s="947" t="s">
        <v>1360</v>
      </c>
      <c r="D74" s="944" t="s">
        <v>1361</v>
      </c>
      <c r="E74" s="408">
        <f>'Attach 11a - TEC Cost Support'!E22</f>
        <v>1700188.1649999993</v>
      </c>
      <c r="F74" s="409">
        <f t="shared" si="10"/>
        <v>0.033347667196143502</v>
      </c>
      <c r="G74" s="943">
        <f t="shared" si="8"/>
        <v>56697.309097241894</v>
      </c>
      <c r="H74" s="408">
        <f>'Attach 11a - TEC Cost Support'!AI22</f>
        <v>1283047.4704441708</v>
      </c>
      <c r="I74" s="409">
        <f t="shared" si="11"/>
        <v>0.092503554315900655</v>
      </c>
      <c r="J74" s="943">
        <f t="shared" si="9"/>
        <v>118686.45137211129</v>
      </c>
      <c r="K74" s="944">
        <v>37783.864570956677</v>
      </c>
      <c r="L74" s="413">
        <f t="shared" si="13" ref="L74:L84">G74+J74+K74</f>
        <v>213167.62504030985</v>
      </c>
      <c r="M74" s="710">
        <f t="shared" si="12"/>
        <v>0</v>
      </c>
      <c r="N74" s="413">
        <f t="shared" si="14" ref="N74:N84">L74+M74</f>
        <v>213167.62504030985</v>
      </c>
      <c r="O74" s="1163">
        <v>975845.85155505186</v>
      </c>
      <c r="P74" s="413">
        <f t="shared" si="15" ref="P74:P84">N74+O74</f>
        <v>1189013.4765953617</v>
      </c>
    </row>
    <row r="75" spans="1:16" ht="25.5">
      <c r="A75" s="942" t="s">
        <v>1325</v>
      </c>
      <c r="C75" s="947" t="s">
        <v>1360</v>
      </c>
      <c r="D75" s="944" t="s">
        <v>1362</v>
      </c>
      <c r="E75" s="408">
        <f>'Attach 11a - TEC Cost Support'!E23</f>
        <v>1700188.1649999993</v>
      </c>
      <c r="F75" s="409">
        <f t="shared" si="10"/>
        <v>0.033347667196143502</v>
      </c>
      <c r="G75" s="943">
        <f t="shared" si="8"/>
        <v>56697.309097241894</v>
      </c>
      <c r="H75" s="408">
        <f>'Attach 11a - TEC Cost Support'!AI23</f>
        <v>1283047.4704441708</v>
      </c>
      <c r="I75" s="409">
        <f t="shared" si="11"/>
        <v>0.092503554315900655</v>
      </c>
      <c r="J75" s="943">
        <f t="shared" si="9"/>
        <v>118686.45137211129</v>
      </c>
      <c r="K75" s="944">
        <v>37783.864570956677</v>
      </c>
      <c r="L75" s="413">
        <f t="shared" si="13"/>
        <v>213167.62504030985</v>
      </c>
      <c r="M75" s="710">
        <f t="shared" si="12"/>
        <v>0</v>
      </c>
      <c r="N75" s="413">
        <f t="shared" si="14"/>
        <v>213167.62504030985</v>
      </c>
      <c r="O75" s="1163">
        <v>21177.120937954111</v>
      </c>
      <c r="P75" s="413">
        <f t="shared" si="15"/>
        <v>234344.74597826396</v>
      </c>
    </row>
    <row r="76" spans="1:16" ht="15">
      <c r="A76" s="942" t="s">
        <v>1326</v>
      </c>
      <c r="C76" s="946" t="s">
        <v>1363</v>
      </c>
      <c r="D76" s="944" t="s">
        <v>1364</v>
      </c>
      <c r="E76" s="408">
        <f>'Attach 11a - TEC Cost Support'!E24</f>
        <v>6088252.8875999991</v>
      </c>
      <c r="F76" s="409">
        <f t="shared" si="10"/>
        <v>0.033347667196143502</v>
      </c>
      <c r="G76" s="943">
        <f t="shared" si="8"/>
        <v>203029.03110164445</v>
      </c>
      <c r="H76" s="408">
        <f>'Attach 11a - TEC Cost Support'!AI24</f>
        <v>4932601.2083881274</v>
      </c>
      <c r="I76" s="409">
        <f t="shared" si="11"/>
        <v>0.092503554315900655</v>
      </c>
      <c r="J76" s="943">
        <f t="shared" si="9"/>
        <v>456283.14379880833</v>
      </c>
      <c r="K76" s="944">
        <v>124779.12185581215</v>
      </c>
      <c r="L76" s="413">
        <f t="shared" si="13"/>
        <v>784091.29675626499</v>
      </c>
      <c r="M76" s="710">
        <f t="shared" si="12"/>
        <v>0</v>
      </c>
      <c r="N76" s="413">
        <f t="shared" si="14"/>
        <v>784091.29675626499</v>
      </c>
      <c r="O76" s="1163">
        <v>-1082589.915245017</v>
      </c>
      <c r="P76" s="413">
        <f t="shared" si="15"/>
        <v>-298498.61848875205</v>
      </c>
    </row>
    <row r="77" spans="1:16" ht="15">
      <c r="A77" s="942" t="s">
        <v>1327</v>
      </c>
      <c r="C77" s="946" t="s">
        <v>1365</v>
      </c>
      <c r="D77" s="944" t="s">
        <v>1366</v>
      </c>
      <c r="E77" s="408">
        <f>'Attach 11a - TEC Cost Support'!E25</f>
        <v>2752101.8823999995</v>
      </c>
      <c r="F77" s="409">
        <f t="shared" si="10"/>
        <v>0.033347667196143502</v>
      </c>
      <c r="G77" s="943">
        <f t="shared" si="8"/>
        <v>91776.177664155242</v>
      </c>
      <c r="H77" s="408">
        <f>'Attach 11a - TEC Cost Support'!AI25</f>
        <v>2175940.9331248775</v>
      </c>
      <c r="I77" s="409">
        <f t="shared" si="11"/>
        <v>0.092503554315900655</v>
      </c>
      <c r="J77" s="943">
        <f t="shared" si="9"/>
        <v>201282.27029550867</v>
      </c>
      <c r="K77" s="944">
        <v>65987.080232544802</v>
      </c>
      <c r="L77" s="413">
        <f t="shared" si="13"/>
        <v>359045.52819220873</v>
      </c>
      <c r="M77" s="710">
        <f t="shared" si="12"/>
        <v>0</v>
      </c>
      <c r="N77" s="413">
        <f t="shared" si="14"/>
        <v>359045.52819220873</v>
      </c>
      <c r="O77" s="1163">
        <v>226265.92364209099</v>
      </c>
      <c r="P77" s="413">
        <f t="shared" si="15"/>
        <v>585311.45183429972</v>
      </c>
    </row>
    <row r="78" spans="1:16" ht="15">
      <c r="A78" s="942" t="s">
        <v>1328</v>
      </c>
      <c r="C78" s="946" t="s">
        <v>1367</v>
      </c>
      <c r="D78" s="944" t="s">
        <v>1368</v>
      </c>
      <c r="E78" s="408">
        <f>'Attach 11a - TEC Cost Support'!E26</f>
        <v>97814243.493846178</v>
      </c>
      <c r="F78" s="409">
        <f t="shared" si="10"/>
        <v>0.033347667196143502</v>
      </c>
      <c r="G78" s="943">
        <f t="shared" si="8"/>
        <v>3261876.8390753269</v>
      </c>
      <c r="H78" s="408">
        <f>'Attach 11a - TEC Cost Support'!AI26</f>
        <v>82597572.631233945</v>
      </c>
      <c r="I78" s="409">
        <f t="shared" si="11"/>
        <v>0.092503554315900655</v>
      </c>
      <c r="J78" s="943">
        <f t="shared" si="9"/>
        <v>7640569.0462548984</v>
      </c>
      <c r="K78" s="944">
        <v>2304131.1733443886</v>
      </c>
      <c r="L78" s="413">
        <f t="shared" si="13"/>
        <v>13206577.058674615</v>
      </c>
      <c r="M78" s="710">
        <f t="shared" si="12"/>
        <v>0</v>
      </c>
      <c r="N78" s="413">
        <f t="shared" si="14"/>
        <v>13206577.058674615</v>
      </c>
      <c r="O78" s="1163">
        <v>-31735261.168016057</v>
      </c>
      <c r="P78" s="413">
        <f t="shared" si="15"/>
        <v>-18528684.109341443</v>
      </c>
    </row>
    <row r="79" spans="1:16" ht="15">
      <c r="A79" s="942" t="s">
        <v>1329</v>
      </c>
      <c r="C79" s="946" t="s">
        <v>1375</v>
      </c>
      <c r="D79" s="944" t="s">
        <v>1376</v>
      </c>
      <c r="E79" s="408">
        <f>'Attach 11a - TEC Cost Support'!E27</f>
        <v>1130069.4700000002</v>
      </c>
      <c r="F79" s="409">
        <f t="shared" si="16" ref="F79:F88">$I$33</f>
        <v>0.033347667196143502</v>
      </c>
      <c r="G79" s="943">
        <f t="shared" si="17" ref="G79:G84">E79*F79</f>
        <v>37685.180594082281</v>
      </c>
      <c r="H79" s="408">
        <f>'Attach 11a - TEC Cost Support'!AI27</f>
        <v>1026810.7066244766</v>
      </c>
      <c r="I79" s="409">
        <f t="shared" si="18" ref="I79:I88">$I$43</f>
        <v>0.092503554315900655</v>
      </c>
      <c r="J79" s="943">
        <f t="shared" si="19" ref="J79:J84">H79*I79</f>
        <v>94983.639972385601</v>
      </c>
      <c r="K79" s="944">
        <v>23160.844121612798</v>
      </c>
      <c r="L79" s="413">
        <f t="shared" si="13"/>
        <v>155829.66468808067</v>
      </c>
      <c r="M79" s="710"/>
      <c r="N79" s="413">
        <f t="shared" si="14"/>
        <v>155829.66468808067</v>
      </c>
      <c r="O79" s="1163">
        <v>23549522.601884555</v>
      </c>
      <c r="P79" s="413">
        <f t="shared" si="15"/>
        <v>23705352.266572636</v>
      </c>
    </row>
    <row r="80" spans="1:16" ht="25.5">
      <c r="A80" s="942" t="s">
        <v>1330</v>
      </c>
      <c r="C80" s="947" t="s">
        <v>1377</v>
      </c>
      <c r="D80" s="944" t="s">
        <v>1378</v>
      </c>
      <c r="E80" s="408">
        <f>'Attach 11a - TEC Cost Support'!E28</f>
        <v>4104352.0253846156</v>
      </c>
      <c r="F80" s="409">
        <f t="shared" si="16"/>
        <v>0.033347667196143502</v>
      </c>
      <c r="G80" s="943">
        <f t="shared" si="17"/>
        <v>136870.56539834369</v>
      </c>
      <c r="H80" s="408">
        <f>'Attach 11a - TEC Cost Support'!AI28</f>
        <v>3657449.4150016629</v>
      </c>
      <c r="I80" s="409">
        <f t="shared" si="18"/>
        <v>0.092503554315900655</v>
      </c>
      <c r="J80" s="943">
        <f t="shared" si="19"/>
        <v>338327.07061826542</v>
      </c>
      <c r="K80" s="944">
        <v>98406.587245110219</v>
      </c>
      <c r="L80" s="413">
        <f t="shared" si="13"/>
        <v>573604.22326171934</v>
      </c>
      <c r="M80" s="710">
        <f t="shared" si="20" ref="M80:M86">H80*$S$45</f>
        <v>0</v>
      </c>
      <c r="N80" s="413">
        <f t="shared" si="14"/>
        <v>573604.22326171934</v>
      </c>
      <c r="O80" s="1163">
        <v>1216958.0534642187</v>
      </c>
      <c r="P80" s="413">
        <f t="shared" si="15"/>
        <v>1790562.2767259381</v>
      </c>
    </row>
    <row r="81" spans="1:16" ht="15">
      <c r="A81" s="942" t="s">
        <v>1405</v>
      </c>
      <c r="C81" s="947" t="s">
        <v>1369</v>
      </c>
      <c r="D81" s="944" t="s">
        <v>1370</v>
      </c>
      <c r="E81" s="408">
        <f>'Attach 11a - TEC Cost Support'!E29</f>
        <v>529376.3600000001</v>
      </c>
      <c r="F81" s="409">
        <f t="shared" si="16"/>
        <v>0.033347667196143502</v>
      </c>
      <c r="G81" s="943">
        <f t="shared" si="17"/>
        <v>17653.466674785857</v>
      </c>
      <c r="H81" s="408">
        <f>'Attach 11a - TEC Cost Support'!AI29</f>
        <v>529376.3600000001</v>
      </c>
      <c r="I81" s="409">
        <f t="shared" si="18"/>
        <v>0.092503554315900655</v>
      </c>
      <c r="J81" s="943">
        <f t="shared" si="19"/>
        <v>48969.194870813786</v>
      </c>
      <c r="K81" s="944">
        <v>0</v>
      </c>
      <c r="L81" s="413">
        <f t="shared" si="13"/>
        <v>66622.661545599636</v>
      </c>
      <c r="M81" s="710">
        <f t="shared" si="20"/>
        <v>0</v>
      </c>
      <c r="N81" s="413">
        <f t="shared" si="14"/>
        <v>66622.661545599636</v>
      </c>
      <c r="O81" s="1163">
        <v>56647.42110348554</v>
      </c>
      <c r="P81" s="413">
        <f t="shared" si="15"/>
        <v>123270.08264908518</v>
      </c>
    </row>
    <row r="82" spans="1:16" ht="25.5">
      <c r="A82" s="942" t="s">
        <v>1331</v>
      </c>
      <c r="C82" s="947" t="s">
        <v>1371</v>
      </c>
      <c r="D82" s="944" t="s">
        <v>1372</v>
      </c>
      <c r="E82" s="408">
        <f>'Attach 11a - TEC Cost Support'!E30</f>
        <v>0</v>
      </c>
      <c r="F82" s="409">
        <f t="shared" si="16"/>
        <v>0.033347667196143502</v>
      </c>
      <c r="G82" s="943">
        <f t="shared" si="17"/>
        <v>0</v>
      </c>
      <c r="H82" s="408">
        <f>'Attach 11a - TEC Cost Support'!AI30</f>
        <v>0</v>
      </c>
      <c r="I82" s="409">
        <f t="shared" si="18"/>
        <v>0.092503554315900655</v>
      </c>
      <c r="J82" s="943">
        <f t="shared" si="19"/>
        <v>0</v>
      </c>
      <c r="K82" s="944">
        <v>0</v>
      </c>
      <c r="L82" s="413">
        <f t="shared" si="13"/>
        <v>0</v>
      </c>
      <c r="M82" s="710">
        <f t="shared" si="20"/>
        <v>0</v>
      </c>
      <c r="N82" s="413">
        <f t="shared" si="14"/>
        <v>0</v>
      </c>
      <c r="O82" s="1163">
        <v>124210.38360996111</v>
      </c>
      <c r="P82" s="413">
        <f t="shared" si="15"/>
        <v>124210.38360996111</v>
      </c>
    </row>
    <row r="83" spans="1:16" ht="25.5">
      <c r="A83" s="942" t="s">
        <v>1332</v>
      </c>
      <c r="C83" s="947" t="s">
        <v>1407</v>
      </c>
      <c r="D83" s="944" t="s">
        <v>1406</v>
      </c>
      <c r="E83" s="408">
        <f>'Attach 11a - TEC Cost Support'!E31</f>
        <v>0</v>
      </c>
      <c r="F83" s="409">
        <f t="shared" si="16"/>
        <v>0.033347667196143502</v>
      </c>
      <c r="G83" s="943">
        <f t="shared" si="17"/>
        <v>0</v>
      </c>
      <c r="H83" s="408">
        <f>'Attach 11a - TEC Cost Support'!AI31</f>
        <v>0</v>
      </c>
      <c r="I83" s="409">
        <f t="shared" si="18"/>
        <v>0.092503554315900655</v>
      </c>
      <c r="J83" s="943">
        <f t="shared" si="19"/>
        <v>0</v>
      </c>
      <c r="K83" s="944">
        <v>0</v>
      </c>
      <c r="L83" s="413">
        <f t="shared" si="13"/>
        <v>0</v>
      </c>
      <c r="M83" s="710">
        <f t="shared" si="20"/>
        <v>0</v>
      </c>
      <c r="N83" s="413">
        <f t="shared" si="14"/>
        <v>0</v>
      </c>
      <c r="O83" s="1163">
        <v>0</v>
      </c>
      <c r="P83" s="413">
        <f t="shared" si="15"/>
        <v>0</v>
      </c>
    </row>
    <row r="84" spans="1:16" ht="25.5">
      <c r="A84" s="942" t="s">
        <v>1333</v>
      </c>
      <c r="C84" s="947" t="s">
        <v>1373</v>
      </c>
      <c r="D84" s="944" t="s">
        <v>1374</v>
      </c>
      <c r="E84" s="408">
        <f>'Attach 11a - TEC Cost Support'!E32</f>
        <v>0</v>
      </c>
      <c r="F84" s="409">
        <f t="shared" si="16"/>
        <v>0.033347667196143502</v>
      </c>
      <c r="G84" s="943">
        <f t="shared" si="17"/>
        <v>0</v>
      </c>
      <c r="H84" s="408">
        <f>'Attach 11a - TEC Cost Support'!AI32</f>
        <v>0</v>
      </c>
      <c r="I84" s="409">
        <f t="shared" si="18"/>
        <v>0.092503554315900655</v>
      </c>
      <c r="J84" s="943">
        <f t="shared" si="19"/>
        <v>0</v>
      </c>
      <c r="K84" s="944">
        <v>0</v>
      </c>
      <c r="L84" s="413">
        <f t="shared" si="13"/>
        <v>0</v>
      </c>
      <c r="M84" s="710">
        <f t="shared" si="20"/>
        <v>0</v>
      </c>
      <c r="N84" s="413">
        <f t="shared" si="14"/>
        <v>0</v>
      </c>
      <c r="O84" s="1163">
        <v>-9796.212440866615</v>
      </c>
      <c r="P84" s="413">
        <f t="shared" si="15"/>
        <v>-9796.212440866615</v>
      </c>
    </row>
    <row r="85" spans="1:16" ht="15">
      <c r="A85" s="968" t="s">
        <v>1379</v>
      </c>
      <c r="C85" s="947" t="s">
        <v>1350</v>
      </c>
      <c r="D85" s="1123" t="s">
        <v>1351</v>
      </c>
      <c r="E85" s="408">
        <f>'Attach 11a - TEC Cost Support'!E33</f>
        <v>130995</v>
      </c>
      <c r="F85" s="409">
        <f t="shared" si="16"/>
        <v>0.033347667196143502</v>
      </c>
      <c r="G85" s="943">
        <f>E85*F85</f>
        <v>4368.377664358818</v>
      </c>
      <c r="H85" s="408">
        <f>'Attach 11a - TEC Cost Support'!AI33</f>
        <v>95583.562692121079</v>
      </c>
      <c r="I85" s="409">
        <f t="shared" si="18"/>
        <v>0.092503554315900655</v>
      </c>
      <c r="J85" s="943">
        <f>H85*I85</f>
        <v>8841.8192831979177</v>
      </c>
      <c r="K85" s="944">
        <v>2684.7519076515873</v>
      </c>
      <c r="L85" s="413">
        <f>G85+J85+K85</f>
        <v>15894.948855208322</v>
      </c>
      <c r="M85" s="710">
        <f t="shared" si="20"/>
        <v>0</v>
      </c>
      <c r="N85" s="413">
        <f>L85+M85</f>
        <v>15894.948855208322</v>
      </c>
      <c r="O85" s="1163">
        <v>33431.252603143934</v>
      </c>
      <c r="P85" s="413">
        <f>N85+O85</f>
        <v>49326.201458352254</v>
      </c>
    </row>
    <row r="86" spans="1:16" s="0" customFormat="1" ht="15">
      <c r="A86" s="906" t="s">
        <v>1408</v>
      </c>
      <c r="B86" s="906"/>
      <c r="C86" s="1124" t="s">
        <v>1397</v>
      </c>
      <c r="D86" s="1124" t="s">
        <v>1398</v>
      </c>
      <c r="E86" s="408">
        <f>'Attach 11a - TEC Cost Support'!E34</f>
        <v>0</v>
      </c>
      <c r="F86" s="409">
        <f t="shared" si="16"/>
        <v>0.033347667196143502</v>
      </c>
      <c r="G86" s="943">
        <f>E86*F86</f>
        <v>0</v>
      </c>
      <c r="H86" s="408">
        <f>'Attach 11a - TEC Cost Support'!AI34</f>
        <v>0</v>
      </c>
      <c r="I86" s="409">
        <f t="shared" si="18"/>
        <v>0.092503554315900655</v>
      </c>
      <c r="J86" s="943">
        <f>H86*I86</f>
        <v>0</v>
      </c>
      <c r="K86" s="944">
        <v>0</v>
      </c>
      <c r="L86" s="413">
        <f>G86+J86+K86</f>
        <v>0</v>
      </c>
      <c r="M86" s="710">
        <f t="shared" si="20"/>
        <v>0</v>
      </c>
      <c r="N86" s="413">
        <f>L86+M86</f>
        <v>0</v>
      </c>
      <c r="O86" s="1163">
        <v>34304.184352918826</v>
      </c>
      <c r="P86" s="413">
        <f>N86+O86</f>
        <v>34304.184352918826</v>
      </c>
    </row>
    <row r="87" spans="1:16" s="0" customFormat="1" ht="15">
      <c r="A87" s="906" t="s">
        <v>735</v>
      </c>
      <c r="B87" s="906"/>
      <c r="C87" s="1124" t="s">
        <v>1450</v>
      </c>
      <c r="D87" s="1124" t="s">
        <v>1448</v>
      </c>
      <c r="E87" s="408">
        <f>'Attach 11a - TEC Cost Support'!E35</f>
        <v>0</v>
      </c>
      <c r="F87" s="409">
        <f t="shared" si="16"/>
        <v>0.033347667196143502</v>
      </c>
      <c r="G87" s="943">
        <f t="shared" si="21" ref="G87:G88">E87*F87</f>
        <v>0</v>
      </c>
      <c r="H87" s="408">
        <f>'Attach 11a - TEC Cost Support'!AI35</f>
        <v>0</v>
      </c>
      <c r="I87" s="409">
        <f t="shared" si="18"/>
        <v>0.092503554315900655</v>
      </c>
      <c r="J87" s="943">
        <f t="shared" si="22" ref="J87:J88">H87*I87</f>
        <v>0</v>
      </c>
      <c r="K87" s="944">
        <v>0</v>
      </c>
      <c r="L87" s="413">
        <f t="shared" si="23" ref="L87:L88">G87+J87+K87</f>
        <v>0</v>
      </c>
      <c r="M87" s="710">
        <f t="shared" si="24" ref="M87:M88">H87*$S$45</f>
        <v>0</v>
      </c>
      <c r="N87" s="413">
        <f t="shared" si="25" ref="N87:N88">L87+M87</f>
        <v>0</v>
      </c>
      <c r="O87" s="1163"/>
      <c r="P87" s="413">
        <f t="shared" si="26" ref="P87:P88">N87+O87</f>
        <v>0</v>
      </c>
    </row>
    <row r="88" spans="1:16" s="0" customFormat="1" ht="15">
      <c r="A88" s="906" t="s">
        <v>1409</v>
      </c>
      <c r="B88" s="906"/>
      <c r="C88" s="1124" t="s">
        <v>1451</v>
      </c>
      <c r="D88" s="1124" t="s">
        <v>1449</v>
      </c>
      <c r="E88" s="408">
        <f>'Attach 11a - TEC Cost Support'!E36</f>
        <v>0</v>
      </c>
      <c r="F88" s="409">
        <f t="shared" si="16"/>
        <v>0.033347667196143502</v>
      </c>
      <c r="G88" s="943">
        <f t="shared" si="21"/>
        <v>0</v>
      </c>
      <c r="H88" s="408">
        <f>'Attach 11a - TEC Cost Support'!AI36</f>
        <v>0</v>
      </c>
      <c r="I88" s="409">
        <f t="shared" si="18"/>
        <v>0.092503554315900655</v>
      </c>
      <c r="J88" s="943">
        <f t="shared" si="22"/>
        <v>0</v>
      </c>
      <c r="K88" s="944">
        <v>0</v>
      </c>
      <c r="L88" s="413">
        <f t="shared" si="23"/>
        <v>0</v>
      </c>
      <c r="M88" s="710">
        <f t="shared" si="24"/>
        <v>0</v>
      </c>
      <c r="N88" s="413">
        <f t="shared" si="25"/>
        <v>0</v>
      </c>
      <c r="O88" s="1163"/>
      <c r="P88" s="413">
        <f t="shared" si="26"/>
        <v>0</v>
      </c>
    </row>
    <row r="89" spans="1:16" ht="15">
      <c r="A89" s="968"/>
      <c r="C89" s="139"/>
      <c r="D89" s="1111"/>
      <c r="E89" s="139"/>
      <c r="F89" s="139"/>
      <c r="G89" s="139"/>
      <c r="H89" s="139"/>
      <c r="I89" s="139"/>
      <c r="J89" s="139"/>
      <c r="K89" s="139"/>
      <c r="L89" s="139"/>
      <c r="M89" s="139"/>
      <c r="N89" s="139"/>
      <c r="O89" s="139"/>
      <c r="P89" s="139"/>
    </row>
    <row r="90" spans="1:16" ht="15">
      <c r="A90" s="958" t="s">
        <v>244</v>
      </c>
      <c r="C90" s="904" t="s">
        <v>794</v>
      </c>
      <c r="D90" s="906"/>
      <c r="E90" s="968"/>
      <c r="F90" s="968"/>
      <c r="G90" s="955"/>
      <c r="H90" s="955"/>
      <c r="I90" s="955"/>
      <c r="J90" s="955"/>
      <c r="K90" s="955"/>
      <c r="L90" s="414"/>
      <c r="M90" s="414"/>
      <c r="N90" s="948">
        <f>SUM(N62:N88)</f>
        <v>28775055.900652684</v>
      </c>
      <c r="O90" s="408"/>
      <c r="P90" s="414"/>
    </row>
    <row r="91" spans="1:15" ht="15">
      <c r="A91" s="994" t="s">
        <v>245</v>
      </c>
      <c r="B91" s="139"/>
      <c r="C91" s="904" t="s">
        <v>916</v>
      </c>
      <c r="D91" s="139"/>
      <c r="E91" s="139"/>
      <c r="F91" s="139"/>
      <c r="G91" s="139"/>
      <c r="H91" s="139"/>
      <c r="I91" s="139"/>
      <c r="J91" s="139"/>
      <c r="K91" s="139"/>
      <c r="L91" s="139"/>
      <c r="M91" s="139">
        <f>SUM(M62:M84)</f>
        <v>0</v>
      </c>
      <c r="N91" s="139"/>
      <c r="O91" s="139"/>
    </row>
    <row r="92" spans="1:15" ht="15">
      <c r="A92" s="139"/>
      <c r="B92" s="139"/>
      <c r="C92" s="139"/>
      <c r="D92" s="139"/>
      <c r="E92" s="139"/>
      <c r="F92" s="139"/>
      <c r="G92" s="139"/>
      <c r="H92" s="139"/>
      <c r="I92" s="139"/>
      <c r="J92" s="139"/>
      <c r="K92" s="139"/>
      <c r="L92" s="139"/>
      <c r="M92" s="139"/>
      <c r="N92" s="139"/>
      <c r="O92" s="139"/>
    </row>
    <row r="93" spans="1:12" ht="15">
      <c r="A93" s="995" t="s">
        <v>229</v>
      </c>
      <c r="B93" s="139"/>
      <c r="C93" s="139"/>
      <c r="D93" s="139"/>
      <c r="E93" s="139"/>
      <c r="F93" s="139"/>
      <c r="G93" s="139"/>
      <c r="H93" s="139"/>
      <c r="I93" s="139"/>
      <c r="J93" s="139"/>
      <c r="K93" s="139"/>
      <c r="L93" s="139"/>
    </row>
    <row r="94" spans="1:12" ht="15">
      <c r="A94" s="968" t="s">
        <v>123</v>
      </c>
      <c r="C94" s="1214" t="s">
        <v>795</v>
      </c>
      <c r="D94" s="1214"/>
      <c r="E94" s="1214"/>
      <c r="F94" s="1214"/>
      <c r="G94" s="1214"/>
      <c r="H94" s="1214"/>
      <c r="I94" s="1214"/>
      <c r="J94" s="1214"/>
      <c r="K94" s="1214"/>
      <c r="L94" s="1214"/>
    </row>
    <row r="95" spans="1:12" ht="15">
      <c r="A95" s="968" t="s">
        <v>124</v>
      </c>
      <c r="C95" s="1214" t="s">
        <v>796</v>
      </c>
      <c r="D95" s="1214"/>
      <c r="E95" s="1214"/>
      <c r="F95" s="1214"/>
      <c r="G95" s="1214"/>
      <c r="H95" s="1214"/>
      <c r="I95" s="1214"/>
      <c r="J95" s="1214"/>
      <c r="K95" s="1214"/>
      <c r="L95" s="1214"/>
    </row>
    <row r="96" spans="1:12" ht="15" customHeight="1">
      <c r="A96" s="401" t="s">
        <v>125</v>
      </c>
      <c r="C96" s="1213" t="s">
        <v>231</v>
      </c>
      <c r="D96" s="1213"/>
      <c r="E96" s="1213"/>
      <c r="F96" s="1213"/>
      <c r="G96" s="1213"/>
      <c r="H96" s="1213"/>
      <c r="I96" s="1213"/>
      <c r="J96" s="1213"/>
      <c r="K96" s="1213"/>
      <c r="L96" s="1213"/>
    </row>
    <row r="97" spans="1:12" ht="15">
      <c r="A97" s="401" t="s">
        <v>126</v>
      </c>
      <c r="C97" s="1213" t="s">
        <v>219</v>
      </c>
      <c r="D97" s="1213"/>
      <c r="E97" s="1213"/>
      <c r="F97" s="1213"/>
      <c r="G97" s="1213"/>
      <c r="H97" s="1213"/>
      <c r="I97" s="1213"/>
      <c r="J97" s="1213"/>
      <c r="K97" s="1213"/>
      <c r="L97" s="1213"/>
    </row>
    <row r="98" spans="1:12" ht="15">
      <c r="A98" s="968" t="s">
        <v>127</v>
      </c>
      <c r="C98" s="1214" t="s">
        <v>868</v>
      </c>
      <c r="D98" s="1214"/>
      <c r="E98" s="1214"/>
      <c r="F98" s="1214"/>
      <c r="G98" s="1214"/>
      <c r="H98" s="1214"/>
      <c r="I98" s="1214"/>
      <c r="J98" s="1214"/>
      <c r="K98" s="1214"/>
      <c r="L98" s="1214"/>
    </row>
    <row r="99" spans="1:3" ht="15">
      <c r="A99" s="968" t="s">
        <v>128</v>
      </c>
      <c r="C99" s="904" t="s">
        <v>666</v>
      </c>
    </row>
    <row r="100" spans="1:3" ht="15">
      <c r="A100" s="968" t="s">
        <v>129</v>
      </c>
      <c r="C100" s="904" t="s">
        <v>869</v>
      </c>
    </row>
    <row r="101" spans="1:10" ht="15">
      <c r="A101" s="968" t="s">
        <v>131</v>
      </c>
      <c r="C101" s="904" t="s">
        <v>489</v>
      </c>
      <c r="D101" s="958"/>
      <c r="E101" s="968"/>
      <c r="F101" s="968"/>
      <c r="G101" s="955"/>
      <c r="J101" s="996"/>
    </row>
    <row r="102" spans="1:10" ht="15">
      <c r="A102" s="958"/>
      <c r="C102" s="997"/>
      <c r="D102" s="958"/>
      <c r="E102" s="968"/>
      <c r="F102" s="968"/>
      <c r="G102" s="955"/>
      <c r="J102" s="996"/>
    </row>
    <row r="103" spans="3:12" ht="15">
      <c r="C103" s="139"/>
      <c r="D103" s="139"/>
      <c r="E103" s="139"/>
      <c r="F103" s="139"/>
      <c r="G103" s="139"/>
      <c r="H103" s="139"/>
      <c r="I103" s="139"/>
      <c r="J103" s="139"/>
      <c r="K103" s="139"/>
      <c r="L103" s="139"/>
    </row>
    <row r="104" spans="3:12" ht="15">
      <c r="C104" s="139"/>
      <c r="D104" s="139"/>
      <c r="E104" s="139"/>
      <c r="F104" s="139"/>
      <c r="G104" s="139"/>
      <c r="H104" s="139"/>
      <c r="I104" s="139"/>
      <c r="J104" s="139"/>
      <c r="K104" s="139"/>
      <c r="L104" s="139"/>
    </row>
    <row r="105" spans="3:12" ht="15">
      <c r="C105" s="139"/>
      <c r="D105" s="139"/>
      <c r="E105" s="139"/>
      <c r="F105" s="139"/>
      <c r="G105" s="139"/>
      <c r="H105" s="139"/>
      <c r="I105" s="139"/>
      <c r="J105" s="139"/>
      <c r="K105" s="139"/>
      <c r="L105" s="139"/>
    </row>
    <row r="106" spans="3:12" ht="15">
      <c r="C106" s="139"/>
      <c r="D106" s="139"/>
      <c r="E106" s="139"/>
      <c r="F106" s="139"/>
      <c r="G106" s="139"/>
      <c r="H106" s="139"/>
      <c r="I106" s="139"/>
      <c r="J106" s="139"/>
      <c r="K106" s="139"/>
      <c r="L106" s="139"/>
    </row>
    <row r="107" spans="3:12" ht="15">
      <c r="C107" s="139"/>
      <c r="D107" s="139"/>
      <c r="E107" s="139"/>
      <c r="F107" s="139"/>
      <c r="G107" s="139"/>
      <c r="H107" s="139"/>
      <c r="I107" s="139"/>
      <c r="J107" s="139"/>
      <c r="K107" s="139"/>
      <c r="L107" s="139"/>
    </row>
    <row r="108" spans="3:12" ht="15">
      <c r="C108" s="139"/>
      <c r="D108" s="139"/>
      <c r="E108" s="139"/>
      <c r="F108" s="139"/>
      <c r="G108" s="139"/>
      <c r="H108" s="139"/>
      <c r="I108" s="139"/>
      <c r="J108" s="139"/>
      <c r="K108" s="139"/>
      <c r="L108" s="139"/>
    </row>
    <row r="109" spans="3:12" ht="15">
      <c r="C109" s="139"/>
      <c r="D109" s="139"/>
      <c r="E109" s="139"/>
      <c r="F109" s="139"/>
      <c r="G109" s="139"/>
      <c r="H109" s="139"/>
      <c r="I109" s="139"/>
      <c r="J109" s="139"/>
      <c r="K109" s="139"/>
      <c r="L109" s="139"/>
    </row>
    <row r="110" spans="3:12" ht="15">
      <c r="C110" s="139"/>
      <c r="D110" s="139"/>
      <c r="E110" s="139"/>
      <c r="F110" s="139"/>
      <c r="G110" s="139"/>
      <c r="H110" s="139"/>
      <c r="I110" s="139"/>
      <c r="J110" s="139"/>
      <c r="K110" s="139"/>
      <c r="L110" s="139"/>
    </row>
    <row r="111" spans="3:12" ht="15">
      <c r="C111" s="139"/>
      <c r="D111" s="139"/>
      <c r="E111" s="139"/>
      <c r="F111" s="139"/>
      <c r="G111" s="139"/>
      <c r="H111" s="139"/>
      <c r="I111" s="139"/>
      <c r="J111" s="139"/>
      <c r="K111" s="139"/>
      <c r="L111" s="139"/>
    </row>
    <row r="112" spans="3:12" ht="15">
      <c r="C112" s="139"/>
      <c r="D112" s="139"/>
      <c r="E112" s="139"/>
      <c r="F112" s="139"/>
      <c r="G112" s="139"/>
      <c r="H112" s="139"/>
      <c r="I112" s="139"/>
      <c r="J112" s="139"/>
      <c r="K112" s="139"/>
      <c r="L112" s="139"/>
    </row>
    <row r="113" spans="3:12" ht="15">
      <c r="C113" s="139"/>
      <c r="D113" s="139"/>
      <c r="E113" s="139"/>
      <c r="F113" s="139"/>
      <c r="G113" s="139"/>
      <c r="H113" s="139"/>
      <c r="I113" s="139"/>
      <c r="J113" s="139"/>
      <c r="K113" s="139"/>
      <c r="L113" s="139"/>
    </row>
    <row r="114" spans="3:12" ht="15">
      <c r="C114" s="139"/>
      <c r="D114" s="139"/>
      <c r="E114" s="139"/>
      <c r="F114" s="139"/>
      <c r="G114" s="139"/>
      <c r="H114" s="139"/>
      <c r="I114" s="139"/>
      <c r="J114" s="139"/>
      <c r="K114" s="139"/>
      <c r="L114" s="139"/>
    </row>
    <row r="115" spans="3:12" ht="15">
      <c r="C115" s="139"/>
      <c r="D115" s="139"/>
      <c r="E115" s="139"/>
      <c r="F115" s="139"/>
      <c r="G115" s="139"/>
      <c r="H115" s="139"/>
      <c r="I115" s="139"/>
      <c r="J115" s="139"/>
      <c r="K115" s="139"/>
      <c r="L115" s="139"/>
    </row>
    <row r="116" spans="3:12" ht="15">
      <c r="C116" s="139"/>
      <c r="D116" s="139"/>
      <c r="E116" s="139"/>
      <c r="F116" s="139"/>
      <c r="G116" s="139"/>
      <c r="H116" s="139"/>
      <c r="I116" s="139"/>
      <c r="J116" s="139"/>
      <c r="K116" s="139"/>
      <c r="L116" s="139"/>
    </row>
    <row r="117" spans="3:12" ht="15">
      <c r="C117" s="139"/>
      <c r="D117" s="139"/>
      <c r="E117" s="139"/>
      <c r="F117" s="139"/>
      <c r="G117" s="139"/>
      <c r="H117" s="139"/>
      <c r="I117" s="139"/>
      <c r="J117" s="139"/>
      <c r="K117" s="139"/>
      <c r="L117" s="139"/>
    </row>
    <row r="118" spans="3:12" ht="15">
      <c r="C118" s="139"/>
      <c r="D118" s="139"/>
      <c r="E118" s="139"/>
      <c r="F118" s="139"/>
      <c r="G118" s="139"/>
      <c r="H118" s="139"/>
      <c r="I118" s="139"/>
      <c r="J118" s="139"/>
      <c r="K118" s="139"/>
      <c r="L118" s="139"/>
    </row>
    <row r="119" spans="3:12" ht="15">
      <c r="C119" s="139"/>
      <c r="D119" s="139"/>
      <c r="E119" s="139"/>
      <c r="F119" s="139"/>
      <c r="G119" s="139"/>
      <c r="H119" s="139"/>
      <c r="I119" s="139"/>
      <c r="J119" s="139"/>
      <c r="K119" s="139"/>
      <c r="L119" s="139"/>
    </row>
    <row r="120" spans="3:12" ht="15">
      <c r="C120" s="139"/>
      <c r="D120" s="139"/>
      <c r="E120" s="139"/>
      <c r="F120" s="139"/>
      <c r="G120" s="139"/>
      <c r="H120" s="139"/>
      <c r="I120" s="139"/>
      <c r="J120" s="139"/>
      <c r="K120" s="139"/>
      <c r="L120" s="139"/>
    </row>
    <row r="121" spans="3:12" ht="15">
      <c r="C121" s="139"/>
      <c r="D121" s="139"/>
      <c r="E121" s="139"/>
      <c r="F121" s="139"/>
      <c r="G121" s="139"/>
      <c r="H121" s="139"/>
      <c r="I121" s="139"/>
      <c r="J121" s="139"/>
      <c r="K121" s="139"/>
      <c r="L121" s="139"/>
    </row>
    <row r="122" spans="3:12" ht="15">
      <c r="C122" s="139"/>
      <c r="D122" s="139"/>
      <c r="E122" s="139"/>
      <c r="F122" s="139"/>
      <c r="G122" s="139"/>
      <c r="H122" s="139"/>
      <c r="I122" s="139"/>
      <c r="J122" s="139"/>
      <c r="K122" s="139"/>
      <c r="L122" s="139"/>
    </row>
    <row r="123" spans="3:12" ht="15">
      <c r="C123" s="139"/>
      <c r="D123" s="139"/>
      <c r="E123" s="139"/>
      <c r="F123" s="139"/>
      <c r="G123" s="139"/>
      <c r="H123" s="139"/>
      <c r="I123" s="139"/>
      <c r="J123" s="139"/>
      <c r="K123" s="139"/>
      <c r="L123" s="139"/>
    </row>
    <row r="124" spans="3:12" ht="15">
      <c r="C124" s="139"/>
      <c r="D124" s="139"/>
      <c r="E124" s="139"/>
      <c r="F124" s="139"/>
      <c r="G124" s="139"/>
      <c r="H124" s="139"/>
      <c r="I124" s="139"/>
      <c r="J124" s="139"/>
      <c r="K124" s="139"/>
      <c r="L124" s="139"/>
    </row>
    <row r="125" spans="3:12" ht="15">
      <c r="C125" s="139"/>
      <c r="D125" s="139"/>
      <c r="E125" s="139"/>
      <c r="F125" s="139"/>
      <c r="G125" s="139"/>
      <c r="H125" s="139"/>
      <c r="I125" s="139"/>
      <c r="J125" s="139"/>
      <c r="K125" s="139"/>
      <c r="L125" s="139"/>
    </row>
    <row r="126" spans="3:12" ht="15">
      <c r="C126" s="139"/>
      <c r="D126" s="139"/>
      <c r="E126" s="139"/>
      <c r="F126" s="139"/>
      <c r="G126" s="139"/>
      <c r="H126" s="139"/>
      <c r="I126" s="139"/>
      <c r="J126" s="139"/>
      <c r="K126" s="139"/>
      <c r="L126" s="139"/>
    </row>
    <row r="127" spans="3:12" ht="15">
      <c r="C127" s="139"/>
      <c r="D127" s="139"/>
      <c r="E127" s="139"/>
      <c r="F127" s="139"/>
      <c r="G127" s="139"/>
      <c r="H127" s="139"/>
      <c r="I127" s="139"/>
      <c r="J127" s="139"/>
      <c r="K127" s="139"/>
      <c r="L127" s="139"/>
    </row>
    <row r="128" spans="3:12" ht="15">
      <c r="C128" s="139"/>
      <c r="D128" s="139"/>
      <c r="E128" s="139"/>
      <c r="F128" s="139"/>
      <c r="G128" s="139"/>
      <c r="H128" s="139"/>
      <c r="I128" s="139"/>
      <c r="J128" s="139"/>
      <c r="K128" s="139"/>
      <c r="L128" s="139"/>
    </row>
    <row r="129" spans="3:12" ht="15">
      <c r="C129" s="139"/>
      <c r="D129" s="139"/>
      <c r="E129" s="139"/>
      <c r="F129" s="139"/>
      <c r="G129" s="139"/>
      <c r="H129" s="139"/>
      <c r="I129" s="139"/>
      <c r="J129" s="139"/>
      <c r="K129" s="139"/>
      <c r="L129" s="139"/>
    </row>
    <row r="130" spans="3:12" ht="15">
      <c r="C130" s="139"/>
      <c r="D130" s="139"/>
      <c r="E130" s="139"/>
      <c r="F130" s="139"/>
      <c r="G130" s="139"/>
      <c r="H130" s="139"/>
      <c r="I130" s="139"/>
      <c r="J130" s="139"/>
      <c r="K130" s="139"/>
      <c r="L130" s="139"/>
    </row>
    <row r="131" spans="3:12" ht="15">
      <c r="C131" s="139"/>
      <c r="D131" s="139"/>
      <c r="E131" s="139"/>
      <c r="F131" s="139"/>
      <c r="G131" s="139"/>
      <c r="H131" s="139"/>
      <c r="I131" s="139"/>
      <c r="J131" s="139"/>
      <c r="K131" s="139"/>
      <c r="L131" s="139"/>
    </row>
    <row r="132" spans="3:12" ht="15">
      <c r="C132" s="139"/>
      <c r="D132" s="139"/>
      <c r="E132" s="139"/>
      <c r="F132" s="139"/>
      <c r="G132" s="139"/>
      <c r="H132" s="139"/>
      <c r="I132" s="139"/>
      <c r="J132" s="139"/>
      <c r="K132" s="139"/>
      <c r="L132" s="139"/>
    </row>
    <row r="133" spans="3:12" ht="15">
      <c r="C133" s="139"/>
      <c r="D133" s="139"/>
      <c r="E133" s="139"/>
      <c r="F133" s="139"/>
      <c r="G133" s="139"/>
      <c r="H133" s="139"/>
      <c r="I133" s="139"/>
      <c r="J133" s="139"/>
      <c r="K133" s="139"/>
      <c r="L133" s="139"/>
    </row>
    <row r="134" spans="3:12" ht="15">
      <c r="C134" s="139"/>
      <c r="D134" s="139"/>
      <c r="E134" s="139"/>
      <c r="F134" s="139"/>
      <c r="G134" s="139"/>
      <c r="H134" s="139"/>
      <c r="I134" s="139"/>
      <c r="J134" s="139"/>
      <c r="K134" s="139"/>
      <c r="L134" s="139"/>
    </row>
    <row r="135" spans="3:12" ht="15">
      <c r="C135" s="139"/>
      <c r="D135" s="139"/>
      <c r="E135" s="139"/>
      <c r="F135" s="139"/>
      <c r="G135" s="139"/>
      <c r="H135" s="139"/>
      <c r="I135" s="139"/>
      <c r="J135" s="139"/>
      <c r="K135" s="139"/>
      <c r="L135" s="139"/>
    </row>
    <row r="136" spans="3:12" ht="15">
      <c r="C136" s="139"/>
      <c r="D136" s="139"/>
      <c r="E136" s="139"/>
      <c r="F136" s="139"/>
      <c r="G136" s="139"/>
      <c r="H136" s="139"/>
      <c r="I136" s="139"/>
      <c r="J136" s="139"/>
      <c r="K136" s="139"/>
      <c r="L136" s="139"/>
    </row>
    <row r="137" spans="3:12" ht="15">
      <c r="C137" s="139"/>
      <c r="D137" s="139"/>
      <c r="E137" s="139"/>
      <c r="F137" s="139"/>
      <c r="G137" s="139"/>
      <c r="H137" s="139"/>
      <c r="I137" s="139"/>
      <c r="J137" s="139"/>
      <c r="K137" s="139"/>
      <c r="L137" s="139"/>
    </row>
    <row r="138" spans="3:12" ht="15">
      <c r="C138" s="139"/>
      <c r="D138" s="139"/>
      <c r="E138" s="139"/>
      <c r="F138" s="139"/>
      <c r="G138" s="139"/>
      <c r="H138" s="139"/>
      <c r="I138" s="139"/>
      <c r="J138" s="139"/>
      <c r="K138" s="139"/>
      <c r="L138" s="139"/>
    </row>
    <row r="139" spans="3:12" ht="15">
      <c r="C139" s="139"/>
      <c r="D139" s="139"/>
      <c r="E139" s="139"/>
      <c r="F139" s="139"/>
      <c r="G139" s="139"/>
      <c r="H139" s="139"/>
      <c r="I139" s="139"/>
      <c r="J139" s="139"/>
      <c r="K139" s="139"/>
      <c r="L139" s="139"/>
    </row>
    <row r="140" spans="3:12" ht="15">
      <c r="C140" s="139"/>
      <c r="D140" s="139"/>
      <c r="E140" s="139"/>
      <c r="F140" s="139"/>
      <c r="G140" s="139"/>
      <c r="H140" s="139"/>
      <c r="I140" s="139"/>
      <c r="J140" s="139"/>
      <c r="K140" s="139"/>
      <c r="L140" s="139"/>
    </row>
    <row r="141" spans="3:12" ht="15">
      <c r="C141" s="139"/>
      <c r="D141" s="139"/>
      <c r="E141" s="139"/>
      <c r="F141" s="139"/>
      <c r="G141" s="139"/>
      <c r="H141" s="139"/>
      <c r="I141" s="139"/>
      <c r="J141" s="139"/>
      <c r="K141" s="139"/>
      <c r="L141" s="139"/>
    </row>
    <row r="142" spans="3:12" ht="15">
      <c r="C142" s="139"/>
      <c r="D142" s="139"/>
      <c r="E142" s="139"/>
      <c r="F142" s="139"/>
      <c r="G142" s="139"/>
      <c r="H142" s="139"/>
      <c r="I142" s="139"/>
      <c r="J142" s="139"/>
      <c r="K142" s="139"/>
      <c r="L142" s="139"/>
    </row>
    <row r="143" spans="3:12" ht="15">
      <c r="C143" s="139"/>
      <c r="D143" s="139"/>
      <c r="E143" s="139"/>
      <c r="F143" s="139"/>
      <c r="G143" s="139"/>
      <c r="H143" s="139"/>
      <c r="I143" s="139"/>
      <c r="J143" s="139"/>
      <c r="K143" s="139"/>
      <c r="L143" s="139"/>
    </row>
    <row r="144" spans="3:12" ht="15">
      <c r="C144" s="139"/>
      <c r="D144" s="139"/>
      <c r="E144" s="139"/>
      <c r="F144" s="139"/>
      <c r="G144" s="139"/>
      <c r="H144" s="139"/>
      <c r="I144" s="139"/>
      <c r="J144" s="139"/>
      <c r="K144" s="139"/>
      <c r="L144" s="139"/>
    </row>
    <row r="145" spans="3:12" ht="15">
      <c r="C145" s="139"/>
      <c r="D145" s="139"/>
      <c r="E145" s="139"/>
      <c r="F145" s="139"/>
      <c r="G145" s="139"/>
      <c r="H145" s="139"/>
      <c r="I145" s="139"/>
      <c r="J145" s="139"/>
      <c r="K145" s="139"/>
      <c r="L145" s="139"/>
    </row>
    <row r="146" spans="3:12" ht="15">
      <c r="C146" s="139"/>
      <c r="D146" s="139"/>
      <c r="E146" s="139"/>
      <c r="F146" s="139"/>
      <c r="G146" s="139"/>
      <c r="H146" s="139"/>
      <c r="I146" s="139"/>
      <c r="J146" s="139"/>
      <c r="K146" s="139"/>
      <c r="L146" s="139"/>
    </row>
    <row r="147" spans="3:12" ht="15">
      <c r="C147" s="139"/>
      <c r="D147" s="139"/>
      <c r="E147" s="139"/>
      <c r="F147" s="139"/>
      <c r="G147" s="139"/>
      <c r="H147" s="139"/>
      <c r="I147" s="139"/>
      <c r="J147" s="139"/>
      <c r="K147" s="139"/>
      <c r="L147" s="139"/>
    </row>
    <row r="148" spans="3:12" ht="15">
      <c r="C148" s="139"/>
      <c r="D148" s="139"/>
      <c r="E148" s="139"/>
      <c r="F148" s="139"/>
      <c r="G148" s="139"/>
      <c r="H148" s="139"/>
      <c r="I148" s="139"/>
      <c r="J148" s="139"/>
      <c r="K148" s="139"/>
      <c r="L148" s="139"/>
    </row>
    <row r="149" spans="3:12" ht="15">
      <c r="C149" s="139"/>
      <c r="D149" s="139"/>
      <c r="E149" s="139"/>
      <c r="F149" s="139"/>
      <c r="G149" s="139"/>
      <c r="H149" s="139"/>
      <c r="I149" s="139"/>
      <c r="J149" s="139"/>
      <c r="K149" s="139"/>
      <c r="L149" s="139"/>
    </row>
    <row r="150" spans="3:12" ht="15">
      <c r="C150" s="139"/>
      <c r="D150" s="139"/>
      <c r="E150" s="139"/>
      <c r="F150" s="139"/>
      <c r="G150" s="139"/>
      <c r="H150" s="139"/>
      <c r="I150" s="139"/>
      <c r="J150" s="139"/>
      <c r="K150" s="139"/>
      <c r="L150" s="139"/>
    </row>
    <row r="151" spans="3:12" ht="15">
      <c r="C151" s="139"/>
      <c r="D151" s="139"/>
      <c r="E151" s="139"/>
      <c r="F151" s="139"/>
      <c r="G151" s="139"/>
      <c r="H151" s="139"/>
      <c r="I151" s="139"/>
      <c r="J151" s="139"/>
      <c r="K151" s="139"/>
      <c r="L151" s="139"/>
    </row>
    <row r="152" spans="3:12" ht="15">
      <c r="C152" s="139"/>
      <c r="D152" s="139"/>
      <c r="E152" s="139"/>
      <c r="F152" s="139"/>
      <c r="G152" s="139"/>
      <c r="H152" s="139"/>
      <c r="I152" s="139"/>
      <c r="J152" s="139"/>
      <c r="K152" s="139"/>
      <c r="L152" s="139"/>
    </row>
    <row r="153" spans="3:12" ht="15">
      <c r="C153" s="139"/>
      <c r="D153" s="139"/>
      <c r="E153" s="139"/>
      <c r="F153" s="139"/>
      <c r="G153" s="139"/>
      <c r="H153" s="139"/>
      <c r="I153" s="139"/>
      <c r="J153" s="139"/>
      <c r="K153" s="139"/>
      <c r="L153" s="139"/>
    </row>
    <row r="154" spans="3:12" ht="15">
      <c r="C154" s="139"/>
      <c r="D154" s="139"/>
      <c r="E154" s="139"/>
      <c r="F154" s="139"/>
      <c r="G154" s="139"/>
      <c r="H154" s="139"/>
      <c r="I154" s="139"/>
      <c r="J154" s="139"/>
      <c r="K154" s="139"/>
      <c r="L154" s="139"/>
    </row>
    <row r="155" spans="3:12" ht="15">
      <c r="C155" s="139"/>
      <c r="D155" s="139"/>
      <c r="E155" s="139"/>
      <c r="F155" s="139"/>
      <c r="G155" s="139"/>
      <c r="H155" s="139"/>
      <c r="I155" s="139"/>
      <c r="J155" s="139"/>
      <c r="K155" s="139"/>
      <c r="L155" s="139"/>
    </row>
    <row r="156" spans="3:12" ht="15">
      <c r="C156" s="139"/>
      <c r="D156" s="139"/>
      <c r="E156" s="139"/>
      <c r="F156" s="139"/>
      <c r="G156" s="139"/>
      <c r="H156" s="139"/>
      <c r="I156" s="139"/>
      <c r="J156" s="139"/>
      <c r="K156" s="139"/>
      <c r="L156" s="139"/>
    </row>
    <row r="157" spans="3:12" ht="15">
      <c r="C157" s="139"/>
      <c r="D157" s="139"/>
      <c r="E157" s="139"/>
      <c r="F157" s="139"/>
      <c r="G157" s="139"/>
      <c r="H157" s="139"/>
      <c r="I157" s="139"/>
      <c r="J157" s="139"/>
      <c r="K157" s="139"/>
      <c r="L157" s="139"/>
    </row>
    <row r="158" spans="3:12" ht="15">
      <c r="C158" s="139"/>
      <c r="D158" s="139"/>
      <c r="E158" s="139"/>
      <c r="F158" s="139"/>
      <c r="G158" s="139"/>
      <c r="H158" s="139"/>
      <c r="I158" s="139"/>
      <c r="J158" s="139"/>
      <c r="K158" s="139"/>
      <c r="L158" s="139"/>
    </row>
    <row r="159" spans="3:12" ht="15">
      <c r="C159" s="139"/>
      <c r="D159" s="139"/>
      <c r="E159" s="139"/>
      <c r="F159" s="139"/>
      <c r="G159" s="139"/>
      <c r="H159" s="139"/>
      <c r="I159" s="139"/>
      <c r="J159" s="139"/>
      <c r="K159" s="139"/>
      <c r="L159" s="139"/>
    </row>
    <row r="160" spans="3:12" ht="15">
      <c r="C160" s="139"/>
      <c r="D160" s="139"/>
      <c r="E160" s="139"/>
      <c r="F160" s="139"/>
      <c r="G160" s="139"/>
      <c r="H160" s="139"/>
      <c r="I160" s="139"/>
      <c r="J160" s="139"/>
      <c r="K160" s="139"/>
      <c r="L160" s="139"/>
    </row>
    <row r="161" spans="3:12" ht="15">
      <c r="C161" s="139"/>
      <c r="D161" s="139"/>
      <c r="E161" s="139"/>
      <c r="F161" s="139"/>
      <c r="G161" s="139"/>
      <c r="H161" s="139"/>
      <c r="I161" s="139"/>
      <c r="J161" s="139"/>
      <c r="K161" s="139"/>
      <c r="L161" s="139"/>
    </row>
    <row r="162" spans="3:12" ht="15">
      <c r="C162" s="139"/>
      <c r="D162" s="139"/>
      <c r="E162" s="139"/>
      <c r="F162" s="139"/>
      <c r="G162" s="139"/>
      <c r="H162" s="139"/>
      <c r="I162" s="139"/>
      <c r="J162" s="139"/>
      <c r="K162" s="139"/>
      <c r="L162" s="139"/>
    </row>
    <row r="163" spans="3:12" ht="15">
      <c r="C163" s="139"/>
      <c r="D163" s="139"/>
      <c r="E163" s="139"/>
      <c r="F163" s="139"/>
      <c r="G163" s="139"/>
      <c r="H163" s="139"/>
      <c r="I163" s="139"/>
      <c r="J163" s="139"/>
      <c r="K163" s="139"/>
      <c r="L163" s="139"/>
    </row>
    <row r="164" spans="3:12" ht="15">
      <c r="C164" s="139"/>
      <c r="D164" s="139"/>
      <c r="E164" s="139"/>
      <c r="F164" s="139"/>
      <c r="G164" s="139"/>
      <c r="H164" s="139"/>
      <c r="I164" s="139"/>
      <c r="J164" s="139"/>
      <c r="K164" s="139"/>
      <c r="L164" s="139"/>
    </row>
    <row r="165" spans="3:12" ht="15">
      <c r="C165" s="139"/>
      <c r="D165" s="139"/>
      <c r="E165" s="139"/>
      <c r="F165" s="139"/>
      <c r="G165" s="139"/>
      <c r="H165" s="139"/>
      <c r="I165" s="139"/>
      <c r="J165" s="139"/>
      <c r="K165" s="139"/>
      <c r="L165" s="139"/>
    </row>
    <row r="166" spans="3:12" ht="15">
      <c r="C166" s="139"/>
      <c r="D166" s="139"/>
      <c r="E166" s="139"/>
      <c r="F166" s="139"/>
      <c r="G166" s="139"/>
      <c r="H166" s="139"/>
      <c r="I166" s="139"/>
      <c r="J166" s="139"/>
      <c r="K166" s="139"/>
      <c r="L166" s="139"/>
    </row>
    <row r="167" spans="3:12" ht="15">
      <c r="C167" s="139"/>
      <c r="D167" s="139"/>
      <c r="E167" s="139"/>
      <c r="F167" s="139"/>
      <c r="G167" s="139"/>
      <c r="H167" s="139"/>
      <c r="I167" s="139"/>
      <c r="J167" s="139"/>
      <c r="K167" s="139"/>
      <c r="L167" s="139"/>
    </row>
    <row r="168" spans="3:12" ht="15">
      <c r="C168" s="139"/>
      <c r="D168" s="139"/>
      <c r="E168" s="139"/>
      <c r="F168" s="139"/>
      <c r="G168" s="139"/>
      <c r="H168" s="139"/>
      <c r="I168" s="139"/>
      <c r="J168" s="139"/>
      <c r="K168" s="139"/>
      <c r="L168" s="139"/>
    </row>
    <row r="169" spans="3:12" ht="15">
      <c r="C169" s="139"/>
      <c r="D169" s="139"/>
      <c r="E169" s="139"/>
      <c r="F169" s="139"/>
      <c r="G169" s="139"/>
      <c r="H169" s="139"/>
      <c r="I169" s="139"/>
      <c r="J169" s="139"/>
      <c r="K169" s="139"/>
      <c r="L169" s="139"/>
    </row>
    <row r="170" spans="3:12" ht="15">
      <c r="C170" s="139"/>
      <c r="D170" s="139"/>
      <c r="E170" s="139"/>
      <c r="F170" s="139"/>
      <c r="G170" s="139"/>
      <c r="H170" s="139"/>
      <c r="I170" s="139"/>
      <c r="J170" s="139"/>
      <c r="K170" s="139"/>
      <c r="L170" s="139"/>
    </row>
    <row r="171" spans="3:12" ht="15">
      <c r="C171" s="139"/>
      <c r="D171" s="139"/>
      <c r="E171" s="139"/>
      <c r="F171" s="139"/>
      <c r="G171" s="139"/>
      <c r="H171" s="139"/>
      <c r="I171" s="139"/>
      <c r="J171" s="139"/>
      <c r="K171" s="139"/>
      <c r="L171" s="139"/>
    </row>
    <row r="172" spans="3:12" ht="15">
      <c r="C172" s="139"/>
      <c r="D172" s="139"/>
      <c r="E172" s="139"/>
      <c r="F172" s="139"/>
      <c r="G172" s="139"/>
      <c r="H172" s="139"/>
      <c r="I172" s="139"/>
      <c r="J172" s="139"/>
      <c r="K172" s="139"/>
      <c r="L172" s="139"/>
    </row>
    <row r="173" spans="3:12" ht="15">
      <c r="C173" s="139"/>
      <c r="D173" s="139"/>
      <c r="E173" s="139"/>
      <c r="F173" s="139"/>
      <c r="G173" s="139"/>
      <c r="H173" s="139"/>
      <c r="I173" s="139"/>
      <c r="J173" s="139"/>
      <c r="K173" s="139"/>
      <c r="L173" s="139"/>
    </row>
    <row r="174" spans="3:12" ht="15">
      <c r="C174" s="139"/>
      <c r="D174" s="139"/>
      <c r="E174" s="139"/>
      <c r="F174" s="139"/>
      <c r="G174" s="139"/>
      <c r="H174" s="139"/>
      <c r="I174" s="139"/>
      <c r="J174" s="139"/>
      <c r="K174" s="139"/>
      <c r="L174" s="139"/>
    </row>
    <row r="175" spans="3:12" ht="15">
      <c r="C175" s="139"/>
      <c r="D175" s="139"/>
      <c r="E175" s="139"/>
      <c r="F175" s="139"/>
      <c r="G175" s="139"/>
      <c r="H175" s="139"/>
      <c r="I175" s="139"/>
      <c r="J175" s="139"/>
      <c r="K175" s="139"/>
      <c r="L175" s="139"/>
    </row>
    <row r="176" spans="3:12" ht="15">
      <c r="C176" s="139"/>
      <c r="D176" s="139"/>
      <c r="E176" s="139"/>
      <c r="F176" s="139"/>
      <c r="G176" s="139"/>
      <c r="H176" s="139"/>
      <c r="I176" s="139"/>
      <c r="J176" s="139"/>
      <c r="K176" s="139"/>
      <c r="L176" s="139"/>
    </row>
    <row r="177" spans="3:12" ht="15">
      <c r="C177" s="139"/>
      <c r="D177" s="139"/>
      <c r="E177" s="139"/>
      <c r="F177" s="139"/>
      <c r="G177" s="139"/>
      <c r="H177" s="139"/>
      <c r="I177" s="139"/>
      <c r="J177" s="139"/>
      <c r="K177" s="139"/>
      <c r="L177" s="139"/>
    </row>
    <row r="178" spans="3:12" ht="15">
      <c r="C178" s="139"/>
      <c r="D178" s="139"/>
      <c r="E178" s="139"/>
      <c r="F178" s="139"/>
      <c r="G178" s="139"/>
      <c r="H178" s="139"/>
      <c r="I178" s="139"/>
      <c r="J178" s="139"/>
      <c r="K178" s="139"/>
      <c r="L178" s="139"/>
    </row>
    <row r="179" spans="3:12" ht="15">
      <c r="C179" s="139"/>
      <c r="D179" s="139"/>
      <c r="E179" s="139"/>
      <c r="F179" s="139"/>
      <c r="G179" s="139"/>
      <c r="H179" s="139"/>
      <c r="I179" s="139"/>
      <c r="J179" s="139"/>
      <c r="K179" s="139"/>
      <c r="L179" s="139"/>
    </row>
    <row r="180" spans="3:12" ht="15">
      <c r="C180" s="139"/>
      <c r="D180" s="139"/>
      <c r="E180" s="139"/>
      <c r="F180" s="139"/>
      <c r="G180" s="139"/>
      <c r="H180" s="139"/>
      <c r="I180" s="139"/>
      <c r="J180" s="139"/>
      <c r="K180" s="139"/>
      <c r="L180" s="139"/>
    </row>
    <row r="181" spans="3:12" ht="15">
      <c r="C181" s="139"/>
      <c r="D181" s="139"/>
      <c r="E181" s="139"/>
      <c r="F181" s="139"/>
      <c r="G181" s="139"/>
      <c r="H181" s="139"/>
      <c r="I181" s="139"/>
      <c r="J181" s="139"/>
      <c r="K181" s="139"/>
      <c r="L181" s="139"/>
    </row>
    <row r="182" spans="3:12" ht="15">
      <c r="C182" s="139"/>
      <c r="D182" s="139"/>
      <c r="E182" s="139"/>
      <c r="F182" s="139"/>
      <c r="G182" s="139"/>
      <c r="H182" s="139"/>
      <c r="I182" s="139"/>
      <c r="J182" s="139"/>
      <c r="K182" s="139"/>
      <c r="L182" s="139"/>
    </row>
    <row r="183" spans="3:12" ht="15">
      <c r="C183" s="139"/>
      <c r="D183" s="139"/>
      <c r="E183" s="139"/>
      <c r="F183" s="139"/>
      <c r="G183" s="139"/>
      <c r="H183" s="139"/>
      <c r="I183" s="139"/>
      <c r="J183" s="139"/>
      <c r="K183" s="139"/>
      <c r="L183" s="139"/>
    </row>
    <row r="184" spans="3:12" ht="15">
      <c r="C184" s="139"/>
      <c r="D184" s="139"/>
      <c r="E184" s="139"/>
      <c r="F184" s="139"/>
      <c r="G184" s="139"/>
      <c r="H184" s="139"/>
      <c r="I184" s="139"/>
      <c r="J184" s="139"/>
      <c r="K184" s="139"/>
      <c r="L184" s="139"/>
    </row>
    <row r="185" spans="3:12" ht="15">
      <c r="C185" s="139"/>
      <c r="D185" s="139"/>
      <c r="E185" s="139"/>
      <c r="F185" s="139"/>
      <c r="G185" s="139"/>
      <c r="H185" s="139"/>
      <c r="I185" s="139"/>
      <c r="J185" s="139"/>
      <c r="K185" s="139"/>
      <c r="L185" s="139"/>
    </row>
    <row r="186" spans="3:12" ht="15">
      <c r="C186" s="139"/>
      <c r="D186" s="139"/>
      <c r="E186" s="139"/>
      <c r="F186" s="139"/>
      <c r="G186" s="139"/>
      <c r="H186" s="139"/>
      <c r="I186" s="139"/>
      <c r="J186" s="139"/>
      <c r="K186" s="139"/>
      <c r="L186" s="139"/>
    </row>
    <row r="187" spans="3:12" ht="15">
      <c r="C187" s="139"/>
      <c r="D187" s="139"/>
      <c r="E187" s="139"/>
      <c r="F187" s="139"/>
      <c r="G187" s="139"/>
      <c r="H187" s="139"/>
      <c r="I187" s="139"/>
      <c r="J187" s="139"/>
      <c r="K187" s="139"/>
      <c r="L187" s="139"/>
    </row>
    <row r="188" spans="3:12" ht="15">
      <c r="C188" s="139"/>
      <c r="D188" s="139"/>
      <c r="E188" s="139"/>
      <c r="F188" s="139"/>
      <c r="G188" s="139"/>
      <c r="H188" s="139"/>
      <c r="I188" s="139"/>
      <c r="J188" s="139"/>
      <c r="K188" s="139"/>
      <c r="L188" s="139"/>
    </row>
    <row r="189" spans="3:12" ht="15">
      <c r="C189" s="139"/>
      <c r="D189" s="139"/>
      <c r="E189" s="139"/>
      <c r="F189" s="139"/>
      <c r="G189" s="139"/>
      <c r="H189" s="139"/>
      <c r="I189" s="139"/>
      <c r="J189" s="139"/>
      <c r="K189" s="139"/>
      <c r="L189" s="139"/>
    </row>
    <row r="190" spans="3:12" ht="15">
      <c r="C190" s="139"/>
      <c r="D190" s="139"/>
      <c r="E190" s="139"/>
      <c r="F190" s="139"/>
      <c r="G190" s="139"/>
      <c r="H190" s="139"/>
      <c r="I190" s="139"/>
      <c r="J190" s="139"/>
      <c r="K190" s="139"/>
      <c r="L190" s="139"/>
    </row>
    <row r="191" spans="3:12" ht="15">
      <c r="C191" s="139"/>
      <c r="D191" s="139"/>
      <c r="E191" s="139"/>
      <c r="F191" s="139"/>
      <c r="G191" s="139"/>
      <c r="H191" s="139"/>
      <c r="I191" s="139"/>
      <c r="J191" s="139"/>
      <c r="K191" s="139"/>
      <c r="L191" s="139"/>
    </row>
    <row r="192" spans="3:12" ht="15">
      <c r="C192" s="139"/>
      <c r="D192" s="139"/>
      <c r="E192" s="139"/>
      <c r="F192" s="139"/>
      <c r="G192" s="139"/>
      <c r="H192" s="139"/>
      <c r="I192" s="139"/>
      <c r="J192" s="139"/>
      <c r="K192" s="139"/>
      <c r="L192" s="139"/>
    </row>
    <row r="193" spans="3:12" ht="15">
      <c r="C193" s="139"/>
      <c r="D193" s="139"/>
      <c r="E193" s="139"/>
      <c r="F193" s="139"/>
      <c r="G193" s="139"/>
      <c r="H193" s="139"/>
      <c r="I193" s="139"/>
      <c r="J193" s="139"/>
      <c r="K193" s="139"/>
      <c r="L193" s="139"/>
    </row>
    <row r="194" spans="3:12" ht="15">
      <c r="C194" s="139"/>
      <c r="D194" s="139"/>
      <c r="E194" s="139"/>
      <c r="F194" s="139"/>
      <c r="G194" s="139"/>
      <c r="H194" s="139"/>
      <c r="I194" s="139"/>
      <c r="J194" s="139"/>
      <c r="K194" s="139"/>
      <c r="L194" s="139"/>
    </row>
    <row r="195" spans="3:12" ht="15">
      <c r="C195" s="139"/>
      <c r="D195" s="139"/>
      <c r="E195" s="139"/>
      <c r="F195" s="139"/>
      <c r="G195" s="139"/>
      <c r="H195" s="139"/>
      <c r="I195" s="139"/>
      <c r="J195" s="139"/>
      <c r="K195" s="139"/>
      <c r="L195" s="139"/>
    </row>
    <row r="196" spans="3:12" ht="15">
      <c r="C196" s="139"/>
      <c r="D196" s="139"/>
      <c r="E196" s="139"/>
      <c r="F196" s="139"/>
      <c r="G196" s="139"/>
      <c r="H196" s="139"/>
      <c r="I196" s="139"/>
      <c r="J196" s="139"/>
      <c r="K196" s="139"/>
      <c r="L196" s="139"/>
    </row>
    <row r="197" spans="3:12" ht="15">
      <c r="C197" s="139"/>
      <c r="D197" s="139"/>
      <c r="E197" s="139"/>
      <c r="F197" s="139"/>
      <c r="G197" s="139"/>
      <c r="H197" s="139"/>
      <c r="I197" s="139"/>
      <c r="J197" s="139"/>
      <c r="K197" s="139"/>
      <c r="L197" s="139"/>
    </row>
    <row r="198" spans="3:12" ht="15">
      <c r="C198" s="139"/>
      <c r="D198" s="139"/>
      <c r="E198" s="139"/>
      <c r="F198" s="139"/>
      <c r="G198" s="139"/>
      <c r="H198" s="139"/>
      <c r="I198" s="139"/>
      <c r="J198" s="139"/>
      <c r="K198" s="139"/>
      <c r="L198" s="139"/>
    </row>
    <row r="199" spans="3:12" ht="15">
      <c r="C199" s="139"/>
      <c r="D199" s="139"/>
      <c r="E199" s="139"/>
      <c r="F199" s="139"/>
      <c r="G199" s="139"/>
      <c r="H199" s="139"/>
      <c r="I199" s="139"/>
      <c r="J199" s="139"/>
      <c r="K199" s="139"/>
      <c r="L199" s="139"/>
    </row>
    <row r="200" spans="3:12" ht="15">
      <c r="C200" s="139"/>
      <c r="D200" s="139"/>
      <c r="E200" s="139"/>
      <c r="F200" s="139"/>
      <c r="G200" s="139"/>
      <c r="H200" s="139"/>
      <c r="I200" s="139"/>
      <c r="J200" s="139"/>
      <c r="K200" s="139"/>
      <c r="L200" s="139"/>
    </row>
    <row r="201" spans="3:12" ht="15">
      <c r="C201" s="139"/>
      <c r="D201" s="139"/>
      <c r="E201" s="139"/>
      <c r="F201" s="139"/>
      <c r="G201" s="139"/>
      <c r="H201" s="139"/>
      <c r="I201" s="139"/>
      <c r="J201" s="139"/>
      <c r="K201" s="139"/>
      <c r="L201" s="139"/>
    </row>
    <row r="202" spans="3:12" ht="15">
      <c r="C202" s="139"/>
      <c r="D202" s="139"/>
      <c r="E202" s="139"/>
      <c r="F202" s="139"/>
      <c r="G202" s="139"/>
      <c r="H202" s="139"/>
      <c r="I202" s="139"/>
      <c r="J202" s="139"/>
      <c r="K202" s="139"/>
      <c r="L202" s="139"/>
    </row>
    <row r="203" spans="3:12" ht="15">
      <c r="C203" s="139"/>
      <c r="D203" s="139"/>
      <c r="E203" s="139"/>
      <c r="F203" s="139"/>
      <c r="G203" s="139"/>
      <c r="H203" s="139"/>
      <c r="I203" s="139"/>
      <c r="J203" s="139"/>
      <c r="K203" s="139"/>
      <c r="L203" s="139"/>
    </row>
    <row r="204" spans="3:12" ht="15">
      <c r="C204" s="139"/>
      <c r="D204" s="139"/>
      <c r="E204" s="139"/>
      <c r="F204" s="139"/>
      <c r="G204" s="139"/>
      <c r="H204" s="139"/>
      <c r="I204" s="139"/>
      <c r="J204" s="139"/>
      <c r="K204" s="139"/>
      <c r="L204" s="139"/>
    </row>
    <row r="205" spans="3:12" ht="15">
      <c r="C205" s="139"/>
      <c r="D205" s="139"/>
      <c r="E205" s="139"/>
      <c r="F205" s="139"/>
      <c r="G205" s="139"/>
      <c r="H205" s="139"/>
      <c r="I205" s="139"/>
      <c r="J205" s="139"/>
      <c r="K205" s="139"/>
      <c r="L205" s="139"/>
    </row>
    <row r="206" spans="3:12" ht="15">
      <c r="C206" s="139"/>
      <c r="D206" s="139"/>
      <c r="E206" s="139"/>
      <c r="F206" s="139"/>
      <c r="G206" s="139"/>
      <c r="H206" s="139"/>
      <c r="I206" s="139"/>
      <c r="J206" s="139"/>
      <c r="K206" s="139"/>
      <c r="L206" s="139"/>
    </row>
    <row r="207" spans="3:12" ht="15">
      <c r="C207" s="139"/>
      <c r="D207" s="139"/>
      <c r="E207" s="139"/>
      <c r="F207" s="139"/>
      <c r="G207" s="139"/>
      <c r="H207" s="139"/>
      <c r="I207" s="139"/>
      <c r="J207" s="139"/>
      <c r="K207" s="139"/>
      <c r="L207" s="139"/>
    </row>
    <row r="208" spans="3:12" ht="15">
      <c r="C208" s="139"/>
      <c r="D208" s="139"/>
      <c r="E208" s="139"/>
      <c r="F208" s="139"/>
      <c r="G208" s="139"/>
      <c r="H208" s="139"/>
      <c r="I208" s="139"/>
      <c r="J208" s="139"/>
      <c r="K208" s="139"/>
      <c r="L208" s="139"/>
    </row>
    <row r="209" spans="3:12" ht="15">
      <c r="C209" s="139"/>
      <c r="D209" s="139"/>
      <c r="E209" s="139"/>
      <c r="F209" s="139"/>
      <c r="G209" s="139"/>
      <c r="H209" s="139"/>
      <c r="I209" s="139"/>
      <c r="J209" s="139"/>
      <c r="K209" s="139"/>
      <c r="L209" s="139"/>
    </row>
    <row r="210" spans="3:12" ht="15">
      <c r="C210" s="139"/>
      <c r="D210" s="139"/>
      <c r="E210" s="139"/>
      <c r="F210" s="139"/>
      <c r="G210" s="139"/>
      <c r="H210" s="139"/>
      <c r="I210" s="139"/>
      <c r="J210" s="139"/>
      <c r="K210" s="139"/>
      <c r="L210" s="139"/>
    </row>
    <row r="211" spans="3:12" ht="15">
      <c r="C211" s="139"/>
      <c r="D211" s="139"/>
      <c r="E211" s="139"/>
      <c r="F211" s="139"/>
      <c r="G211" s="139"/>
      <c r="H211" s="139"/>
      <c r="I211" s="139"/>
      <c r="J211" s="139"/>
      <c r="K211" s="139"/>
      <c r="L211" s="139"/>
    </row>
    <row r="212" spans="3:12" ht="15">
      <c r="C212" s="139"/>
      <c r="D212" s="139"/>
      <c r="E212" s="139"/>
      <c r="F212" s="139"/>
      <c r="G212" s="139"/>
      <c r="H212" s="139"/>
      <c r="I212" s="139"/>
      <c r="J212" s="139"/>
      <c r="K212" s="139"/>
      <c r="L212" s="139"/>
    </row>
    <row r="213" spans="3:12" ht="15">
      <c r="C213" s="139"/>
      <c r="D213" s="139"/>
      <c r="E213" s="139"/>
      <c r="F213" s="139"/>
      <c r="G213" s="139"/>
      <c r="H213" s="139"/>
      <c r="I213" s="139"/>
      <c r="J213" s="139"/>
      <c r="K213" s="139"/>
      <c r="L213" s="139"/>
    </row>
    <row r="214" spans="3:12" ht="15">
      <c r="C214" s="139"/>
      <c r="D214" s="139"/>
      <c r="E214" s="139"/>
      <c r="F214" s="139"/>
      <c r="G214" s="139"/>
      <c r="H214" s="139"/>
      <c r="I214" s="139"/>
      <c r="J214" s="139"/>
      <c r="K214" s="139"/>
      <c r="L214" s="139"/>
    </row>
    <row r="215" spans="3:12" ht="15">
      <c r="C215" s="139"/>
      <c r="D215" s="139"/>
      <c r="E215" s="139"/>
      <c r="F215" s="139"/>
      <c r="G215" s="139"/>
      <c r="H215" s="139"/>
      <c r="I215" s="139"/>
      <c r="J215" s="139"/>
      <c r="K215" s="139"/>
      <c r="L215" s="139"/>
    </row>
    <row r="216" spans="3:12" ht="15">
      <c r="C216" s="139"/>
      <c r="D216" s="139"/>
      <c r="E216" s="139"/>
      <c r="F216" s="139"/>
      <c r="G216" s="139"/>
      <c r="H216" s="139"/>
      <c r="I216" s="139"/>
      <c r="J216" s="139"/>
      <c r="K216" s="139"/>
      <c r="L216" s="139"/>
    </row>
    <row r="217" spans="3:12" ht="15">
      <c r="C217" s="139"/>
      <c r="D217" s="139"/>
      <c r="E217" s="139"/>
      <c r="F217" s="139"/>
      <c r="G217" s="139"/>
      <c r="H217" s="139"/>
      <c r="I217" s="139"/>
      <c r="J217" s="139"/>
      <c r="K217" s="139"/>
      <c r="L217" s="139"/>
    </row>
    <row r="218" spans="3:12" ht="15">
      <c r="C218" s="139"/>
      <c r="D218" s="139"/>
      <c r="E218" s="139"/>
      <c r="F218" s="139"/>
      <c r="G218" s="139"/>
      <c r="H218" s="139"/>
      <c r="I218" s="139"/>
      <c r="J218" s="139"/>
      <c r="K218" s="139"/>
      <c r="L218" s="139"/>
    </row>
    <row r="219" spans="3:12" ht="15">
      <c r="C219" s="139"/>
      <c r="D219" s="139"/>
      <c r="E219" s="139"/>
      <c r="F219" s="139"/>
      <c r="G219" s="139"/>
      <c r="H219" s="139"/>
      <c r="I219" s="139"/>
      <c r="J219" s="139"/>
      <c r="K219" s="139"/>
      <c r="L219" s="139"/>
    </row>
    <row r="220" spans="3:12" ht="15">
      <c r="C220" s="139"/>
      <c r="D220" s="139"/>
      <c r="E220" s="139"/>
      <c r="F220" s="139"/>
      <c r="G220" s="139"/>
      <c r="H220" s="139"/>
      <c r="I220" s="139"/>
      <c r="J220" s="139"/>
      <c r="K220" s="139"/>
      <c r="L220" s="139"/>
    </row>
    <row r="221" spans="3:12" ht="15">
      <c r="C221" s="139"/>
      <c r="D221" s="139"/>
      <c r="E221" s="139"/>
      <c r="F221" s="139"/>
      <c r="G221" s="139"/>
      <c r="H221" s="139"/>
      <c r="I221" s="139"/>
      <c r="J221" s="139"/>
      <c r="K221" s="139"/>
      <c r="L221" s="139"/>
    </row>
    <row r="222" spans="3:12" ht="15">
      <c r="C222" s="139"/>
      <c r="D222" s="139"/>
      <c r="E222" s="139"/>
      <c r="F222" s="139"/>
      <c r="G222" s="139"/>
      <c r="H222" s="139"/>
      <c r="I222" s="139"/>
      <c r="J222" s="139"/>
      <c r="K222" s="139"/>
      <c r="L222" s="139"/>
    </row>
    <row r="223" spans="3:12" ht="15">
      <c r="C223" s="139"/>
      <c r="D223" s="139"/>
      <c r="E223" s="139"/>
      <c r="F223" s="139"/>
      <c r="G223" s="139"/>
      <c r="H223" s="139"/>
      <c r="I223" s="139"/>
      <c r="J223" s="139"/>
      <c r="K223" s="139"/>
      <c r="L223" s="139"/>
    </row>
    <row r="224" spans="3:12" ht="15">
      <c r="C224" s="139"/>
      <c r="D224" s="139"/>
      <c r="E224" s="139"/>
      <c r="F224" s="139"/>
      <c r="G224" s="139"/>
      <c r="H224" s="139"/>
      <c r="I224" s="139"/>
      <c r="J224" s="139"/>
      <c r="K224" s="139"/>
      <c r="L224" s="139"/>
    </row>
    <row r="225" spans="3:12" ht="15">
      <c r="C225" s="139"/>
      <c r="D225" s="139"/>
      <c r="E225" s="139"/>
      <c r="F225" s="139"/>
      <c r="G225" s="139"/>
      <c r="H225" s="139"/>
      <c r="I225" s="139"/>
      <c r="J225" s="139"/>
      <c r="K225" s="139"/>
      <c r="L225" s="139"/>
    </row>
    <row r="226" spans="3:12" ht="15">
      <c r="C226" s="139"/>
      <c r="D226" s="139"/>
      <c r="E226" s="139"/>
      <c r="F226" s="139"/>
      <c r="G226" s="139"/>
      <c r="H226" s="139"/>
      <c r="I226" s="139"/>
      <c r="J226" s="139"/>
      <c r="K226" s="139"/>
      <c r="L226" s="139"/>
    </row>
    <row r="227" spans="3:12" ht="15">
      <c r="C227" s="139"/>
      <c r="D227" s="139"/>
      <c r="E227" s="139"/>
      <c r="F227" s="139"/>
      <c r="G227" s="139"/>
      <c r="H227" s="139"/>
      <c r="I227" s="139"/>
      <c r="J227" s="139"/>
      <c r="K227" s="139"/>
      <c r="L227" s="139"/>
    </row>
    <row r="228" spans="3:12" ht="15">
      <c r="C228" s="139"/>
      <c r="D228" s="139"/>
      <c r="E228" s="139"/>
      <c r="F228" s="139"/>
      <c r="G228" s="139"/>
      <c r="H228" s="139"/>
      <c r="I228" s="139"/>
      <c r="J228" s="139"/>
      <c r="K228" s="139"/>
      <c r="L228" s="139"/>
    </row>
    <row r="229" spans="3:12" ht="15">
      <c r="C229" s="139"/>
      <c r="D229" s="139"/>
      <c r="E229" s="139"/>
      <c r="F229" s="139"/>
      <c r="G229" s="139"/>
      <c r="H229" s="139"/>
      <c r="I229" s="139"/>
      <c r="J229" s="139"/>
      <c r="K229" s="139"/>
      <c r="L229" s="139"/>
    </row>
    <row r="230" spans="3:12" ht="15">
      <c r="C230" s="139"/>
      <c r="D230" s="139"/>
      <c r="E230" s="139"/>
      <c r="F230" s="139"/>
      <c r="G230" s="139"/>
      <c r="H230" s="139"/>
      <c r="I230" s="139"/>
      <c r="J230" s="139"/>
      <c r="K230" s="139"/>
      <c r="L230" s="139"/>
    </row>
    <row r="231" spans="3:12" ht="15">
      <c r="C231" s="139"/>
      <c r="D231" s="139"/>
      <c r="E231" s="139"/>
      <c r="F231" s="139"/>
      <c r="G231" s="139"/>
      <c r="H231" s="139"/>
      <c r="I231" s="139"/>
      <c r="J231" s="139"/>
      <c r="K231" s="139"/>
      <c r="L231" s="139"/>
    </row>
    <row r="232" spans="3:12" ht="15">
      <c r="C232" s="139"/>
      <c r="D232" s="139"/>
      <c r="E232" s="139"/>
      <c r="F232" s="139"/>
      <c r="G232" s="139"/>
      <c r="H232" s="139"/>
      <c r="I232" s="139"/>
      <c r="J232" s="139"/>
      <c r="K232" s="139"/>
      <c r="L232" s="139"/>
    </row>
    <row r="233" spans="3:12" ht="15">
      <c r="C233" s="139"/>
      <c r="D233" s="139"/>
      <c r="E233" s="139"/>
      <c r="F233" s="139"/>
      <c r="G233" s="139"/>
      <c r="H233" s="139"/>
      <c r="I233" s="139"/>
      <c r="J233" s="139"/>
      <c r="K233" s="139"/>
      <c r="L233" s="139"/>
    </row>
    <row r="234" spans="3:12" ht="15">
      <c r="C234" s="139"/>
      <c r="D234" s="139"/>
      <c r="E234" s="139"/>
      <c r="F234" s="139"/>
      <c r="G234" s="139"/>
      <c r="H234" s="139"/>
      <c r="I234" s="139"/>
      <c r="J234" s="139"/>
      <c r="K234" s="139"/>
      <c r="L234" s="139"/>
    </row>
    <row r="235" spans="3:12" ht="15">
      <c r="C235" s="139"/>
      <c r="D235" s="139"/>
      <c r="E235" s="139"/>
      <c r="F235" s="139"/>
      <c r="G235" s="139"/>
      <c r="H235" s="139"/>
      <c r="I235" s="139"/>
      <c r="J235" s="139"/>
      <c r="K235" s="139"/>
      <c r="L235" s="139"/>
    </row>
    <row r="236" spans="3:12" ht="15">
      <c r="C236" s="139"/>
      <c r="D236" s="139"/>
      <c r="E236" s="139"/>
      <c r="F236" s="139"/>
      <c r="G236" s="139"/>
      <c r="H236" s="139"/>
      <c r="I236" s="139"/>
      <c r="J236" s="139"/>
      <c r="K236" s="139"/>
      <c r="L236" s="139"/>
    </row>
    <row r="237" spans="3:12" ht="15">
      <c r="C237" s="139"/>
      <c r="D237" s="139"/>
      <c r="E237" s="139"/>
      <c r="F237" s="139"/>
      <c r="G237" s="139"/>
      <c r="H237" s="139"/>
      <c r="I237" s="139"/>
      <c r="J237" s="139"/>
      <c r="K237" s="139"/>
      <c r="L237" s="139"/>
    </row>
    <row r="238" spans="3:12" ht="15">
      <c r="C238" s="139"/>
      <c r="D238" s="139"/>
      <c r="E238" s="139"/>
      <c r="F238" s="139"/>
      <c r="G238" s="139"/>
      <c r="H238" s="139"/>
      <c r="I238" s="139"/>
      <c r="J238" s="139"/>
      <c r="K238" s="139"/>
      <c r="L238" s="139"/>
    </row>
    <row r="239" spans="3:12" ht="15">
      <c r="C239" s="139"/>
      <c r="D239" s="139"/>
      <c r="E239" s="139"/>
      <c r="F239" s="139"/>
      <c r="G239" s="139"/>
      <c r="H239" s="139"/>
      <c r="I239" s="139"/>
      <c r="J239" s="139"/>
      <c r="K239" s="139"/>
      <c r="L239" s="139"/>
    </row>
    <row r="240" spans="3:12" ht="15">
      <c r="C240" s="139"/>
      <c r="D240" s="139"/>
      <c r="E240" s="139"/>
      <c r="F240" s="139"/>
      <c r="G240" s="139"/>
      <c r="H240" s="139"/>
      <c r="I240" s="139"/>
      <c r="J240" s="139"/>
      <c r="K240" s="139"/>
      <c r="L240" s="139"/>
    </row>
    <row r="241" spans="3:12" ht="15">
      <c r="C241" s="139"/>
      <c r="D241" s="139"/>
      <c r="E241" s="139"/>
      <c r="F241" s="139"/>
      <c r="G241" s="139"/>
      <c r="H241" s="139"/>
      <c r="I241" s="139"/>
      <c r="J241" s="139"/>
      <c r="K241" s="139"/>
      <c r="L241" s="139"/>
    </row>
    <row r="242" spans="3:12" ht="15">
      <c r="C242" s="139"/>
      <c r="D242" s="139"/>
      <c r="E242" s="139"/>
      <c r="F242" s="139"/>
      <c r="G242" s="139"/>
      <c r="H242" s="139"/>
      <c r="I242" s="139"/>
      <c r="J242" s="139"/>
      <c r="K242" s="139"/>
      <c r="L242" s="139"/>
    </row>
    <row r="243" spans="3:12" ht="15">
      <c r="C243" s="139"/>
      <c r="D243" s="139"/>
      <c r="E243" s="139"/>
      <c r="F243" s="139"/>
      <c r="G243" s="139"/>
      <c r="H243" s="139"/>
      <c r="I243" s="139"/>
      <c r="J243" s="139"/>
      <c r="K243" s="139"/>
      <c r="L243" s="139"/>
    </row>
    <row r="244" spans="3:12" ht="15">
      <c r="C244" s="139"/>
      <c r="D244" s="139"/>
      <c r="E244" s="139"/>
      <c r="F244" s="139"/>
      <c r="G244" s="139"/>
      <c r="H244" s="139"/>
      <c r="I244" s="139"/>
      <c r="J244" s="139"/>
      <c r="K244" s="139"/>
      <c r="L244" s="139"/>
    </row>
    <row r="245" spans="3:12" ht="15">
      <c r="C245" s="139"/>
      <c r="D245" s="139"/>
      <c r="E245" s="139"/>
      <c r="F245" s="139"/>
      <c r="G245" s="139"/>
      <c r="H245" s="139"/>
      <c r="I245" s="139"/>
      <c r="J245" s="139"/>
      <c r="K245" s="139"/>
      <c r="L245" s="139"/>
    </row>
    <row r="246" spans="3:12" ht="15">
      <c r="C246" s="139"/>
      <c r="D246" s="139"/>
      <c r="E246" s="139"/>
      <c r="F246" s="139"/>
      <c r="G246" s="139"/>
      <c r="H246" s="139"/>
      <c r="I246" s="139"/>
      <c r="J246" s="139"/>
      <c r="K246" s="139"/>
      <c r="L246" s="139"/>
    </row>
    <row r="247" spans="3:12" ht="15">
      <c r="C247" s="139"/>
      <c r="D247" s="139"/>
      <c r="E247" s="139"/>
      <c r="F247" s="139"/>
      <c r="G247" s="139"/>
      <c r="H247" s="139"/>
      <c r="I247" s="139"/>
      <c r="J247" s="139"/>
      <c r="K247" s="139"/>
      <c r="L247" s="139"/>
    </row>
    <row r="248" spans="3:12" ht="15">
      <c r="C248" s="139"/>
      <c r="D248" s="139"/>
      <c r="E248" s="139"/>
      <c r="F248" s="139"/>
      <c r="G248" s="139"/>
      <c r="H248" s="139"/>
      <c r="I248" s="139"/>
      <c r="J248" s="139"/>
      <c r="K248" s="139"/>
      <c r="L248" s="139"/>
    </row>
    <row r="249" spans="3:12" ht="15">
      <c r="C249" s="139"/>
      <c r="D249" s="139"/>
      <c r="E249" s="139"/>
      <c r="F249" s="139"/>
      <c r="G249" s="139"/>
      <c r="H249" s="139"/>
      <c r="I249" s="139"/>
      <c r="J249" s="139"/>
      <c r="K249" s="139"/>
      <c r="L249" s="139"/>
    </row>
    <row r="250" spans="3:12" ht="15">
      <c r="C250" s="139"/>
      <c r="D250" s="139"/>
      <c r="E250" s="139"/>
      <c r="F250" s="139"/>
      <c r="G250" s="139"/>
      <c r="H250" s="139"/>
      <c r="I250" s="139"/>
      <c r="J250" s="139"/>
      <c r="K250" s="139"/>
      <c r="L250" s="139"/>
    </row>
    <row r="251" spans="3:12" ht="15">
      <c r="C251" s="139"/>
      <c r="D251" s="139"/>
      <c r="E251" s="139"/>
      <c r="F251" s="139"/>
      <c r="G251" s="139"/>
      <c r="H251" s="139"/>
      <c r="I251" s="139"/>
      <c r="J251" s="139"/>
      <c r="K251" s="139"/>
      <c r="L251" s="139"/>
    </row>
    <row r="252" spans="3:12" ht="15">
      <c r="C252" s="139"/>
      <c r="D252" s="139"/>
      <c r="E252" s="139"/>
      <c r="F252" s="139"/>
      <c r="G252" s="139"/>
      <c r="H252" s="139"/>
      <c r="I252" s="139"/>
      <c r="J252" s="139"/>
      <c r="K252" s="139"/>
      <c r="L252" s="139"/>
    </row>
    <row r="253" spans="3:12" ht="15">
      <c r="C253" s="139"/>
      <c r="D253" s="139"/>
      <c r="E253" s="139"/>
      <c r="F253" s="139"/>
      <c r="G253" s="139"/>
      <c r="H253" s="139"/>
      <c r="I253" s="139"/>
      <c r="J253" s="139"/>
      <c r="K253" s="139"/>
      <c r="L253" s="139"/>
    </row>
    <row r="254" spans="3:12" ht="15">
      <c r="C254" s="139"/>
      <c r="D254" s="139"/>
      <c r="E254" s="139"/>
      <c r="F254" s="139"/>
      <c r="G254" s="139"/>
      <c r="H254" s="139"/>
      <c r="I254" s="139"/>
      <c r="J254" s="139"/>
      <c r="K254" s="139"/>
      <c r="L254" s="139"/>
    </row>
    <row r="255" spans="3:12" ht="15">
      <c r="C255" s="139"/>
      <c r="D255" s="139"/>
      <c r="E255" s="139"/>
      <c r="F255" s="139"/>
      <c r="G255" s="139"/>
      <c r="H255" s="139"/>
      <c r="I255" s="139"/>
      <c r="J255" s="139"/>
      <c r="K255" s="139"/>
      <c r="L255" s="139"/>
    </row>
    <row r="256" spans="3:12" ht="15">
      <c r="C256" s="139"/>
      <c r="D256" s="139"/>
      <c r="E256" s="139"/>
      <c r="F256" s="139"/>
      <c r="G256" s="139"/>
      <c r="H256" s="139"/>
      <c r="I256" s="139"/>
      <c r="J256" s="139"/>
      <c r="K256" s="139"/>
      <c r="L256" s="139"/>
    </row>
    <row r="257" spans="3:12" ht="15">
      <c r="C257" s="139"/>
      <c r="D257" s="139"/>
      <c r="E257" s="139"/>
      <c r="F257" s="139"/>
      <c r="G257" s="139"/>
      <c r="H257" s="139"/>
      <c r="I257" s="139"/>
      <c r="J257" s="139"/>
      <c r="K257" s="139"/>
      <c r="L257" s="139"/>
    </row>
    <row r="258" spans="3:12" ht="15">
      <c r="C258" s="139"/>
      <c r="D258" s="139"/>
      <c r="E258" s="139"/>
      <c r="F258" s="139"/>
      <c r="G258" s="139"/>
      <c r="H258" s="139"/>
      <c r="I258" s="139"/>
      <c r="J258" s="139"/>
      <c r="K258" s="139"/>
      <c r="L258" s="139"/>
    </row>
    <row r="259" spans="3:12" ht="15">
      <c r="C259" s="139"/>
      <c r="D259" s="139"/>
      <c r="E259" s="139"/>
      <c r="F259" s="139"/>
      <c r="G259" s="139"/>
      <c r="H259" s="139"/>
      <c r="I259" s="139"/>
      <c r="J259" s="139"/>
      <c r="K259" s="139"/>
      <c r="L259" s="139"/>
    </row>
    <row r="260" spans="3:12" ht="15">
      <c r="C260" s="139"/>
      <c r="D260" s="139"/>
      <c r="E260" s="139"/>
      <c r="F260" s="139"/>
      <c r="G260" s="139"/>
      <c r="H260" s="139"/>
      <c r="I260" s="139"/>
      <c r="J260" s="139"/>
      <c r="K260" s="139"/>
      <c r="L260" s="139"/>
    </row>
    <row r="261" spans="3:12" ht="15">
      <c r="C261" s="139"/>
      <c r="D261" s="139"/>
      <c r="E261" s="139"/>
      <c r="F261" s="139"/>
      <c r="G261" s="139"/>
      <c r="H261" s="139"/>
      <c r="I261" s="139"/>
      <c r="J261" s="139"/>
      <c r="K261" s="139"/>
      <c r="L261" s="139"/>
    </row>
    <row r="262" spans="3:12" ht="15">
      <c r="C262" s="139"/>
      <c r="D262" s="139"/>
      <c r="E262" s="139"/>
      <c r="F262" s="139"/>
      <c r="G262" s="139"/>
      <c r="H262" s="139"/>
      <c r="I262" s="139"/>
      <c r="J262" s="139"/>
      <c r="K262" s="139"/>
      <c r="L262" s="139"/>
    </row>
    <row r="263" spans="3:12" ht="15">
      <c r="C263" s="139"/>
      <c r="D263" s="139"/>
      <c r="E263" s="139"/>
      <c r="F263" s="139"/>
      <c r="G263" s="139"/>
      <c r="H263" s="139"/>
      <c r="I263" s="139"/>
      <c r="J263" s="139"/>
      <c r="K263" s="139"/>
      <c r="L263" s="139"/>
    </row>
    <row r="264" spans="3:12" ht="15">
      <c r="C264" s="139"/>
      <c r="D264" s="139"/>
      <c r="E264" s="139"/>
      <c r="F264" s="139"/>
      <c r="G264" s="139"/>
      <c r="H264" s="139"/>
      <c r="I264" s="139"/>
      <c r="J264" s="139"/>
      <c r="K264" s="139"/>
      <c r="L264" s="139"/>
    </row>
    <row r="265" spans="3:12" ht="15">
      <c r="C265" s="139"/>
      <c r="D265" s="139"/>
      <c r="E265" s="139"/>
      <c r="F265" s="139"/>
      <c r="G265" s="139"/>
      <c r="H265" s="139"/>
      <c r="I265" s="139"/>
      <c r="J265" s="139"/>
      <c r="K265" s="139"/>
      <c r="L265" s="139"/>
    </row>
    <row r="266" spans="3:12" ht="15">
      <c r="C266" s="139"/>
      <c r="D266" s="139"/>
      <c r="E266" s="139"/>
      <c r="F266" s="139"/>
      <c r="G266" s="139"/>
      <c r="H266" s="139"/>
      <c r="I266" s="139"/>
      <c r="J266" s="139"/>
      <c r="K266" s="139"/>
      <c r="L266" s="139"/>
    </row>
    <row r="267" spans="3:12" ht="15">
      <c r="C267" s="139"/>
      <c r="D267" s="139"/>
      <c r="E267" s="139"/>
      <c r="F267" s="139"/>
      <c r="G267" s="139"/>
      <c r="H267" s="139"/>
      <c r="I267" s="139"/>
      <c r="J267" s="139"/>
      <c r="K267" s="139"/>
      <c r="L267" s="139"/>
    </row>
    <row r="268" spans="3:12" ht="15">
      <c r="C268" s="139"/>
      <c r="D268" s="139"/>
      <c r="E268" s="139"/>
      <c r="F268" s="139"/>
      <c r="G268" s="139"/>
      <c r="H268" s="139"/>
      <c r="I268" s="139"/>
      <c r="J268" s="139"/>
      <c r="K268" s="139"/>
      <c r="L268" s="139"/>
    </row>
    <row r="269" spans="3:12" ht="15">
      <c r="C269" s="139"/>
      <c r="D269" s="139"/>
      <c r="E269" s="139"/>
      <c r="F269" s="139"/>
      <c r="G269" s="139"/>
      <c r="H269" s="139"/>
      <c r="I269" s="139"/>
      <c r="J269" s="139"/>
      <c r="K269" s="139"/>
      <c r="L269" s="139"/>
    </row>
    <row r="270" spans="3:12" ht="15">
      <c r="C270" s="139"/>
      <c r="D270" s="139"/>
      <c r="E270" s="139"/>
      <c r="F270" s="139"/>
      <c r="G270" s="139"/>
      <c r="H270" s="139"/>
      <c r="I270" s="139"/>
      <c r="J270" s="139"/>
      <c r="K270" s="139"/>
      <c r="L270" s="139"/>
    </row>
    <row r="271" spans="3:12" ht="15">
      <c r="C271" s="139"/>
      <c r="D271" s="139"/>
      <c r="E271" s="139"/>
      <c r="F271" s="139"/>
      <c r="G271" s="139"/>
      <c r="H271" s="139"/>
      <c r="I271" s="139"/>
      <c r="J271" s="139"/>
      <c r="K271" s="139"/>
      <c r="L271" s="139"/>
    </row>
    <row r="272" spans="3:12" ht="15">
      <c r="C272" s="139"/>
      <c r="D272" s="139"/>
      <c r="E272" s="139"/>
      <c r="F272" s="139"/>
      <c r="G272" s="139"/>
      <c r="H272" s="139"/>
      <c r="I272" s="139"/>
      <c r="J272" s="139"/>
      <c r="K272" s="139"/>
      <c r="L272" s="139"/>
    </row>
    <row r="273" spans="3:12" ht="15">
      <c r="C273" s="139"/>
      <c r="D273" s="139"/>
      <c r="E273" s="139"/>
      <c r="F273" s="139"/>
      <c r="G273" s="139"/>
      <c r="H273" s="139"/>
      <c r="I273" s="139"/>
      <c r="J273" s="139"/>
      <c r="K273" s="139"/>
      <c r="L273" s="139"/>
    </row>
    <row r="274" spans="3:12" ht="15">
      <c r="C274" s="139"/>
      <c r="D274" s="139"/>
      <c r="E274" s="139"/>
      <c r="F274" s="139"/>
      <c r="G274" s="139"/>
      <c r="H274" s="139"/>
      <c r="I274" s="139"/>
      <c r="J274" s="139"/>
      <c r="K274" s="139"/>
      <c r="L274" s="139"/>
    </row>
    <row r="275" spans="3:12" ht="15">
      <c r="C275" s="139"/>
      <c r="D275" s="139"/>
      <c r="E275" s="139"/>
      <c r="F275" s="139"/>
      <c r="G275" s="139"/>
      <c r="H275" s="139"/>
      <c r="I275" s="139"/>
      <c r="J275" s="139"/>
      <c r="K275" s="139"/>
      <c r="L275" s="139"/>
    </row>
    <row r="276" spans="3:12" ht="15">
      <c r="C276" s="139"/>
      <c r="D276" s="139"/>
      <c r="E276" s="139"/>
      <c r="F276" s="139"/>
      <c r="G276" s="139"/>
      <c r="H276" s="139"/>
      <c r="I276" s="139"/>
      <c r="J276" s="139"/>
      <c r="K276" s="139"/>
      <c r="L276" s="139"/>
    </row>
    <row r="277" spans="3:12" ht="15">
      <c r="C277" s="139"/>
      <c r="D277" s="139"/>
      <c r="E277" s="139"/>
      <c r="F277" s="139"/>
      <c r="G277" s="139"/>
      <c r="H277" s="139"/>
      <c r="I277" s="139"/>
      <c r="J277" s="139"/>
      <c r="K277" s="139"/>
      <c r="L277" s="139"/>
    </row>
    <row r="278" spans="3:12" ht="15">
      <c r="C278" s="139"/>
      <c r="D278" s="139"/>
      <c r="E278" s="139"/>
      <c r="F278" s="139"/>
      <c r="G278" s="139"/>
      <c r="H278" s="139"/>
      <c r="I278" s="139"/>
      <c r="J278" s="139"/>
      <c r="K278" s="139"/>
      <c r="L278" s="139"/>
    </row>
    <row r="279" spans="3:12" ht="15">
      <c r="C279" s="139"/>
      <c r="D279" s="139"/>
      <c r="E279" s="139"/>
      <c r="F279" s="139"/>
      <c r="G279" s="139"/>
      <c r="H279" s="139"/>
      <c r="I279" s="139"/>
      <c r="J279" s="139"/>
      <c r="K279" s="139"/>
      <c r="L279" s="139"/>
    </row>
    <row r="280" spans="3:12" ht="15">
      <c r="C280" s="139"/>
      <c r="D280" s="139"/>
      <c r="E280" s="139"/>
      <c r="F280" s="139"/>
      <c r="G280" s="139"/>
      <c r="H280" s="139"/>
      <c r="I280" s="139"/>
      <c r="J280" s="139"/>
      <c r="K280" s="139"/>
      <c r="L280" s="139"/>
    </row>
    <row r="281" spans="3:12" ht="15">
      <c r="C281" s="139"/>
      <c r="D281" s="139"/>
      <c r="E281" s="139"/>
      <c r="F281" s="139"/>
      <c r="G281" s="139"/>
      <c r="H281" s="139"/>
      <c r="I281" s="139"/>
      <c r="J281" s="139"/>
      <c r="K281" s="139"/>
      <c r="L281" s="139"/>
    </row>
    <row r="282" spans="3:12" ht="15">
      <c r="C282" s="139"/>
      <c r="D282" s="139"/>
      <c r="E282" s="139"/>
      <c r="F282" s="139"/>
      <c r="G282" s="139"/>
      <c r="H282" s="139"/>
      <c r="I282" s="139"/>
      <c r="J282" s="139"/>
      <c r="K282" s="139"/>
      <c r="L282" s="139"/>
    </row>
    <row r="283" spans="3:12" ht="15">
      <c r="C283" s="139"/>
      <c r="D283" s="139"/>
      <c r="E283" s="139"/>
      <c r="F283" s="139"/>
      <c r="G283" s="139"/>
      <c r="H283" s="139"/>
      <c r="I283" s="139"/>
      <c r="J283" s="139"/>
      <c r="K283" s="139"/>
      <c r="L283" s="139"/>
    </row>
    <row r="284" spans="3:12" ht="15">
      <c r="C284" s="139"/>
      <c r="D284" s="139"/>
      <c r="E284" s="139"/>
      <c r="F284" s="139"/>
      <c r="G284" s="139"/>
      <c r="H284" s="139"/>
      <c r="I284" s="139"/>
      <c r="J284" s="139"/>
      <c r="K284" s="139"/>
      <c r="L284" s="139"/>
    </row>
    <row r="285" spans="3:12" ht="15">
      <c r="C285" s="139"/>
      <c r="D285" s="139"/>
      <c r="E285" s="139"/>
      <c r="F285" s="139"/>
      <c r="G285" s="139"/>
      <c r="H285" s="139"/>
      <c r="I285" s="139"/>
      <c r="J285" s="139"/>
      <c r="K285" s="139"/>
      <c r="L285" s="139"/>
    </row>
    <row r="286" spans="3:12" ht="15">
      <c r="C286" s="139"/>
      <c r="D286" s="139"/>
      <c r="E286" s="139"/>
      <c r="F286" s="139"/>
      <c r="G286" s="139"/>
      <c r="H286" s="139"/>
      <c r="I286" s="139"/>
      <c r="J286" s="139"/>
      <c r="K286" s="139"/>
      <c r="L286" s="139"/>
    </row>
    <row r="287" spans="3:12" ht="15">
      <c r="C287" s="139"/>
      <c r="D287" s="139"/>
      <c r="E287" s="139"/>
      <c r="F287" s="139"/>
      <c r="G287" s="139"/>
      <c r="H287" s="139"/>
      <c r="I287" s="139"/>
      <c r="J287" s="139"/>
      <c r="K287" s="139"/>
      <c r="L287" s="139"/>
    </row>
    <row r="288" spans="3:12" ht="15">
      <c r="C288" s="139"/>
      <c r="D288" s="139"/>
      <c r="E288" s="139"/>
      <c r="F288" s="139"/>
      <c r="G288" s="139"/>
      <c r="H288" s="139"/>
      <c r="I288" s="139"/>
      <c r="J288" s="139"/>
      <c r="K288" s="139"/>
      <c r="L288" s="139"/>
    </row>
    <row r="289" spans="3:12" ht="15">
      <c r="C289" s="139"/>
      <c r="D289" s="139"/>
      <c r="E289" s="139"/>
      <c r="F289" s="139"/>
      <c r="G289" s="139"/>
      <c r="H289" s="139"/>
      <c r="I289" s="139"/>
      <c r="J289" s="139"/>
      <c r="K289" s="139"/>
      <c r="L289" s="139"/>
    </row>
    <row r="290" spans="3:12" ht="15">
      <c r="C290" s="139"/>
      <c r="D290" s="139"/>
      <c r="E290" s="139"/>
      <c r="F290" s="139"/>
      <c r="G290" s="139"/>
      <c r="H290" s="139"/>
      <c r="I290" s="139"/>
      <c r="J290" s="139"/>
      <c r="K290" s="139"/>
      <c r="L290" s="139"/>
    </row>
    <row r="291" spans="3:12" ht="15">
      <c r="C291" s="139"/>
      <c r="D291" s="139"/>
      <c r="E291" s="139"/>
      <c r="F291" s="139"/>
      <c r="G291" s="139"/>
      <c r="H291" s="139"/>
      <c r="I291" s="139"/>
      <c r="J291" s="139"/>
      <c r="K291" s="139"/>
      <c r="L291" s="139"/>
    </row>
    <row r="292" spans="3:12" ht="15">
      <c r="C292" s="139"/>
      <c r="D292" s="139"/>
      <c r="E292" s="139"/>
      <c r="F292" s="139"/>
      <c r="G292" s="139"/>
      <c r="H292" s="139"/>
      <c r="I292" s="139"/>
      <c r="J292" s="139"/>
      <c r="K292" s="139"/>
      <c r="L292" s="139"/>
    </row>
    <row r="293" spans="3:12" ht="15">
      <c r="C293" s="139"/>
      <c r="D293" s="139"/>
      <c r="E293" s="139"/>
      <c r="F293" s="139"/>
      <c r="G293" s="139"/>
      <c r="H293" s="139"/>
      <c r="I293" s="139"/>
      <c r="J293" s="139"/>
      <c r="K293" s="139"/>
      <c r="L293" s="139"/>
    </row>
    <row r="294" spans="3:12" ht="15">
      <c r="C294" s="139"/>
      <c r="D294" s="139"/>
      <c r="E294" s="139"/>
      <c r="F294" s="139"/>
      <c r="G294" s="139"/>
      <c r="H294" s="139"/>
      <c r="I294" s="139"/>
      <c r="J294" s="139"/>
      <c r="K294" s="139"/>
      <c r="L294" s="139"/>
    </row>
    <row r="295" spans="3:12" ht="15">
      <c r="C295" s="139"/>
      <c r="D295" s="139"/>
      <c r="E295" s="139"/>
      <c r="F295" s="139"/>
      <c r="G295" s="139"/>
      <c r="H295" s="139"/>
      <c r="I295" s="139"/>
      <c r="J295" s="139"/>
      <c r="K295" s="139"/>
      <c r="L295" s="139"/>
    </row>
    <row r="296" spans="3:12" ht="15">
      <c r="C296" s="139"/>
      <c r="D296" s="139"/>
      <c r="E296" s="139"/>
      <c r="F296" s="139"/>
      <c r="G296" s="139"/>
      <c r="H296" s="139"/>
      <c r="I296" s="139"/>
      <c r="J296" s="139"/>
      <c r="K296" s="139"/>
      <c r="L296" s="139"/>
    </row>
    <row r="297" spans="3:12" ht="15">
      <c r="C297" s="139"/>
      <c r="D297" s="139"/>
      <c r="E297" s="139"/>
      <c r="F297" s="139"/>
      <c r="G297" s="139"/>
      <c r="H297" s="139"/>
      <c r="I297" s="139"/>
      <c r="J297" s="139"/>
      <c r="K297" s="139"/>
      <c r="L297" s="139"/>
    </row>
    <row r="298" spans="3:12" ht="15">
      <c r="C298" s="139"/>
      <c r="D298" s="139"/>
      <c r="E298" s="139"/>
      <c r="F298" s="139"/>
      <c r="G298" s="139"/>
      <c r="H298" s="139"/>
      <c r="I298" s="139"/>
      <c r="J298" s="139"/>
      <c r="K298" s="139"/>
      <c r="L298" s="139"/>
    </row>
  </sheetData>
  <customSheetViews>
    <customSheetView guid="{33e6ffdf-cb42-4a87-b460-a01a45f9a9a1}" fitToPage="1" scale="70" topLeftCell="A40">
      <selection pane="topLeft" activeCell="N86" sqref="N86"/>
      <rowBreaks count="1" manualBreakCount="1">
        <brk id="46" max="18" man="1"/>
      </rowBreaks>
      <pageMargins left="0.7" right="0.7" top="0.75" bottom="0.75" header="0.3" footer="0.3"/>
      <printOptions horizontalCentered="1"/>
      <pageSetup fitToHeight="0" orientation="landscape" paperSize="1" scale="26" r:id="rId2"/>
      <headerFooter alignWithMargins="0"/>
    </customSheetView>
    <customSheetView guid="{e1861f40-ebd5-44ae-868b-fde0ed504d72}" printArea="1" scale="60" showPageBreaks="1" topLeftCell="A43" view="pageBreakPreview">
      <selection pane="topLeft" activeCell="N56" sqref="N56"/>
      <rowBreaks count="1" manualBreakCount="1">
        <brk id="41" max="13" man="1"/>
      </rowBreaks>
      <pageMargins left="0.25" right="0.25" top="0.75" bottom="0.25" header="0.4" footer="0.5"/>
      <printOptions horizontalCentered="1"/>
      <pageSetup fitToHeight="3" orientation="landscape" paperSize="1" scale="51" r:id="rId3"/>
      <headerFooter alignWithMargins="0"/>
    </customSheetView>
    <customSheetView guid="{394295c0-a883-44ec-b980-c2facd4b6eba}" fitToPage="1" scale="70" topLeftCell="A40">
      <selection pane="topLeft" activeCell="N86" sqref="N86"/>
      <rowBreaks count="1" manualBreakCount="1">
        <brk id="46" max="18" man="1"/>
      </rowBreaks>
      <pageMargins left="0.7" right="0.7" top="0.75" bottom="0.75" header="0.3" footer="0.3"/>
      <printOptions horizontalCentered="1"/>
      <pageSetup fitToHeight="0" orientation="landscape" paperSize="1" scale="26" r:id="rId4"/>
      <headerFooter alignWithMargins="0"/>
    </customSheetView>
  </customSheetViews>
  <mergeCells count="11">
    <mergeCell ref="A5:N5"/>
    <mergeCell ref="A6:N6"/>
    <mergeCell ref="A7:L7"/>
    <mergeCell ref="C97:L97"/>
    <mergeCell ref="C98:L98"/>
    <mergeCell ref="K11:S11"/>
    <mergeCell ref="C94:L94"/>
    <mergeCell ref="C95:L95"/>
    <mergeCell ref="C96:L96"/>
    <mergeCell ref="A54:N54"/>
    <mergeCell ref="A55:N55"/>
  </mergeCells>
  <printOptions horizontalCentered="1"/>
  <pageMargins left="0.7" right="0.7" top="0.75" bottom="0.75" header="0.3" footer="0.3"/>
  <pageSetup fitToHeight="0" orientation="landscape" paperSize="1" scale="24" r:id="rId1"/>
  <headerFooter alignWithMargins="0"/>
  <rowBreaks count="1" manualBreakCount="1">
    <brk id="46" max="18"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100-000000000000}">
  <sheetPr codeName="Sheet6"/>
  <dimension ref="A1:AV59"/>
  <sheetViews>
    <sheetView view="pageBreakPreview" zoomScale="70" zoomScaleNormal="60" zoomScaleSheetLayoutView="70" workbookViewId="0" topLeftCell="A1"/>
  </sheetViews>
  <sheetFormatPr defaultColWidth="9.21555555555556" defaultRowHeight="15"/>
  <cols>
    <col min="1" max="1" width="5.66666666666667" customWidth="1"/>
    <col min="2" max="2" width="3.66666666666667" customWidth="1"/>
    <col min="3" max="3" width="54.8888888888889" customWidth="1"/>
    <col min="4" max="4" width="25.4444444444444" customWidth="1"/>
    <col min="5" max="5" width="17.8888888888889" customWidth="1"/>
    <col min="6" max="18" width="14.2222222222222" customWidth="1"/>
    <col min="19" max="19" width="3.88888888888889" customWidth="1"/>
    <col min="20" max="20" width="16.2222222222222" customWidth="1"/>
    <col min="21" max="21" width="15.4444444444444" customWidth="1"/>
    <col min="22" max="24" width="12.8888888888889" customWidth="1"/>
    <col min="25" max="25" width="17.8888888888889" customWidth="1"/>
    <col min="26" max="26" width="19.6666666666667" customWidth="1"/>
    <col min="27" max="29" width="13.6666666666667" customWidth="1"/>
    <col min="30" max="30" width="14" customWidth="1"/>
    <col min="31" max="31" width="13" customWidth="1"/>
    <col min="32" max="33" width="13.6666666666667" customWidth="1"/>
    <col min="34" max="34" width="3.88888888888889" customWidth="1"/>
    <col min="35" max="35" width="19" customWidth="1"/>
    <col min="36" max="36" width="14.4444444444444" bestFit="1" customWidth="1"/>
    <col min="37" max="37" width="13.6666666666667" bestFit="1" customWidth="1"/>
    <col min="38" max="38" width="14.4444444444444" bestFit="1" customWidth="1"/>
    <col min="39" max="39" width="13.6666666666667" bestFit="1" customWidth="1"/>
  </cols>
  <sheetData>
    <row r="1" spans="1:35" ht="15.75">
      <c r="A1" s="1220" t="s">
        <v>973</v>
      </c>
      <c r="B1" s="1220"/>
      <c r="C1" s="1220"/>
      <c r="D1" s="1220"/>
      <c r="E1" s="1220"/>
      <c r="F1" s="1220"/>
      <c r="G1" s="1220"/>
      <c r="H1" s="1220"/>
      <c r="I1" s="1220"/>
      <c r="J1" s="1220"/>
      <c r="K1" s="1220"/>
      <c r="L1" s="1220"/>
      <c r="M1" s="1220"/>
      <c r="N1" s="1220"/>
      <c r="O1" s="497"/>
      <c r="R1" s="4"/>
      <c r="S1" s="4" t="s">
        <v>799</v>
      </c>
      <c r="T1" s="1220" t="str">
        <f>A1</f>
        <v>TEC Worksheet Support</v>
      </c>
      <c r="U1" s="1220"/>
      <c r="V1" s="1220"/>
      <c r="W1" s="1220"/>
      <c r="X1" s="1220"/>
      <c r="Y1" s="1220"/>
      <c r="Z1" s="1220"/>
      <c r="AA1" s="1220"/>
      <c r="AB1" s="1220"/>
      <c r="AC1" s="1220"/>
      <c r="AD1" s="1220"/>
      <c r="AE1" s="1220"/>
      <c r="AF1" s="497"/>
      <c r="AG1" s="497"/>
      <c r="AH1" s="497"/>
      <c r="AI1" s="4" t="str">
        <f>S1</f>
        <v>Attachment  H-28A, Attachment 11a</v>
      </c>
    </row>
    <row r="2" spans="1:35" ht="15.75">
      <c r="A2" s="1221" t="s">
        <v>487</v>
      </c>
      <c r="B2" s="1221"/>
      <c r="C2" s="1221"/>
      <c r="D2" s="1221"/>
      <c r="E2" s="1221"/>
      <c r="F2" s="1221"/>
      <c r="G2" s="1221"/>
      <c r="H2" s="1221"/>
      <c r="I2" s="1221"/>
      <c r="J2" s="1221"/>
      <c r="K2" s="1221"/>
      <c r="L2" s="1221"/>
      <c r="M2" s="1221"/>
      <c r="N2" s="1221"/>
      <c r="O2" s="998"/>
      <c r="R2" s="4"/>
      <c r="S2" s="4" t="s">
        <v>223</v>
      </c>
      <c r="T2" s="1221" t="s">
        <v>487</v>
      </c>
      <c r="U2" s="1221"/>
      <c r="V2" s="1221"/>
      <c r="W2" s="1221"/>
      <c r="X2" s="1221"/>
      <c r="Y2" s="1221"/>
      <c r="Z2" s="1221"/>
      <c r="AA2" s="1221"/>
      <c r="AB2" s="1221"/>
      <c r="AC2" s="1221"/>
      <c r="AD2" s="1221"/>
      <c r="AE2" s="1221"/>
      <c r="AF2" s="998"/>
      <c r="AG2" s="998"/>
      <c r="AH2" s="998"/>
      <c r="AI2" s="4" t="s">
        <v>226</v>
      </c>
    </row>
    <row r="3" spans="1:35" ht="15.75">
      <c r="A3" s="998"/>
      <c r="B3" s="999"/>
      <c r="C3" s="999"/>
      <c r="D3" s="999"/>
      <c r="E3" s="999"/>
      <c r="F3" s="999"/>
      <c r="G3" s="999"/>
      <c r="H3" s="999"/>
      <c r="I3" s="999"/>
      <c r="J3" s="999"/>
      <c r="K3" s="999"/>
      <c r="L3" s="999"/>
      <c r="M3" s="4"/>
      <c r="R3" s="4"/>
      <c r="S3" s="4" t="str">
        <f>'Attachment 1 - Sched 1A'!$J$3</f>
        <v>For the 12 months ended 12/31/2026</v>
      </c>
      <c r="AI3" s="4" t="str">
        <f>S3</f>
        <v>For the 12 months ended 12/31/2026</v>
      </c>
    </row>
    <row r="4" spans="1:13" ht="15.75">
      <c r="A4" s="998"/>
      <c r="B4" s="999"/>
      <c r="C4" s="999"/>
      <c r="D4" s="999"/>
      <c r="E4" s="999"/>
      <c r="F4" s="999"/>
      <c r="G4" s="999"/>
      <c r="H4" s="999"/>
      <c r="I4" s="999"/>
      <c r="J4" s="1000"/>
      <c r="K4" s="999"/>
      <c r="L4" s="999"/>
      <c r="M4" s="4"/>
    </row>
    <row r="5" spans="1:13" ht="15.75">
      <c r="A5" s="998"/>
      <c r="B5" s="999"/>
      <c r="C5" s="999"/>
      <c r="D5" s="999"/>
      <c r="E5" s="999"/>
      <c r="F5" s="999"/>
      <c r="G5" s="999"/>
      <c r="H5" s="999"/>
      <c r="I5" s="999"/>
      <c r="J5" s="999"/>
      <c r="K5" s="999"/>
      <c r="L5" s="999"/>
      <c r="M5" s="4"/>
    </row>
    <row r="6" spans="1:48" ht="31.5">
      <c r="A6" s="1001" t="s">
        <v>211</v>
      </c>
      <c r="B6" s="1002"/>
      <c r="C6" s="1003" t="s">
        <v>212</v>
      </c>
      <c r="D6" s="1004" t="s">
        <v>228</v>
      </c>
      <c r="E6" s="1005" t="s">
        <v>334</v>
      </c>
      <c r="F6" s="1006">
        <v>45992</v>
      </c>
      <c r="G6" s="1006">
        <v>46023</v>
      </c>
      <c r="H6" s="1006">
        <v>46054</v>
      </c>
      <c r="I6" s="1006">
        <v>46082</v>
      </c>
      <c r="J6" s="1006">
        <v>46113</v>
      </c>
      <c r="K6" s="1006">
        <v>46143</v>
      </c>
      <c r="L6" s="1006">
        <v>46174</v>
      </c>
      <c r="M6" s="1006">
        <v>46204</v>
      </c>
      <c r="N6" s="1006">
        <v>46235</v>
      </c>
      <c r="O6" s="1006">
        <v>46266</v>
      </c>
      <c r="P6" s="1006">
        <v>46296</v>
      </c>
      <c r="Q6" s="1006">
        <v>46327</v>
      </c>
      <c r="R6" s="1006">
        <v>46357</v>
      </c>
      <c r="S6" s="205"/>
      <c r="T6" s="1005" t="s">
        <v>1211</v>
      </c>
      <c r="U6" s="1007">
        <f>F6</f>
        <v>45992</v>
      </c>
      <c r="V6" s="1007">
        <f t="shared" si="0" ref="V6:AG6">G6</f>
        <v>46023</v>
      </c>
      <c r="W6" s="1007">
        <f t="shared" si="0"/>
        <v>46054</v>
      </c>
      <c r="X6" s="1007">
        <f t="shared" si="0"/>
        <v>46082</v>
      </c>
      <c r="Y6" s="1007">
        <f t="shared" si="0"/>
        <v>46113</v>
      </c>
      <c r="Z6" s="1007">
        <f t="shared" si="0"/>
        <v>46143</v>
      </c>
      <c r="AA6" s="1007">
        <f t="shared" si="0"/>
        <v>46174</v>
      </c>
      <c r="AB6" s="1007">
        <f t="shared" si="0"/>
        <v>46204</v>
      </c>
      <c r="AC6" s="1007">
        <f t="shared" si="0"/>
        <v>46235</v>
      </c>
      <c r="AD6" s="1007">
        <f t="shared" si="0"/>
        <v>46266</v>
      </c>
      <c r="AE6" s="1007">
        <f t="shared" si="0"/>
        <v>46296</v>
      </c>
      <c r="AF6" s="1007">
        <f t="shared" si="0"/>
        <v>46327</v>
      </c>
      <c r="AG6" s="1007">
        <f t="shared" si="0"/>
        <v>46357</v>
      </c>
      <c r="AH6" s="205"/>
      <c r="AI6" s="1008" t="s">
        <v>1212</v>
      </c>
      <c r="AJ6" s="1009"/>
      <c r="AK6" s="1009"/>
      <c r="AL6" s="1009"/>
      <c r="AM6" s="1009"/>
      <c r="AN6" s="1009"/>
      <c r="AO6" s="1009"/>
      <c r="AP6" s="1009"/>
      <c r="AQ6" s="1009"/>
      <c r="AR6" s="1009"/>
      <c r="AS6" s="1009"/>
      <c r="AT6" s="1009"/>
      <c r="AU6" s="1009"/>
      <c r="AV6" s="1009"/>
    </row>
    <row r="7" spans="1:35" ht="15.75">
      <c r="A7" s="1010"/>
      <c r="B7" s="1011"/>
      <c r="C7" s="1011"/>
      <c r="D7" s="1011"/>
      <c r="E7" s="1012" t="s">
        <v>17</v>
      </c>
      <c r="F7" s="1012"/>
      <c r="G7" s="1012"/>
      <c r="H7" s="1012"/>
      <c r="I7" s="1012"/>
      <c r="J7" s="1012"/>
      <c r="K7" s="1012"/>
      <c r="L7" s="1012"/>
      <c r="M7" s="1012"/>
      <c r="N7" s="1012"/>
      <c r="O7" s="1012"/>
      <c r="P7" s="1012"/>
      <c r="Q7" s="1012"/>
      <c r="R7" s="1012"/>
      <c r="S7" s="207"/>
      <c r="T7" s="1012" t="s">
        <v>18</v>
      </c>
      <c r="U7" s="1012" t="s">
        <v>20</v>
      </c>
      <c r="V7" s="1012" t="s">
        <v>20</v>
      </c>
      <c r="W7" s="1012" t="s">
        <v>20</v>
      </c>
      <c r="X7" s="1012" t="s">
        <v>20</v>
      </c>
      <c r="Y7" s="1012" t="s">
        <v>20</v>
      </c>
      <c r="Z7" s="1012" t="s">
        <v>20</v>
      </c>
      <c r="AA7" s="1012" t="s">
        <v>20</v>
      </c>
      <c r="AB7" s="1012" t="s">
        <v>20</v>
      </c>
      <c r="AC7" s="1012" t="s">
        <v>20</v>
      </c>
      <c r="AD7" s="1012" t="s">
        <v>20</v>
      </c>
      <c r="AE7" s="1012" t="s">
        <v>20</v>
      </c>
      <c r="AF7" s="1012" t="s">
        <v>20</v>
      </c>
      <c r="AG7" s="1012" t="s">
        <v>20</v>
      </c>
      <c r="AH7" s="1013"/>
      <c r="AI7" s="1014" t="s">
        <v>649</v>
      </c>
    </row>
    <row r="8" spans="1:35" ht="15.75">
      <c r="A8" s="1015"/>
      <c r="B8" s="3"/>
      <c r="C8" s="3"/>
      <c r="D8" s="3"/>
      <c r="E8" s="3"/>
      <c r="F8" s="3"/>
      <c r="G8" s="3"/>
      <c r="H8" s="3"/>
      <c r="I8" s="3"/>
      <c r="J8" s="3"/>
      <c r="K8" s="3"/>
      <c r="L8" s="3"/>
      <c r="M8" s="3"/>
      <c r="N8" s="3"/>
      <c r="O8" s="3"/>
      <c r="P8" s="3"/>
      <c r="Q8" s="3"/>
      <c r="R8" s="3"/>
      <c r="S8" s="1016"/>
      <c r="AH8" s="1017"/>
      <c r="AI8" s="1018"/>
    </row>
    <row r="9" spans="1:35" ht="15.75">
      <c r="A9" s="1019"/>
      <c r="B9" s="19"/>
      <c r="C9" s="19"/>
      <c r="D9" s="1020"/>
      <c r="E9" s="11"/>
      <c r="F9" s="11"/>
      <c r="G9" s="11"/>
      <c r="H9" s="11"/>
      <c r="I9" s="11"/>
      <c r="J9" s="11"/>
      <c r="K9" s="11"/>
      <c r="L9" s="11"/>
      <c r="M9" s="11"/>
      <c r="N9" s="11"/>
      <c r="O9" s="11"/>
      <c r="P9" s="11"/>
      <c r="Q9" s="11"/>
      <c r="R9" s="11"/>
      <c r="S9" s="206"/>
      <c r="U9" s="11"/>
      <c r="V9" s="11"/>
      <c r="W9" s="11"/>
      <c r="X9" s="11"/>
      <c r="Y9" s="11"/>
      <c r="Z9" s="11"/>
      <c r="AA9" s="11"/>
      <c r="AB9" s="11"/>
      <c r="AC9" s="11"/>
      <c r="AD9" s="11"/>
      <c r="AE9" s="11"/>
      <c r="AF9" s="11"/>
      <c r="AG9" s="11"/>
      <c r="AH9" s="1017"/>
      <c r="AI9" s="1018"/>
    </row>
    <row r="10" spans="1:35" ht="36" customHeight="1">
      <c r="A10" s="1019" t="str">
        <f>'Attachment 11 - TEC'!A62</f>
        <v>2a</v>
      </c>
      <c r="B10" s="19"/>
      <c r="C10" s="1021" t="str">
        <f>'Attachment 11 - TEC'!C62</f>
        <v>Install 230Kv series reactor and 2- 100MVAR PLC switched capacitors at Hunterstown</v>
      </c>
      <c r="D10" s="1119" t="str">
        <f>'Attachment 11 - TEC'!D62</f>
        <v>b0215</v>
      </c>
      <c r="E10" s="11">
        <f>AVERAGE(F10:R10)</f>
        <v>12637431.470000001</v>
      </c>
      <c r="F10" s="557">
        <v>12637431.470000001</v>
      </c>
      <c r="G10" s="557">
        <v>12637431.470000001</v>
      </c>
      <c r="H10" s="557">
        <v>12637431.470000001</v>
      </c>
      <c r="I10" s="557">
        <v>12637431.470000001</v>
      </c>
      <c r="J10" s="557">
        <v>12637431.470000001</v>
      </c>
      <c r="K10" s="557">
        <v>12637431.470000001</v>
      </c>
      <c r="L10" s="557">
        <v>12637431.470000001</v>
      </c>
      <c r="M10" s="557">
        <v>12637431.470000001</v>
      </c>
      <c r="N10" s="557">
        <v>12637431.470000001</v>
      </c>
      <c r="O10" s="557">
        <v>12637431.470000001</v>
      </c>
      <c r="P10" s="557">
        <v>12637431.470000001</v>
      </c>
      <c r="Q10" s="557">
        <v>12637431.470000001</v>
      </c>
      <c r="R10" s="557">
        <v>12637431.470000001</v>
      </c>
      <c r="S10" s="206"/>
      <c r="T10" s="1022">
        <f>AVERAGE(U10:AG10)</f>
        <v>4125963.0236072424</v>
      </c>
      <c r="U10" s="557">
        <v>3996429.351039744</v>
      </c>
      <c r="V10" s="557">
        <v>4018018.2964676605</v>
      </c>
      <c r="W10" s="557">
        <v>4039607.2418955769</v>
      </c>
      <c r="X10" s="557">
        <v>4061196.1873234934</v>
      </c>
      <c r="Y10" s="557">
        <v>4082785.1327514099</v>
      </c>
      <c r="Z10" s="557">
        <v>4104374.0781793264</v>
      </c>
      <c r="AA10" s="557">
        <v>4125963.0236072429</v>
      </c>
      <c r="AB10" s="557">
        <v>4147551.9690351593</v>
      </c>
      <c r="AC10" s="557">
        <v>4169140.9144630758</v>
      </c>
      <c r="AD10" s="557">
        <v>4190729.8598909923</v>
      </c>
      <c r="AE10" s="557">
        <v>4212318.8053189088</v>
      </c>
      <c r="AF10" s="557">
        <v>4233907.7507468257</v>
      </c>
      <c r="AG10" s="557">
        <v>4255496.6961747427</v>
      </c>
      <c r="AH10" s="1017"/>
      <c r="AI10" s="1023">
        <f>E10-T10</f>
        <v>8511468.4463927578</v>
      </c>
    </row>
    <row r="11" spans="1:35" ht="15.75">
      <c r="A11" s="1019" t="str">
        <f>'Attachment 11 - TEC'!A63</f>
        <v>2b</v>
      </c>
      <c r="B11" s="19"/>
      <c r="C11" s="1021" t="str">
        <f>'Attachment 11 - TEC'!C63</f>
        <v>Install 250 MVAR capacitor at Keystone 500 kV</v>
      </c>
      <c r="D11" s="1119" t="str">
        <f>'Attachment 11 - TEC'!D63</f>
        <v>b0549</v>
      </c>
      <c r="E11" s="11">
        <f t="shared" si="1" ref="E11:E32">AVERAGE(F11:R11)</f>
        <v>3207134.25</v>
      </c>
      <c r="F11" s="1024">
        <v>3207134.25</v>
      </c>
      <c r="G11" s="1024">
        <v>3207134.25</v>
      </c>
      <c r="H11" s="1024">
        <v>3207134.25</v>
      </c>
      <c r="I11" s="1024">
        <v>3207134.25</v>
      </c>
      <c r="J11" s="1024">
        <v>3207134.25</v>
      </c>
      <c r="K11" s="1024">
        <v>3207134.25</v>
      </c>
      <c r="L11" s="1024">
        <v>3207134.25</v>
      </c>
      <c r="M11" s="1024">
        <v>3207134.25</v>
      </c>
      <c r="N11" s="1024">
        <v>3207134.25</v>
      </c>
      <c r="O11" s="1024">
        <v>3207134.25</v>
      </c>
      <c r="P11" s="1024">
        <v>3207134.25</v>
      </c>
      <c r="Q11" s="1024">
        <v>3207134.25</v>
      </c>
      <c r="R11" s="1024">
        <v>3207134.25</v>
      </c>
      <c r="S11" s="1025"/>
      <c r="T11" s="1022">
        <f t="shared" si="2" ref="T11:T21">AVERAGE(U11:AG11)</f>
        <v>801811.16740625282</v>
      </c>
      <c r="U11" s="1024">
        <v>768938.04134375241</v>
      </c>
      <c r="V11" s="1024">
        <v>774416.89568750246</v>
      </c>
      <c r="W11" s="1024">
        <v>779895.75003125251</v>
      </c>
      <c r="X11" s="1024">
        <v>785374.60437500256</v>
      </c>
      <c r="Y11" s="1024">
        <v>790853.4587187526</v>
      </c>
      <c r="Z11" s="1024">
        <v>796332.31306250265</v>
      </c>
      <c r="AA11" s="1024">
        <v>801811.1674062527</v>
      </c>
      <c r="AB11" s="1024">
        <v>807290.02175000275</v>
      </c>
      <c r="AC11" s="1024">
        <v>812768.8760937528</v>
      </c>
      <c r="AD11" s="1024">
        <v>818247.73043750285</v>
      </c>
      <c r="AE11" s="1024">
        <v>823726.5847812529</v>
      </c>
      <c r="AF11" s="1024">
        <v>829205.43912500294</v>
      </c>
      <c r="AG11" s="1024">
        <v>834684.29346875299</v>
      </c>
      <c r="AH11" s="1017"/>
      <c r="AI11" s="1023">
        <f>E11-T11</f>
        <v>2405323.0825937474</v>
      </c>
    </row>
    <row r="12" spans="1:35" ht="15.75">
      <c r="A12" s="1019" t="str">
        <f>'Attachment 11 - TEC'!A64</f>
        <v>2c</v>
      </c>
      <c r="B12" s="19"/>
      <c r="C12" s="1021" t="str">
        <f>'Attachment 11 - TEC'!C64</f>
        <v>Install 25 MVAR capacitor at Saxton 115 kV substation</v>
      </c>
      <c r="D12" s="1119" t="str">
        <f>'Attachment 11 - TEC'!D64</f>
        <v>b0551</v>
      </c>
      <c r="E12" s="11">
        <f t="shared" si="1"/>
        <v>1380393.0999999999</v>
      </c>
      <c r="F12" s="1024">
        <v>1380393.10</v>
      </c>
      <c r="G12" s="1024">
        <v>1380393.10</v>
      </c>
      <c r="H12" s="1024">
        <v>1380393.10</v>
      </c>
      <c r="I12" s="1024">
        <v>1380393.10</v>
      </c>
      <c r="J12" s="1024">
        <v>1380393.10</v>
      </c>
      <c r="K12" s="1024">
        <v>1380393.10</v>
      </c>
      <c r="L12" s="1024">
        <v>1380393.10</v>
      </c>
      <c r="M12" s="1024">
        <v>1380393.10</v>
      </c>
      <c r="N12" s="1024">
        <v>1380393.10</v>
      </c>
      <c r="O12" s="1024">
        <v>1380393.10</v>
      </c>
      <c r="P12" s="1024">
        <v>1380393.10</v>
      </c>
      <c r="Q12" s="1024">
        <v>1380393.10</v>
      </c>
      <c r="R12" s="1024">
        <v>1380393.10</v>
      </c>
      <c r="S12" s="1025"/>
      <c r="T12" s="1022">
        <f t="shared" si="2"/>
        <v>449267.51112715952</v>
      </c>
      <c r="U12" s="1024">
        <v>435249.37261215958</v>
      </c>
      <c r="V12" s="1024">
        <v>437585.72903132625</v>
      </c>
      <c r="W12" s="1024">
        <v>439922.08545049292</v>
      </c>
      <c r="X12" s="1024">
        <v>442258.44186965958</v>
      </c>
      <c r="Y12" s="1024">
        <v>444594.79828882625</v>
      </c>
      <c r="Z12" s="1024">
        <v>446931.15470799292</v>
      </c>
      <c r="AA12" s="1024">
        <v>449267.51112715958</v>
      </c>
      <c r="AB12" s="1024">
        <v>451603.86754632625</v>
      </c>
      <c r="AC12" s="1024">
        <v>453940.22396549291</v>
      </c>
      <c r="AD12" s="1024">
        <v>456276.58038465958</v>
      </c>
      <c r="AE12" s="1024">
        <v>458612.93680382625</v>
      </c>
      <c r="AF12" s="1024">
        <v>460949.29322299291</v>
      </c>
      <c r="AG12" s="1024">
        <v>463285.64964215958</v>
      </c>
      <c r="AH12" s="1017"/>
      <c r="AI12" s="1023">
        <f t="shared" si="3" ref="AI12:AI23">E12-T12</f>
        <v>931125.5888728404</v>
      </c>
    </row>
    <row r="13" spans="1:35" ht="15.75">
      <c r="A13" s="1019" t="str">
        <f>'Attachment 11 - TEC'!A65</f>
        <v>2d</v>
      </c>
      <c r="B13" s="19"/>
      <c r="C13" s="1021" t="str">
        <f>'Attachment 11 - TEC'!C65</f>
        <v>Install 50 MVAR capacitor at Altoona 230 kV substation</v>
      </c>
      <c r="D13" s="1119" t="str">
        <f>'Attachment 11 - TEC'!D65</f>
        <v>b0552</v>
      </c>
      <c r="E13" s="11">
        <f t="shared" si="1"/>
        <v>1038334.66</v>
      </c>
      <c r="F13" s="1024">
        <v>1038334.66</v>
      </c>
      <c r="G13" s="1024">
        <v>1038334.66</v>
      </c>
      <c r="H13" s="1024">
        <v>1038334.66</v>
      </c>
      <c r="I13" s="1024">
        <v>1038334.66</v>
      </c>
      <c r="J13" s="1024">
        <v>1038334.66</v>
      </c>
      <c r="K13" s="1024">
        <v>1038334.66</v>
      </c>
      <c r="L13" s="1024">
        <v>1038334.66</v>
      </c>
      <c r="M13" s="1024">
        <v>1038334.66</v>
      </c>
      <c r="N13" s="1024">
        <v>1038334.66</v>
      </c>
      <c r="O13" s="1024">
        <v>1038334.66</v>
      </c>
      <c r="P13" s="1024">
        <v>1038334.66</v>
      </c>
      <c r="Q13" s="1024">
        <v>1038334.66</v>
      </c>
      <c r="R13" s="1024">
        <v>1038334.66</v>
      </c>
      <c r="S13" s="1025"/>
      <c r="T13" s="1022">
        <f t="shared" si="2"/>
        <v>233182.37511199902</v>
      </c>
      <c r="U13" s="1024">
        <v>222539.44484699907</v>
      </c>
      <c r="V13" s="1024">
        <v>224313.26655783239</v>
      </c>
      <c r="W13" s="1024">
        <v>226087.08826866571</v>
      </c>
      <c r="X13" s="1024">
        <v>227860.90997949903</v>
      </c>
      <c r="Y13" s="1024">
        <v>229634.73169033235</v>
      </c>
      <c r="Z13" s="1024">
        <v>231408.55340116567</v>
      </c>
      <c r="AA13" s="1024">
        <v>233182.37511199899</v>
      </c>
      <c r="AB13" s="1024">
        <v>234956.19682283231</v>
      </c>
      <c r="AC13" s="1024">
        <v>236730.01853366563</v>
      </c>
      <c r="AD13" s="1024">
        <v>238503.84024449895</v>
      </c>
      <c r="AE13" s="1024">
        <v>240277.66195533227</v>
      </c>
      <c r="AF13" s="1024">
        <v>242051.48366616559</v>
      </c>
      <c r="AG13" s="1024">
        <v>243825.30537699891</v>
      </c>
      <c r="AH13" s="1017"/>
      <c r="AI13" s="1023">
        <f t="shared" si="3"/>
        <v>805152.28488800104</v>
      </c>
    </row>
    <row r="14" spans="1:35" ht="15.75">
      <c r="A14" s="1019" t="str">
        <f>'Attachment 11 - TEC'!A66</f>
        <v>2e</v>
      </c>
      <c r="B14" s="19"/>
      <c r="C14" s="1021" t="str">
        <f>'Attachment 11 - TEC'!C66</f>
        <v>Install 50 MVAR capacitor at Raystown 230 kV substation</v>
      </c>
      <c r="D14" s="1119" t="str">
        <f>'Attachment 11 - TEC'!D66</f>
        <v>b0553</v>
      </c>
      <c r="E14" s="11">
        <f t="shared" si="1"/>
        <v>927946.84</v>
      </c>
      <c r="F14" s="1024">
        <v>927946.84</v>
      </c>
      <c r="G14" s="1024">
        <v>927946.84</v>
      </c>
      <c r="H14" s="1024">
        <v>927946.84</v>
      </c>
      <c r="I14" s="1024">
        <v>927946.84</v>
      </c>
      <c r="J14" s="1024">
        <v>927946.84</v>
      </c>
      <c r="K14" s="1024">
        <v>927946.84</v>
      </c>
      <c r="L14" s="1024">
        <v>927946.84</v>
      </c>
      <c r="M14" s="1024">
        <v>927946.84</v>
      </c>
      <c r="N14" s="1024">
        <v>927946.84</v>
      </c>
      <c r="O14" s="1024">
        <v>927946.84</v>
      </c>
      <c r="P14" s="1024">
        <v>927946.84</v>
      </c>
      <c r="Q14" s="1024">
        <v>927946.84</v>
      </c>
      <c r="R14" s="1024">
        <v>927946.84</v>
      </c>
      <c r="S14" s="1025"/>
      <c r="T14" s="1022">
        <f t="shared" si="2"/>
        <v>232337.13177800013</v>
      </c>
      <c r="U14" s="1024">
        <v>222825.67666800009</v>
      </c>
      <c r="V14" s="1024">
        <v>224410.91918633343</v>
      </c>
      <c r="W14" s="1024">
        <v>225996.16170466677</v>
      </c>
      <c r="X14" s="1024">
        <v>227581.40422300011</v>
      </c>
      <c r="Y14" s="1024">
        <v>229166.64674133345</v>
      </c>
      <c r="Z14" s="1024">
        <v>230751.88925966679</v>
      </c>
      <c r="AA14" s="1024">
        <v>232337.13177800013</v>
      </c>
      <c r="AB14" s="1024">
        <v>233922.37429633347</v>
      </c>
      <c r="AC14" s="1024">
        <v>235507.61681466681</v>
      </c>
      <c r="AD14" s="1024">
        <v>237092.85933300015</v>
      </c>
      <c r="AE14" s="1024">
        <v>238678.10185133349</v>
      </c>
      <c r="AF14" s="1024">
        <v>240263.34436966683</v>
      </c>
      <c r="AG14" s="1024">
        <v>241848.58688800017</v>
      </c>
      <c r="AH14" s="1017"/>
      <c r="AI14" s="1023">
        <f t="shared" si="3"/>
        <v>695609.70822199981</v>
      </c>
    </row>
    <row r="15" spans="1:35" ht="15.75">
      <c r="A15" s="1019" t="str">
        <f>'Attachment 11 - TEC'!A67</f>
        <v>2f</v>
      </c>
      <c r="B15" s="19"/>
      <c r="C15" s="1021" t="str">
        <f>'Attachment 11 - TEC'!C67</f>
        <v>Install 75 MVAR capacitor at East Towanda 230 kV substation</v>
      </c>
      <c r="D15" s="1119" t="str">
        <f>'Attachment 11 - TEC'!D67</f>
        <v>b0557</v>
      </c>
      <c r="E15" s="11">
        <f t="shared" si="1"/>
        <v>2185556.0799999991</v>
      </c>
      <c r="F15" s="1024">
        <v>2185556.08</v>
      </c>
      <c r="G15" s="1024">
        <v>2185556.08</v>
      </c>
      <c r="H15" s="1024">
        <v>2185556.08</v>
      </c>
      <c r="I15" s="1024">
        <v>2185556.08</v>
      </c>
      <c r="J15" s="1024">
        <v>2185556.08</v>
      </c>
      <c r="K15" s="1024">
        <v>2185556.08</v>
      </c>
      <c r="L15" s="1024">
        <v>2185556.08</v>
      </c>
      <c r="M15" s="1024">
        <v>2185556.08</v>
      </c>
      <c r="N15" s="1024">
        <v>2185556.08</v>
      </c>
      <c r="O15" s="1024">
        <v>2185556.08</v>
      </c>
      <c r="P15" s="1024">
        <v>2185556.08</v>
      </c>
      <c r="Q15" s="1024">
        <v>2185556.08</v>
      </c>
      <c r="R15" s="1024">
        <v>2185556.08</v>
      </c>
      <c r="S15" s="1025"/>
      <c r="T15" s="1022">
        <f t="shared" si="2"/>
        <v>543033.65514777764</v>
      </c>
      <c r="U15" s="1024">
        <v>520857.0722387773</v>
      </c>
      <c r="V15" s="1024">
        <v>524553.16939027735</v>
      </c>
      <c r="W15" s="1024">
        <v>528249.26654177741</v>
      </c>
      <c r="X15" s="1024">
        <v>531945.36369327747</v>
      </c>
      <c r="Y15" s="1024">
        <v>535641.46084477752</v>
      </c>
      <c r="Z15" s="1024">
        <v>539337.55799627758</v>
      </c>
      <c r="AA15" s="1024">
        <v>543033.65514777764</v>
      </c>
      <c r="AB15" s="1024">
        <v>546729.75229927769</v>
      </c>
      <c r="AC15" s="1024">
        <v>550425.84945077775</v>
      </c>
      <c r="AD15" s="1024">
        <v>554121.94660227781</v>
      </c>
      <c r="AE15" s="1024">
        <v>557818.04375377786</v>
      </c>
      <c r="AF15" s="1024">
        <v>561514.14090527792</v>
      </c>
      <c r="AG15" s="1024">
        <v>565210.23805677798</v>
      </c>
      <c r="AH15" s="1017"/>
      <c r="AI15" s="1023">
        <f t="shared" si="3"/>
        <v>1642522.4248522215</v>
      </c>
    </row>
    <row r="16" spans="1:35" ht="15.75">
      <c r="A16" s="1019" t="str">
        <f>'Attachment 11 - TEC'!A68</f>
        <v>2g</v>
      </c>
      <c r="B16" s="19"/>
      <c r="C16" s="1021" t="str">
        <f>'Attachment 11 - TEC'!C68</f>
        <v>Relocate the Erie South 345 kV line terminal</v>
      </c>
      <c r="D16" s="1119" t="str">
        <f>'Attachment 11 - TEC'!D68</f>
        <v>b1993</v>
      </c>
      <c r="E16" s="11">
        <f t="shared" si="1"/>
        <v>10836996.709999997</v>
      </c>
      <c r="F16" s="1024">
        <v>10836996.709999999</v>
      </c>
      <c r="G16" s="1024">
        <v>10836996.709999999</v>
      </c>
      <c r="H16" s="1024">
        <v>10836996.709999999</v>
      </c>
      <c r="I16" s="1024">
        <v>10836996.709999999</v>
      </c>
      <c r="J16" s="1024">
        <v>10836996.709999999</v>
      </c>
      <c r="K16" s="1024">
        <v>10836996.709999999</v>
      </c>
      <c r="L16" s="1024">
        <v>10836996.709999999</v>
      </c>
      <c r="M16" s="1024">
        <v>10836996.709999999</v>
      </c>
      <c r="N16" s="1024">
        <v>10836996.709999999</v>
      </c>
      <c r="O16" s="1024">
        <v>10836996.709999999</v>
      </c>
      <c r="P16" s="1024">
        <v>10836996.709999999</v>
      </c>
      <c r="Q16" s="1024">
        <v>10836996.709999999</v>
      </c>
      <c r="R16" s="1024">
        <v>10836996.709999999</v>
      </c>
      <c r="S16" s="1025"/>
      <c r="T16" s="1022">
        <f t="shared" si="2"/>
        <v>2105106.4312782087</v>
      </c>
      <c r="U16" s="1024">
        <v>1992925.5317762089</v>
      </c>
      <c r="V16" s="1024">
        <v>2011622.3483598756</v>
      </c>
      <c r="W16" s="1024">
        <v>2030319.1649435423</v>
      </c>
      <c r="X16" s="1024">
        <v>2049015.981527209</v>
      </c>
      <c r="Y16" s="1024">
        <v>2067712.7981108758</v>
      </c>
      <c r="Z16" s="1024">
        <v>2086409.6146945425</v>
      </c>
      <c r="AA16" s="1024">
        <v>2105106.4312782092</v>
      </c>
      <c r="AB16" s="1024">
        <v>2123803.2478618757</v>
      </c>
      <c r="AC16" s="1024">
        <v>2142500.0644455422</v>
      </c>
      <c r="AD16" s="1024">
        <v>2161196.8810292087</v>
      </c>
      <c r="AE16" s="1024">
        <v>2179893.6976128751</v>
      </c>
      <c r="AF16" s="1024">
        <v>2198590.5141965416</v>
      </c>
      <c r="AG16" s="1024">
        <v>2217287.3307802081</v>
      </c>
      <c r="AH16" s="1017"/>
      <c r="AI16" s="1023">
        <f>E16-T16</f>
        <v>8731890.2787217889</v>
      </c>
    </row>
    <row r="17" spans="1:35" ht="47.25">
      <c r="A17" s="1019" t="str">
        <f>'Attachment 11 - TEC'!A69</f>
        <v>2h</v>
      </c>
      <c r="B17" s="19"/>
      <c r="C17" s="1021" t="str">
        <f>'Attachment 11 - TEC'!C69</f>
        <v>Convert Lewis Run-Farmers Valley to 230 kV using 1033.5 ACSR conductor. Project to be completed in conjunction with new Farmers Valley 345/230 kV transformation</v>
      </c>
      <c r="D17" s="1119" t="str">
        <f>'Attachment 11 - TEC'!D69</f>
        <v>b1994</v>
      </c>
      <c r="E17" s="11">
        <f t="shared" si="1"/>
        <v>62931230.730769224</v>
      </c>
      <c r="F17" s="1024">
        <v>62928250.899999999</v>
      </c>
      <c r="G17" s="1024">
        <v>62931479.050000004</v>
      </c>
      <c r="H17" s="1024">
        <v>62931479.050000004</v>
      </c>
      <c r="I17" s="1024">
        <v>62931479.050000004</v>
      </c>
      <c r="J17" s="1024">
        <v>62931479.050000004</v>
      </c>
      <c r="K17" s="1024">
        <v>62931479.050000004</v>
      </c>
      <c r="L17" s="1024">
        <v>62931479.050000004</v>
      </c>
      <c r="M17" s="1024">
        <v>62931479.050000004</v>
      </c>
      <c r="N17" s="1024">
        <v>62931479.050000004</v>
      </c>
      <c r="O17" s="1024">
        <v>62931479.050000004</v>
      </c>
      <c r="P17" s="1024">
        <v>62931479.050000004</v>
      </c>
      <c r="Q17" s="1024">
        <v>62931479.050000004</v>
      </c>
      <c r="R17" s="1024">
        <v>62931479.050000004</v>
      </c>
      <c r="S17" s="1025"/>
      <c r="T17" s="1022">
        <f t="shared" si="2"/>
        <v>10509723.221933646</v>
      </c>
      <c r="U17" s="1024">
        <v>9765400.5297453105</v>
      </c>
      <c r="V17" s="1024">
        <v>9889453.9612220339</v>
      </c>
      <c r="W17" s="1024">
        <v>10013507.392698757</v>
      </c>
      <c r="X17" s="1024">
        <v>10137561.321325734</v>
      </c>
      <c r="Y17" s="1024">
        <v>10261615.249952711</v>
      </c>
      <c r="Z17" s="1024">
        <v>10385669.178579688</v>
      </c>
      <c r="AA17" s="1024">
        <v>10509723.107206665</v>
      </c>
      <c r="AB17" s="1024">
        <v>10633777.035833642</v>
      </c>
      <c r="AC17" s="1024">
        <v>10757830.964460619</v>
      </c>
      <c r="AD17" s="1024">
        <v>10881884.893087596</v>
      </c>
      <c r="AE17" s="1024">
        <v>11005938.821714573</v>
      </c>
      <c r="AF17" s="1024">
        <v>11129992.75034155</v>
      </c>
      <c r="AG17" s="1024">
        <v>11254046.678968526</v>
      </c>
      <c r="AH17" s="1017"/>
      <c r="AI17" s="1023">
        <f>E17-T17</f>
        <v>52421507.508835576</v>
      </c>
    </row>
    <row r="18" spans="1:35" ht="15.75">
      <c r="A18" s="1019" t="str">
        <f>'Attachment 11 - TEC'!A70</f>
        <v xml:space="preserve">2i </v>
      </c>
      <c r="B18" s="19"/>
      <c r="C18" s="1021" t="str">
        <f>'Attachment 11 - TEC'!C70</f>
        <v xml:space="preserve">South Lebanon 230/69 kv Bank 1 - Upgrade 69 kv Terminal Facilities </v>
      </c>
      <c r="D18" s="1119" t="str">
        <f>'Attachment 11 - TEC'!D70</f>
        <v>b1364</v>
      </c>
      <c r="E18" s="11">
        <f t="shared" si="1"/>
        <v>87274.76</v>
      </c>
      <c r="F18" s="1024">
        <v>87274.76</v>
      </c>
      <c r="G18" s="1024">
        <v>87274.76</v>
      </c>
      <c r="H18" s="1024">
        <v>87274.76</v>
      </c>
      <c r="I18" s="1024">
        <v>87274.76</v>
      </c>
      <c r="J18" s="1024">
        <v>87274.76</v>
      </c>
      <c r="K18" s="1024">
        <v>87274.76</v>
      </c>
      <c r="L18" s="1024">
        <v>87274.76</v>
      </c>
      <c r="M18" s="1024">
        <v>87274.76</v>
      </c>
      <c r="N18" s="1024">
        <v>87274.76</v>
      </c>
      <c r="O18" s="1024">
        <v>87274.76</v>
      </c>
      <c r="P18" s="1024">
        <v>87274.76</v>
      </c>
      <c r="Q18" s="1024">
        <v>87274.76</v>
      </c>
      <c r="R18" s="1024">
        <v>87274.76</v>
      </c>
      <c r="S18" s="1025"/>
      <c r="T18" s="1022">
        <f t="shared" si="2"/>
        <v>24370.440683124914</v>
      </c>
      <c r="U18" s="1024">
        <v>23475.874393124919</v>
      </c>
      <c r="V18" s="1024">
        <v>23624.968774791585</v>
      </c>
      <c r="W18" s="1024">
        <v>23774.063156458251</v>
      </c>
      <c r="X18" s="1024">
        <v>23923.157538124917</v>
      </c>
      <c r="Y18" s="1024">
        <v>24072.251919791583</v>
      </c>
      <c r="Z18" s="1024">
        <v>24221.346301458248</v>
      </c>
      <c r="AA18" s="1024">
        <v>24370.440683124914</v>
      </c>
      <c r="AB18" s="1024">
        <v>24519.53506479158</v>
      </c>
      <c r="AC18" s="1024">
        <v>24668.629446458246</v>
      </c>
      <c r="AD18" s="1024">
        <v>24817.723828124912</v>
      </c>
      <c r="AE18" s="1024">
        <v>24966.818209791578</v>
      </c>
      <c r="AF18" s="1024">
        <v>25115.912591458244</v>
      </c>
      <c r="AG18" s="1024">
        <v>25265.00697312491</v>
      </c>
      <c r="AH18" s="1017"/>
      <c r="AI18" s="1023">
        <f>E18-T18</f>
        <v>62904.31931687508</v>
      </c>
    </row>
    <row r="19" spans="1:35" ht="15.75">
      <c r="A19" s="1019" t="str">
        <f>'Attachment 11 - TEC'!A71</f>
        <v>2j</v>
      </c>
      <c r="B19" s="19"/>
      <c r="C19" s="1021" t="str">
        <f>'Attachment 11 - TEC'!C71</f>
        <v>Middletown Sub - 69 kv Capacitor Bank</v>
      </c>
      <c r="D19" s="1119" t="str">
        <f>'Attachment 11 - TEC'!D71</f>
        <v>b1362</v>
      </c>
      <c r="E19" s="11">
        <f t="shared" si="1"/>
        <v>52365.25</v>
      </c>
      <c r="F19" s="1024">
        <v>52365.25</v>
      </c>
      <c r="G19" s="1024">
        <v>52365.25</v>
      </c>
      <c r="H19" s="1024">
        <v>52365.25</v>
      </c>
      <c r="I19" s="1024">
        <v>52365.25</v>
      </c>
      <c r="J19" s="1024">
        <v>52365.25</v>
      </c>
      <c r="K19" s="1024">
        <v>52365.25</v>
      </c>
      <c r="L19" s="1024">
        <v>52365.25</v>
      </c>
      <c r="M19" s="1024">
        <v>52365.25</v>
      </c>
      <c r="N19" s="1024">
        <v>52365.25</v>
      </c>
      <c r="O19" s="1024">
        <v>52365.25</v>
      </c>
      <c r="P19" s="1024">
        <v>52365.25</v>
      </c>
      <c r="Q19" s="1024">
        <v>52365.25</v>
      </c>
      <c r="R19" s="1024">
        <v>52365.25</v>
      </c>
      <c r="S19" s="1025"/>
      <c r="T19" s="1022">
        <f t="shared" si="2"/>
        <v>9994.8356772938459</v>
      </c>
      <c r="U19" s="1024">
        <v>9646.228852293847</v>
      </c>
      <c r="V19" s="1024">
        <v>9704.3299897938468</v>
      </c>
      <c r="W19" s="1024">
        <v>9762.4311272938467</v>
      </c>
      <c r="X19" s="1024">
        <v>9820.5322647938465</v>
      </c>
      <c r="Y19" s="1024">
        <v>9878.6334022938463</v>
      </c>
      <c r="Z19" s="1024">
        <v>9936.7345397938461</v>
      </c>
      <c r="AA19" s="1024">
        <v>9994.8356772938459</v>
      </c>
      <c r="AB19" s="1024">
        <v>10052.936814793846</v>
      </c>
      <c r="AC19" s="1024">
        <v>10111.037952293846</v>
      </c>
      <c r="AD19" s="1024">
        <v>10169.139089793845</v>
      </c>
      <c r="AE19" s="1024">
        <v>10227.240227293845</v>
      </c>
      <c r="AF19" s="1024">
        <v>10285.341364793845</v>
      </c>
      <c r="AG19" s="1024">
        <v>10343.442502293845</v>
      </c>
      <c r="AH19" s="1017"/>
      <c r="AI19" s="1023">
        <f>E19-T19</f>
        <v>42370.414322706158</v>
      </c>
    </row>
    <row r="20" spans="1:35" ht="15.75">
      <c r="A20" s="1019" t="str">
        <f>'Attachment 11 - TEC'!A72</f>
        <v>2k</v>
      </c>
      <c r="B20" s="19"/>
      <c r="C20" s="1021" t="str">
        <f>'Attachment 11 - TEC'!C72</f>
        <v xml:space="preserve">Germantown - 138kv Reactor Removal </v>
      </c>
      <c r="D20" s="1119" t="str">
        <f>'Attachment 11 - TEC'!D72</f>
        <v>b1816.4</v>
      </c>
      <c r="E20" s="11">
        <f t="shared" si="1"/>
        <v>65539.14</v>
      </c>
      <c r="F20" s="1024">
        <v>65539.14</v>
      </c>
      <c r="G20" s="1024">
        <v>65539.14</v>
      </c>
      <c r="H20" s="1024">
        <v>65539.14</v>
      </c>
      <c r="I20" s="1024">
        <v>65539.14</v>
      </c>
      <c r="J20" s="1024">
        <v>65539.14</v>
      </c>
      <c r="K20" s="1024">
        <v>65539.14</v>
      </c>
      <c r="L20" s="1024">
        <v>65539.14</v>
      </c>
      <c r="M20" s="1024">
        <v>65539.14</v>
      </c>
      <c r="N20" s="1024">
        <v>65539.14</v>
      </c>
      <c r="O20" s="1024">
        <v>65539.14</v>
      </c>
      <c r="P20" s="1024">
        <v>65539.14</v>
      </c>
      <c r="Q20" s="1024">
        <v>65539.14</v>
      </c>
      <c r="R20" s="1024">
        <v>65539.14</v>
      </c>
      <c r="S20" s="1025"/>
      <c r="T20" s="1022">
        <f t="shared" si="2"/>
        <v>7333.5566862500064</v>
      </c>
      <c r="U20" s="1024">
        <v>6661.7805012500048</v>
      </c>
      <c r="V20" s="1024">
        <v>6773.7431987500049</v>
      </c>
      <c r="W20" s="1024">
        <v>6885.705896250005</v>
      </c>
      <c r="X20" s="1024">
        <v>6997.6685937500051</v>
      </c>
      <c r="Y20" s="1024">
        <v>7109.6312912500052</v>
      </c>
      <c r="Z20" s="1024">
        <v>7221.5939887500053</v>
      </c>
      <c r="AA20" s="1024">
        <v>7333.5566862500054</v>
      </c>
      <c r="AB20" s="1024">
        <v>7445.5193837500055</v>
      </c>
      <c r="AC20" s="1024">
        <v>7557.4820812500056</v>
      </c>
      <c r="AD20" s="1024">
        <v>7669.4447787500058</v>
      </c>
      <c r="AE20" s="1024">
        <v>7781.4074762500059</v>
      </c>
      <c r="AF20" s="1024">
        <v>7893.370173750006</v>
      </c>
      <c r="AG20" s="1024">
        <v>8005.3328712500061</v>
      </c>
      <c r="AH20" s="1017"/>
      <c r="AI20" s="1023">
        <f>E20-T20</f>
        <v>58205.583313749994</v>
      </c>
    </row>
    <row r="21" spans="1:35" ht="31.5">
      <c r="A21" s="1019" t="str">
        <f>'Attachment 11 - TEC'!A73</f>
        <v>2l</v>
      </c>
      <c r="B21" s="19"/>
      <c r="C21" s="1021" t="str">
        <f>'Attachment 11 - TEC'!C73</f>
        <v>Germantown r p 138 115kV #1 Bk Xfmr + Upgrade 138kV 999L &amp; 115kV 998L components RTEP b2688, b2688.1, b2688.2</v>
      </c>
      <c r="D21" s="1119" t="str">
        <f>'Attachment 11 - TEC'!D73</f>
        <v>b2688.1 &amp; b2688.2</v>
      </c>
      <c r="E21" s="11">
        <f t="shared" si="1"/>
        <v>6069490.8100000015</v>
      </c>
      <c r="F21" s="1024">
        <v>6069490.8099999996</v>
      </c>
      <c r="G21" s="1024">
        <v>6069490.8099999996</v>
      </c>
      <c r="H21" s="1024">
        <v>6069490.8099999996</v>
      </c>
      <c r="I21" s="1024">
        <v>6069490.8099999996</v>
      </c>
      <c r="J21" s="1024">
        <v>6069490.8099999996</v>
      </c>
      <c r="K21" s="1024">
        <v>6069490.8099999996</v>
      </c>
      <c r="L21" s="1024">
        <v>6069490.8099999996</v>
      </c>
      <c r="M21" s="1024">
        <v>6069490.8099999996</v>
      </c>
      <c r="N21" s="1024">
        <v>6069490.8099999996</v>
      </c>
      <c r="O21" s="1024">
        <v>6069490.8099999996</v>
      </c>
      <c r="P21" s="1024">
        <v>6069490.8099999996</v>
      </c>
      <c r="Q21" s="1024">
        <v>6069490.8099999996</v>
      </c>
      <c r="R21" s="1024">
        <v>6069490.8099999996</v>
      </c>
      <c r="S21" s="1017"/>
      <c r="T21" s="1022">
        <f t="shared" si="2"/>
        <v>1014547.1295000406</v>
      </c>
      <c r="U21" s="1024">
        <v>952428.37692433188</v>
      </c>
      <c r="V21" s="1024">
        <v>962781.50235361664</v>
      </c>
      <c r="W21" s="1024">
        <v>973134.6277829014</v>
      </c>
      <c r="X21" s="1024">
        <v>983487.75321218616</v>
      </c>
      <c r="Y21" s="1024">
        <v>993840.87864147092</v>
      </c>
      <c r="Z21" s="1024">
        <v>1004194.0040707557</v>
      </c>
      <c r="AA21" s="1024">
        <v>1014547.1295000404</v>
      </c>
      <c r="AB21" s="1024">
        <v>1024900.2549293252</v>
      </c>
      <c r="AC21" s="1024">
        <v>1035253.38035861</v>
      </c>
      <c r="AD21" s="1024">
        <v>1045606.5057878947</v>
      </c>
      <c r="AE21" s="1024">
        <v>1055959.6312171794</v>
      </c>
      <c r="AF21" s="1024">
        <v>1066312.7566464641</v>
      </c>
      <c r="AG21" s="1024">
        <v>1076665.8820757489</v>
      </c>
      <c r="AH21" s="1017"/>
      <c r="AI21" s="1023">
        <f t="shared" si="3"/>
        <v>5054943.6804999607</v>
      </c>
    </row>
    <row r="22" spans="1:35" ht="31.5">
      <c r="A22" s="1019" t="str">
        <f>'Attachment 11 - TEC'!A74</f>
        <v>2m</v>
      </c>
      <c r="B22" s="19"/>
      <c r="C22" s="1021" t="str">
        <f>'Attachment 11 - TEC'!C74</f>
        <v>Loop the 2026 (TMI - Hosensack 500 kV) line in to the Lauschtown substation and upgrade relay at TMI 500 kV</v>
      </c>
      <c r="D22" s="1119" t="str">
        <f>'Attachment 11 - TEC'!D74</f>
        <v>b2006.1.1_DFAX_Allocation</v>
      </c>
      <c r="E22" s="11">
        <f t="shared" si="1"/>
        <v>1700188.1649999993</v>
      </c>
      <c r="F22" s="1024">
        <v>1700188.165</v>
      </c>
      <c r="G22" s="1024">
        <v>1700188.165</v>
      </c>
      <c r="H22" s="1024">
        <v>1700188.165</v>
      </c>
      <c r="I22" s="1024">
        <v>1700188.165</v>
      </c>
      <c r="J22" s="1024">
        <v>1700188.165</v>
      </c>
      <c r="K22" s="1024">
        <v>1700188.165</v>
      </c>
      <c r="L22" s="1024">
        <v>1700188.165</v>
      </c>
      <c r="M22" s="1024">
        <v>1700188.165</v>
      </c>
      <c r="N22" s="1024">
        <v>1700188.165</v>
      </c>
      <c r="O22" s="1024">
        <v>1700188.165</v>
      </c>
      <c r="P22" s="1024">
        <v>1700188.165</v>
      </c>
      <c r="Q22" s="1024">
        <v>1700188.165</v>
      </c>
      <c r="R22" s="1024">
        <v>1700188.165</v>
      </c>
      <c r="S22" s="1017"/>
      <c r="T22" s="1022">
        <f>AVERAGE(U22:AG22)</f>
        <v>417140.69455582864</v>
      </c>
      <c r="U22" s="1024">
        <v>398248.7622703503</v>
      </c>
      <c r="V22" s="1024">
        <v>401397.41765126336</v>
      </c>
      <c r="W22" s="1024">
        <v>404546.07303217641</v>
      </c>
      <c r="X22" s="1024">
        <v>407694.72841308947</v>
      </c>
      <c r="Y22" s="1024">
        <v>410843.38379400253</v>
      </c>
      <c r="Z22" s="1024">
        <v>413992.03917491558</v>
      </c>
      <c r="AA22" s="1024">
        <v>417140.69455582864</v>
      </c>
      <c r="AB22" s="1024">
        <v>420289.3499367417</v>
      </c>
      <c r="AC22" s="1024">
        <v>423438.00531765475</v>
      </c>
      <c r="AD22" s="1024">
        <v>426586.66069856781</v>
      </c>
      <c r="AE22" s="1024">
        <v>429735.31607948086</v>
      </c>
      <c r="AF22" s="1024">
        <v>432883.97146039392</v>
      </c>
      <c r="AG22" s="1024">
        <v>436032.62684130698</v>
      </c>
      <c r="AH22" s="1017"/>
      <c r="AI22" s="1023">
        <f t="shared" si="3"/>
        <v>1283047.4704441708</v>
      </c>
    </row>
    <row r="23" spans="1:35" ht="31.5">
      <c r="A23" s="1019" t="str">
        <f>'Attachment 11 - TEC'!A75</f>
        <v>2n</v>
      </c>
      <c r="B23" s="19"/>
      <c r="C23" s="1021" t="str">
        <f>'Attachment 11 - TEC'!C75</f>
        <v>Loop the 2026 (TMI - Hosensack 500 kV) line in to the Lauschtown substation and upgrade relay at TMI 500 kV</v>
      </c>
      <c r="D23" s="1119" t="str">
        <f>'Attachment 11 - TEC'!D75</f>
        <v>b2006.1.1_Load_Ratio_Share_Allocation</v>
      </c>
      <c r="E23" s="11">
        <f t="shared" si="1"/>
        <v>1700188.1649999993</v>
      </c>
      <c r="F23" s="1024">
        <v>1700188.165</v>
      </c>
      <c r="G23" s="1024">
        <v>1700188.165</v>
      </c>
      <c r="H23" s="1024">
        <v>1700188.165</v>
      </c>
      <c r="I23" s="1024">
        <v>1700188.165</v>
      </c>
      <c r="J23" s="1024">
        <v>1700188.165</v>
      </c>
      <c r="K23" s="1024">
        <v>1700188.165</v>
      </c>
      <c r="L23" s="1024">
        <v>1700188.165</v>
      </c>
      <c r="M23" s="1024">
        <v>1700188.165</v>
      </c>
      <c r="N23" s="1024">
        <v>1700188.165</v>
      </c>
      <c r="O23" s="1024">
        <v>1700188.165</v>
      </c>
      <c r="P23" s="1024">
        <v>1700188.165</v>
      </c>
      <c r="Q23" s="1024">
        <v>1700188.165</v>
      </c>
      <c r="R23" s="1024">
        <v>1700188.165</v>
      </c>
      <c r="S23" s="1017"/>
      <c r="T23" s="1022">
        <f>AVERAGE(U23:AG23)</f>
        <v>417140.69455582864</v>
      </c>
      <c r="U23" s="1024">
        <v>398248.7622703503</v>
      </c>
      <c r="V23" s="1024">
        <v>401397.41765126336</v>
      </c>
      <c r="W23" s="1024">
        <v>404546.07303217641</v>
      </c>
      <c r="X23" s="1024">
        <v>407694.72841308947</v>
      </c>
      <c r="Y23" s="1024">
        <v>410843.38379400253</v>
      </c>
      <c r="Z23" s="1024">
        <v>413992.03917491558</v>
      </c>
      <c r="AA23" s="1024">
        <v>417140.69455582864</v>
      </c>
      <c r="AB23" s="1024">
        <v>420289.3499367417</v>
      </c>
      <c r="AC23" s="1024">
        <v>423438.00531765475</v>
      </c>
      <c r="AD23" s="1024">
        <v>426586.66069856781</v>
      </c>
      <c r="AE23" s="1024">
        <v>429735.31607948086</v>
      </c>
      <c r="AF23" s="1024">
        <v>432883.97146039392</v>
      </c>
      <c r="AG23" s="1024">
        <v>436032.62684130698</v>
      </c>
      <c r="AH23" s="1017"/>
      <c r="AI23" s="1023">
        <f t="shared" si="3"/>
        <v>1283047.4704441708</v>
      </c>
    </row>
    <row r="24" spans="1:35" ht="15.75">
      <c r="A24" s="1019" t="str">
        <f>'Attachment 11 - TEC'!A76</f>
        <v>2o</v>
      </c>
      <c r="B24" s="19"/>
      <c r="C24" s="1021" t="str">
        <f>'Attachment 11 - TEC'!C76</f>
        <v>Install 2nd Hunterstown 230/115 kV transformer</v>
      </c>
      <c r="D24" s="1119" t="str">
        <f>'Attachment 11 - TEC'!D76</f>
        <v>b2452</v>
      </c>
      <c r="E24" s="11">
        <f t="shared" si="1"/>
        <v>6088252.8875999991</v>
      </c>
      <c r="F24" s="1024">
        <v>6088252.8876</v>
      </c>
      <c r="G24" s="1024">
        <v>6088252.8876</v>
      </c>
      <c r="H24" s="1024">
        <v>6088252.8876</v>
      </c>
      <c r="I24" s="1024">
        <v>6088252.8876</v>
      </c>
      <c r="J24" s="1024">
        <v>6088252.8876</v>
      </c>
      <c r="K24" s="1024">
        <v>6088252.8876</v>
      </c>
      <c r="L24" s="1024">
        <v>6088252.8876</v>
      </c>
      <c r="M24" s="1024">
        <v>6088252.8876</v>
      </c>
      <c r="N24" s="1024">
        <v>6088252.8876</v>
      </c>
      <c r="O24" s="1024">
        <v>6088252.8876</v>
      </c>
      <c r="P24" s="1024">
        <v>6088252.8876</v>
      </c>
      <c r="Q24" s="1024">
        <v>6088252.8876</v>
      </c>
      <c r="R24" s="1024">
        <v>6088252.8876</v>
      </c>
      <c r="S24" s="1017">
        <v>2721722.6823999998</v>
      </c>
      <c r="T24" s="1022">
        <f>AVERAGE(U24:AG24)</f>
        <v>1155651.6792118722</v>
      </c>
      <c r="U24" s="1024">
        <v>1093262.1182839661</v>
      </c>
      <c r="V24" s="1024">
        <v>1103660.3784386171</v>
      </c>
      <c r="W24" s="1024">
        <v>1114058.6385932681</v>
      </c>
      <c r="X24" s="1024">
        <v>1124456.8987479191</v>
      </c>
      <c r="Y24" s="1024">
        <v>1134855.1589025701</v>
      </c>
      <c r="Z24" s="1024">
        <v>1145253.4190572212</v>
      </c>
      <c r="AA24" s="1024">
        <v>1155651.6792118722</v>
      </c>
      <c r="AB24" s="1024">
        <v>1166049.9393665232</v>
      </c>
      <c r="AC24" s="1024">
        <v>1176448.1995211742</v>
      </c>
      <c r="AD24" s="1024">
        <v>1186846.4596758252</v>
      </c>
      <c r="AE24" s="1024">
        <v>1197244.7198304762</v>
      </c>
      <c r="AF24" s="1024">
        <v>1207642.9799851272</v>
      </c>
      <c r="AG24" s="1024">
        <v>1218041.2401397782</v>
      </c>
      <c r="AH24" s="1017"/>
      <c r="AI24" s="1023">
        <f t="shared" si="4" ref="AI24:AI33">E24-T24</f>
        <v>4932601.2083881274</v>
      </c>
    </row>
    <row r="25" spans="1:35" ht="31.5" customHeight="1">
      <c r="A25" s="1019" t="str">
        <f>'Attachment 11 - TEC'!A77</f>
        <v>2p</v>
      </c>
      <c r="C25" s="1021" t="str">
        <f>'Attachment 11 - TEC'!C77</f>
        <v>Reconductor Hunterstown - Oxford 115 kV line</v>
      </c>
      <c r="D25" s="1119" t="str">
        <f>'Attachment 11 - TEC'!D77</f>
        <v>b2452.1</v>
      </c>
      <c r="E25" s="11">
        <f t="shared" si="1"/>
        <v>2752101.8823999995</v>
      </c>
      <c r="F25" s="1024">
        <v>2752101.8824</v>
      </c>
      <c r="G25" s="1024">
        <v>2752101.8824</v>
      </c>
      <c r="H25" s="1024">
        <v>2752101.8824</v>
      </c>
      <c r="I25" s="1024">
        <v>2752101.8824</v>
      </c>
      <c r="J25" s="1024">
        <v>2752101.8824</v>
      </c>
      <c r="K25" s="1024">
        <v>2752101.8824</v>
      </c>
      <c r="L25" s="1024">
        <v>2752101.8824</v>
      </c>
      <c r="M25" s="1024">
        <v>2752101.8824</v>
      </c>
      <c r="N25" s="1024">
        <v>2752101.8824</v>
      </c>
      <c r="O25" s="1024">
        <v>2752101.8824</v>
      </c>
      <c r="P25" s="1024">
        <v>2752101.8824</v>
      </c>
      <c r="Q25" s="1024">
        <v>2752101.8824</v>
      </c>
      <c r="R25" s="1024">
        <v>2752101.8824</v>
      </c>
      <c r="S25" s="1017"/>
      <c r="T25" s="1026">
        <f>AVERAGE(U25:AG25)</f>
        <v>576160.94927512191</v>
      </c>
      <c r="U25" s="1024">
        <v>543167.40915884962</v>
      </c>
      <c r="V25" s="1024">
        <v>548666.33251156169</v>
      </c>
      <c r="W25" s="1024">
        <v>554165.25586427376</v>
      </c>
      <c r="X25" s="1024">
        <v>559664.17921698582</v>
      </c>
      <c r="Y25" s="1024">
        <v>565163.10256969789</v>
      </c>
      <c r="Z25" s="1024">
        <v>570662.02592240996</v>
      </c>
      <c r="AA25" s="1024">
        <v>576160.94927512202</v>
      </c>
      <c r="AB25" s="1024">
        <v>581659.87262783409</v>
      </c>
      <c r="AC25" s="1024">
        <v>587158.79598054616</v>
      </c>
      <c r="AD25" s="1024">
        <v>592657.71933325822</v>
      </c>
      <c r="AE25" s="1024">
        <v>598156.64268597029</v>
      </c>
      <c r="AF25" s="1024">
        <v>603655.56603868236</v>
      </c>
      <c r="AG25" s="1024">
        <v>609154.48939139443</v>
      </c>
      <c r="AH25" s="1017"/>
      <c r="AI25" s="1023">
        <f t="shared" si="4"/>
        <v>2175940.9331248775</v>
      </c>
    </row>
    <row r="26" spans="1:35" ht="31.5" customHeight="1">
      <c r="A26" s="1019" t="str">
        <f>'Attachment 11 - TEC'!A78</f>
        <v>2q</v>
      </c>
      <c r="C26" s="1021" t="str">
        <f>'Attachment 11 - TEC'!C78</f>
        <v>Reconductor the North Meshoppen –  Oxbow - Lackawanna 230 kV circuit and upgrade terminal equipment (PENELEC portion)</v>
      </c>
      <c r="D26" s="1119" t="str">
        <f>'Attachment 11 - TEC'!D78</f>
        <v>b2552.1</v>
      </c>
      <c r="E26" s="11">
        <f t="shared" si="1"/>
        <v>97814243.493846178</v>
      </c>
      <c r="F26" s="1024">
        <v>97813742.780000001</v>
      </c>
      <c r="G26" s="1024">
        <v>97814285.219999999</v>
      </c>
      <c r="H26" s="1024">
        <v>97814285.219999999</v>
      </c>
      <c r="I26" s="1024">
        <v>97814285.219999999</v>
      </c>
      <c r="J26" s="1024">
        <v>97814285.219999999</v>
      </c>
      <c r="K26" s="1024">
        <v>97814285.219999999</v>
      </c>
      <c r="L26" s="1024">
        <v>97814285.219999999</v>
      </c>
      <c r="M26" s="1024">
        <v>97814285.219999999</v>
      </c>
      <c r="N26" s="1024">
        <v>97814285.219999999</v>
      </c>
      <c r="O26" s="1024">
        <v>97814285.219999999</v>
      </c>
      <c r="P26" s="1024">
        <v>97814285.219999999</v>
      </c>
      <c r="Q26" s="1024">
        <v>97814285.219999999</v>
      </c>
      <c r="R26" s="1024">
        <v>97814285.219999999</v>
      </c>
      <c r="S26" s="1017"/>
      <c r="T26" s="1026">
        <f t="shared" si="5" ref="T26:T33">AVERAGE(U26:AG26)</f>
        <v>15216670.862612234</v>
      </c>
      <c r="U26" s="1024">
        <v>14064598.886996746</v>
      </c>
      <c r="V26" s="1024">
        <v>14256610.882932661</v>
      </c>
      <c r="W26" s="1024">
        <v>14448622.878868576</v>
      </c>
      <c r="X26" s="1024">
        <v>14640634.874804491</v>
      </c>
      <c r="Y26" s="1024">
        <v>14832646.870740406</v>
      </c>
      <c r="Z26" s="1024">
        <v>15024658.866676321</v>
      </c>
      <c r="AA26" s="1024">
        <v>15216670.862612236</v>
      </c>
      <c r="AB26" s="1024">
        <v>15408682.858548151</v>
      </c>
      <c r="AC26" s="1024">
        <v>15600694.854484066</v>
      </c>
      <c r="AD26" s="1024">
        <v>15792706.850419981</v>
      </c>
      <c r="AE26" s="1024">
        <v>15984718.846355896</v>
      </c>
      <c r="AF26" s="1024">
        <v>16176730.842291811</v>
      </c>
      <c r="AG26" s="1024">
        <v>16368742.838227727</v>
      </c>
      <c r="AH26" s="1017"/>
      <c r="AI26" s="1023">
        <f t="shared" si="4"/>
        <v>82597572.631233945</v>
      </c>
    </row>
    <row r="27" spans="1:35" ht="31.5" customHeight="1">
      <c r="A27" s="1019" t="str">
        <f>'Attachment 11 - TEC'!A79</f>
        <v>2r</v>
      </c>
      <c r="C27" s="1021" t="str">
        <f>'Attachment 11 - TEC'!C79</f>
        <v>Upgrade relay at South Reading on the 1072 230 V line</v>
      </c>
      <c r="D27" s="1119" t="str">
        <f>'Attachment 11 - TEC'!D79</f>
        <v>b2006.2.1_DFAX_Allocation</v>
      </c>
      <c r="E27" s="11">
        <f t="shared" si="1"/>
        <v>1130069.4700000002</v>
      </c>
      <c r="F27" s="1024">
        <v>1130069.47</v>
      </c>
      <c r="G27" s="1024">
        <v>1130069.47</v>
      </c>
      <c r="H27" s="1024">
        <v>1130069.47</v>
      </c>
      <c r="I27" s="1024">
        <v>1130069.47</v>
      </c>
      <c r="J27" s="1024">
        <v>1130069.47</v>
      </c>
      <c r="K27" s="1024">
        <v>1130069.47</v>
      </c>
      <c r="L27" s="1024">
        <v>1130069.47</v>
      </c>
      <c r="M27" s="1024">
        <v>1130069.47</v>
      </c>
      <c r="N27" s="1024">
        <v>1130069.47</v>
      </c>
      <c r="O27" s="1024">
        <v>1130069.47</v>
      </c>
      <c r="P27" s="1024">
        <v>1130069.47</v>
      </c>
      <c r="Q27" s="1024">
        <v>1130069.47</v>
      </c>
      <c r="R27" s="1024">
        <v>1130069.47</v>
      </c>
      <c r="S27" s="1017"/>
      <c r="T27" s="1026">
        <f t="shared" si="5"/>
        <v>103258.76337552366</v>
      </c>
      <c r="U27" s="1024">
        <v>91678.341314717283</v>
      </c>
      <c r="V27" s="1024">
        <v>93608.41165818501</v>
      </c>
      <c r="W27" s="1024">
        <v>95538.482001652737</v>
      </c>
      <c r="X27" s="1024">
        <v>97468.552345120464</v>
      </c>
      <c r="Y27" s="1024">
        <v>99398.622688588192</v>
      </c>
      <c r="Z27" s="1024">
        <v>101328.69303205592</v>
      </c>
      <c r="AA27" s="1024">
        <v>103258.76337552365</v>
      </c>
      <c r="AB27" s="1024">
        <v>105188.83371899137</v>
      </c>
      <c r="AC27" s="1024">
        <v>107118.9040624591</v>
      </c>
      <c r="AD27" s="1024">
        <v>109048.97440592683</v>
      </c>
      <c r="AE27" s="1024">
        <v>110979.04474939455</v>
      </c>
      <c r="AF27" s="1024">
        <v>112909.11509286228</v>
      </c>
      <c r="AG27" s="1024">
        <v>114839.18543633001</v>
      </c>
      <c r="AH27" s="1017"/>
      <c r="AI27" s="1023">
        <f t="shared" si="4"/>
        <v>1026810.7066244766</v>
      </c>
    </row>
    <row r="28" spans="1:35" ht="31.5" customHeight="1">
      <c r="A28" s="1019" t="str">
        <f>'Attachment 11 - TEC'!A80</f>
        <v>2s</v>
      </c>
      <c r="C28" s="1021" t="str">
        <f>'Attachment 11 - TEC'!C80</f>
        <v xml:space="preserve">Rebuild the Hunterstown - Lincoln 115 kV line (No.962) (~2.6 mi.).  Upgrade limiting terminal equipment at Hunterstown and Lincoln. </v>
      </c>
      <c r="D28" s="1119" t="str">
        <f>'Attachment 11 - TEC'!D80</f>
        <v>b3145</v>
      </c>
      <c r="E28" s="11">
        <f t="shared" si="1"/>
        <v>4104352.0253846156</v>
      </c>
      <c r="F28" s="1024">
        <v>4104211.8099999996</v>
      </c>
      <c r="G28" s="1024">
        <v>4104363.71</v>
      </c>
      <c r="H28" s="1024">
        <v>4104363.71</v>
      </c>
      <c r="I28" s="1024">
        <v>4104363.71</v>
      </c>
      <c r="J28" s="1024">
        <v>4104363.71</v>
      </c>
      <c r="K28" s="1024">
        <v>4104363.71</v>
      </c>
      <c r="L28" s="1024">
        <v>4104363.71</v>
      </c>
      <c r="M28" s="1024">
        <v>4104363.71</v>
      </c>
      <c r="N28" s="1024">
        <v>4104363.71</v>
      </c>
      <c r="O28" s="1024">
        <v>4104363.71</v>
      </c>
      <c r="P28" s="1024">
        <v>4104363.71</v>
      </c>
      <c r="Q28" s="1024">
        <v>4104363.71</v>
      </c>
      <c r="R28" s="1024">
        <v>4104363.71</v>
      </c>
      <c r="S28" s="1017"/>
      <c r="T28" s="1026">
        <f t="shared" si="5"/>
        <v>446902.61038295273</v>
      </c>
      <c r="U28" s="1024">
        <v>397697.58383830462</v>
      </c>
      <c r="V28" s="1024">
        <v>405898.38647178194</v>
      </c>
      <c r="W28" s="1024">
        <v>414099.18910525925</v>
      </c>
      <c r="X28" s="1024">
        <v>422300.04155090376</v>
      </c>
      <c r="Y28" s="1024">
        <v>430500.89399654826</v>
      </c>
      <c r="Z28" s="1024">
        <v>438701.74644219276</v>
      </c>
      <c r="AA28" s="1024">
        <v>446902.59888783726</v>
      </c>
      <c r="AB28" s="1024">
        <v>455103.45133348176</v>
      </c>
      <c r="AC28" s="1024">
        <v>463304.30377912626</v>
      </c>
      <c r="AD28" s="1024">
        <v>471505.15622477076</v>
      </c>
      <c r="AE28" s="1024">
        <v>479706.00867041526</v>
      </c>
      <c r="AF28" s="1024">
        <v>487906.86111605976</v>
      </c>
      <c r="AG28" s="1024">
        <v>496107.71356170427</v>
      </c>
      <c r="AH28" s="1017"/>
      <c r="AI28" s="1023">
        <f t="shared" si="4"/>
        <v>3657449.4150016629</v>
      </c>
    </row>
    <row r="29" spans="1:35" ht="15.75">
      <c r="A29" s="1019" t="str">
        <f>'Attachment 11 - TEC'!A81</f>
        <v>2t</v>
      </c>
      <c r="C29" s="1021" t="str">
        <f>'Attachment 11 - TEC'!C81</f>
        <v>Tie in new Rice substation to Conemaugh-Hunterstown 500 kV</v>
      </c>
      <c r="D29" s="1119" t="str">
        <f>'Attachment 11 - TEC'!D81</f>
        <v>b2743.2</v>
      </c>
      <c r="E29" s="11">
        <f t="shared" si="1"/>
        <v>529376.3600000001</v>
      </c>
      <c r="F29" s="557">
        <v>529376.36</v>
      </c>
      <c r="G29" s="557">
        <v>529376.36</v>
      </c>
      <c r="H29" s="557">
        <v>529376.36</v>
      </c>
      <c r="I29" s="557">
        <v>529376.36</v>
      </c>
      <c r="J29" s="557">
        <v>529376.36</v>
      </c>
      <c r="K29" s="557">
        <v>529376.36</v>
      </c>
      <c r="L29" s="557">
        <v>529376.36</v>
      </c>
      <c r="M29" s="557">
        <v>529376.36</v>
      </c>
      <c r="N29" s="557">
        <v>529376.36</v>
      </c>
      <c r="O29" s="557">
        <v>529376.36</v>
      </c>
      <c r="P29" s="557">
        <v>529376.36</v>
      </c>
      <c r="Q29" s="557">
        <v>529376.36</v>
      </c>
      <c r="R29" s="557">
        <v>529376.36</v>
      </c>
      <c r="S29" s="1017"/>
      <c r="T29" s="1026">
        <f t="shared" si="5"/>
        <v>0</v>
      </c>
      <c r="U29" s="557">
        <v>0</v>
      </c>
      <c r="V29" s="557">
        <v>0</v>
      </c>
      <c r="W29" s="557">
        <v>0</v>
      </c>
      <c r="X29" s="557">
        <v>0</v>
      </c>
      <c r="Y29" s="557">
        <v>0</v>
      </c>
      <c r="Z29" s="557">
        <v>0</v>
      </c>
      <c r="AA29" s="557">
        <v>0</v>
      </c>
      <c r="AB29" s="557">
        <v>0</v>
      </c>
      <c r="AC29" s="557">
        <v>0</v>
      </c>
      <c r="AD29" s="557">
        <v>0</v>
      </c>
      <c r="AE29" s="557">
        <v>0</v>
      </c>
      <c r="AF29" s="557">
        <v>0</v>
      </c>
      <c r="AG29" s="557">
        <v>0</v>
      </c>
      <c r="AH29" s="1017"/>
      <c r="AI29" s="1023">
        <f t="shared" si="4"/>
        <v>529376.3600000001</v>
      </c>
    </row>
    <row r="30" spans="1:35" ht="31.5">
      <c r="A30" s="1019" t="str">
        <f>'Attachment 11 - TEC'!A82</f>
        <v>2u</v>
      </c>
      <c r="C30" s="1021" t="str">
        <f>'Attachment 11 - TEC'!C82</f>
        <v xml:space="preserve">Upgrade terminal equipment at Conemaugh 500 kV: on the Conemaugh - Hunterstown 500 kV circuit </v>
      </c>
      <c r="D30" s="1119" t="str">
        <f>'Attachment 11 - TEC'!D82</f>
        <v>b2743.3</v>
      </c>
      <c r="E30" s="11">
        <f t="shared" si="1"/>
        <v>0</v>
      </c>
      <c r="F30" s="557">
        <v>0</v>
      </c>
      <c r="G30" s="557">
        <v>0</v>
      </c>
      <c r="H30" s="557">
        <v>0</v>
      </c>
      <c r="I30" s="557">
        <v>0</v>
      </c>
      <c r="J30" s="557">
        <v>0</v>
      </c>
      <c r="K30" s="557">
        <v>0</v>
      </c>
      <c r="L30" s="557">
        <v>0</v>
      </c>
      <c r="M30" s="557">
        <v>0</v>
      </c>
      <c r="N30" s="557">
        <v>0</v>
      </c>
      <c r="O30" s="557">
        <v>0</v>
      </c>
      <c r="P30" s="557">
        <v>0</v>
      </c>
      <c r="Q30" s="557">
        <v>0</v>
      </c>
      <c r="R30" s="557">
        <v>0</v>
      </c>
      <c r="S30" s="1017"/>
      <c r="T30" s="1026">
        <f t="shared" si="5"/>
        <v>0</v>
      </c>
      <c r="U30" s="557">
        <v>0</v>
      </c>
      <c r="V30" s="557">
        <v>0</v>
      </c>
      <c r="W30" s="557">
        <v>0</v>
      </c>
      <c r="X30" s="557">
        <v>0</v>
      </c>
      <c r="Y30" s="557">
        <v>0</v>
      </c>
      <c r="Z30" s="557">
        <v>0</v>
      </c>
      <c r="AA30" s="557">
        <v>0</v>
      </c>
      <c r="AB30" s="557">
        <v>0</v>
      </c>
      <c r="AC30" s="557">
        <v>0</v>
      </c>
      <c r="AD30" s="557">
        <v>0</v>
      </c>
      <c r="AE30" s="557">
        <v>0</v>
      </c>
      <c r="AF30" s="557">
        <v>0</v>
      </c>
      <c r="AG30" s="557">
        <v>0</v>
      </c>
      <c r="AH30" s="1017"/>
      <c r="AI30" s="1023">
        <f t="shared" si="4"/>
        <v>0</v>
      </c>
    </row>
    <row r="31" spans="1:35" ht="31.5">
      <c r="A31" s="1019" t="str">
        <f>'Attachment 11 - TEC'!A83</f>
        <v>2v</v>
      </c>
      <c r="C31" s="1021" t="s">
        <v>1407</v>
      </c>
      <c r="D31" s="1119" t="s">
        <v>1406</v>
      </c>
      <c r="E31" s="11">
        <v>0</v>
      </c>
      <c r="F31" s="557">
        <v>0</v>
      </c>
      <c r="G31" s="557">
        <v>0</v>
      </c>
      <c r="H31" s="557">
        <v>0</v>
      </c>
      <c r="I31" s="557">
        <v>0</v>
      </c>
      <c r="J31" s="557">
        <v>0</v>
      </c>
      <c r="K31" s="557">
        <v>0</v>
      </c>
      <c r="L31" s="557">
        <v>0</v>
      </c>
      <c r="M31" s="557">
        <v>0</v>
      </c>
      <c r="N31" s="557">
        <v>0</v>
      </c>
      <c r="O31" s="557">
        <v>0</v>
      </c>
      <c r="P31" s="557">
        <v>0</v>
      </c>
      <c r="Q31" s="557">
        <v>0</v>
      </c>
      <c r="R31" s="557">
        <v>0</v>
      </c>
      <c r="S31" s="1017"/>
      <c r="T31" s="1026">
        <f t="shared" si="5"/>
        <v>0</v>
      </c>
      <c r="U31" s="557">
        <v>0</v>
      </c>
      <c r="V31" s="557">
        <v>0</v>
      </c>
      <c r="W31" s="557">
        <v>0</v>
      </c>
      <c r="X31" s="557">
        <v>0</v>
      </c>
      <c r="Y31" s="557">
        <v>0</v>
      </c>
      <c r="Z31" s="557">
        <v>0</v>
      </c>
      <c r="AA31" s="557">
        <v>0</v>
      </c>
      <c r="AB31" s="557">
        <v>0</v>
      </c>
      <c r="AC31" s="557">
        <v>0</v>
      </c>
      <c r="AD31" s="557">
        <v>0</v>
      </c>
      <c r="AE31" s="557">
        <v>0</v>
      </c>
      <c r="AF31" s="557">
        <v>0</v>
      </c>
      <c r="AG31" s="557">
        <v>0</v>
      </c>
      <c r="AH31" s="1017"/>
      <c r="AI31" s="1023">
        <f t="shared" si="4"/>
        <v>0</v>
      </c>
    </row>
    <row r="32" spans="1:35" ht="31.5">
      <c r="A32" s="1019" t="str">
        <f>'Attachment 11 - TEC'!A84</f>
        <v>2w</v>
      </c>
      <c r="C32" s="1021" t="str">
        <f>'Attachment 11 - TEC'!C84</f>
        <v xml:space="preserve">Upgrade terminal equipment at Hunterstown 500 kV: on the Conemaugh - Hunterstown 500 kV circuit </v>
      </c>
      <c r="D32" s="1119" t="str">
        <f>'Attachment 11 - TEC'!D84</f>
        <v>b2743.4</v>
      </c>
      <c r="E32" s="11">
        <f t="shared" si="1"/>
        <v>0</v>
      </c>
      <c r="F32" s="557">
        <v>0</v>
      </c>
      <c r="G32" s="557">
        <v>0</v>
      </c>
      <c r="H32" s="557">
        <v>0</v>
      </c>
      <c r="I32" s="557">
        <v>0</v>
      </c>
      <c r="J32" s="557">
        <v>0</v>
      </c>
      <c r="K32" s="557">
        <v>0</v>
      </c>
      <c r="L32" s="557">
        <v>0</v>
      </c>
      <c r="M32" s="557">
        <v>0</v>
      </c>
      <c r="N32" s="557">
        <v>0</v>
      </c>
      <c r="O32" s="557">
        <v>0</v>
      </c>
      <c r="P32" s="557">
        <v>0</v>
      </c>
      <c r="Q32" s="557">
        <v>0</v>
      </c>
      <c r="R32" s="557">
        <v>0</v>
      </c>
      <c r="S32" s="1017"/>
      <c r="T32" s="1026">
        <f t="shared" si="5"/>
        <v>0</v>
      </c>
      <c r="U32" s="557">
        <v>0</v>
      </c>
      <c r="V32" s="557">
        <v>0</v>
      </c>
      <c r="W32" s="557">
        <v>0</v>
      </c>
      <c r="X32" s="557">
        <v>0</v>
      </c>
      <c r="Y32" s="557">
        <v>0</v>
      </c>
      <c r="Z32" s="557">
        <v>0</v>
      </c>
      <c r="AA32" s="557">
        <v>0</v>
      </c>
      <c r="AB32" s="557">
        <v>0</v>
      </c>
      <c r="AC32" s="557">
        <v>0</v>
      </c>
      <c r="AD32" s="557">
        <v>0</v>
      </c>
      <c r="AE32" s="557">
        <v>0</v>
      </c>
      <c r="AF32" s="557">
        <v>0</v>
      </c>
      <c r="AG32" s="557">
        <v>0</v>
      </c>
      <c r="AH32" s="1017"/>
      <c r="AI32" s="1023">
        <f t="shared" si="4"/>
        <v>0</v>
      </c>
    </row>
    <row r="33" spans="1:35" ht="15.75">
      <c r="A33" t="s">
        <v>1379</v>
      </c>
      <c r="C33" t="s">
        <v>1350</v>
      </c>
      <c r="D33" t="s">
        <v>1351</v>
      </c>
      <c r="E33" s="11">
        <v>130995</v>
      </c>
      <c r="F33" s="557">
        <v>130995.06</v>
      </c>
      <c r="G33" s="557">
        <v>130995.06</v>
      </c>
      <c r="H33" s="557">
        <v>130995.06</v>
      </c>
      <c r="I33" s="557">
        <v>130995.06</v>
      </c>
      <c r="J33" s="557">
        <v>130995.06</v>
      </c>
      <c r="K33" s="557">
        <v>130995.06</v>
      </c>
      <c r="L33" s="557">
        <v>130995.06</v>
      </c>
      <c r="M33" s="557">
        <v>130995.06</v>
      </c>
      <c r="N33" s="557">
        <v>130995.06</v>
      </c>
      <c r="O33" s="557">
        <v>130995.06</v>
      </c>
      <c r="P33" s="557">
        <v>130995.06</v>
      </c>
      <c r="Q33" s="557">
        <v>130995.06</v>
      </c>
      <c r="R33" s="557">
        <v>130995.06</v>
      </c>
      <c r="T33" s="1026">
        <f t="shared" si="5"/>
        <v>35411.437307878929</v>
      </c>
      <c r="U33" s="557">
        <v>34069.061354053163</v>
      </c>
      <c r="V33" s="557">
        <v>34292.790679690792</v>
      </c>
      <c r="W33" s="557">
        <v>34516.520005328421</v>
      </c>
      <c r="X33" s="557">
        <v>34740.249330966049</v>
      </c>
      <c r="Y33" s="557">
        <v>34963.978656603678</v>
      </c>
      <c r="Z33" s="557">
        <v>35187.707982241307</v>
      </c>
      <c r="AA33" s="557">
        <v>35411.437307878936</v>
      </c>
      <c r="AB33" s="557">
        <v>35635.166633516565</v>
      </c>
      <c r="AC33" s="557">
        <v>35858.895959154193</v>
      </c>
      <c r="AD33" s="557">
        <v>36082.625284791822</v>
      </c>
      <c r="AE33" s="557">
        <v>36306.354610429451</v>
      </c>
      <c r="AF33" s="557">
        <v>36530.08393606708</v>
      </c>
      <c r="AG33" s="557">
        <v>36753.813261704709</v>
      </c>
      <c r="AH33" s="1017"/>
      <c r="AI33" s="1023">
        <f t="shared" si="4"/>
        <v>95583.562692121079</v>
      </c>
    </row>
    <row r="36" spans="2:35" ht="15.75">
      <c r="B36" s="19"/>
      <c r="E36" s="11"/>
      <c r="F36" s="1112"/>
      <c r="G36" s="1112"/>
      <c r="H36" s="1112"/>
      <c r="I36" s="1112"/>
      <c r="J36" s="1112"/>
      <c r="K36" s="1112"/>
      <c r="L36" s="1112"/>
      <c r="M36" s="1112"/>
      <c r="N36" s="1112"/>
      <c r="O36" s="1112"/>
      <c r="P36" s="1112"/>
      <c r="Q36" s="1112"/>
      <c r="R36" s="1112"/>
      <c r="S36" s="399"/>
      <c r="T36" s="1022"/>
      <c r="U36" s="1112"/>
      <c r="V36" s="1112"/>
      <c r="W36" s="1112"/>
      <c r="X36" s="1112"/>
      <c r="Y36" s="1112"/>
      <c r="Z36" s="1112"/>
      <c r="AA36" s="1112"/>
      <c r="AB36" s="1112"/>
      <c r="AC36" s="1112"/>
      <c r="AD36" s="1112"/>
      <c r="AE36" s="1112"/>
      <c r="AF36" s="1112"/>
      <c r="AG36" s="1112"/>
      <c r="AI36" s="1023"/>
    </row>
    <row r="38" spans="1:21" ht="15.75">
      <c r="A38" s="2" t="s">
        <v>303</v>
      </c>
      <c r="B38" s="2"/>
      <c r="C38" s="2"/>
      <c r="S38" s="1027"/>
      <c r="T38" s="2" t="s">
        <v>303</v>
      </c>
      <c r="U38" s="2"/>
    </row>
    <row r="39" spans="1:26" ht="15.75" customHeight="1">
      <c r="A39" s="494"/>
      <c r="B39" s="2" t="s">
        <v>256</v>
      </c>
      <c r="C39" s="2" t="s">
        <v>488</v>
      </c>
      <c r="D39" s="2"/>
      <c r="E39" s="2"/>
      <c r="F39" s="2"/>
      <c r="G39" s="2"/>
      <c r="H39" s="2"/>
      <c r="I39" s="2"/>
      <c r="J39" s="2"/>
      <c r="K39" s="2"/>
      <c r="L39" s="2"/>
      <c r="S39" s="494"/>
      <c r="T39" s="18" t="s">
        <v>270</v>
      </c>
      <c r="U39" s="2" t="s">
        <v>802</v>
      </c>
      <c r="Z39" t="s">
        <v>981</v>
      </c>
    </row>
    <row r="40" spans="2:35" ht="32.25" customHeight="1">
      <c r="B40" s="714"/>
      <c r="C40" s="1171"/>
      <c r="D40" s="1171"/>
      <c r="E40" s="1171"/>
      <c r="F40" s="1171"/>
      <c r="G40" s="1171"/>
      <c r="H40" s="1171"/>
      <c r="I40" s="1171"/>
      <c r="J40" s="1171"/>
      <c r="K40" s="1171"/>
      <c r="L40" s="1171"/>
      <c r="M40" s="1171"/>
      <c r="N40" s="1171"/>
      <c r="O40" s="1171"/>
      <c r="P40" s="1171"/>
      <c r="Q40" s="1171"/>
      <c r="R40" s="1171"/>
      <c r="S40" s="1171"/>
      <c r="T40" s="713"/>
      <c r="U40" s="1171"/>
      <c r="V40" s="1171"/>
      <c r="W40" s="1171"/>
      <c r="X40" s="1171"/>
      <c r="Y40" s="1171"/>
      <c r="Z40" s="1171"/>
      <c r="AA40" s="1171"/>
      <c r="AB40" s="1171"/>
      <c r="AC40" s="1171"/>
      <c r="AD40" s="1171"/>
      <c r="AE40" s="1171"/>
      <c r="AF40" s="1171"/>
      <c r="AG40" s="1171"/>
      <c r="AH40" s="1171"/>
      <c r="AI40" s="1171"/>
    </row>
    <row r="43" spans="3:3" ht="15.75">
      <c r="C43" s="1021"/>
    </row>
    <row r="44" spans="3:3" ht="15.75">
      <c r="C44" s="1021"/>
    </row>
    <row r="45" spans="3:3" ht="15.75">
      <c r="C45" s="1021"/>
    </row>
    <row r="46" spans="3:3" ht="15.75">
      <c r="C46" s="1021"/>
    </row>
    <row r="47" spans="3:3" ht="15.75">
      <c r="C47" s="1021"/>
    </row>
    <row r="48" spans="3:3" ht="15.75">
      <c r="C48" s="1021"/>
    </row>
    <row r="49" spans="3:3" ht="15.75">
      <c r="C49" s="1021"/>
    </row>
    <row r="50" spans="3:3" ht="15.75">
      <c r="C50" s="1021"/>
    </row>
    <row r="51" spans="3:3" ht="15.75">
      <c r="C51" s="1021"/>
    </row>
    <row r="52" spans="3:3" ht="15.75">
      <c r="C52" s="1021"/>
    </row>
    <row r="53" spans="3:3" ht="15.75">
      <c r="C53" s="1021"/>
    </row>
    <row r="54" spans="3:3" ht="15.75">
      <c r="C54" s="1021"/>
    </row>
    <row r="55" spans="3:3" ht="15.75">
      <c r="C55" s="1021"/>
    </row>
    <row r="56" spans="3:3" ht="15.75">
      <c r="C56" s="1021"/>
    </row>
    <row r="57" spans="3:3" ht="15.75">
      <c r="C57" s="1021"/>
    </row>
    <row r="58" spans="3:3" ht="15.75">
      <c r="C58" s="1021"/>
    </row>
    <row r="59" spans="3:3" ht="15.75">
      <c r="C59" s="1021"/>
    </row>
  </sheetData>
  <customSheetViews>
    <customSheetView guid="{33e6ffdf-cb42-4a87-b460-a01a45f9a9a1}" printArea="1" scale="60" showPageBreaks="1" topLeftCell="A4" view="pageBreakPreview">
      <selection pane="topLeft" activeCell="D22" sqref="D22"/>
      <colBreaks count="1" manualBreakCount="1">
        <brk id="19" max="29" man="1"/>
      </colBreaks>
      <pageMargins left="0.7" right="0.7" top="0.75" bottom="0.75" header="0.3" footer="0.3"/>
      <pageSetup orientation="landscape" paperSize="1" scale="31" r:id="rId2"/>
    </customSheetView>
    <customSheetView guid="{394295c0-a883-44ec-b980-c2facd4b6eba}" printArea="1" scale="60" showPageBreaks="1" topLeftCell="A4" view="pageBreakPreview">
      <selection pane="topLeft" activeCell="D22" sqref="D22"/>
      <colBreaks count="1" manualBreakCount="1">
        <brk id="19" max="29" man="1"/>
      </colBreaks>
      <pageMargins left="0.7" right="0.7" top="0.75" bottom="0.75" header="0.3" footer="0.3"/>
      <pageSetup orientation="landscape" paperSize="1" scale="31" r:id="rId3"/>
    </customSheetView>
  </customSheetViews>
  <mergeCells count="6">
    <mergeCell ref="C40:S40"/>
    <mergeCell ref="U40:AI40"/>
    <mergeCell ref="T1:AE1"/>
    <mergeCell ref="T2:AE2"/>
    <mergeCell ref="A1:N1"/>
    <mergeCell ref="A2:N2"/>
  </mergeCells>
  <pageMargins left="0.7" right="0.7" top="0.75" bottom="0.75" header="0.3" footer="0.3"/>
  <pageSetup orientation="landscape" paperSize="1" scale="31" r:id="rId1"/>
  <colBreaks count="1" manualBreakCount="1">
    <brk id="19" max="29" man="1"/>
  </col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pageSetUpPr fitToPage="1"/>
  </sheetPr>
  <dimension ref="A1:Q252"/>
  <sheetViews>
    <sheetView view="pageBreakPreview" zoomScale="80" zoomScaleNormal="80" zoomScaleSheetLayoutView="80" workbookViewId="0" topLeftCell="A1"/>
  </sheetViews>
  <sheetFormatPr defaultColWidth="8.88555555555556" defaultRowHeight="15"/>
  <cols>
    <col min="1" max="1" width="6" style="904" customWidth="1"/>
    <col min="2" max="2" width="3.22222222222222" style="904" customWidth="1"/>
    <col min="3" max="3" width="43.6666666666667" style="904" customWidth="1"/>
    <col min="4" max="4" width="32.2222222222222" style="904" customWidth="1"/>
    <col min="5" max="5" width="19.2222222222222" style="904" customWidth="1"/>
    <col min="6" max="6" width="13.2222222222222" style="904" customWidth="1"/>
    <col min="7" max="7" width="14.1111111111111" style="904" customWidth="1"/>
    <col min="8" max="8" width="13.8888888888889" style="904" customWidth="1"/>
    <col min="9" max="9" width="15.6666666666667" style="904" customWidth="1"/>
    <col min="10" max="10" width="15.2222222222222" style="904" customWidth="1"/>
    <col min="11" max="11" width="13.5555555555556" style="904" customWidth="1"/>
    <col min="12" max="12" width="15.2222222222222" style="904" customWidth="1"/>
    <col min="13" max="13" width="1.55555555555556" style="904" customWidth="1"/>
    <col min="14" max="15" width="8.88888888888889" style="904"/>
    <col min="16" max="16" width="10.8888888888889" style="904" bestFit="1" customWidth="1"/>
    <col min="17" max="17" width="8.88888888888889" style="904" customWidth="1"/>
    <col min="18" max="18" width="13.4444444444444" style="904" bestFit="1" customWidth="1"/>
    <col min="19" max="16384" width="8.88888888888889" style="904"/>
  </cols>
  <sheetData>
    <row r="1" spans="13:13" ht="15">
      <c r="M1" s="977" t="s">
        <v>800</v>
      </c>
    </row>
    <row r="2" spans="13:13" ht="15">
      <c r="M2" s="977" t="s">
        <v>220</v>
      </c>
    </row>
    <row r="3" spans="13:13" ht="15.75">
      <c r="M3" s="4" t="str">
        <f>'Attachment 1 - Sched 1A'!$J$3</f>
        <v>For the 12 months ended 12/31/2026</v>
      </c>
    </row>
    <row r="4" spans="1:7" ht="15">
      <c r="A4" s="952"/>
      <c r="G4" s="955"/>
    </row>
    <row r="5" spans="1:4" ht="15">
      <c r="A5" s="952"/>
      <c r="C5" s="906"/>
      <c r="D5" s="906"/>
    </row>
    <row r="6" spans="1:12" ht="15">
      <c r="A6" s="952"/>
      <c r="C6" s="906"/>
      <c r="D6" s="906"/>
      <c r="L6" s="955"/>
    </row>
    <row r="7" spans="1:1" ht="14.25" customHeight="1">
      <c r="A7" s="952"/>
    </row>
    <row r="8" spans="1:12" ht="15.75">
      <c r="A8" s="1218" t="s">
        <v>974</v>
      </c>
      <c r="B8" s="1218"/>
      <c r="C8" s="1218"/>
      <c r="D8" s="1218"/>
      <c r="E8" s="1218"/>
      <c r="F8" s="1218"/>
      <c r="G8" s="1218"/>
      <c r="H8" s="1218"/>
      <c r="I8" s="1218"/>
      <c r="J8" s="1218"/>
      <c r="K8" s="1218"/>
      <c r="L8" s="1218"/>
    </row>
    <row r="9" spans="1:12" ht="15">
      <c r="A9" s="1219" t="s">
        <v>801</v>
      </c>
      <c r="B9" s="1222"/>
      <c r="C9" s="1222"/>
      <c r="D9" s="1222"/>
      <c r="E9" s="1222"/>
      <c r="F9" s="1222"/>
      <c r="G9" s="1222"/>
      <c r="H9" s="1222"/>
      <c r="I9" s="1222"/>
      <c r="J9" s="1222"/>
      <c r="K9" s="1222"/>
      <c r="L9" s="1222"/>
    </row>
    <row r="10" spans="1:12" ht="15.75">
      <c r="A10" s="952"/>
      <c r="E10" s="965"/>
      <c r="H10" s="906"/>
      <c r="I10" s="906"/>
      <c r="J10" s="906"/>
      <c r="K10" s="906"/>
      <c r="L10" s="906"/>
    </row>
    <row r="11" spans="1:12" ht="15.75">
      <c r="A11" s="952"/>
      <c r="E11" s="965"/>
      <c r="F11" s="965"/>
      <c r="H11" s="906"/>
      <c r="I11" s="906"/>
      <c r="J11" s="906"/>
      <c r="K11" s="906"/>
      <c r="L11" s="906"/>
    </row>
    <row r="12" spans="1:13" ht="15.75">
      <c r="A12" s="952"/>
      <c r="C12" s="978" t="s">
        <v>293</v>
      </c>
      <c r="D12" s="978" t="s">
        <v>294</v>
      </c>
      <c r="E12" s="978" t="s">
        <v>295</v>
      </c>
      <c r="F12" s="978" t="s">
        <v>296</v>
      </c>
      <c r="G12" s="978" t="s">
        <v>297</v>
      </c>
      <c r="H12" s="978" t="s">
        <v>298</v>
      </c>
      <c r="I12" s="978" t="s">
        <v>299</v>
      </c>
      <c r="J12" s="978" t="s">
        <v>300</v>
      </c>
      <c r="K12" s="978" t="s">
        <v>301</v>
      </c>
      <c r="L12" s="978" t="s">
        <v>302</v>
      </c>
      <c r="M12" s="978"/>
    </row>
    <row r="13" spans="1:13" s="1030" customFormat="1" ht="80.1" customHeight="1">
      <c r="A13" s="979" t="s">
        <v>211</v>
      </c>
      <c r="B13" s="1028"/>
      <c r="C13" s="982" t="s">
        <v>212</v>
      </c>
      <c r="D13" s="982" t="s">
        <v>228</v>
      </c>
      <c r="E13" s="983" t="s">
        <v>639</v>
      </c>
      <c r="F13" s="983" t="s">
        <v>290</v>
      </c>
      <c r="G13" s="982" t="s">
        <v>627</v>
      </c>
      <c r="H13" s="982" t="s">
        <v>628</v>
      </c>
      <c r="I13" s="983" t="s">
        <v>291</v>
      </c>
      <c r="J13" s="983" t="s">
        <v>902</v>
      </c>
      <c r="K13" s="982" t="s">
        <v>903</v>
      </c>
      <c r="L13" s="983" t="s">
        <v>904</v>
      </c>
      <c r="M13" s="1029"/>
    </row>
    <row r="14" spans="1:13" ht="107.45" customHeight="1">
      <c r="A14" s="986"/>
      <c r="B14" s="987"/>
      <c r="C14" s="987"/>
      <c r="D14" s="987"/>
      <c r="E14" s="988"/>
      <c r="F14" s="990" t="s">
        <v>1492</v>
      </c>
      <c r="G14" s="990" t="s">
        <v>993</v>
      </c>
      <c r="H14" s="990" t="s">
        <v>629</v>
      </c>
      <c r="I14" s="990" t="s">
        <v>831</v>
      </c>
      <c r="J14" s="988" t="s">
        <v>630</v>
      </c>
      <c r="K14" s="990" t="s">
        <v>905</v>
      </c>
      <c r="L14" s="990" t="s">
        <v>641</v>
      </c>
      <c r="M14" s="1031"/>
    </row>
    <row r="15" spans="1:17" ht="15">
      <c r="A15" s="1032">
        <v>1</v>
      </c>
      <c r="B15" s="906" t="s">
        <v>256</v>
      </c>
      <c r="C15" s="906" t="s">
        <v>638</v>
      </c>
      <c r="D15" s="906"/>
      <c r="E15" s="719">
        <v>29915601.953173839</v>
      </c>
      <c r="F15" s="1033"/>
      <c r="G15" s="1033"/>
      <c r="H15" s="1033"/>
      <c r="I15" s="1033"/>
      <c r="J15" s="1033"/>
      <c r="K15" s="1033"/>
      <c r="L15" s="1033"/>
      <c r="M15" s="1034"/>
      <c r="N15" s="1154"/>
      <c r="O15" s="1154"/>
      <c r="P15" s="1154"/>
      <c r="Q15" s="1154"/>
    </row>
    <row r="16" spans="1:13" ht="15">
      <c r="A16" s="1035"/>
      <c r="B16" s="906"/>
      <c r="C16" s="906"/>
      <c r="D16" s="906"/>
      <c r="E16" s="906"/>
      <c r="F16" s="906"/>
      <c r="G16" s="906"/>
      <c r="H16" s="906"/>
      <c r="I16" s="906"/>
      <c r="J16" s="906"/>
      <c r="K16" s="906"/>
      <c r="L16" s="906"/>
      <c r="M16" s="1036"/>
    </row>
    <row r="17" spans="1:17" ht="15">
      <c r="A17" s="906" t="s">
        <v>631</v>
      </c>
      <c r="B17" s="906"/>
      <c r="C17" s="906" t="s">
        <v>1334</v>
      </c>
      <c r="D17" s="906" t="s">
        <v>1335</v>
      </c>
      <c r="E17" s="414"/>
      <c r="F17" s="1037">
        <v>1531642.6836717792</v>
      </c>
      <c r="G17" s="414">
        <f t="shared" si="0" ref="G17:G42">IF($F$43=0,0,F17/$F$43)</f>
        <v>0.051198792057376021</v>
      </c>
      <c r="H17" s="417">
        <f>IF($E$15=0,0,$E$15*G17)</f>
        <v>1531642.6836717792</v>
      </c>
      <c r="I17" s="1038">
        <v>2085698.0092662501</v>
      </c>
      <c r="J17" s="417">
        <f>H17-I17</f>
        <v>-554055.32559447084</v>
      </c>
      <c r="K17" s="722">
        <f t="shared" si="1" ref="K17:K42">J17/$J$43*$L$45</f>
        <v>-100165.24548184722</v>
      </c>
      <c r="L17" s="417">
        <f>J17+K17</f>
        <v>-654220.57107631804</v>
      </c>
      <c r="M17" s="415"/>
      <c r="Q17" s="1038"/>
    </row>
    <row r="18" spans="1:17" ht="15">
      <c r="A18" s="906" t="s">
        <v>632</v>
      </c>
      <c r="B18" s="906"/>
      <c r="C18" s="906" t="s">
        <v>1336</v>
      </c>
      <c r="D18" s="906" t="s">
        <v>1337</v>
      </c>
      <c r="E18" s="414"/>
      <c r="F18" s="1037">
        <v>410980.29522658372</v>
      </c>
      <c r="G18" s="414">
        <f t="shared" si="0"/>
        <v>0.013737991830145391</v>
      </c>
      <c r="H18" s="417">
        <f>IF($E$15=0,0,$E$15*G18)</f>
        <v>410980.29522658372</v>
      </c>
      <c r="I18" s="1038">
        <v>555298.72451515705</v>
      </c>
      <c r="J18" s="417">
        <f t="shared" si="2" ref="J18:J42">H18-I18</f>
        <v>-144318.42928857333</v>
      </c>
      <c r="K18" s="722">
        <f t="shared" si="1"/>
        <v>-26090.699302879897</v>
      </c>
      <c r="L18" s="417">
        <f t="shared" si="3" ref="L18:L42">J18+K18</f>
        <v>-170409.12859145322</v>
      </c>
      <c r="M18" s="415"/>
      <c r="Q18" s="1038"/>
    </row>
    <row r="19" spans="1:17" ht="15">
      <c r="A19" s="906" t="s">
        <v>1314</v>
      </c>
      <c r="B19" s="906"/>
      <c r="C19" s="906" t="s">
        <v>1338</v>
      </c>
      <c r="D19" s="906" t="s">
        <v>1339</v>
      </c>
      <c r="E19" s="414"/>
      <c r="F19" s="1037">
        <v>167121.17047137424</v>
      </c>
      <c r="G19" s="414">
        <f t="shared" si="0"/>
        <v>0.0055864217852933367</v>
      </c>
      <c r="H19" s="417">
        <f t="shared" si="4" ref="H19:H42">IF($E$15=0,0,$E$15*G19)</f>
        <v>167121.17047137424</v>
      </c>
      <c r="I19" s="1038">
        <v>228731.385838772</v>
      </c>
      <c r="J19" s="417">
        <f t="shared" si="2"/>
        <v>-61610.215367397759</v>
      </c>
      <c r="K19" s="722">
        <f t="shared" si="1"/>
        <v>-11138.242087725646</v>
      </c>
      <c r="L19" s="417">
        <f t="shared" si="3"/>
        <v>-72748.457455123411</v>
      </c>
      <c r="M19" s="415"/>
      <c r="Q19" s="1038"/>
    </row>
    <row r="20" spans="1:17" ht="15">
      <c r="A20" s="906" t="s">
        <v>1315</v>
      </c>
      <c r="B20" s="906"/>
      <c r="C20" s="906" t="s">
        <v>1340</v>
      </c>
      <c r="D20" s="906" t="s">
        <v>1341</v>
      </c>
      <c r="E20" s="414"/>
      <c r="F20" s="1037">
        <v>135456.97085798474</v>
      </c>
      <c r="G20" s="414">
        <f t="shared" si="0"/>
        <v>0.0045279707582020993</v>
      </c>
      <c r="H20" s="417">
        <f t="shared" si="4"/>
        <v>135456.97085798474</v>
      </c>
      <c r="I20" s="1038">
        <v>182286.37068196898</v>
      </c>
      <c r="J20" s="417">
        <f t="shared" si="2"/>
        <v>-46829.399823984248</v>
      </c>
      <c r="K20" s="722">
        <f t="shared" si="1"/>
        <v>-8466.0829206977032</v>
      </c>
      <c r="L20" s="417">
        <f t="shared" si="3"/>
        <v>-55295.482744681955</v>
      </c>
      <c r="M20" s="415"/>
      <c r="Q20" s="1038"/>
    </row>
    <row r="21" spans="1:17" ht="15">
      <c r="A21" s="906" t="s">
        <v>1316</v>
      </c>
      <c r="B21" s="906"/>
      <c r="C21" s="906" t="s">
        <v>1342</v>
      </c>
      <c r="D21" s="906" t="s">
        <v>1343</v>
      </c>
      <c r="E21" s="1039"/>
      <c r="F21" s="1037">
        <v>118881.2445505323</v>
      </c>
      <c r="G21" s="414">
        <f t="shared" si="0"/>
        <v>0.0039738877638703114</v>
      </c>
      <c r="H21" s="417">
        <f t="shared" si="4"/>
        <v>118881.2445505323</v>
      </c>
      <c r="I21" s="1038">
        <v>160636.22898571001</v>
      </c>
      <c r="J21" s="417">
        <f t="shared" si="2"/>
        <v>-41754.984435177714</v>
      </c>
      <c r="K21" s="722">
        <f t="shared" si="1"/>
        <v>-7548.7014975495485</v>
      </c>
      <c r="L21" s="417">
        <f t="shared" si="3"/>
        <v>-49303.685932727261</v>
      </c>
      <c r="M21" s="1040"/>
      <c r="Q21" s="1038"/>
    </row>
    <row r="22" spans="1:17" ht="15">
      <c r="A22" s="906" t="s">
        <v>1317</v>
      </c>
      <c r="B22" s="906"/>
      <c r="C22" s="906" t="s">
        <v>1344</v>
      </c>
      <c r="D22" s="906" t="s">
        <v>1345</v>
      </c>
      <c r="E22" s="1039"/>
      <c r="F22" s="1037">
        <v>279843.36731159873</v>
      </c>
      <c r="G22" s="414">
        <f t="shared" si="0"/>
        <v>0.0093544287609398837</v>
      </c>
      <c r="H22" s="417">
        <f t="shared" si="4"/>
        <v>279843.36731159873</v>
      </c>
      <c r="I22" s="1038">
        <v>380568.52005373</v>
      </c>
      <c r="J22" s="417">
        <f t="shared" si="2"/>
        <v>-100725.15274213126</v>
      </c>
      <c r="K22" s="722">
        <f t="shared" si="1"/>
        <v>-18209.660993307883</v>
      </c>
      <c r="L22" s="417">
        <f t="shared" si="3"/>
        <v>-118934.81373543915</v>
      </c>
      <c r="M22" s="1040"/>
      <c r="Q22" s="1038"/>
    </row>
    <row r="23" spans="1:17" ht="15">
      <c r="A23" s="906" t="s">
        <v>1318</v>
      </c>
      <c r="B23" s="906"/>
      <c r="C23" s="906" t="s">
        <v>1346</v>
      </c>
      <c r="D23" s="906" t="s">
        <v>1347</v>
      </c>
      <c r="E23" s="1039"/>
      <c r="F23" s="1037">
        <v>1446201.7903818118</v>
      </c>
      <c r="G23" s="414">
        <f t="shared" si="0"/>
        <v>0.048342727405101732</v>
      </c>
      <c r="H23" s="417">
        <f t="shared" si="4"/>
        <v>1446201.7903818118</v>
      </c>
      <c r="I23" s="1038">
        <v>1998646.35570442</v>
      </c>
      <c r="J23" s="417">
        <f t="shared" si="2"/>
        <v>-552444.56532260822</v>
      </c>
      <c r="K23" s="722">
        <f t="shared" si="1"/>
        <v>-99874.043158558619</v>
      </c>
      <c r="L23" s="417">
        <f t="shared" si="3"/>
        <v>-652318.60848116688</v>
      </c>
      <c r="M23" s="1040"/>
      <c r="Q23" s="1038"/>
    </row>
    <row r="24" spans="1:17" ht="15">
      <c r="A24" s="906" t="s">
        <v>1319</v>
      </c>
      <c r="B24" s="906"/>
      <c r="C24" s="906" t="s">
        <v>1348</v>
      </c>
      <c r="D24" s="906" t="s">
        <v>1349</v>
      </c>
      <c r="E24" s="1039"/>
      <c r="F24" s="1037">
        <v>8770750.5968314037</v>
      </c>
      <c r="G24" s="414">
        <f t="shared" si="0"/>
        <v>0.29318315608557854</v>
      </c>
      <c r="H24" s="417">
        <f t="shared" si="4"/>
        <v>8770750.5968314037</v>
      </c>
      <c r="I24" s="1038">
        <v>20941252.380789001</v>
      </c>
      <c r="J24" s="417">
        <f t="shared" si="2"/>
        <v>-12170501.783957597</v>
      </c>
      <c r="K24" s="722">
        <f t="shared" si="1"/>
        <v>-2200251.9288473339</v>
      </c>
      <c r="L24" s="417">
        <f t="shared" si="3"/>
        <v>-14370753.71280493</v>
      </c>
      <c r="M24" s="1040"/>
      <c r="Q24" s="1038"/>
    </row>
    <row r="25" spans="1:17" ht="15">
      <c r="A25" s="906" t="s">
        <v>1452</v>
      </c>
      <c r="B25" s="906"/>
      <c r="C25" s="906" t="s">
        <v>1352</v>
      </c>
      <c r="D25" s="906" t="s">
        <v>1353</v>
      </c>
      <c r="E25" s="1039"/>
      <c r="F25" s="1037">
        <v>10952.167310026243</v>
      </c>
      <c r="G25" s="414">
        <f t="shared" si="0"/>
        <v>0.00036610218731915887</v>
      </c>
      <c r="H25" s="417">
        <f t="shared" si="4"/>
        <v>10952.167310026243</v>
      </c>
      <c r="I25" s="1038">
        <v>41446.424380185301</v>
      </c>
      <c r="J25" s="417">
        <f t="shared" si="2"/>
        <v>-30494.257070159059</v>
      </c>
      <c r="K25" s="722">
        <f t="shared" si="1"/>
        <v>-5512.9237173954871</v>
      </c>
      <c r="L25" s="417">
        <f t="shared" si="3"/>
        <v>-36007.180787554549</v>
      </c>
      <c r="M25" s="1040"/>
      <c r="Q25" s="1038"/>
    </row>
    <row r="26" spans="1:17" ht="15">
      <c r="A26" s="904" t="s">
        <v>1321</v>
      </c>
      <c r="B26" s="906"/>
      <c r="C26" s="906" t="s">
        <v>1354</v>
      </c>
      <c r="D26" s="906" t="s">
        <v>1355</v>
      </c>
      <c r="E26" s="1039"/>
      <c r="F26" s="1037">
        <v>6547.050446332436</v>
      </c>
      <c r="G26" s="414">
        <f t="shared" si="0"/>
        <v>0.00021885070060032134</v>
      </c>
      <c r="H26" s="417">
        <f t="shared" si="4"/>
        <v>6547.050446332436</v>
      </c>
      <c r="I26" s="1038">
        <v>27302.120523795111</v>
      </c>
      <c r="J26" s="417">
        <f t="shared" si="2"/>
        <v>-20755.070077462675</v>
      </c>
      <c r="K26" s="722">
        <f t="shared" si="1"/>
        <v>-3752.2185840762486</v>
      </c>
      <c r="L26" s="417">
        <f t="shared" si="3"/>
        <v>-24507.288661538922</v>
      </c>
      <c r="M26" s="1040"/>
      <c r="Q26" s="1038"/>
    </row>
    <row r="27" spans="1:17" ht="15">
      <c r="A27" s="906" t="s">
        <v>1322</v>
      </c>
      <c r="B27" s="906"/>
      <c r="C27" s="906" t="s">
        <v>1356</v>
      </c>
      <c r="D27" s="906" t="s">
        <v>1357</v>
      </c>
      <c r="E27" s="1039"/>
      <c r="F27" s="1037">
        <v>9220.7512793370443</v>
      </c>
      <c r="G27" s="414">
        <f t="shared" si="0"/>
        <v>0.00030822549697545989</v>
      </c>
      <c r="H27" s="417">
        <f t="shared" si="4"/>
        <v>9220.7512793370443</v>
      </c>
      <c r="I27" s="1038">
        <v>42601.40896974341</v>
      </c>
      <c r="J27" s="417">
        <f>H27-I27</f>
        <v>-33380.65769040637</v>
      </c>
      <c r="K27" s="722">
        <f t="shared" si="1"/>
        <v>-6034.7434948262353</v>
      </c>
      <c r="L27" s="417">
        <f t="shared" si="3"/>
        <v>-39415.401185232608</v>
      </c>
      <c r="M27" s="1040"/>
      <c r="Q27" s="1038"/>
    </row>
    <row r="28" spans="1:17" ht="15">
      <c r="A28" s="906" t="s">
        <v>1323</v>
      </c>
      <c r="B28" s="906"/>
      <c r="C28" s="906" t="s">
        <v>1358</v>
      </c>
      <c r="D28" s="906" t="s">
        <v>1359</v>
      </c>
      <c r="E28" s="1039"/>
      <c r="F28" s="1037">
        <v>823235.37504935416</v>
      </c>
      <c r="G28" s="414">
        <f t="shared" si="0"/>
        <v>0.027518596361121011</v>
      </c>
      <c r="H28" s="417">
        <f t="shared" si="4"/>
        <v>823235.37504935416</v>
      </c>
      <c r="I28" s="1038">
        <v>976504.71222583996</v>
      </c>
      <c r="J28" s="417">
        <f>H28-I28</f>
        <v>-153269.3371764858</v>
      </c>
      <c r="K28" s="722">
        <f t="shared" si="1"/>
        <v>-27708.894895379952</v>
      </c>
      <c r="L28" s="417">
        <f t="shared" si="3"/>
        <v>-180978.23207186576</v>
      </c>
      <c r="M28" s="1040"/>
      <c r="Q28" s="1038"/>
    </row>
    <row r="29" spans="1:17" ht="15">
      <c r="A29" s="906" t="s">
        <v>1324</v>
      </c>
      <c r="B29" s="906"/>
      <c r="C29" s="906" t="s">
        <v>1360</v>
      </c>
      <c r="D29" s="906" t="s">
        <v>1361</v>
      </c>
      <c r="E29" s="1039"/>
      <c r="F29" s="1037">
        <v>222053.48096913676</v>
      </c>
      <c r="G29" s="414">
        <f t="shared" si="0"/>
        <v>0.0074226646455823166</v>
      </c>
      <c r="H29" s="417">
        <f t="shared" si="4"/>
        <v>222053.48096913676</v>
      </c>
      <c r="I29" s="1038">
        <v>1048491.2527497429</v>
      </c>
      <c r="J29" s="417">
        <f t="shared" si="2"/>
        <v>-826437.77178060613</v>
      </c>
      <c r="K29" s="722">
        <f t="shared" si="1"/>
        <v>-149408.07977444577</v>
      </c>
      <c r="L29" s="417">
        <f t="shared" si="3"/>
        <v>-975845.85155505186</v>
      </c>
      <c r="M29" s="1040"/>
      <c r="Q29" s="417"/>
    </row>
    <row r="30" spans="1:17" ht="15">
      <c r="A30" s="906" t="s">
        <v>1325</v>
      </c>
      <c r="B30" s="906"/>
      <c r="C30" s="906" t="s">
        <v>1360</v>
      </c>
      <c r="D30" s="906" t="s">
        <v>1362</v>
      </c>
      <c r="E30" s="1039"/>
      <c r="F30" s="1037">
        <v>222053.48096913676</v>
      </c>
      <c r="G30" s="414">
        <f t="shared" si="0"/>
        <v>0.0074226646455823166</v>
      </c>
      <c r="H30" s="417">
        <f t="shared" si="4"/>
        <v>222053.48096913676</v>
      </c>
      <c r="I30" s="1038">
        <v>239988.252749743</v>
      </c>
      <c r="J30" s="417">
        <f t="shared" si="2"/>
        <v>-17934.771780606243</v>
      </c>
      <c r="K30" s="722">
        <f t="shared" si="1"/>
        <v>-3242.3491573478668</v>
      </c>
      <c r="L30" s="417">
        <f t="shared" si="3"/>
        <v>-21177.120937954111</v>
      </c>
      <c r="M30" s="1040"/>
      <c r="Q30" s="417"/>
    </row>
    <row r="31" spans="1:17" ht="15">
      <c r="A31" s="906" t="s">
        <v>1326</v>
      </c>
      <c r="B31" s="906"/>
      <c r="C31" s="906" t="s">
        <v>1363</v>
      </c>
      <c r="D31" s="906" t="s">
        <v>1364</v>
      </c>
      <c r="E31" s="1039"/>
      <c r="F31" s="1037">
        <v>813434.37325706473</v>
      </c>
      <c r="G31" s="414">
        <f t="shared" si="0"/>
        <v>0.027190974613524866</v>
      </c>
      <c r="H31" s="417">
        <f t="shared" si="4"/>
        <v>813434.37325706473</v>
      </c>
      <c r="I31" s="1038">
        <v>-103404.28100530198</v>
      </c>
      <c r="J31" s="417">
        <f t="shared" si="2"/>
        <v>916838.6542623667</v>
      </c>
      <c r="K31" s="722">
        <f t="shared" si="1"/>
        <v>165751.26098265027</v>
      </c>
      <c r="L31" s="417">
        <f t="shared" si="3"/>
        <v>1082589.915245017</v>
      </c>
      <c r="M31" s="1040"/>
      <c r="Q31" s="417"/>
    </row>
    <row r="32" spans="1:17" ht="15">
      <c r="A32" s="906" t="s">
        <v>1327</v>
      </c>
      <c r="B32" s="906"/>
      <c r="C32" s="906" t="s">
        <v>1365</v>
      </c>
      <c r="D32" s="906" t="s">
        <v>1366</v>
      </c>
      <c r="E32" s="1039"/>
      <c r="F32" s="1037">
        <v>374053.92493538768</v>
      </c>
      <c r="G32" s="414">
        <f t="shared" si="0"/>
        <v>0.012503640258380399</v>
      </c>
      <c r="H32" s="417">
        <f t="shared" si="4"/>
        <v>374053.92493538768</v>
      </c>
      <c r="I32" s="1038">
        <v>565677.12594266399</v>
      </c>
      <c r="J32" s="417">
        <f t="shared" si="2"/>
        <v>-191623.20100727631</v>
      </c>
      <c r="K32" s="722">
        <f t="shared" si="1"/>
        <v>-34642.722634814665</v>
      </c>
      <c r="L32" s="417">
        <f t="shared" si="3"/>
        <v>-226265.92364209099</v>
      </c>
      <c r="M32" s="1040"/>
      <c r="Q32" s="417"/>
    </row>
    <row r="33" spans="1:17" ht="15">
      <c r="A33" s="906" t="s">
        <v>1328</v>
      </c>
      <c r="B33" s="906"/>
      <c r="C33" s="906" t="s">
        <v>1367</v>
      </c>
      <c r="D33" s="906" t="s">
        <v>1368</v>
      </c>
      <c r="E33" s="1039"/>
      <c r="F33" s="1037">
        <v>13741342.626356749</v>
      </c>
      <c r="G33" s="414">
        <f t="shared" si="0"/>
        <v>0.45933699237828263</v>
      </c>
      <c r="H33" s="417">
        <f t="shared" si="4"/>
        <v>13741342.626356749</v>
      </c>
      <c r="I33" s="1038">
        <v>-13135052.333745399</v>
      </c>
      <c r="J33" s="417">
        <f t="shared" si="2"/>
        <v>26876394.960102148</v>
      </c>
      <c r="K33" s="722">
        <f t="shared" si="1"/>
        <v>4858866.2079139091</v>
      </c>
      <c r="L33" s="417">
        <f t="shared" si="3"/>
        <v>31735261.168016057</v>
      </c>
      <c r="M33" s="1040"/>
      <c r="Q33" s="417"/>
    </row>
    <row r="34" spans="1:17" ht="13.5" customHeight="1">
      <c r="A34" s="906" t="s">
        <v>1329</v>
      </c>
      <c r="B34" s="906"/>
      <c r="C34" s="906" t="s">
        <v>1375</v>
      </c>
      <c r="D34" s="906" t="s">
        <v>1376</v>
      </c>
      <c r="E34" s="1039"/>
      <c r="F34" s="1037">
        <v>161090.25737816381</v>
      </c>
      <c r="G34" s="414">
        <f t="shared" si="0"/>
        <v>0.0053848242007737118</v>
      </c>
      <c r="H34" s="417">
        <f t="shared" si="4"/>
        <v>161090.25737816381</v>
      </c>
      <c r="I34" s="1038">
        <v>20105034.226176746</v>
      </c>
      <c r="J34" s="417">
        <f t="shared" si="2"/>
        <v>-19943943.968798582</v>
      </c>
      <c r="K34" s="722">
        <f t="shared" si="1"/>
        <v>-3605578.6330859731</v>
      </c>
      <c r="L34" s="417">
        <f t="shared" si="3"/>
        <v>-23549522.601884555</v>
      </c>
      <c r="M34" s="1040"/>
      <c r="Q34" s="417"/>
    </row>
    <row r="35" spans="1:17" ht="15">
      <c r="A35" s="906" t="s">
        <v>1330</v>
      </c>
      <c r="B35" s="906"/>
      <c r="C35" s="906" t="s">
        <v>1377</v>
      </c>
      <c r="D35" s="906" t="s">
        <v>1378</v>
      </c>
      <c r="E35" s="1039"/>
      <c r="F35" s="1037">
        <v>595408.8574071381</v>
      </c>
      <c r="G35" s="414">
        <f t="shared" si="0"/>
        <v>0.019902954262431927</v>
      </c>
      <c r="H35" s="417">
        <f t="shared" si="4"/>
        <v>595408.8574071381</v>
      </c>
      <c r="I35" s="1038">
        <v>1626043.0507612862</v>
      </c>
      <c r="J35" s="417">
        <f t="shared" si="2"/>
        <v>-1030634.1933541481</v>
      </c>
      <c r="K35" s="722">
        <f t="shared" si="1"/>
        <v>-186323.86011007064</v>
      </c>
      <c r="L35" s="417">
        <f t="shared" si="3"/>
        <v>-1216958.0534642187</v>
      </c>
      <c r="M35" s="1040"/>
      <c r="Q35" s="417"/>
    </row>
    <row r="36" spans="1:17" ht="15">
      <c r="A36" s="906" t="s">
        <v>1405</v>
      </c>
      <c r="B36" s="906"/>
      <c r="C36" s="906" t="s">
        <v>1369</v>
      </c>
      <c r="D36" s="906" t="s">
        <v>1370</v>
      </c>
      <c r="E36" s="1039"/>
      <c r="F36" s="1037">
        <v>67035.137231010798</v>
      </c>
      <c r="G36" s="414">
        <f t="shared" si="0"/>
        <v>0.0022408085699207811</v>
      </c>
      <c r="H36" s="417">
        <f t="shared" si="4"/>
        <v>67035.137231010798</v>
      </c>
      <c r="I36" s="1038">
        <v>115009.48522796101</v>
      </c>
      <c r="J36" s="417">
        <f t="shared" si="2"/>
        <v>-47974.347996950208</v>
      </c>
      <c r="K36" s="722">
        <f t="shared" si="1"/>
        <v>-8673.073106535332</v>
      </c>
      <c r="L36" s="417">
        <f t="shared" si="3"/>
        <v>-56647.42110348554</v>
      </c>
      <c r="M36" s="1040"/>
      <c r="Q36" s="417"/>
    </row>
    <row r="37" spans="1:17" ht="15">
      <c r="A37" s="906" t="s">
        <v>1331</v>
      </c>
      <c r="B37" s="906"/>
      <c r="C37" s="906" t="s">
        <v>1371</v>
      </c>
      <c r="D37" s="906" t="s">
        <v>1372</v>
      </c>
      <c r="E37" s="1039"/>
      <c r="F37" s="1037">
        <v>0</v>
      </c>
      <c r="G37" s="414">
        <f t="shared" si="0"/>
        <v>0</v>
      </c>
      <c r="H37" s="417">
        <f t="shared" si="4"/>
        <v>0</v>
      </c>
      <c r="I37" s="1037">
        <v>105193</v>
      </c>
      <c r="J37" s="417">
        <f t="shared" si="2"/>
        <v>-105193</v>
      </c>
      <c r="K37" s="722">
        <f t="shared" si="1"/>
        <v>-19017.383609961104</v>
      </c>
      <c r="L37" s="417">
        <f t="shared" si="3"/>
        <v>-124210.38360996111</v>
      </c>
      <c r="M37" s="1040"/>
      <c r="Q37" s="417"/>
    </row>
    <row r="38" spans="1:17" ht="15">
      <c r="A38" s="906" t="s">
        <v>1332</v>
      </c>
      <c r="B38" s="906"/>
      <c r="C38" s="906" t="s">
        <v>1407</v>
      </c>
      <c r="D38" s="906" t="s">
        <v>1406</v>
      </c>
      <c r="E38" s="1039"/>
      <c r="F38" s="1037">
        <v>0</v>
      </c>
      <c r="G38" s="414">
        <f t="shared" si="0"/>
        <v>0</v>
      </c>
      <c r="H38" s="417">
        <f t="shared" si="4"/>
        <v>0</v>
      </c>
      <c r="I38" s="1037">
        <v>0</v>
      </c>
      <c r="J38" s="417">
        <f t="shared" si="2"/>
        <v>0</v>
      </c>
      <c r="K38" s="722">
        <f t="shared" si="1"/>
        <v>0</v>
      </c>
      <c r="L38" s="417">
        <f t="shared" si="3"/>
        <v>0</v>
      </c>
      <c r="M38" s="1040"/>
      <c r="Q38" s="417"/>
    </row>
    <row r="39" spans="1:17" ht="17.1" customHeight="1">
      <c r="A39" s="906" t="s">
        <v>1333</v>
      </c>
      <c r="B39" s="906"/>
      <c r="C39" s="906" t="s">
        <v>1373</v>
      </c>
      <c r="D39" s="906" t="s">
        <v>1374</v>
      </c>
      <c r="E39" s="1039"/>
      <c r="F39" s="1037">
        <v>8296.3512819345397</v>
      </c>
      <c r="G39" s="414">
        <f t="shared" si="0"/>
        <v>0.00027732523299783894</v>
      </c>
      <c r="H39" s="417">
        <f t="shared" si="4"/>
        <v>8296.3512819345397</v>
      </c>
      <c r="I39" s="1037">
        <v>0</v>
      </c>
      <c r="J39" s="417">
        <f t="shared" si="2"/>
        <v>8296.3512819345397</v>
      </c>
      <c r="K39" s="722">
        <f t="shared" si="1"/>
        <v>1499.8611589320747</v>
      </c>
      <c r="L39" s="417">
        <f t="shared" si="3"/>
        <v>9796.212440866615</v>
      </c>
      <c r="M39" s="1040"/>
      <c r="Q39" s="1038"/>
    </row>
    <row r="40" spans="1:17" s="1130" customFormat="1" ht="15">
      <c r="A40" s="906" t="s">
        <v>1379</v>
      </c>
      <c r="B40" s="906"/>
      <c r="C40" s="906" t="s">
        <v>1350</v>
      </c>
      <c r="D40" s="906" t="s">
        <v>1351</v>
      </c>
      <c r="E40" s="1039"/>
      <c r="F40" s="1038">
        <v>0</v>
      </c>
      <c r="G40" s="414">
        <f t="shared" si="0"/>
        <v>0</v>
      </c>
      <c r="H40" s="417">
        <f t="shared" si="4"/>
        <v>0</v>
      </c>
      <c r="I40" s="1037">
        <v>28312.719539821901</v>
      </c>
      <c r="J40" s="417">
        <f t="shared" si="2"/>
        <v>-28312.719539821901</v>
      </c>
      <c r="K40" s="722">
        <f t="shared" si="1"/>
        <v>-5118.5330633220319</v>
      </c>
      <c r="L40" s="417">
        <f t="shared" si="3"/>
        <v>-33431.252603143934</v>
      </c>
      <c r="M40" s="1040"/>
      <c r="Q40" s="1129"/>
    </row>
    <row r="41" spans="1:17" ht="15">
      <c r="A41" s="906" t="s">
        <v>1408</v>
      </c>
      <c r="B41" s="906"/>
      <c r="C41" s="906" t="s">
        <v>1397</v>
      </c>
      <c r="D41" s="906" t="s">
        <v>1398</v>
      </c>
      <c r="E41" s="1039"/>
      <c r="F41" s="1037">
        <v>0</v>
      </c>
      <c r="G41" s="414">
        <f t="shared" si="0"/>
        <v>0</v>
      </c>
      <c r="H41" s="417">
        <f t="shared" si="4"/>
        <v>0</v>
      </c>
      <c r="I41" s="1037">
        <v>29052</v>
      </c>
      <c r="J41" s="417">
        <f t="shared" si="2"/>
        <v>-29052</v>
      </c>
      <c r="K41" s="722">
        <f t="shared" si="1"/>
        <v>-5252.1843529188254</v>
      </c>
      <c r="L41" s="417">
        <f t="shared" si="3"/>
        <v>-34304.184352918826</v>
      </c>
      <c r="M41" s="1040"/>
      <c r="Q41" s="1038"/>
    </row>
    <row r="42" spans="1:17" ht="15">
      <c r="A42" s="906"/>
      <c r="B42" s="906"/>
      <c r="C42" s="906"/>
      <c r="D42" s="906"/>
      <c r="E42" s="1039"/>
      <c r="F42" s="1037">
        <v>0</v>
      </c>
      <c r="G42" s="414">
        <f t="shared" si="0"/>
        <v>0</v>
      </c>
      <c r="H42" s="417">
        <f t="shared" si="4"/>
        <v>0</v>
      </c>
      <c r="I42" s="1037">
        <v>0</v>
      </c>
      <c r="J42" s="417">
        <f t="shared" si="2"/>
        <v>0</v>
      </c>
      <c r="K42" s="722">
        <f t="shared" si="1"/>
        <v>0</v>
      </c>
      <c r="L42" s="417">
        <f t="shared" si="3"/>
        <v>0</v>
      </c>
      <c r="M42" s="1039"/>
      <c r="Q42" s="1038"/>
    </row>
    <row r="43" spans="1:17" ht="15">
      <c r="A43" s="958" t="s">
        <v>244</v>
      </c>
      <c r="B43" s="1041"/>
      <c r="C43" s="904" t="s">
        <v>292</v>
      </c>
      <c r="D43" s="906"/>
      <c r="E43" s="968"/>
      <c r="F43" s="723">
        <f>SUM(F17:F42)</f>
        <v>29915601.953173839</v>
      </c>
      <c r="G43" s="416"/>
      <c r="H43" s="723"/>
      <c r="I43" s="723">
        <f>SUM(I17:I42)</f>
        <v>38245317.140331835</v>
      </c>
      <c r="J43" s="723">
        <f>SUM(J17:J42)</f>
        <v>-8329715.187157996</v>
      </c>
      <c r="K43" s="417"/>
      <c r="L43" s="417">
        <f>SUM(L17:L42)</f>
        <v>-9835608.0609794725</v>
      </c>
      <c r="M43" s="414"/>
      <c r="Q43" s="723"/>
    </row>
    <row r="44" spans="1:5" ht="15">
      <c r="A44" s="139"/>
      <c r="B44" s="139"/>
      <c r="E44" s="139"/>
    </row>
    <row r="45" spans="1:13" ht="15">
      <c r="A45" s="958" t="s">
        <v>245</v>
      </c>
      <c r="B45" s="139"/>
      <c r="C45" s="904" t="s">
        <v>917</v>
      </c>
      <c r="E45" s="139"/>
      <c r="J45" s="414"/>
      <c r="L45" s="417">
        <f>'Attach 13a-TEC Rev Req True up'!H53</f>
        <v>-1505892.8738214765</v>
      </c>
      <c r="M45" s="414"/>
    </row>
    <row r="46" spans="1:5" ht="15">
      <c r="A46" s="1042"/>
      <c r="B46" s="139"/>
      <c r="E46" s="139"/>
    </row>
    <row r="47" spans="1:10" ht="15">
      <c r="A47" s="968"/>
      <c r="J47" s="417"/>
    </row>
    <row r="48" spans="1:10" ht="15">
      <c r="A48" s="968"/>
      <c r="J48" s="417"/>
    </row>
    <row r="49" spans="1:10" ht="15">
      <c r="A49" s="958"/>
      <c r="J49" s="414"/>
    </row>
    <row r="50" spans="1:10" ht="15">
      <c r="A50" s="958"/>
      <c r="J50" s="414"/>
    </row>
    <row r="51" spans="3:3" ht="15">
      <c r="C51" s="1043"/>
    </row>
    <row r="53" spans="1:13" ht="15">
      <c r="A53" s="139" t="s">
        <v>303</v>
      </c>
      <c r="B53" s="139"/>
      <c r="C53" s="139"/>
      <c r="D53" s="139"/>
      <c r="E53" s="139"/>
      <c r="F53" s="139"/>
      <c r="G53" s="139"/>
      <c r="H53" s="139"/>
      <c r="I53" s="139"/>
      <c r="J53" s="139"/>
      <c r="K53" s="139"/>
      <c r="L53" s="139"/>
      <c r="M53" s="139"/>
    </row>
    <row r="54" spans="1:13" ht="15">
      <c r="A54" s="995"/>
      <c r="B54" s="139" t="s">
        <v>256</v>
      </c>
      <c r="C54" s="139" t="s">
        <v>626</v>
      </c>
      <c r="D54" s="139"/>
      <c r="E54" s="139"/>
      <c r="F54" s="139"/>
      <c r="G54" s="139"/>
      <c r="H54" s="139"/>
      <c r="I54" s="139"/>
      <c r="J54" s="139"/>
      <c r="K54" s="139"/>
      <c r="L54" s="139"/>
      <c r="M54" s="139"/>
    </row>
    <row r="55" spans="1:10" ht="15">
      <c r="A55" s="997"/>
      <c r="C55" s="958"/>
      <c r="D55" s="958"/>
      <c r="E55" s="968"/>
      <c r="F55" s="968"/>
      <c r="G55" s="955"/>
      <c r="J55" s="996"/>
    </row>
    <row r="56" spans="1:10" ht="15">
      <c r="A56" s="997"/>
      <c r="C56" s="958"/>
      <c r="D56" s="958"/>
      <c r="E56" s="968"/>
      <c r="F56" s="968"/>
      <c r="G56" s="955"/>
      <c r="J56" s="996"/>
    </row>
    <row r="57" spans="3:12" ht="15">
      <c r="C57" s="139"/>
      <c r="D57" s="139"/>
      <c r="E57" s="139"/>
      <c r="F57" s="139"/>
      <c r="G57" s="139"/>
      <c r="H57" s="139"/>
      <c r="I57" s="139"/>
      <c r="J57" s="139"/>
      <c r="K57" s="139"/>
      <c r="L57" s="139"/>
    </row>
    <row r="58" spans="3:12" ht="15">
      <c r="C58" s="139"/>
      <c r="D58" s="139"/>
      <c r="E58" s="139"/>
      <c r="F58" s="139"/>
      <c r="G58" s="139"/>
      <c r="H58" s="139"/>
      <c r="I58" s="139"/>
      <c r="J58" s="139"/>
      <c r="K58" s="139"/>
      <c r="L58" s="139"/>
    </row>
    <row r="59" spans="3:12" ht="15">
      <c r="C59" s="139"/>
      <c r="D59" s="139"/>
      <c r="E59" s="139"/>
      <c r="F59" s="139"/>
      <c r="G59" s="139"/>
      <c r="H59" s="139"/>
      <c r="I59" s="139"/>
      <c r="J59" s="139"/>
      <c r="K59" s="139"/>
      <c r="L59" s="139"/>
    </row>
    <row r="60" spans="3:12" ht="15">
      <c r="C60" s="139"/>
      <c r="D60" s="139"/>
      <c r="E60" s="139"/>
      <c r="F60" s="139"/>
      <c r="G60" s="139"/>
      <c r="H60" s="139"/>
      <c r="I60" s="139"/>
      <c r="J60" s="139"/>
      <c r="K60" s="139"/>
      <c r="L60" s="139"/>
    </row>
    <row r="61" spans="3:12" ht="15">
      <c r="C61" s="139"/>
      <c r="D61" s="139"/>
      <c r="E61" s="139"/>
      <c r="F61" s="139"/>
      <c r="G61" s="139"/>
      <c r="H61" s="139"/>
      <c r="I61" s="139"/>
      <c r="J61" s="139"/>
      <c r="K61" s="139"/>
      <c r="L61" s="139"/>
    </row>
    <row r="62" spans="3:12" ht="15">
      <c r="C62" s="139"/>
      <c r="D62" s="139"/>
      <c r="E62" s="139"/>
      <c r="F62" s="139"/>
      <c r="G62" s="139"/>
      <c r="H62" s="139"/>
      <c r="I62" s="139"/>
      <c r="J62" s="139"/>
      <c r="K62" s="139"/>
      <c r="L62" s="139"/>
    </row>
    <row r="63" spans="3:12" ht="15">
      <c r="C63" s="139"/>
      <c r="D63" s="139"/>
      <c r="E63" s="139"/>
      <c r="F63" s="139"/>
      <c r="G63" s="139"/>
      <c r="H63" s="139"/>
      <c r="I63" s="139"/>
      <c r="J63" s="139"/>
      <c r="K63" s="139"/>
      <c r="L63" s="139"/>
    </row>
    <row r="64" spans="3:12" ht="15">
      <c r="C64" s="139"/>
      <c r="D64" s="139"/>
      <c r="E64" s="139"/>
      <c r="F64" s="139"/>
      <c r="G64" s="139"/>
      <c r="H64" s="139"/>
      <c r="I64" s="139"/>
      <c r="J64" s="139"/>
      <c r="K64" s="139"/>
      <c r="L64" s="139"/>
    </row>
    <row r="65" spans="3:12" ht="15">
      <c r="C65" s="139"/>
      <c r="D65" s="139"/>
      <c r="E65" s="139"/>
      <c r="F65" s="139"/>
      <c r="G65" s="139"/>
      <c r="H65" s="139"/>
      <c r="I65" s="139"/>
      <c r="J65" s="139"/>
      <c r="K65" s="139"/>
      <c r="L65" s="139"/>
    </row>
    <row r="66" spans="3:12" ht="15">
      <c r="C66" s="139"/>
      <c r="D66" s="139"/>
      <c r="E66" s="139"/>
      <c r="F66" s="139"/>
      <c r="G66" s="139"/>
      <c r="H66" s="139"/>
      <c r="I66" s="139"/>
      <c r="J66" s="139"/>
      <c r="K66" s="139"/>
      <c r="L66" s="139"/>
    </row>
    <row r="67" spans="3:12" ht="15">
      <c r="C67" s="139"/>
      <c r="D67" s="139"/>
      <c r="E67" s="139"/>
      <c r="F67" s="139"/>
      <c r="G67" s="139"/>
      <c r="H67" s="139"/>
      <c r="I67" s="139"/>
      <c r="J67" s="139"/>
      <c r="K67" s="139"/>
      <c r="L67" s="139"/>
    </row>
    <row r="68" spans="3:12" ht="15">
      <c r="C68" s="139"/>
      <c r="D68" s="139"/>
      <c r="E68" s="139"/>
      <c r="F68" s="139"/>
      <c r="G68" s="139"/>
      <c r="H68" s="139"/>
      <c r="I68" s="139"/>
      <c r="J68" s="139"/>
      <c r="K68" s="139"/>
      <c r="L68" s="139"/>
    </row>
    <row r="69" spans="3:12" ht="15">
      <c r="C69" s="139"/>
      <c r="D69" s="139"/>
      <c r="E69" s="139"/>
      <c r="F69" s="139"/>
      <c r="G69" s="139"/>
      <c r="H69" s="139"/>
      <c r="I69" s="139"/>
      <c r="J69" s="139"/>
      <c r="K69" s="139"/>
      <c r="L69" s="139"/>
    </row>
    <row r="70" spans="3:12" ht="15">
      <c r="C70" s="139"/>
      <c r="D70" s="139"/>
      <c r="E70" s="139"/>
      <c r="F70" s="139"/>
      <c r="G70" s="139"/>
      <c r="H70" s="139"/>
      <c r="I70" s="139"/>
      <c r="J70" s="139"/>
      <c r="K70" s="139"/>
      <c r="L70" s="139"/>
    </row>
    <row r="71" spans="3:12" ht="15">
      <c r="C71" s="139"/>
      <c r="D71" s="139"/>
      <c r="E71" s="139"/>
      <c r="F71" s="139"/>
      <c r="G71" s="139"/>
      <c r="H71" s="139"/>
      <c r="I71" s="139"/>
      <c r="J71" s="139"/>
      <c r="K71" s="139"/>
      <c r="L71" s="139"/>
    </row>
    <row r="72" spans="3:12" ht="15">
      <c r="C72" s="139"/>
      <c r="D72" s="139"/>
      <c r="E72" s="139"/>
      <c r="F72" s="139"/>
      <c r="G72" s="139"/>
      <c r="H72" s="139"/>
      <c r="I72" s="139"/>
      <c r="J72" s="139"/>
      <c r="K72" s="139"/>
      <c r="L72" s="139"/>
    </row>
    <row r="73" spans="3:12" ht="15">
      <c r="C73" s="139"/>
      <c r="D73" s="139"/>
      <c r="E73" s="139"/>
      <c r="F73" s="139"/>
      <c r="G73" s="139"/>
      <c r="H73" s="139"/>
      <c r="I73" s="139"/>
      <c r="J73" s="139"/>
      <c r="K73" s="139"/>
      <c r="L73" s="139"/>
    </row>
    <row r="74" spans="3:12" ht="15">
      <c r="C74" s="139"/>
      <c r="D74" s="139"/>
      <c r="E74" s="139"/>
      <c r="F74" s="139"/>
      <c r="G74" s="139"/>
      <c r="H74" s="139"/>
      <c r="I74" s="139"/>
      <c r="J74" s="139"/>
      <c r="K74" s="139"/>
      <c r="L74" s="139"/>
    </row>
    <row r="75" spans="3:12" ht="15">
      <c r="C75" s="139"/>
      <c r="D75" s="139"/>
      <c r="E75" s="139"/>
      <c r="F75" s="139"/>
      <c r="G75" s="139"/>
      <c r="H75" s="139"/>
      <c r="I75" s="139"/>
      <c r="J75" s="139"/>
      <c r="K75" s="139"/>
      <c r="L75" s="139"/>
    </row>
    <row r="76" spans="3:12" ht="15">
      <c r="C76" s="139"/>
      <c r="D76" s="139"/>
      <c r="E76" s="139"/>
      <c r="F76" s="139"/>
      <c r="G76" s="139"/>
      <c r="H76" s="139"/>
      <c r="I76" s="139"/>
      <c r="J76" s="139"/>
      <c r="K76" s="139"/>
      <c r="L76" s="139"/>
    </row>
    <row r="77" spans="3:12" ht="15">
      <c r="C77" s="139"/>
      <c r="D77" s="139"/>
      <c r="E77" s="139"/>
      <c r="F77" s="139"/>
      <c r="G77" s="139"/>
      <c r="H77" s="139"/>
      <c r="I77" s="139"/>
      <c r="J77" s="139"/>
      <c r="K77" s="139"/>
      <c r="L77" s="139"/>
    </row>
    <row r="78" spans="3:12" ht="15">
      <c r="C78" s="139"/>
      <c r="D78" s="139"/>
      <c r="E78" s="139"/>
      <c r="F78" s="139"/>
      <c r="G78" s="139"/>
      <c r="H78" s="139"/>
      <c r="I78" s="139"/>
      <c r="J78" s="139"/>
      <c r="K78" s="139"/>
      <c r="L78" s="139"/>
    </row>
    <row r="79" spans="3:12" ht="15">
      <c r="C79" s="139"/>
      <c r="D79" s="139"/>
      <c r="E79" s="139"/>
      <c r="F79" s="139"/>
      <c r="G79" s="139"/>
      <c r="H79" s="139"/>
      <c r="I79" s="139"/>
      <c r="J79" s="139"/>
      <c r="K79" s="139"/>
      <c r="L79" s="139"/>
    </row>
    <row r="80" spans="3:12" ht="15">
      <c r="C80" s="139"/>
      <c r="D80" s="139"/>
      <c r="E80" s="139"/>
      <c r="F80" s="139"/>
      <c r="G80" s="139"/>
      <c r="H80" s="139"/>
      <c r="I80" s="139"/>
      <c r="J80" s="139"/>
      <c r="K80" s="139"/>
      <c r="L80" s="139"/>
    </row>
    <row r="81" spans="3:12" ht="15">
      <c r="C81" s="139"/>
      <c r="D81" s="139"/>
      <c r="E81" s="139"/>
      <c r="F81" s="139"/>
      <c r="G81" s="139"/>
      <c r="H81" s="139"/>
      <c r="I81" s="139"/>
      <c r="J81" s="139"/>
      <c r="K81" s="139"/>
      <c r="L81" s="139"/>
    </row>
    <row r="82" spans="3:12" ht="15">
      <c r="C82" s="139"/>
      <c r="D82" s="139"/>
      <c r="E82" s="139"/>
      <c r="F82" s="139"/>
      <c r="G82" s="139"/>
      <c r="H82" s="139"/>
      <c r="I82" s="139"/>
      <c r="J82" s="139"/>
      <c r="K82" s="139"/>
      <c r="L82" s="139"/>
    </row>
    <row r="83" spans="3:12" ht="15">
      <c r="C83" s="139"/>
      <c r="D83" s="139"/>
      <c r="E83" s="139"/>
      <c r="F83" s="139"/>
      <c r="G83" s="139"/>
      <c r="H83" s="139"/>
      <c r="I83" s="139"/>
      <c r="J83" s="139"/>
      <c r="K83" s="139"/>
      <c r="L83" s="139"/>
    </row>
    <row r="84" spans="3:12" ht="15">
      <c r="C84" s="139"/>
      <c r="D84" s="139"/>
      <c r="E84" s="139"/>
      <c r="F84" s="139"/>
      <c r="G84" s="139"/>
      <c r="H84" s="139"/>
      <c r="I84" s="139"/>
      <c r="J84" s="139"/>
      <c r="K84" s="139"/>
      <c r="L84" s="139"/>
    </row>
    <row r="85" spans="3:12" ht="15">
      <c r="C85" s="139"/>
      <c r="D85" s="139"/>
      <c r="E85" s="139"/>
      <c r="F85" s="139"/>
      <c r="G85" s="139"/>
      <c r="H85" s="139"/>
      <c r="I85" s="139"/>
      <c r="J85" s="139"/>
      <c r="K85" s="139"/>
      <c r="L85" s="139"/>
    </row>
    <row r="86" spans="3:12" ht="15">
      <c r="C86" s="139"/>
      <c r="D86" s="139"/>
      <c r="E86" s="139"/>
      <c r="F86" s="139"/>
      <c r="G86" s="139"/>
      <c r="H86" s="139"/>
      <c r="I86" s="139"/>
      <c r="J86" s="139"/>
      <c r="K86" s="139"/>
      <c r="L86" s="139"/>
    </row>
    <row r="87" spans="3:12" ht="15">
      <c r="C87" s="139"/>
      <c r="D87" s="139"/>
      <c r="E87" s="139"/>
      <c r="F87" s="139"/>
      <c r="G87" s="139"/>
      <c r="H87" s="139"/>
      <c r="I87" s="139"/>
      <c r="J87" s="139"/>
      <c r="K87" s="139"/>
      <c r="L87" s="139"/>
    </row>
    <row r="88" spans="3:12" ht="15">
      <c r="C88" s="139"/>
      <c r="D88" s="139"/>
      <c r="E88" s="139"/>
      <c r="F88" s="139"/>
      <c r="G88" s="139"/>
      <c r="H88" s="139"/>
      <c r="I88" s="139"/>
      <c r="J88" s="139"/>
      <c r="K88" s="139"/>
      <c r="L88" s="139"/>
    </row>
    <row r="89" spans="3:12" ht="15">
      <c r="C89" s="139"/>
      <c r="D89" s="139"/>
      <c r="E89" s="139"/>
      <c r="F89" s="139"/>
      <c r="G89" s="139"/>
      <c r="H89" s="139"/>
      <c r="I89" s="139"/>
      <c r="J89" s="139"/>
      <c r="K89" s="139"/>
      <c r="L89" s="139"/>
    </row>
    <row r="90" spans="3:12" ht="15">
      <c r="C90" s="139"/>
      <c r="D90" s="139"/>
      <c r="E90" s="139"/>
      <c r="F90" s="139"/>
      <c r="G90" s="139"/>
      <c r="H90" s="139"/>
      <c r="I90" s="139"/>
      <c r="J90" s="139"/>
      <c r="K90" s="139"/>
      <c r="L90" s="139"/>
    </row>
    <row r="91" spans="3:12" ht="15">
      <c r="C91" s="139"/>
      <c r="D91" s="139"/>
      <c r="E91" s="139"/>
      <c r="F91" s="139"/>
      <c r="G91" s="139"/>
      <c r="H91" s="139"/>
      <c r="I91" s="139"/>
      <c r="J91" s="139"/>
      <c r="K91" s="139"/>
      <c r="L91" s="139"/>
    </row>
    <row r="92" spans="3:12" ht="15">
      <c r="C92" s="139"/>
      <c r="D92" s="139"/>
      <c r="E92" s="139"/>
      <c r="F92" s="139"/>
      <c r="G92" s="139"/>
      <c r="H92" s="139"/>
      <c r="I92" s="139"/>
      <c r="J92" s="139"/>
      <c r="K92" s="139"/>
      <c r="L92" s="139"/>
    </row>
    <row r="93" spans="3:12" ht="15">
      <c r="C93" s="139"/>
      <c r="D93" s="139"/>
      <c r="E93" s="139"/>
      <c r="F93" s="139"/>
      <c r="G93" s="139"/>
      <c r="H93" s="139"/>
      <c r="I93" s="139"/>
      <c r="J93" s="139"/>
      <c r="K93" s="139"/>
      <c r="L93" s="139"/>
    </row>
    <row r="94" spans="3:12" ht="15">
      <c r="C94" s="139"/>
      <c r="D94" s="139"/>
      <c r="E94" s="139"/>
      <c r="F94" s="139"/>
      <c r="G94" s="139"/>
      <c r="H94" s="139"/>
      <c r="I94" s="139"/>
      <c r="J94" s="139"/>
      <c r="K94" s="139"/>
      <c r="L94" s="139"/>
    </row>
    <row r="95" spans="3:12" ht="15">
      <c r="C95" s="139"/>
      <c r="D95" s="139"/>
      <c r="E95" s="139"/>
      <c r="F95" s="139"/>
      <c r="G95" s="139"/>
      <c r="H95" s="139"/>
      <c r="I95" s="139"/>
      <c r="J95" s="139"/>
      <c r="K95" s="139"/>
      <c r="L95" s="139"/>
    </row>
    <row r="96" spans="3:12" ht="15">
      <c r="C96" s="139"/>
      <c r="D96" s="139"/>
      <c r="E96" s="139"/>
      <c r="F96" s="139"/>
      <c r="G96" s="139"/>
      <c r="H96" s="139"/>
      <c r="I96" s="139"/>
      <c r="J96" s="139"/>
      <c r="K96" s="139"/>
      <c r="L96" s="139"/>
    </row>
    <row r="97" spans="3:12" ht="15">
      <c r="C97" s="139"/>
      <c r="D97" s="139"/>
      <c r="E97" s="139"/>
      <c r="F97" s="139"/>
      <c r="G97" s="139"/>
      <c r="H97" s="139"/>
      <c r="I97" s="139"/>
      <c r="J97" s="139"/>
      <c r="K97" s="139"/>
      <c r="L97" s="139"/>
    </row>
    <row r="98" spans="3:12" ht="15">
      <c r="C98" s="139"/>
      <c r="D98" s="139"/>
      <c r="E98" s="139"/>
      <c r="F98" s="139"/>
      <c r="G98" s="139"/>
      <c r="H98" s="139"/>
      <c r="I98" s="139"/>
      <c r="J98" s="139"/>
      <c r="K98" s="139"/>
      <c r="L98" s="139"/>
    </row>
    <row r="99" spans="3:12" ht="15">
      <c r="C99" s="139"/>
      <c r="D99" s="139"/>
      <c r="E99" s="139"/>
      <c r="F99" s="139"/>
      <c r="G99" s="139"/>
      <c r="H99" s="139"/>
      <c r="I99" s="139"/>
      <c r="J99" s="139"/>
      <c r="K99" s="139"/>
      <c r="L99" s="139"/>
    </row>
    <row r="100" spans="3:12" ht="15">
      <c r="C100" s="139"/>
      <c r="D100" s="139"/>
      <c r="E100" s="139"/>
      <c r="F100" s="139"/>
      <c r="G100" s="139"/>
      <c r="H100" s="139"/>
      <c r="I100" s="139"/>
      <c r="J100" s="139"/>
      <c r="K100" s="139"/>
      <c r="L100" s="139"/>
    </row>
    <row r="101" spans="3:12" ht="15">
      <c r="C101" s="139"/>
      <c r="D101" s="139"/>
      <c r="E101" s="139"/>
      <c r="F101" s="139"/>
      <c r="G101" s="139"/>
      <c r="H101" s="139"/>
      <c r="I101" s="139"/>
      <c r="J101" s="139"/>
      <c r="K101" s="139"/>
      <c r="L101" s="139"/>
    </row>
    <row r="102" spans="3:12" ht="15">
      <c r="C102" s="139"/>
      <c r="D102" s="139"/>
      <c r="E102" s="139"/>
      <c r="F102" s="139"/>
      <c r="G102" s="139"/>
      <c r="H102" s="139"/>
      <c r="I102" s="139"/>
      <c r="J102" s="139"/>
      <c r="K102" s="139"/>
      <c r="L102" s="139"/>
    </row>
    <row r="103" spans="3:12" ht="15">
      <c r="C103" s="139"/>
      <c r="D103" s="139"/>
      <c r="E103" s="139"/>
      <c r="F103" s="139"/>
      <c r="G103" s="139"/>
      <c r="H103" s="139"/>
      <c r="I103" s="139"/>
      <c r="J103" s="139"/>
      <c r="K103" s="139"/>
      <c r="L103" s="139"/>
    </row>
    <row r="104" spans="3:12" ht="15">
      <c r="C104" s="139"/>
      <c r="D104" s="139"/>
      <c r="E104" s="139"/>
      <c r="F104" s="139"/>
      <c r="G104" s="139"/>
      <c r="H104" s="139"/>
      <c r="I104" s="139"/>
      <c r="J104" s="139"/>
      <c r="K104" s="139"/>
      <c r="L104" s="139"/>
    </row>
    <row r="105" spans="3:12" ht="15">
      <c r="C105" s="139"/>
      <c r="D105" s="139"/>
      <c r="E105" s="139"/>
      <c r="F105" s="139"/>
      <c r="G105" s="139"/>
      <c r="H105" s="139"/>
      <c r="I105" s="139"/>
      <c r="J105" s="139"/>
      <c r="K105" s="139"/>
      <c r="L105" s="139"/>
    </row>
    <row r="106" spans="3:12" ht="15">
      <c r="C106" s="139"/>
      <c r="D106" s="139"/>
      <c r="E106" s="139"/>
      <c r="F106" s="139"/>
      <c r="G106" s="139"/>
      <c r="H106" s="139"/>
      <c r="I106" s="139"/>
      <c r="J106" s="139"/>
      <c r="K106" s="139"/>
      <c r="L106" s="139"/>
    </row>
    <row r="107" spans="3:12" ht="15">
      <c r="C107" s="139"/>
      <c r="D107" s="139"/>
      <c r="E107" s="139"/>
      <c r="F107" s="139"/>
      <c r="G107" s="139"/>
      <c r="H107" s="139"/>
      <c r="I107" s="139"/>
      <c r="J107" s="139"/>
      <c r="K107" s="139"/>
      <c r="L107" s="139"/>
    </row>
    <row r="108" spans="3:12" ht="15">
      <c r="C108" s="139"/>
      <c r="D108" s="139"/>
      <c r="E108" s="139"/>
      <c r="F108" s="139"/>
      <c r="G108" s="139"/>
      <c r="H108" s="139"/>
      <c r="I108" s="139"/>
      <c r="J108" s="139"/>
      <c r="K108" s="139"/>
      <c r="L108" s="139"/>
    </row>
    <row r="109" spans="3:12" ht="15">
      <c r="C109" s="139"/>
      <c r="D109" s="139"/>
      <c r="E109" s="139"/>
      <c r="F109" s="139"/>
      <c r="G109" s="139"/>
      <c r="H109" s="139"/>
      <c r="I109" s="139"/>
      <c r="J109" s="139"/>
      <c r="K109" s="139"/>
      <c r="L109" s="139"/>
    </row>
    <row r="110" spans="3:12" ht="15">
      <c r="C110" s="139"/>
      <c r="D110" s="139"/>
      <c r="E110" s="139"/>
      <c r="F110" s="139"/>
      <c r="G110" s="139"/>
      <c r="H110" s="139"/>
      <c r="I110" s="139"/>
      <c r="J110" s="139"/>
      <c r="K110" s="139"/>
      <c r="L110" s="139"/>
    </row>
    <row r="111" spans="3:12" ht="15">
      <c r="C111" s="139"/>
      <c r="D111" s="139"/>
      <c r="E111" s="139"/>
      <c r="F111" s="139"/>
      <c r="G111" s="139"/>
      <c r="H111" s="139"/>
      <c r="I111" s="139"/>
      <c r="J111" s="139"/>
      <c r="K111" s="139"/>
      <c r="L111" s="139"/>
    </row>
    <row r="112" spans="3:12" ht="15">
      <c r="C112" s="139"/>
      <c r="D112" s="139"/>
      <c r="E112" s="139"/>
      <c r="F112" s="139"/>
      <c r="G112" s="139"/>
      <c r="H112" s="139"/>
      <c r="I112" s="139"/>
      <c r="J112" s="139"/>
      <c r="K112" s="139"/>
      <c r="L112" s="139"/>
    </row>
    <row r="113" spans="3:12" ht="15">
      <c r="C113" s="139"/>
      <c r="D113" s="139"/>
      <c r="E113" s="139"/>
      <c r="F113" s="139"/>
      <c r="G113" s="139"/>
      <c r="H113" s="139"/>
      <c r="I113" s="139"/>
      <c r="J113" s="139"/>
      <c r="K113" s="139"/>
      <c r="L113" s="139"/>
    </row>
    <row r="114" spans="3:12" ht="15">
      <c r="C114" s="139"/>
      <c r="D114" s="139"/>
      <c r="E114" s="139"/>
      <c r="F114" s="139"/>
      <c r="G114" s="139"/>
      <c r="H114" s="139"/>
      <c r="I114" s="139"/>
      <c r="J114" s="139"/>
      <c r="K114" s="139"/>
      <c r="L114" s="139"/>
    </row>
    <row r="115" spans="3:12" ht="15">
      <c r="C115" s="139"/>
      <c r="D115" s="139"/>
      <c r="E115" s="139"/>
      <c r="F115" s="139"/>
      <c r="G115" s="139"/>
      <c r="H115" s="139"/>
      <c r="I115" s="139"/>
      <c r="J115" s="139"/>
      <c r="K115" s="139"/>
      <c r="L115" s="139"/>
    </row>
    <row r="116" spans="3:12" ht="15">
      <c r="C116" s="139"/>
      <c r="D116" s="139"/>
      <c r="E116" s="139"/>
      <c r="F116" s="139"/>
      <c r="G116" s="139"/>
      <c r="H116" s="139"/>
      <c r="I116" s="139"/>
      <c r="J116" s="139"/>
      <c r="K116" s="139"/>
      <c r="L116" s="139"/>
    </row>
    <row r="117" spans="3:12" ht="15">
      <c r="C117" s="139"/>
      <c r="D117" s="139"/>
      <c r="E117" s="139"/>
      <c r="F117" s="139"/>
      <c r="G117" s="139"/>
      <c r="H117" s="139"/>
      <c r="I117" s="139"/>
      <c r="J117" s="139"/>
      <c r="K117" s="139"/>
      <c r="L117" s="139"/>
    </row>
    <row r="118" spans="3:12" ht="15">
      <c r="C118" s="139"/>
      <c r="D118" s="139"/>
      <c r="E118" s="139"/>
      <c r="F118" s="139"/>
      <c r="G118" s="139"/>
      <c r="H118" s="139"/>
      <c r="I118" s="139"/>
      <c r="J118" s="139"/>
      <c r="K118" s="139"/>
      <c r="L118" s="139"/>
    </row>
    <row r="119" spans="3:12" ht="15">
      <c r="C119" s="139"/>
      <c r="D119" s="139"/>
      <c r="E119" s="139"/>
      <c r="F119" s="139"/>
      <c r="G119" s="139"/>
      <c r="H119" s="139"/>
      <c r="I119" s="139"/>
      <c r="J119" s="139"/>
      <c r="K119" s="139"/>
      <c r="L119" s="139"/>
    </row>
    <row r="120" spans="3:12" ht="15">
      <c r="C120" s="139"/>
      <c r="D120" s="139"/>
      <c r="E120" s="139"/>
      <c r="F120" s="139"/>
      <c r="G120" s="139"/>
      <c r="H120" s="139"/>
      <c r="I120" s="139"/>
      <c r="J120" s="139"/>
      <c r="K120" s="139"/>
      <c r="L120" s="139"/>
    </row>
    <row r="121" spans="3:12" ht="15">
      <c r="C121" s="139"/>
      <c r="D121" s="139"/>
      <c r="E121" s="139"/>
      <c r="F121" s="139"/>
      <c r="G121" s="139"/>
      <c r="H121" s="139"/>
      <c r="I121" s="139"/>
      <c r="J121" s="139"/>
      <c r="K121" s="139"/>
      <c r="L121" s="139"/>
    </row>
    <row r="122" spans="3:12" ht="15">
      <c r="C122" s="139"/>
      <c r="D122" s="139"/>
      <c r="E122" s="139"/>
      <c r="F122" s="139"/>
      <c r="G122" s="139"/>
      <c r="H122" s="139"/>
      <c r="I122" s="139"/>
      <c r="J122" s="139"/>
      <c r="K122" s="139"/>
      <c r="L122" s="139"/>
    </row>
    <row r="123" spans="3:12" ht="15">
      <c r="C123" s="139"/>
      <c r="D123" s="139"/>
      <c r="E123" s="139"/>
      <c r="F123" s="139"/>
      <c r="G123" s="139"/>
      <c r="H123" s="139"/>
      <c r="I123" s="139"/>
      <c r="J123" s="139"/>
      <c r="K123" s="139"/>
      <c r="L123" s="139"/>
    </row>
    <row r="124" spans="3:12" ht="15">
      <c r="C124" s="139"/>
      <c r="D124" s="139"/>
      <c r="E124" s="139"/>
      <c r="F124" s="139"/>
      <c r="G124" s="139"/>
      <c r="H124" s="139"/>
      <c r="I124" s="139"/>
      <c r="J124" s="139"/>
      <c r="K124" s="139"/>
      <c r="L124" s="139"/>
    </row>
    <row r="125" spans="3:12" ht="15">
      <c r="C125" s="139"/>
      <c r="D125" s="139"/>
      <c r="E125" s="139"/>
      <c r="F125" s="139"/>
      <c r="G125" s="139"/>
      <c r="H125" s="139"/>
      <c r="I125" s="139"/>
      <c r="J125" s="139"/>
      <c r="K125" s="139"/>
      <c r="L125" s="139"/>
    </row>
    <row r="126" spans="3:12" ht="15">
      <c r="C126" s="139"/>
      <c r="D126" s="139"/>
      <c r="E126" s="139"/>
      <c r="F126" s="139"/>
      <c r="G126" s="139"/>
      <c r="H126" s="139"/>
      <c r="I126" s="139"/>
      <c r="J126" s="139"/>
      <c r="K126" s="139"/>
      <c r="L126" s="139"/>
    </row>
    <row r="127" spans="3:12" ht="15">
      <c r="C127" s="139"/>
      <c r="D127" s="139"/>
      <c r="E127" s="139"/>
      <c r="F127" s="139"/>
      <c r="G127" s="139"/>
      <c r="H127" s="139"/>
      <c r="I127" s="139"/>
      <c r="J127" s="139"/>
      <c r="K127" s="139"/>
      <c r="L127" s="139"/>
    </row>
    <row r="128" spans="3:12" ht="15">
      <c r="C128" s="139"/>
      <c r="D128" s="139"/>
      <c r="E128" s="139"/>
      <c r="F128" s="139"/>
      <c r="G128" s="139"/>
      <c r="H128" s="139"/>
      <c r="I128" s="139"/>
      <c r="J128" s="139"/>
      <c r="K128" s="139"/>
      <c r="L128" s="139"/>
    </row>
    <row r="129" spans="3:12" ht="15">
      <c r="C129" s="139"/>
      <c r="D129" s="139"/>
      <c r="E129" s="139"/>
      <c r="F129" s="139"/>
      <c r="G129" s="139"/>
      <c r="H129" s="139"/>
      <c r="I129" s="139"/>
      <c r="J129" s="139"/>
      <c r="K129" s="139"/>
      <c r="L129" s="139"/>
    </row>
    <row r="130" spans="3:12" ht="15">
      <c r="C130" s="139"/>
      <c r="D130" s="139"/>
      <c r="E130" s="139"/>
      <c r="F130" s="139"/>
      <c r="G130" s="139"/>
      <c r="H130" s="139"/>
      <c r="I130" s="139"/>
      <c r="J130" s="139"/>
      <c r="K130" s="139"/>
      <c r="L130" s="139"/>
    </row>
    <row r="131" spans="3:12" ht="15">
      <c r="C131" s="139"/>
      <c r="D131" s="139"/>
      <c r="E131" s="139"/>
      <c r="F131" s="139"/>
      <c r="G131" s="139"/>
      <c r="H131" s="139"/>
      <c r="I131" s="139"/>
      <c r="J131" s="139"/>
      <c r="K131" s="139"/>
      <c r="L131" s="139"/>
    </row>
    <row r="132" spans="3:12" ht="15">
      <c r="C132" s="139"/>
      <c r="D132" s="139"/>
      <c r="E132" s="139"/>
      <c r="F132" s="139"/>
      <c r="G132" s="139"/>
      <c r="H132" s="139"/>
      <c r="I132" s="139"/>
      <c r="J132" s="139"/>
      <c r="K132" s="139"/>
      <c r="L132" s="139"/>
    </row>
    <row r="133" spans="3:12" ht="15">
      <c r="C133" s="139"/>
      <c r="D133" s="139"/>
      <c r="E133" s="139"/>
      <c r="F133" s="139"/>
      <c r="G133" s="139"/>
      <c r="H133" s="139"/>
      <c r="I133" s="139"/>
      <c r="J133" s="139"/>
      <c r="K133" s="139"/>
      <c r="L133" s="139"/>
    </row>
    <row r="134" spans="3:12" ht="15">
      <c r="C134" s="139"/>
      <c r="D134" s="139"/>
      <c r="E134" s="139"/>
      <c r="F134" s="139"/>
      <c r="G134" s="139"/>
      <c r="H134" s="139"/>
      <c r="I134" s="139"/>
      <c r="J134" s="139"/>
      <c r="K134" s="139"/>
      <c r="L134" s="139"/>
    </row>
    <row r="135" spans="3:12" ht="15">
      <c r="C135" s="139"/>
      <c r="D135" s="139"/>
      <c r="E135" s="139"/>
      <c r="F135" s="139"/>
      <c r="G135" s="139"/>
      <c r="H135" s="139"/>
      <c r="I135" s="139"/>
      <c r="J135" s="139"/>
      <c r="K135" s="139"/>
      <c r="L135" s="139"/>
    </row>
    <row r="136" spans="3:12" ht="15">
      <c r="C136" s="139"/>
      <c r="D136" s="139"/>
      <c r="E136" s="139"/>
      <c r="F136" s="139"/>
      <c r="G136" s="139"/>
      <c r="H136" s="139"/>
      <c r="I136" s="139"/>
      <c r="J136" s="139"/>
      <c r="K136" s="139"/>
      <c r="L136" s="139"/>
    </row>
    <row r="137" spans="3:12" ht="15">
      <c r="C137" s="139"/>
      <c r="D137" s="139"/>
      <c r="E137" s="139"/>
      <c r="F137" s="139"/>
      <c r="G137" s="139"/>
      <c r="H137" s="139"/>
      <c r="I137" s="139"/>
      <c r="J137" s="139"/>
      <c r="K137" s="139"/>
      <c r="L137" s="139"/>
    </row>
    <row r="138" spans="3:12" ht="15">
      <c r="C138" s="139"/>
      <c r="D138" s="139"/>
      <c r="E138" s="139"/>
      <c r="F138" s="139"/>
      <c r="G138" s="139"/>
      <c r="H138" s="139"/>
      <c r="I138" s="139"/>
      <c r="J138" s="139"/>
      <c r="K138" s="139"/>
      <c r="L138" s="139"/>
    </row>
    <row r="139" spans="3:12" ht="15">
      <c r="C139" s="139"/>
      <c r="D139" s="139"/>
      <c r="E139" s="139"/>
      <c r="F139" s="139"/>
      <c r="G139" s="139"/>
      <c r="H139" s="139"/>
      <c r="I139" s="139"/>
      <c r="J139" s="139"/>
      <c r="K139" s="139"/>
      <c r="L139" s="139"/>
    </row>
    <row r="140" spans="3:12" ht="15">
      <c r="C140" s="139"/>
      <c r="D140" s="139"/>
      <c r="E140" s="139"/>
      <c r="F140" s="139"/>
      <c r="G140" s="139"/>
      <c r="H140" s="139"/>
      <c r="I140" s="139"/>
      <c r="J140" s="139"/>
      <c r="K140" s="139"/>
      <c r="L140" s="139"/>
    </row>
    <row r="141" spans="3:12" ht="15">
      <c r="C141" s="139"/>
      <c r="D141" s="139"/>
      <c r="E141" s="139"/>
      <c r="F141" s="139"/>
      <c r="G141" s="139"/>
      <c r="H141" s="139"/>
      <c r="I141" s="139"/>
      <c r="J141" s="139"/>
      <c r="K141" s="139"/>
      <c r="L141" s="139"/>
    </row>
    <row r="142" spans="3:12" ht="15">
      <c r="C142" s="139"/>
      <c r="D142" s="139"/>
      <c r="E142" s="139"/>
      <c r="F142" s="139"/>
      <c r="G142" s="139"/>
      <c r="H142" s="139"/>
      <c r="I142" s="139"/>
      <c r="J142" s="139"/>
      <c r="K142" s="139"/>
      <c r="L142" s="139"/>
    </row>
    <row r="143" spans="3:12" ht="15">
      <c r="C143" s="139"/>
      <c r="D143" s="139"/>
      <c r="E143" s="139"/>
      <c r="F143" s="139"/>
      <c r="G143" s="139"/>
      <c r="H143" s="139"/>
      <c r="I143" s="139"/>
      <c r="J143" s="139"/>
      <c r="K143" s="139"/>
      <c r="L143" s="139"/>
    </row>
    <row r="144" spans="3:12" ht="15">
      <c r="C144" s="139"/>
      <c r="D144" s="139"/>
      <c r="E144" s="139"/>
      <c r="F144" s="139"/>
      <c r="G144" s="139"/>
      <c r="H144" s="139"/>
      <c r="I144" s="139"/>
      <c r="J144" s="139"/>
      <c r="K144" s="139"/>
      <c r="L144" s="139"/>
    </row>
    <row r="145" spans="3:12" ht="15">
      <c r="C145" s="139"/>
      <c r="D145" s="139"/>
      <c r="E145" s="139"/>
      <c r="F145" s="139"/>
      <c r="G145" s="139"/>
      <c r="H145" s="139"/>
      <c r="I145" s="139"/>
      <c r="J145" s="139"/>
      <c r="K145" s="139"/>
      <c r="L145" s="139"/>
    </row>
    <row r="146" spans="3:12" ht="15">
      <c r="C146" s="139"/>
      <c r="D146" s="139"/>
      <c r="E146" s="139"/>
      <c r="F146" s="139"/>
      <c r="G146" s="139"/>
      <c r="H146" s="139"/>
      <c r="I146" s="139"/>
      <c r="J146" s="139"/>
      <c r="K146" s="139"/>
      <c r="L146" s="139"/>
    </row>
    <row r="147" spans="3:12" ht="15">
      <c r="C147" s="139"/>
      <c r="D147" s="139"/>
      <c r="E147" s="139"/>
      <c r="F147" s="139"/>
      <c r="G147" s="139"/>
      <c r="H147" s="139"/>
      <c r="I147" s="139"/>
      <c r="J147" s="139"/>
      <c r="K147" s="139"/>
      <c r="L147" s="139"/>
    </row>
    <row r="148" spans="3:12" ht="15">
      <c r="C148" s="139"/>
      <c r="D148" s="139"/>
      <c r="E148" s="139"/>
      <c r="F148" s="139"/>
      <c r="G148" s="139"/>
      <c r="H148" s="139"/>
      <c r="I148" s="139"/>
      <c r="J148" s="139"/>
      <c r="K148" s="139"/>
      <c r="L148" s="139"/>
    </row>
    <row r="149" spans="3:12" ht="15">
      <c r="C149" s="139"/>
      <c r="D149" s="139"/>
      <c r="E149" s="139"/>
      <c r="F149" s="139"/>
      <c r="G149" s="139"/>
      <c r="H149" s="139"/>
      <c r="I149" s="139"/>
      <c r="J149" s="139"/>
      <c r="K149" s="139"/>
      <c r="L149" s="139"/>
    </row>
    <row r="150" spans="3:12" ht="15">
      <c r="C150" s="139"/>
      <c r="D150" s="139"/>
      <c r="E150" s="139"/>
      <c r="F150" s="139"/>
      <c r="G150" s="139"/>
      <c r="H150" s="139"/>
      <c r="I150" s="139"/>
      <c r="J150" s="139"/>
      <c r="K150" s="139"/>
      <c r="L150" s="139"/>
    </row>
    <row r="151" spans="3:12" ht="15">
      <c r="C151" s="139"/>
      <c r="D151" s="139"/>
      <c r="E151" s="139"/>
      <c r="F151" s="139"/>
      <c r="G151" s="139"/>
      <c r="H151" s="139"/>
      <c r="I151" s="139"/>
      <c r="J151" s="139"/>
      <c r="K151" s="139"/>
      <c r="L151" s="139"/>
    </row>
    <row r="152" spans="3:12" ht="15">
      <c r="C152" s="139"/>
      <c r="D152" s="139"/>
      <c r="E152" s="139"/>
      <c r="F152" s="139"/>
      <c r="G152" s="139"/>
      <c r="H152" s="139"/>
      <c r="I152" s="139"/>
      <c r="J152" s="139"/>
      <c r="K152" s="139"/>
      <c r="L152" s="139"/>
    </row>
    <row r="153" spans="3:12" ht="15">
      <c r="C153" s="139"/>
      <c r="D153" s="139"/>
      <c r="E153" s="139"/>
      <c r="F153" s="139"/>
      <c r="G153" s="139"/>
      <c r="H153" s="139"/>
      <c r="I153" s="139"/>
      <c r="J153" s="139"/>
      <c r="K153" s="139"/>
      <c r="L153" s="139"/>
    </row>
    <row r="154" spans="3:12" ht="15">
      <c r="C154" s="139"/>
      <c r="D154" s="139"/>
      <c r="E154" s="139"/>
      <c r="F154" s="139"/>
      <c r="G154" s="139"/>
      <c r="H154" s="139"/>
      <c r="I154" s="139"/>
      <c r="J154" s="139"/>
      <c r="K154" s="139"/>
      <c r="L154" s="139"/>
    </row>
    <row r="155" spans="3:12" ht="15">
      <c r="C155" s="139"/>
      <c r="D155" s="139"/>
      <c r="E155" s="139"/>
      <c r="F155" s="139"/>
      <c r="G155" s="139"/>
      <c r="H155" s="139"/>
      <c r="I155" s="139"/>
      <c r="J155" s="139"/>
      <c r="K155" s="139"/>
      <c r="L155" s="139"/>
    </row>
    <row r="156" spans="3:12" ht="15">
      <c r="C156" s="139"/>
      <c r="D156" s="139"/>
      <c r="E156" s="139"/>
      <c r="F156" s="139"/>
      <c r="G156" s="139"/>
      <c r="H156" s="139"/>
      <c r="I156" s="139"/>
      <c r="J156" s="139"/>
      <c r="K156" s="139"/>
      <c r="L156" s="139"/>
    </row>
    <row r="157" spans="3:12" ht="15">
      <c r="C157" s="139"/>
      <c r="D157" s="139"/>
      <c r="E157" s="139"/>
      <c r="F157" s="139"/>
      <c r="G157" s="139"/>
      <c r="H157" s="139"/>
      <c r="I157" s="139"/>
      <c r="J157" s="139"/>
      <c r="K157" s="139"/>
      <c r="L157" s="139"/>
    </row>
    <row r="158" spans="3:12" ht="15">
      <c r="C158" s="139"/>
      <c r="D158" s="139"/>
      <c r="E158" s="139"/>
      <c r="F158" s="139"/>
      <c r="G158" s="139"/>
      <c r="H158" s="139"/>
      <c r="I158" s="139"/>
      <c r="J158" s="139"/>
      <c r="K158" s="139"/>
      <c r="L158" s="139"/>
    </row>
    <row r="159" spans="3:12" ht="15">
      <c r="C159" s="139"/>
      <c r="D159" s="139"/>
      <c r="E159" s="139"/>
      <c r="F159" s="139"/>
      <c r="G159" s="139"/>
      <c r="H159" s="139"/>
      <c r="I159" s="139"/>
      <c r="J159" s="139"/>
      <c r="K159" s="139"/>
      <c r="L159" s="139"/>
    </row>
    <row r="160" spans="3:12" ht="15">
      <c r="C160" s="139"/>
      <c r="D160" s="139"/>
      <c r="E160" s="139"/>
      <c r="F160" s="139"/>
      <c r="G160" s="139"/>
      <c r="H160" s="139"/>
      <c r="I160" s="139"/>
      <c r="J160" s="139"/>
      <c r="K160" s="139"/>
      <c r="L160" s="139"/>
    </row>
    <row r="161" spans="3:12" ht="15">
      <c r="C161" s="139"/>
      <c r="D161" s="139"/>
      <c r="E161" s="139"/>
      <c r="F161" s="139"/>
      <c r="G161" s="139"/>
      <c r="H161" s="139"/>
      <c r="I161" s="139"/>
      <c r="J161" s="139"/>
      <c r="K161" s="139"/>
      <c r="L161" s="139"/>
    </row>
    <row r="162" spans="3:12" ht="15">
      <c r="C162" s="139"/>
      <c r="D162" s="139"/>
      <c r="E162" s="139"/>
      <c r="F162" s="139"/>
      <c r="G162" s="139"/>
      <c r="H162" s="139"/>
      <c r="I162" s="139"/>
      <c r="J162" s="139"/>
      <c r="K162" s="139"/>
      <c r="L162" s="139"/>
    </row>
    <row r="163" spans="3:12" ht="15">
      <c r="C163" s="139"/>
      <c r="D163" s="139"/>
      <c r="E163" s="139"/>
      <c r="F163" s="139"/>
      <c r="G163" s="139"/>
      <c r="H163" s="139"/>
      <c r="I163" s="139"/>
      <c r="J163" s="139"/>
      <c r="K163" s="139"/>
      <c r="L163" s="139"/>
    </row>
    <row r="164" spans="3:12" ht="15">
      <c r="C164" s="139"/>
      <c r="D164" s="139"/>
      <c r="E164" s="139"/>
      <c r="F164" s="139"/>
      <c r="G164" s="139"/>
      <c r="H164" s="139"/>
      <c r="I164" s="139"/>
      <c r="J164" s="139"/>
      <c r="K164" s="139"/>
      <c r="L164" s="139"/>
    </row>
    <row r="165" spans="3:12" ht="15">
      <c r="C165" s="139"/>
      <c r="D165" s="139"/>
      <c r="E165" s="139"/>
      <c r="F165" s="139"/>
      <c r="G165" s="139"/>
      <c r="H165" s="139"/>
      <c r="I165" s="139"/>
      <c r="J165" s="139"/>
      <c r="K165" s="139"/>
      <c r="L165" s="139"/>
    </row>
    <row r="166" spans="3:12" ht="15">
      <c r="C166" s="139"/>
      <c r="D166" s="139"/>
      <c r="E166" s="139"/>
      <c r="F166" s="139"/>
      <c r="G166" s="139"/>
      <c r="H166" s="139"/>
      <c r="I166" s="139"/>
      <c r="J166" s="139"/>
      <c r="K166" s="139"/>
      <c r="L166" s="139"/>
    </row>
    <row r="167" spans="3:12" ht="15">
      <c r="C167" s="139"/>
      <c r="D167" s="139"/>
      <c r="E167" s="139"/>
      <c r="F167" s="139"/>
      <c r="G167" s="139"/>
      <c r="H167" s="139"/>
      <c r="I167" s="139"/>
      <c r="J167" s="139"/>
      <c r="K167" s="139"/>
      <c r="L167" s="139"/>
    </row>
    <row r="168" spans="3:12" ht="15">
      <c r="C168" s="139"/>
      <c r="D168" s="139"/>
      <c r="E168" s="139"/>
      <c r="F168" s="139"/>
      <c r="G168" s="139"/>
      <c r="H168" s="139"/>
      <c r="I168" s="139"/>
      <c r="J168" s="139"/>
      <c r="K168" s="139"/>
      <c r="L168" s="139"/>
    </row>
    <row r="169" spans="3:12" ht="15">
      <c r="C169" s="139"/>
      <c r="D169" s="139"/>
      <c r="E169" s="139"/>
      <c r="F169" s="139"/>
      <c r="G169" s="139"/>
      <c r="H169" s="139"/>
      <c r="I169" s="139"/>
      <c r="J169" s="139"/>
      <c r="K169" s="139"/>
      <c r="L169" s="139"/>
    </row>
    <row r="170" spans="3:12" ht="15">
      <c r="C170" s="139"/>
      <c r="D170" s="139"/>
      <c r="E170" s="139"/>
      <c r="F170" s="139"/>
      <c r="G170" s="139"/>
      <c r="H170" s="139"/>
      <c r="I170" s="139"/>
      <c r="J170" s="139"/>
      <c r="K170" s="139"/>
      <c r="L170" s="139"/>
    </row>
    <row r="171" spans="3:12" ht="15">
      <c r="C171" s="139"/>
      <c r="D171" s="139"/>
      <c r="E171" s="139"/>
      <c r="F171" s="139"/>
      <c r="G171" s="139"/>
      <c r="H171" s="139"/>
      <c r="I171" s="139"/>
      <c r="J171" s="139"/>
      <c r="K171" s="139"/>
      <c r="L171" s="139"/>
    </row>
    <row r="172" spans="3:12" ht="15">
      <c r="C172" s="139"/>
      <c r="D172" s="139"/>
      <c r="E172" s="139"/>
      <c r="F172" s="139"/>
      <c r="G172" s="139"/>
      <c r="H172" s="139"/>
      <c r="I172" s="139"/>
      <c r="J172" s="139"/>
      <c r="K172" s="139"/>
      <c r="L172" s="139"/>
    </row>
    <row r="173" spans="3:12" ht="15">
      <c r="C173" s="139"/>
      <c r="D173" s="139"/>
      <c r="E173" s="139"/>
      <c r="F173" s="139"/>
      <c r="G173" s="139"/>
      <c r="H173" s="139"/>
      <c r="I173" s="139"/>
      <c r="J173" s="139"/>
      <c r="K173" s="139"/>
      <c r="L173" s="139"/>
    </row>
    <row r="174" spans="3:12" ht="15">
      <c r="C174" s="139"/>
      <c r="D174" s="139"/>
      <c r="E174" s="139"/>
      <c r="F174" s="139"/>
      <c r="G174" s="139"/>
      <c r="H174" s="139"/>
      <c r="I174" s="139"/>
      <c r="J174" s="139"/>
      <c r="K174" s="139"/>
      <c r="L174" s="139"/>
    </row>
    <row r="175" spans="3:12" ht="15">
      <c r="C175" s="139"/>
      <c r="D175" s="139"/>
      <c r="E175" s="139"/>
      <c r="F175" s="139"/>
      <c r="G175" s="139"/>
      <c r="H175" s="139"/>
      <c r="I175" s="139"/>
      <c r="J175" s="139"/>
      <c r="K175" s="139"/>
      <c r="L175" s="139"/>
    </row>
    <row r="176" spans="3:12" ht="15">
      <c r="C176" s="139"/>
      <c r="D176" s="139"/>
      <c r="E176" s="139"/>
      <c r="F176" s="139"/>
      <c r="G176" s="139"/>
      <c r="H176" s="139"/>
      <c r="I176" s="139"/>
      <c r="J176" s="139"/>
      <c r="K176" s="139"/>
      <c r="L176" s="139"/>
    </row>
    <row r="177" spans="3:12" ht="15">
      <c r="C177" s="139"/>
      <c r="D177" s="139"/>
      <c r="E177" s="139"/>
      <c r="F177" s="139"/>
      <c r="G177" s="139"/>
      <c r="H177" s="139"/>
      <c r="I177" s="139"/>
      <c r="J177" s="139"/>
      <c r="K177" s="139"/>
      <c r="L177" s="139"/>
    </row>
    <row r="178" spans="3:12" ht="15">
      <c r="C178" s="139"/>
      <c r="D178" s="139"/>
      <c r="E178" s="139"/>
      <c r="F178" s="139"/>
      <c r="G178" s="139"/>
      <c r="H178" s="139"/>
      <c r="I178" s="139"/>
      <c r="J178" s="139"/>
      <c r="K178" s="139"/>
      <c r="L178" s="139"/>
    </row>
    <row r="179" spans="3:12" ht="15">
      <c r="C179" s="139"/>
      <c r="D179" s="139"/>
      <c r="E179" s="139"/>
      <c r="F179" s="139"/>
      <c r="G179" s="139"/>
      <c r="H179" s="139"/>
      <c r="I179" s="139"/>
      <c r="J179" s="139"/>
      <c r="K179" s="139"/>
      <c r="L179" s="139"/>
    </row>
    <row r="180" spans="3:12" ht="15">
      <c r="C180" s="139"/>
      <c r="D180" s="139"/>
      <c r="E180" s="139"/>
      <c r="F180" s="139"/>
      <c r="G180" s="139"/>
      <c r="H180" s="139"/>
      <c r="I180" s="139"/>
      <c r="J180" s="139"/>
      <c r="K180" s="139"/>
      <c r="L180" s="139"/>
    </row>
    <row r="181" spans="3:12" ht="15">
      <c r="C181" s="139"/>
      <c r="D181" s="139"/>
      <c r="E181" s="139"/>
      <c r="F181" s="139"/>
      <c r="G181" s="139"/>
      <c r="H181" s="139"/>
      <c r="I181" s="139"/>
      <c r="J181" s="139"/>
      <c r="K181" s="139"/>
      <c r="L181" s="139"/>
    </row>
    <row r="182" spans="3:12" ht="15">
      <c r="C182" s="139"/>
      <c r="D182" s="139"/>
      <c r="E182" s="139"/>
      <c r="F182" s="139"/>
      <c r="G182" s="139"/>
      <c r="H182" s="139"/>
      <c r="I182" s="139"/>
      <c r="J182" s="139"/>
      <c r="K182" s="139"/>
      <c r="L182" s="139"/>
    </row>
    <row r="183" spans="3:12" ht="15">
      <c r="C183" s="139"/>
      <c r="D183" s="139"/>
      <c r="E183" s="139"/>
      <c r="F183" s="139"/>
      <c r="G183" s="139"/>
      <c r="H183" s="139"/>
      <c r="I183" s="139"/>
      <c r="J183" s="139"/>
      <c r="K183" s="139"/>
      <c r="L183" s="139"/>
    </row>
    <row r="184" spans="3:12" ht="15">
      <c r="C184" s="139"/>
      <c r="D184" s="139"/>
      <c r="E184" s="139"/>
      <c r="F184" s="139"/>
      <c r="G184" s="139"/>
      <c r="H184" s="139"/>
      <c r="I184" s="139"/>
      <c r="J184" s="139"/>
      <c r="K184" s="139"/>
      <c r="L184" s="139"/>
    </row>
    <row r="185" spans="3:12" ht="15">
      <c r="C185" s="139"/>
      <c r="D185" s="139"/>
      <c r="E185" s="139"/>
      <c r="F185" s="139"/>
      <c r="G185" s="139"/>
      <c r="H185" s="139"/>
      <c r="I185" s="139"/>
      <c r="J185" s="139"/>
      <c r="K185" s="139"/>
      <c r="L185" s="139"/>
    </row>
    <row r="186" spans="3:12" ht="15">
      <c r="C186" s="139"/>
      <c r="D186" s="139"/>
      <c r="E186" s="139"/>
      <c r="F186" s="139"/>
      <c r="G186" s="139"/>
      <c r="H186" s="139"/>
      <c r="I186" s="139"/>
      <c r="J186" s="139"/>
      <c r="K186" s="139"/>
      <c r="L186" s="139"/>
    </row>
    <row r="187" spans="3:12" ht="15">
      <c r="C187" s="139"/>
      <c r="D187" s="139"/>
      <c r="E187" s="139"/>
      <c r="F187" s="139"/>
      <c r="G187" s="139"/>
      <c r="H187" s="139"/>
      <c r="I187" s="139"/>
      <c r="J187" s="139"/>
      <c r="K187" s="139"/>
      <c r="L187" s="139"/>
    </row>
    <row r="188" spans="3:12" ht="15">
      <c r="C188" s="139"/>
      <c r="D188" s="139"/>
      <c r="E188" s="139"/>
      <c r="F188" s="139"/>
      <c r="G188" s="139"/>
      <c r="H188" s="139"/>
      <c r="I188" s="139"/>
      <c r="J188" s="139"/>
      <c r="K188" s="139"/>
      <c r="L188" s="139"/>
    </row>
    <row r="189" spans="3:12" ht="15">
      <c r="C189" s="139"/>
      <c r="D189" s="139"/>
      <c r="E189" s="139"/>
      <c r="F189" s="139"/>
      <c r="G189" s="139"/>
      <c r="H189" s="139"/>
      <c r="I189" s="139"/>
      <c r="J189" s="139"/>
      <c r="K189" s="139"/>
      <c r="L189" s="139"/>
    </row>
    <row r="190" spans="3:12" ht="15">
      <c r="C190" s="139"/>
      <c r="D190" s="139"/>
      <c r="E190" s="139"/>
      <c r="F190" s="139"/>
      <c r="G190" s="139"/>
      <c r="H190" s="139"/>
      <c r="I190" s="139"/>
      <c r="J190" s="139"/>
      <c r="K190" s="139"/>
      <c r="L190" s="139"/>
    </row>
    <row r="191" spans="3:12" ht="15">
      <c r="C191" s="139"/>
      <c r="D191" s="139"/>
      <c r="E191" s="139"/>
      <c r="F191" s="139"/>
      <c r="G191" s="139"/>
      <c r="H191" s="139"/>
      <c r="I191" s="139"/>
      <c r="J191" s="139"/>
      <c r="K191" s="139"/>
      <c r="L191" s="139"/>
    </row>
    <row r="192" spans="3:12" ht="15">
      <c r="C192" s="139"/>
      <c r="D192" s="139"/>
      <c r="E192" s="139"/>
      <c r="F192" s="139"/>
      <c r="G192" s="139"/>
      <c r="H192" s="139"/>
      <c r="I192" s="139"/>
      <c r="J192" s="139"/>
      <c r="K192" s="139"/>
      <c r="L192" s="139"/>
    </row>
    <row r="193" spans="3:12" ht="15">
      <c r="C193" s="139"/>
      <c r="D193" s="139"/>
      <c r="E193" s="139"/>
      <c r="F193" s="139"/>
      <c r="G193" s="139"/>
      <c r="H193" s="139"/>
      <c r="I193" s="139"/>
      <c r="J193" s="139"/>
      <c r="K193" s="139"/>
      <c r="L193" s="139"/>
    </row>
    <row r="194" spans="3:12" ht="15">
      <c r="C194" s="139"/>
      <c r="D194" s="139"/>
      <c r="E194" s="139"/>
      <c r="F194" s="139"/>
      <c r="G194" s="139"/>
      <c r="H194" s="139"/>
      <c r="I194" s="139"/>
      <c r="J194" s="139"/>
      <c r="K194" s="139"/>
      <c r="L194" s="139"/>
    </row>
    <row r="195" spans="3:12" ht="15">
      <c r="C195" s="139"/>
      <c r="D195" s="139"/>
      <c r="E195" s="139"/>
      <c r="F195" s="139"/>
      <c r="G195" s="139"/>
      <c r="H195" s="139"/>
      <c r="I195" s="139"/>
      <c r="J195" s="139"/>
      <c r="K195" s="139"/>
      <c r="L195" s="139"/>
    </row>
    <row r="196" spans="3:12" ht="15">
      <c r="C196" s="139"/>
      <c r="D196" s="139"/>
      <c r="E196" s="139"/>
      <c r="F196" s="139"/>
      <c r="G196" s="139"/>
      <c r="H196" s="139"/>
      <c r="I196" s="139"/>
      <c r="J196" s="139"/>
      <c r="K196" s="139"/>
      <c r="L196" s="139"/>
    </row>
    <row r="197" spans="3:12" ht="15">
      <c r="C197" s="139"/>
      <c r="D197" s="139"/>
      <c r="E197" s="139"/>
      <c r="F197" s="139"/>
      <c r="G197" s="139"/>
      <c r="H197" s="139"/>
      <c r="I197" s="139"/>
      <c r="J197" s="139"/>
      <c r="K197" s="139"/>
      <c r="L197" s="139"/>
    </row>
    <row r="198" spans="3:12" ht="15">
      <c r="C198" s="139"/>
      <c r="D198" s="139"/>
      <c r="E198" s="139"/>
      <c r="F198" s="139"/>
      <c r="G198" s="139"/>
      <c r="H198" s="139"/>
      <c r="I198" s="139"/>
      <c r="J198" s="139"/>
      <c r="K198" s="139"/>
      <c r="L198" s="139"/>
    </row>
    <row r="199" spans="3:12" ht="15">
      <c r="C199" s="139"/>
      <c r="D199" s="139"/>
      <c r="E199" s="139"/>
      <c r="F199" s="139"/>
      <c r="G199" s="139"/>
      <c r="H199" s="139"/>
      <c r="I199" s="139"/>
      <c r="J199" s="139"/>
      <c r="K199" s="139"/>
      <c r="L199" s="139"/>
    </row>
    <row r="200" spans="3:12" ht="15">
      <c r="C200" s="139"/>
      <c r="D200" s="139"/>
      <c r="E200" s="139"/>
      <c r="F200" s="139"/>
      <c r="G200" s="139"/>
      <c r="H200" s="139"/>
      <c r="I200" s="139"/>
      <c r="J200" s="139"/>
      <c r="K200" s="139"/>
      <c r="L200" s="139"/>
    </row>
    <row r="201" spans="3:12" ht="15">
      <c r="C201" s="139"/>
      <c r="D201" s="139"/>
      <c r="E201" s="139"/>
      <c r="F201" s="139"/>
      <c r="G201" s="139"/>
      <c r="H201" s="139"/>
      <c r="I201" s="139"/>
      <c r="J201" s="139"/>
      <c r="K201" s="139"/>
      <c r="L201" s="139"/>
    </row>
    <row r="202" spans="3:12" ht="15">
      <c r="C202" s="139"/>
      <c r="D202" s="139"/>
      <c r="E202" s="139"/>
      <c r="F202" s="139"/>
      <c r="G202" s="139"/>
      <c r="H202" s="139"/>
      <c r="I202" s="139"/>
      <c r="J202" s="139"/>
      <c r="K202" s="139"/>
      <c r="L202" s="139"/>
    </row>
    <row r="203" spans="3:12" ht="15">
      <c r="C203" s="139"/>
      <c r="D203" s="139"/>
      <c r="E203" s="139"/>
      <c r="F203" s="139"/>
      <c r="G203" s="139"/>
      <c r="H203" s="139"/>
      <c r="I203" s="139"/>
      <c r="J203" s="139"/>
      <c r="K203" s="139"/>
      <c r="L203" s="139"/>
    </row>
    <row r="204" spans="3:12" ht="15">
      <c r="C204" s="139"/>
      <c r="D204" s="139"/>
      <c r="E204" s="139"/>
      <c r="F204" s="139"/>
      <c r="G204" s="139"/>
      <c r="H204" s="139"/>
      <c r="I204" s="139"/>
      <c r="J204" s="139"/>
      <c r="K204" s="139"/>
      <c r="L204" s="139"/>
    </row>
    <row r="205" spans="3:12" ht="15">
      <c r="C205" s="139"/>
      <c r="D205" s="139"/>
      <c r="E205" s="139"/>
      <c r="F205" s="139"/>
      <c r="G205" s="139"/>
      <c r="H205" s="139"/>
      <c r="I205" s="139"/>
      <c r="J205" s="139"/>
      <c r="K205" s="139"/>
      <c r="L205" s="139"/>
    </row>
    <row r="206" spans="3:12" ht="15">
      <c r="C206" s="139"/>
      <c r="D206" s="139"/>
      <c r="E206" s="139"/>
      <c r="F206" s="139"/>
      <c r="G206" s="139"/>
      <c r="H206" s="139"/>
      <c r="I206" s="139"/>
      <c r="J206" s="139"/>
      <c r="K206" s="139"/>
      <c r="L206" s="139"/>
    </row>
    <row r="207" spans="3:12" ht="15">
      <c r="C207" s="139"/>
      <c r="D207" s="139"/>
      <c r="E207" s="139"/>
      <c r="F207" s="139"/>
      <c r="G207" s="139"/>
      <c r="H207" s="139"/>
      <c r="I207" s="139"/>
      <c r="J207" s="139"/>
      <c r="K207" s="139"/>
      <c r="L207" s="139"/>
    </row>
    <row r="208" spans="3:12" ht="15">
      <c r="C208" s="139"/>
      <c r="D208" s="139"/>
      <c r="E208" s="139"/>
      <c r="F208" s="139"/>
      <c r="G208" s="139"/>
      <c r="H208" s="139"/>
      <c r="I208" s="139"/>
      <c r="J208" s="139"/>
      <c r="K208" s="139"/>
      <c r="L208" s="139"/>
    </row>
    <row r="209" spans="3:12" ht="15">
      <c r="C209" s="139"/>
      <c r="D209" s="139"/>
      <c r="E209" s="139"/>
      <c r="F209" s="139"/>
      <c r="G209" s="139"/>
      <c r="H209" s="139"/>
      <c r="I209" s="139"/>
      <c r="J209" s="139"/>
      <c r="K209" s="139"/>
      <c r="L209" s="139"/>
    </row>
    <row r="210" spans="3:12" ht="15">
      <c r="C210" s="139"/>
      <c r="D210" s="139"/>
      <c r="E210" s="139"/>
      <c r="F210" s="139"/>
      <c r="G210" s="139"/>
      <c r="H210" s="139"/>
      <c r="I210" s="139"/>
      <c r="J210" s="139"/>
      <c r="K210" s="139"/>
      <c r="L210" s="139"/>
    </row>
    <row r="211" spans="3:12" ht="15">
      <c r="C211" s="139"/>
      <c r="D211" s="139"/>
      <c r="E211" s="139"/>
      <c r="F211" s="139"/>
      <c r="G211" s="139"/>
      <c r="H211" s="139"/>
      <c r="I211" s="139"/>
      <c r="J211" s="139"/>
      <c r="K211" s="139"/>
      <c r="L211" s="139"/>
    </row>
    <row r="212" spans="3:12" ht="15">
      <c r="C212" s="139"/>
      <c r="D212" s="139"/>
      <c r="E212" s="139"/>
      <c r="F212" s="139"/>
      <c r="G212" s="139"/>
      <c r="H212" s="139"/>
      <c r="I212" s="139"/>
      <c r="J212" s="139"/>
      <c r="K212" s="139"/>
      <c r="L212" s="139"/>
    </row>
    <row r="213" spans="3:12" ht="15">
      <c r="C213" s="139"/>
      <c r="D213" s="139"/>
      <c r="E213" s="139"/>
      <c r="F213" s="139"/>
      <c r="G213" s="139"/>
      <c r="H213" s="139"/>
      <c r="I213" s="139"/>
      <c r="J213" s="139"/>
      <c r="K213" s="139"/>
      <c r="L213" s="139"/>
    </row>
    <row r="214" spans="3:12" ht="15">
      <c r="C214" s="139"/>
      <c r="D214" s="139"/>
      <c r="E214" s="139"/>
      <c r="F214" s="139"/>
      <c r="G214" s="139"/>
      <c r="H214" s="139"/>
      <c r="I214" s="139"/>
      <c r="J214" s="139"/>
      <c r="K214" s="139"/>
      <c r="L214" s="139"/>
    </row>
    <row r="215" spans="3:12" ht="15">
      <c r="C215" s="139"/>
      <c r="D215" s="139"/>
      <c r="E215" s="139"/>
      <c r="F215" s="139"/>
      <c r="G215" s="139"/>
      <c r="H215" s="139"/>
      <c r="I215" s="139"/>
      <c r="J215" s="139"/>
      <c r="K215" s="139"/>
      <c r="L215" s="139"/>
    </row>
    <row r="216" spans="3:12" ht="15">
      <c r="C216" s="139"/>
      <c r="D216" s="139"/>
      <c r="E216" s="139"/>
      <c r="F216" s="139"/>
      <c r="G216" s="139"/>
      <c r="H216" s="139"/>
      <c r="I216" s="139"/>
      <c r="J216" s="139"/>
      <c r="K216" s="139"/>
      <c r="L216" s="139"/>
    </row>
    <row r="217" spans="3:12" ht="15">
      <c r="C217" s="139"/>
      <c r="D217" s="139"/>
      <c r="E217" s="139"/>
      <c r="F217" s="139"/>
      <c r="G217" s="139"/>
      <c r="H217" s="139"/>
      <c r="I217" s="139"/>
      <c r="J217" s="139"/>
      <c r="K217" s="139"/>
      <c r="L217" s="139"/>
    </row>
    <row r="218" spans="3:12" ht="15">
      <c r="C218" s="139"/>
      <c r="D218" s="139"/>
      <c r="E218" s="139"/>
      <c r="F218" s="139"/>
      <c r="G218" s="139"/>
      <c r="H218" s="139"/>
      <c r="I218" s="139"/>
      <c r="J218" s="139"/>
      <c r="K218" s="139"/>
      <c r="L218" s="139"/>
    </row>
    <row r="219" spans="3:12" ht="15">
      <c r="C219" s="139"/>
      <c r="D219" s="139"/>
      <c r="E219" s="139"/>
      <c r="F219" s="139"/>
      <c r="G219" s="139"/>
      <c r="H219" s="139"/>
      <c r="I219" s="139"/>
      <c r="J219" s="139"/>
      <c r="K219" s="139"/>
      <c r="L219" s="139"/>
    </row>
    <row r="220" spans="3:12" ht="15">
      <c r="C220" s="139"/>
      <c r="D220" s="139"/>
      <c r="E220" s="139"/>
      <c r="F220" s="139"/>
      <c r="G220" s="139"/>
      <c r="H220" s="139"/>
      <c r="I220" s="139"/>
      <c r="J220" s="139"/>
      <c r="K220" s="139"/>
      <c r="L220" s="139"/>
    </row>
    <row r="221" spans="3:12" ht="15">
      <c r="C221" s="139"/>
      <c r="D221" s="139"/>
      <c r="E221" s="139"/>
      <c r="F221" s="139"/>
      <c r="G221" s="139"/>
      <c r="H221" s="139"/>
      <c r="I221" s="139"/>
      <c r="J221" s="139"/>
      <c r="K221" s="139"/>
      <c r="L221" s="139"/>
    </row>
    <row r="222" spans="3:12" ht="15">
      <c r="C222" s="139"/>
      <c r="D222" s="139"/>
      <c r="E222" s="139"/>
      <c r="F222" s="139"/>
      <c r="G222" s="139"/>
      <c r="H222" s="139"/>
      <c r="I222" s="139"/>
      <c r="J222" s="139"/>
      <c r="K222" s="139"/>
      <c r="L222" s="139"/>
    </row>
    <row r="223" spans="3:12" ht="15">
      <c r="C223" s="139"/>
      <c r="D223" s="139"/>
      <c r="E223" s="139"/>
      <c r="F223" s="139"/>
      <c r="G223" s="139"/>
      <c r="H223" s="139"/>
      <c r="I223" s="139"/>
      <c r="J223" s="139"/>
      <c r="K223" s="139"/>
      <c r="L223" s="139"/>
    </row>
    <row r="224" spans="3:12" ht="15">
      <c r="C224" s="139"/>
      <c r="D224" s="139"/>
      <c r="E224" s="139"/>
      <c r="F224" s="139"/>
      <c r="G224" s="139"/>
      <c r="H224" s="139"/>
      <c r="I224" s="139"/>
      <c r="J224" s="139"/>
      <c r="K224" s="139"/>
      <c r="L224" s="139"/>
    </row>
    <row r="225" spans="3:12" ht="15">
      <c r="C225" s="139"/>
      <c r="D225" s="139"/>
      <c r="E225" s="139"/>
      <c r="F225" s="139"/>
      <c r="G225" s="139"/>
      <c r="H225" s="139"/>
      <c r="I225" s="139"/>
      <c r="J225" s="139"/>
      <c r="K225" s="139"/>
      <c r="L225" s="139"/>
    </row>
    <row r="226" spans="3:12" ht="15">
      <c r="C226" s="139"/>
      <c r="D226" s="139"/>
      <c r="E226" s="139"/>
      <c r="F226" s="139"/>
      <c r="G226" s="139"/>
      <c r="H226" s="139"/>
      <c r="I226" s="139"/>
      <c r="J226" s="139"/>
      <c r="K226" s="139"/>
      <c r="L226" s="139"/>
    </row>
    <row r="227" spans="3:12" ht="15">
      <c r="C227" s="139"/>
      <c r="D227" s="139"/>
      <c r="E227" s="139"/>
      <c r="F227" s="139"/>
      <c r="G227" s="139"/>
      <c r="H227" s="139"/>
      <c r="I227" s="139"/>
      <c r="J227" s="139"/>
      <c r="K227" s="139"/>
      <c r="L227" s="139"/>
    </row>
    <row r="228" spans="3:12" ht="15">
      <c r="C228" s="139"/>
      <c r="D228" s="139"/>
      <c r="E228" s="139"/>
      <c r="F228" s="139"/>
      <c r="G228" s="139"/>
      <c r="H228" s="139"/>
      <c r="I228" s="139"/>
      <c r="J228" s="139"/>
      <c r="K228" s="139"/>
      <c r="L228" s="139"/>
    </row>
    <row r="229" spans="3:12" ht="15">
      <c r="C229" s="139"/>
      <c r="D229" s="139"/>
      <c r="E229" s="139"/>
      <c r="F229" s="139"/>
      <c r="G229" s="139"/>
      <c r="H229" s="139"/>
      <c r="I229" s="139"/>
      <c r="J229" s="139"/>
      <c r="K229" s="139"/>
      <c r="L229" s="139"/>
    </row>
    <row r="230" spans="3:12" ht="15">
      <c r="C230" s="139"/>
      <c r="D230" s="139"/>
      <c r="E230" s="139"/>
      <c r="F230" s="139"/>
      <c r="G230" s="139"/>
      <c r="H230" s="139"/>
      <c r="I230" s="139"/>
      <c r="J230" s="139"/>
      <c r="K230" s="139"/>
      <c r="L230" s="139"/>
    </row>
    <row r="231" spans="3:12" ht="15">
      <c r="C231" s="139"/>
      <c r="D231" s="139"/>
      <c r="E231" s="139"/>
      <c r="F231" s="139"/>
      <c r="G231" s="139"/>
      <c r="H231" s="139"/>
      <c r="I231" s="139"/>
      <c r="J231" s="139"/>
      <c r="K231" s="139"/>
      <c r="L231" s="139"/>
    </row>
    <row r="232" spans="3:12" ht="15">
      <c r="C232" s="139"/>
      <c r="D232" s="139"/>
      <c r="E232" s="139"/>
      <c r="F232" s="139"/>
      <c r="G232" s="139"/>
      <c r="H232" s="139"/>
      <c r="I232" s="139"/>
      <c r="J232" s="139"/>
      <c r="K232" s="139"/>
      <c r="L232" s="139"/>
    </row>
    <row r="233" spans="3:12" ht="15">
      <c r="C233" s="139"/>
      <c r="D233" s="139"/>
      <c r="E233" s="139"/>
      <c r="F233" s="139"/>
      <c r="G233" s="139"/>
      <c r="H233" s="139"/>
      <c r="I233" s="139"/>
      <c r="J233" s="139"/>
      <c r="K233" s="139"/>
      <c r="L233" s="139"/>
    </row>
    <row r="234" spans="3:12" ht="15">
      <c r="C234" s="139"/>
      <c r="D234" s="139"/>
      <c r="E234" s="139"/>
      <c r="F234" s="139"/>
      <c r="G234" s="139"/>
      <c r="H234" s="139"/>
      <c r="I234" s="139"/>
      <c r="J234" s="139"/>
      <c r="K234" s="139"/>
      <c r="L234" s="139"/>
    </row>
    <row r="235" spans="3:12" ht="15">
      <c r="C235" s="139"/>
      <c r="D235" s="139"/>
      <c r="E235" s="139"/>
      <c r="F235" s="139"/>
      <c r="G235" s="139"/>
      <c r="H235" s="139"/>
      <c r="I235" s="139"/>
      <c r="J235" s="139"/>
      <c r="K235" s="139"/>
      <c r="L235" s="139"/>
    </row>
    <row r="236" spans="3:12" ht="15">
      <c r="C236" s="139"/>
      <c r="D236" s="139"/>
      <c r="E236" s="139"/>
      <c r="F236" s="139"/>
      <c r="G236" s="139"/>
      <c r="H236" s="139"/>
      <c r="I236" s="139"/>
      <c r="J236" s="139"/>
      <c r="K236" s="139"/>
      <c r="L236" s="139"/>
    </row>
    <row r="237" spans="3:12" ht="15">
      <c r="C237" s="139"/>
      <c r="D237" s="139"/>
      <c r="E237" s="139"/>
      <c r="F237" s="139"/>
      <c r="G237" s="139"/>
      <c r="H237" s="139"/>
      <c r="I237" s="139"/>
      <c r="J237" s="139"/>
      <c r="K237" s="139"/>
      <c r="L237" s="139"/>
    </row>
    <row r="238" spans="3:12" ht="15">
      <c r="C238" s="139"/>
      <c r="D238" s="139"/>
      <c r="E238" s="139"/>
      <c r="F238" s="139"/>
      <c r="G238" s="139"/>
      <c r="H238" s="139"/>
      <c r="I238" s="139"/>
      <c r="J238" s="139"/>
      <c r="K238" s="139"/>
      <c r="L238" s="139"/>
    </row>
    <row r="239" spans="3:12" ht="15">
      <c r="C239" s="139"/>
      <c r="D239" s="139"/>
      <c r="E239" s="139"/>
      <c r="F239" s="139"/>
      <c r="G239" s="139"/>
      <c r="H239" s="139"/>
      <c r="I239" s="139"/>
      <c r="J239" s="139"/>
      <c r="K239" s="139"/>
      <c r="L239" s="139"/>
    </row>
    <row r="240" spans="3:12" ht="15">
      <c r="C240" s="139"/>
      <c r="D240" s="139"/>
      <c r="E240" s="139"/>
      <c r="F240" s="139"/>
      <c r="G240" s="139"/>
      <c r="H240" s="139"/>
      <c r="I240" s="139"/>
      <c r="J240" s="139"/>
      <c r="K240" s="139"/>
      <c r="L240" s="139"/>
    </row>
    <row r="241" spans="3:12" ht="15">
      <c r="C241" s="139"/>
      <c r="D241" s="139"/>
      <c r="E241" s="139"/>
      <c r="F241" s="139"/>
      <c r="G241" s="139"/>
      <c r="H241" s="139"/>
      <c r="I241" s="139"/>
      <c r="J241" s="139"/>
      <c r="K241" s="139"/>
      <c r="L241" s="139"/>
    </row>
    <row r="242" spans="3:12" ht="15">
      <c r="C242" s="139"/>
      <c r="D242" s="139"/>
      <c r="E242" s="139"/>
      <c r="F242" s="139"/>
      <c r="G242" s="139"/>
      <c r="H242" s="139"/>
      <c r="I242" s="139"/>
      <c r="J242" s="139"/>
      <c r="K242" s="139"/>
      <c r="L242" s="139"/>
    </row>
    <row r="243" spans="3:12" ht="15">
      <c r="C243" s="139"/>
      <c r="D243" s="139"/>
      <c r="E243" s="139"/>
      <c r="F243" s="139"/>
      <c r="G243" s="139"/>
      <c r="H243" s="139"/>
      <c r="I243" s="139"/>
      <c r="J243" s="139"/>
      <c r="K243" s="139"/>
      <c r="L243" s="139"/>
    </row>
    <row r="244" spans="3:12" ht="15">
      <c r="C244" s="139"/>
      <c r="D244" s="139"/>
      <c r="E244" s="139"/>
      <c r="F244" s="139"/>
      <c r="G244" s="139"/>
      <c r="H244" s="139"/>
      <c r="I244" s="139"/>
      <c r="J244" s="139"/>
      <c r="K244" s="139"/>
      <c r="L244" s="139"/>
    </row>
    <row r="245" spans="3:12" ht="15">
      <c r="C245" s="139"/>
      <c r="D245" s="139"/>
      <c r="E245" s="139"/>
      <c r="F245" s="139"/>
      <c r="G245" s="139"/>
      <c r="H245" s="139"/>
      <c r="I245" s="139"/>
      <c r="J245" s="139"/>
      <c r="K245" s="139"/>
      <c r="L245" s="139"/>
    </row>
    <row r="246" spans="3:12" ht="15">
      <c r="C246" s="139"/>
      <c r="D246" s="139"/>
      <c r="E246" s="139"/>
      <c r="F246" s="139"/>
      <c r="G246" s="139"/>
      <c r="H246" s="139"/>
      <c r="I246" s="139"/>
      <c r="J246" s="139"/>
      <c r="K246" s="139"/>
      <c r="L246" s="139"/>
    </row>
    <row r="247" spans="3:12" ht="15">
      <c r="C247" s="139"/>
      <c r="D247" s="139"/>
      <c r="E247" s="139"/>
      <c r="F247" s="139"/>
      <c r="G247" s="139"/>
      <c r="H247" s="139"/>
      <c r="I247" s="139"/>
      <c r="J247" s="139"/>
      <c r="K247" s="139"/>
      <c r="L247" s="139"/>
    </row>
    <row r="248" spans="3:12" ht="15">
      <c r="C248" s="139"/>
      <c r="D248" s="139"/>
      <c r="E248" s="139"/>
      <c r="F248" s="139"/>
      <c r="G248" s="139"/>
      <c r="H248" s="139"/>
      <c r="I248" s="139"/>
      <c r="J248" s="139"/>
      <c r="K248" s="139"/>
      <c r="L248" s="139"/>
    </row>
    <row r="249" spans="3:12" ht="15">
      <c r="C249" s="139"/>
      <c r="D249" s="139"/>
      <c r="E249" s="139"/>
      <c r="F249" s="139"/>
      <c r="G249" s="139"/>
      <c r="H249" s="139"/>
      <c r="I249" s="139"/>
      <c r="J249" s="139"/>
      <c r="K249" s="139"/>
      <c r="L249" s="139"/>
    </row>
    <row r="250" spans="3:12" ht="15">
      <c r="C250" s="139"/>
      <c r="D250" s="139"/>
      <c r="E250" s="139"/>
      <c r="F250" s="139"/>
      <c r="G250" s="139"/>
      <c r="H250" s="139"/>
      <c r="I250" s="139"/>
      <c r="J250" s="139"/>
      <c r="K250" s="139"/>
      <c r="L250" s="139"/>
    </row>
    <row r="251" spans="3:12" ht="15">
      <c r="C251" s="139"/>
      <c r="D251" s="139"/>
      <c r="E251" s="139"/>
      <c r="F251" s="139"/>
      <c r="G251" s="139"/>
      <c r="H251" s="139"/>
      <c r="I251" s="139"/>
      <c r="J251" s="139"/>
      <c r="K251" s="139"/>
      <c r="L251" s="139"/>
    </row>
    <row r="252" spans="3:12" ht="15">
      <c r="C252" s="139"/>
      <c r="D252" s="139"/>
      <c r="E252" s="139"/>
      <c r="F252" s="139"/>
      <c r="G252" s="139"/>
      <c r="H252" s="139"/>
      <c r="I252" s="139"/>
      <c r="J252" s="139"/>
      <c r="K252" s="139"/>
      <c r="L252" s="139"/>
    </row>
  </sheetData>
  <customSheetViews>
    <customSheetView guid="{33e6ffdf-cb42-4a87-b460-a01a45f9a9a1}" fitToPage="1" scale="90" topLeftCell="A10">
      <selection pane="topLeft" activeCell="A39" sqref="A39:XFD42"/>
      <pageMargins left="0.7" right="0.7" top="0.75" bottom="0.75" header="0.3" footer="0.3"/>
      <printOptions horizontalCentered="1"/>
      <pageSetup fitToHeight="0" orientation="landscape" paperSize="1" scale="44" r:id="rId2"/>
      <headerFooter alignWithMargins="0"/>
    </customSheetView>
    <customSheetView guid="{e1861f40-ebd5-44ae-868b-fde0ed504d72}" printArea="1" scale="60" showPageBreaks="1" topLeftCell="A1" view="pageBreakPreview">
      <selection pane="topLeft" activeCell="D40" sqref="D40"/>
      <pageMargins left="0.25" right="0.25" top="0.75" bottom="0.25" header="0.4" footer="0.5"/>
      <printOptions horizontalCentered="1"/>
      <pageSetup fitToHeight="3" orientation="landscape" paperSize="1" scale="51" r:id="rId3"/>
      <headerFooter alignWithMargins="0"/>
    </customSheetView>
    <customSheetView guid="{394295c0-a883-44ec-b980-c2facd4b6eba}" fitToPage="1" printArea="1" scale="90" topLeftCell="A10">
      <selection pane="topLeft" activeCell="A39" sqref="A39:XFD42"/>
      <pageMargins left="0.7" right="0.7" top="0.75" bottom="0.75" header="0.3" footer="0.3"/>
      <printOptions horizontalCentered="1"/>
      <pageSetup fitToHeight="0" orientation="landscape" paperSize="1" scale="44" r:id="rId4"/>
      <headerFooter alignWithMargins="0"/>
    </customSheetView>
  </customSheetViews>
  <mergeCells count="2">
    <mergeCell ref="A8:L8"/>
    <mergeCell ref="A9:L9"/>
  </mergeCells>
  <printOptions horizontalCentered="1"/>
  <pageMargins left="0.7" right="0.7" top="0.75" bottom="0.75" header="0.3" footer="0.3"/>
  <pageSetup fitToHeight="0" orientation="landscape" paperSize="1" scale="36"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J18"/>
  <sheetViews>
    <sheetView view="pageBreakPreview" zoomScaleNormal="100" zoomScaleSheetLayoutView="100" workbookViewId="0" topLeftCell="A1"/>
  </sheetViews>
  <sheetFormatPr defaultColWidth="7.10555555555556" defaultRowHeight="12.75"/>
  <cols>
    <col min="1" max="1" width="47.8888888888889" style="7" customWidth="1"/>
    <col min="2" max="2" width="7.11111111111111" style="7" customWidth="1"/>
    <col min="3" max="3" width="2.55555555555556" style="7" customWidth="1"/>
    <col min="4" max="4" width="12.2222222222222" style="7" bestFit="1" customWidth="1"/>
    <col min="5" max="8" width="7.11111111111111" style="7" customWidth="1"/>
    <col min="9" max="9" width="13.4444444444444" style="7" customWidth="1"/>
    <col min="10" max="10" width="47.8888888888889" style="7" customWidth="1"/>
    <col min="11" max="16384" width="7.11111111111111" style="7"/>
  </cols>
  <sheetData>
    <row r="1" spans="7:10" ht="16.5" customHeight="1">
      <c r="G1" s="3"/>
      <c r="H1" s="2"/>
      <c r="J1" s="4" t="s">
        <v>773</v>
      </c>
    </row>
    <row r="2" spans="7:10" ht="16.5" customHeight="1">
      <c r="G2" s="3"/>
      <c r="H2" s="3"/>
      <c r="J2" s="4" t="s">
        <v>220</v>
      </c>
    </row>
    <row r="3" spans="7:10" ht="16.5" customHeight="1">
      <c r="G3" s="2"/>
      <c r="H3" s="3"/>
      <c r="J3" s="4" t="str">
        <f>'Attachment H-28A MAIT '!K4</f>
        <v>For the 12 months ended 12/31/2026</v>
      </c>
    </row>
    <row r="4" spans="7:9" ht="15.75">
      <c r="G4" s="2"/>
      <c r="H4" s="3"/>
      <c r="I4" s="4"/>
    </row>
    <row r="5" spans="7:9" ht="15.75">
      <c r="G5" s="2"/>
      <c r="H5" s="3"/>
      <c r="I5" s="4"/>
    </row>
    <row r="6" spans="2:9" ht="15.75" customHeight="1">
      <c r="B6" s="1176" t="s">
        <v>221</v>
      </c>
      <c r="C6" s="1176"/>
      <c r="D6" s="1176"/>
      <c r="E6" s="1176"/>
      <c r="F6" s="1176"/>
      <c r="G6" s="1176"/>
      <c r="H6" s="1176"/>
      <c r="I6" s="1176"/>
    </row>
    <row r="7" spans="2:9" ht="15.75">
      <c r="B7" s="6"/>
      <c r="C7" s="6"/>
      <c r="D7" s="9"/>
      <c r="E7" s="9"/>
      <c r="F7" s="8"/>
      <c r="G7" s="8" t="s">
        <v>3</v>
      </c>
      <c r="H7" s="8"/>
      <c r="I7" s="8"/>
    </row>
    <row r="8" spans="2:9" ht="15.75">
      <c r="B8" s="6"/>
      <c r="C8" s="6">
        <v>1</v>
      </c>
      <c r="D8" s="11">
        <f>'Attachment H-28A MAIT '!I221</f>
        <v>3147263.4099999997</v>
      </c>
      <c r="E8" s="6" t="s">
        <v>862</v>
      </c>
      <c r="F8" s="6"/>
      <c r="G8" s="10"/>
      <c r="H8" s="10"/>
      <c r="I8" s="10"/>
    </row>
    <row r="9" spans="2:9" ht="15.75">
      <c r="B9" s="6"/>
      <c r="C9" s="6">
        <v>2</v>
      </c>
      <c r="D9" s="881">
        <v>151879.21333333335</v>
      </c>
      <c r="E9" s="12" t="s">
        <v>187</v>
      </c>
      <c r="F9" s="10"/>
      <c r="G9" s="10"/>
      <c r="H9" s="10"/>
      <c r="I9" s="10"/>
    </row>
    <row r="10" spans="2:9" ht="15.75">
      <c r="B10" s="6"/>
      <c r="C10" s="6">
        <v>3</v>
      </c>
      <c r="D10" s="13">
        <f>D8-D9</f>
        <v>2995384.1966666663</v>
      </c>
      <c r="E10" s="10" t="s">
        <v>188</v>
      </c>
      <c r="F10" s="6"/>
      <c r="G10" s="10"/>
      <c r="H10" s="10"/>
      <c r="I10" s="10"/>
    </row>
    <row r="11" spans="2:9" ht="7.5" customHeight="1">
      <c r="B11" s="6"/>
      <c r="C11" s="6"/>
      <c r="D11" s="6"/>
      <c r="E11" s="10"/>
      <c r="F11" s="10"/>
      <c r="G11" s="10"/>
      <c r="H11" s="10"/>
      <c r="I11" s="10"/>
    </row>
    <row r="12" spans="2:9" ht="15.75">
      <c r="B12" s="6"/>
      <c r="C12" s="6">
        <v>4</v>
      </c>
      <c r="D12" s="881">
        <v>32440221.296399996</v>
      </c>
      <c r="E12" s="10" t="s">
        <v>863</v>
      </c>
      <c r="F12" s="10"/>
      <c r="G12" s="10"/>
      <c r="H12" s="10"/>
      <c r="I12" s="10"/>
    </row>
    <row r="13" spans="2:9" ht="15.75">
      <c r="B13" s="10"/>
      <c r="C13" s="6">
        <v>5</v>
      </c>
      <c r="D13" s="14">
        <f>D10/D12+0.0061</f>
        <v>0.098435504412822061</v>
      </c>
      <c r="E13" s="10" t="s">
        <v>230</v>
      </c>
      <c r="F13" s="10"/>
      <c r="G13" s="10"/>
      <c r="H13" s="10"/>
      <c r="I13" s="10"/>
    </row>
    <row r="14" spans="2:10" ht="15.75">
      <c r="B14" s="10"/>
      <c r="C14" s="10"/>
      <c r="D14" s="10"/>
      <c r="E14" s="10"/>
      <c r="F14" s="10"/>
      <c r="G14" s="10"/>
      <c r="H14" s="10"/>
      <c r="I14" s="10"/>
      <c r="J14" s="7" t="s">
        <v>3</v>
      </c>
    </row>
    <row r="15" spans="2:9" ht="15.75">
      <c r="B15" s="17" t="s">
        <v>189</v>
      </c>
      <c r="D15" s="10"/>
      <c r="E15" s="10"/>
      <c r="F15" s="10"/>
      <c r="G15" s="10"/>
      <c r="H15" s="10"/>
      <c r="I15" s="10"/>
    </row>
    <row r="16" spans="2:9" ht="45.75" customHeight="1">
      <c r="B16" s="20" t="s">
        <v>123</v>
      </c>
      <c r="C16" s="1174" t="s">
        <v>864</v>
      </c>
      <c r="D16" s="1175"/>
      <c r="E16" s="1175"/>
      <c r="F16" s="1175"/>
      <c r="G16" s="1175"/>
      <c r="H16" s="1175"/>
      <c r="I16" s="1175"/>
    </row>
    <row r="17" spans="2:9" ht="12" customHeight="1">
      <c r="B17" s="20"/>
      <c r="C17" s="15"/>
      <c r="D17" s="16"/>
      <c r="E17" s="16"/>
      <c r="F17" s="16"/>
      <c r="G17" s="16"/>
      <c r="H17" s="16"/>
      <c r="I17" s="16"/>
    </row>
    <row r="18" spans="2:9" ht="49.5" customHeight="1">
      <c r="B18" s="20" t="s">
        <v>124</v>
      </c>
      <c r="C18" s="1174" t="s">
        <v>865</v>
      </c>
      <c r="D18" s="1174"/>
      <c r="E18" s="1174"/>
      <c r="F18" s="1174"/>
      <c r="G18" s="1174"/>
      <c r="H18" s="1174"/>
      <c r="I18" s="1174"/>
    </row>
  </sheetData>
  <customSheetViews>
    <customSheetView guid="{33e6ffdf-cb42-4a87-b460-a01a45f9a9a1}" printArea="1" scale="60" showPageBreaks="1" topLeftCell="A1" view="pageBreakPreview">
      <selection pane="topLeft" activeCell="A24" sqref="A24"/>
      <pageMargins left="0.7" right="0.7" top="0.75" bottom="0.75" header="0.3" footer="0.3"/>
      <printOptions horizontalCentered="1"/>
      <pageSetup fitToHeight="0" fitToWidth="0" orientation="portrait" paperSize="1" scale="45" r:id="rId2"/>
      <headerFooter alignWithMargins="0"/>
    </customSheetView>
    <customSheetView guid="{e1861f40-ebd5-44ae-868b-fde0ed504d72}" printArea="1" scale="60" showPageBreaks="1" topLeftCell="A1" view="pageBreakPreview">
      <selection pane="topLeft" activeCell="H4" sqref="H4"/>
      <pageMargins left="0.75" right="0.75" top="1" bottom="1" header="0.5" footer="0.5"/>
      <printOptions horizontalCentered="1"/>
      <pageSetup orientation="portrait" paperSize="1" scale="76" r:id="rId3"/>
      <headerFooter alignWithMargins="0"/>
    </customSheetView>
    <customSheetView guid="{394295c0-a883-44ec-b980-c2facd4b6eba}" printArea="1" scale="60" showPageBreaks="1" topLeftCell="A1" view="pageBreakPreview">
      <selection pane="topLeft" activeCell="A24" sqref="A24"/>
      <pageMargins left="0.7" right="0.7" top="0.75" bottom="0.75" header="0.3" footer="0.3"/>
      <printOptions horizontalCentered="1"/>
      <pageSetup fitToHeight="0" fitToWidth="0" orientation="portrait" paperSize="1" scale="45" r:id="rId4"/>
      <headerFooter alignWithMargins="0"/>
    </customSheetView>
  </customSheetViews>
  <mergeCells count="3">
    <mergeCell ref="C16:I16"/>
    <mergeCell ref="C18:I18"/>
    <mergeCell ref="B6:I6"/>
  </mergeCells>
  <printOptions horizontalCentered="1"/>
  <pageMargins left="0.7" right="0.7" top="0.75" bottom="0.75" header="0.3" footer="0.3"/>
  <pageSetup fitToHeight="0" fitToWidth="0" orientation="portrait" paperSize="1" scale="45"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dimension ref="A1:J55"/>
  <sheetViews>
    <sheetView view="pageBreakPreview" zoomScale="80" zoomScaleNormal="80" zoomScaleSheetLayoutView="80" workbookViewId="0" topLeftCell="A1"/>
  </sheetViews>
  <sheetFormatPr defaultColWidth="8.88555555555556" defaultRowHeight="20.1" customHeight="1"/>
  <cols>
    <col min="1" max="1" width="4.22222222222222" style="51" customWidth="1"/>
    <col min="2" max="2" width="24.6666666666667" style="53" customWidth="1"/>
    <col min="3" max="3" width="9" style="53" customWidth="1"/>
    <col min="4" max="4" width="25.5555555555556" style="51" customWidth="1"/>
    <col min="5" max="9" width="15.6666666666667" style="51" customWidth="1"/>
    <col min="10" max="10" width="18.6666666666667" style="51" customWidth="1"/>
    <col min="11" max="12" width="8.88888888888889" style="51"/>
    <col min="13" max="13" width="12.2222222222222" style="51" bestFit="1" customWidth="1"/>
    <col min="14" max="16384" width="8.88888888888889" style="51"/>
  </cols>
  <sheetData>
    <row r="1" spans="2:10" ht="16.5" customHeight="1">
      <c r="B1" s="50"/>
      <c r="C1" s="50"/>
      <c r="J1" s="52" t="s">
        <v>803</v>
      </c>
    </row>
    <row r="2" spans="2:10" ht="16.5" customHeight="1">
      <c r="B2" s="50"/>
      <c r="C2" s="50"/>
      <c r="J2" s="52" t="s">
        <v>220</v>
      </c>
    </row>
    <row r="3" spans="2:10" ht="16.5" customHeight="1">
      <c r="B3" s="50"/>
      <c r="C3" s="50"/>
      <c r="J3" s="4" t="str">
        <f>'Attachment 1 - Sched 1A'!$J$3</f>
        <v>For the 12 months ended 12/31/2026</v>
      </c>
    </row>
    <row r="4" spans="2:3" ht="20.1" customHeight="1">
      <c r="B4" s="50"/>
      <c r="C4" s="50"/>
    </row>
    <row r="5" spans="2:9" ht="20.1" customHeight="1">
      <c r="B5" s="1223" t="s">
        <v>830</v>
      </c>
      <c r="C5" s="1223"/>
      <c r="D5" s="1223"/>
      <c r="E5" s="1223"/>
      <c r="F5" s="1223"/>
      <c r="G5" s="1223"/>
      <c r="H5" s="1223"/>
      <c r="I5" s="1223"/>
    </row>
    <row r="6" spans="2:9" ht="20.1" customHeight="1">
      <c r="B6" s="1223"/>
      <c r="C6" s="1223"/>
      <c r="D6" s="1223"/>
      <c r="E6" s="1223"/>
      <c r="F6" s="1223"/>
      <c r="G6" s="1223"/>
      <c r="H6" s="1223"/>
      <c r="I6" s="1223"/>
    </row>
    <row r="7" ht="20.1" customHeight="1" thickBot="1"/>
    <row r="8" spans="2:9" s="60" customFormat="1" ht="98.25" customHeight="1">
      <c r="B8" s="472" t="s">
        <v>1462</v>
      </c>
      <c r="C8" s="1044"/>
      <c r="D8" s="472" t="s">
        <v>1463</v>
      </c>
      <c r="E8" s="1044"/>
      <c r="F8" s="1045" t="s">
        <v>319</v>
      </c>
      <c r="H8" s="1046"/>
      <c r="I8" s="1046"/>
    </row>
    <row r="9" spans="2:9" ht="20.1" customHeight="1">
      <c r="B9" s="1047"/>
      <c r="C9" s="1048"/>
      <c r="D9" s="1047"/>
      <c r="E9" s="1048"/>
      <c r="F9" s="1049"/>
      <c r="H9" s="1050"/>
      <c r="I9" s="1050"/>
    </row>
    <row r="10" spans="1:9" ht="20.1" customHeight="1" thickBot="1">
      <c r="A10" s="390">
        <v>1</v>
      </c>
      <c r="B10" s="477">
        <v>396076212.30276</v>
      </c>
      <c r="C10" s="1051" t="str">
        <f>"-"</f>
        <v>-</v>
      </c>
      <c r="D10" s="477">
        <v>393158389.33999997</v>
      </c>
      <c r="E10" s="1051" t="str">
        <f>"="</f>
        <v>=</v>
      </c>
      <c r="F10" s="1052">
        <f>IF(B10=0,0,D10-B10)</f>
        <v>-2917822.9627600312</v>
      </c>
      <c r="H10" s="1050"/>
      <c r="I10" s="1050"/>
    </row>
    <row r="11" spans="1:9" ht="20.1" customHeight="1" thickBot="1">
      <c r="A11" s="390"/>
      <c r="B11" s="1053"/>
      <c r="C11" s="1054"/>
      <c r="D11" s="1053" t="s">
        <v>3</v>
      </c>
      <c r="E11" s="1054"/>
      <c r="F11" s="1053"/>
      <c r="G11" s="1055"/>
      <c r="H11" s="1055"/>
      <c r="I11" s="1055"/>
    </row>
    <row r="12" spans="1:9" ht="20.1" customHeight="1">
      <c r="A12" s="390"/>
      <c r="B12" s="1056"/>
      <c r="C12" s="1057"/>
      <c r="D12" s="1058"/>
      <c r="E12" s="1057"/>
      <c r="F12" s="1058"/>
      <c r="G12" s="1050"/>
      <c r="H12" s="1050"/>
      <c r="I12" s="1050"/>
    </row>
    <row r="13" spans="1:9" ht="31.5">
      <c r="A13" s="390"/>
      <c r="B13" s="1224"/>
      <c r="C13" s="1224"/>
      <c r="D13" s="1059" t="s">
        <v>320</v>
      </c>
      <c r="E13" s="1059" t="s">
        <v>321</v>
      </c>
      <c r="F13" s="1051" t="s">
        <v>322</v>
      </c>
      <c r="G13" s="1060" t="s">
        <v>323</v>
      </c>
      <c r="H13" s="1059" t="s">
        <v>324</v>
      </c>
      <c r="I13" s="1059" t="s">
        <v>325</v>
      </c>
    </row>
    <row r="14" spans="1:9" ht="20.1" customHeight="1">
      <c r="A14" s="390">
        <v>2</v>
      </c>
      <c r="B14" s="1061" t="s">
        <v>996</v>
      </c>
      <c r="C14" s="1057"/>
      <c r="D14" s="1050"/>
      <c r="E14" s="727">
        <v>0.0068300000000000001</v>
      </c>
      <c r="F14" s="1058"/>
      <c r="G14" s="1050"/>
      <c r="H14" s="1050"/>
      <c r="I14" s="1050"/>
    </row>
    <row r="15" spans="1:9" ht="20.1" customHeight="1">
      <c r="A15" s="390"/>
      <c r="B15" s="1062"/>
      <c r="C15" s="1057"/>
      <c r="D15" s="1050"/>
      <c r="E15" s="54"/>
      <c r="F15" s="1058"/>
      <c r="G15" s="1050"/>
      <c r="H15" s="1050"/>
      <c r="I15" s="1050"/>
    </row>
    <row r="16" spans="1:9" ht="20.1" customHeight="1">
      <c r="A16" s="390"/>
      <c r="B16" s="1062" t="s">
        <v>1483</v>
      </c>
      <c r="C16" s="1057"/>
      <c r="D16" s="1050"/>
      <c r="E16" s="54"/>
      <c r="F16" s="1058"/>
      <c r="G16" s="1050"/>
      <c r="H16" s="1050"/>
      <c r="I16" s="1050"/>
    </row>
    <row r="17" spans="1:9" ht="20.1" customHeight="1">
      <c r="A17" s="390"/>
      <c r="B17" s="1063" t="s">
        <v>3</v>
      </c>
      <c r="C17" s="1057"/>
      <c r="D17" s="1057"/>
      <c r="E17" s="1057" t="s">
        <v>3</v>
      </c>
      <c r="F17" s="1050"/>
      <c r="G17" s="1050"/>
      <c r="H17" s="1050"/>
      <c r="I17" s="1050"/>
    </row>
    <row r="18" spans="1:9" ht="20.1" customHeight="1">
      <c r="A18" s="390"/>
      <c r="B18" s="1064" t="s">
        <v>326</v>
      </c>
      <c r="C18" s="1057"/>
      <c r="D18" s="1057"/>
      <c r="E18" s="1050"/>
      <c r="F18" s="1050"/>
      <c r="G18" s="1051" t="s">
        <v>327</v>
      </c>
      <c r="H18" s="1057"/>
      <c r="I18" s="1057"/>
    </row>
    <row r="19" spans="1:9" ht="20.1" customHeight="1">
      <c r="A19" s="390">
        <v>3</v>
      </c>
      <c r="B19" s="1048" t="s">
        <v>234</v>
      </c>
      <c r="C19" s="473" t="s">
        <v>1399</v>
      </c>
      <c r="D19" s="55">
        <f>+F10/12</f>
        <v>-243151.91356333593</v>
      </c>
      <c r="E19" s="1065">
        <f>+E14</f>
        <v>0.0068300000000000001</v>
      </c>
      <c r="F19" s="1066">
        <v>12</v>
      </c>
      <c r="G19" s="55">
        <f t="shared" si="0" ref="G19:G30">E19*D19*F19*-1</f>
        <v>19928.730835651011</v>
      </c>
      <c r="H19" s="55"/>
      <c r="I19" s="55">
        <f t="shared" si="1" ref="I19:I30">(-G19+D19)*-1</f>
        <v>263080.64439898694</v>
      </c>
    </row>
    <row r="20" spans="1:9" ht="20.1" customHeight="1">
      <c r="A20" s="390">
        <v>4</v>
      </c>
      <c r="B20" s="1048" t="s">
        <v>235</v>
      </c>
      <c r="C20" s="1048" t="str">
        <f>C19</f>
        <v>Year 2024</v>
      </c>
      <c r="D20" s="55">
        <f>+D19</f>
        <v>-243151.91356333593</v>
      </c>
      <c r="E20" s="1065">
        <f>+E19</f>
        <v>0.0068300000000000001</v>
      </c>
      <c r="F20" s="1067">
        <f t="shared" si="2" ref="F20:F30">+F19-1</f>
        <v>11</v>
      </c>
      <c r="G20" s="55">
        <f t="shared" si="0"/>
        <v>18268.003266013427</v>
      </c>
      <c r="H20" s="55"/>
      <c r="I20" s="55">
        <f t="shared" si="1"/>
        <v>261419.91682934936</v>
      </c>
    </row>
    <row r="21" spans="1:9" ht="20.1" customHeight="1">
      <c r="A21" s="390">
        <v>5</v>
      </c>
      <c r="B21" s="1048" t="s">
        <v>236</v>
      </c>
      <c r="C21" s="1048" t="str">
        <f>C20</f>
        <v>Year 2024</v>
      </c>
      <c r="D21" s="55">
        <f t="shared" si="3" ref="D21:E30">+D20</f>
        <v>-243151.91356333593</v>
      </c>
      <c r="E21" s="1065">
        <f t="shared" si="3"/>
        <v>0.0068300000000000001</v>
      </c>
      <c r="F21" s="1067">
        <f t="shared" si="2"/>
        <v>10</v>
      </c>
      <c r="G21" s="55">
        <f t="shared" si="0"/>
        <v>16607.275696375844</v>
      </c>
      <c r="H21" s="55"/>
      <c r="I21" s="55">
        <f t="shared" si="1"/>
        <v>259759.18925971177</v>
      </c>
    </row>
    <row r="22" spans="1:9" ht="20.1" customHeight="1">
      <c r="A22" s="390">
        <v>6</v>
      </c>
      <c r="B22" s="1048" t="s">
        <v>237</v>
      </c>
      <c r="C22" s="1048" t="str">
        <f t="shared" si="4" ref="C22:C29">C21</f>
        <v>Year 2024</v>
      </c>
      <c r="D22" s="55">
        <f t="shared" si="3"/>
        <v>-243151.91356333593</v>
      </c>
      <c r="E22" s="1065">
        <f t="shared" si="3"/>
        <v>0.0068300000000000001</v>
      </c>
      <c r="F22" s="1067">
        <f t="shared" si="2"/>
        <v>9</v>
      </c>
      <c r="G22" s="55">
        <f t="shared" si="0"/>
        <v>14946.548126738258</v>
      </c>
      <c r="H22" s="55"/>
      <c r="I22" s="55">
        <f t="shared" si="1"/>
        <v>258098.46169007418</v>
      </c>
    </row>
    <row r="23" spans="1:9" ht="20.1" customHeight="1">
      <c r="A23" s="390">
        <v>7</v>
      </c>
      <c r="B23" s="1048" t="s">
        <v>238</v>
      </c>
      <c r="C23" s="1048" t="str">
        <f t="shared" si="4"/>
        <v>Year 2024</v>
      </c>
      <c r="D23" s="55">
        <f t="shared" si="3"/>
        <v>-243151.91356333593</v>
      </c>
      <c r="E23" s="1065">
        <f t="shared" si="3"/>
        <v>0.0068300000000000001</v>
      </c>
      <c r="F23" s="1067">
        <f t="shared" si="2"/>
        <v>8</v>
      </c>
      <c r="G23" s="55">
        <f t="shared" si="0"/>
        <v>13285.820557100675</v>
      </c>
      <c r="H23" s="55"/>
      <c r="I23" s="55">
        <f t="shared" si="1"/>
        <v>256437.73412043659</v>
      </c>
    </row>
    <row r="24" spans="1:9" ht="20.1" customHeight="1">
      <c r="A24" s="390">
        <v>8</v>
      </c>
      <c r="B24" s="1048" t="s">
        <v>249</v>
      </c>
      <c r="C24" s="1048" t="str">
        <f t="shared" si="4"/>
        <v>Year 2024</v>
      </c>
      <c r="D24" s="55">
        <f t="shared" si="3"/>
        <v>-243151.91356333593</v>
      </c>
      <c r="E24" s="1065">
        <f t="shared" si="3"/>
        <v>0.0068300000000000001</v>
      </c>
      <c r="F24" s="1067">
        <f t="shared" si="2"/>
        <v>7</v>
      </c>
      <c r="G24" s="55">
        <f t="shared" si="0"/>
        <v>11625.092987463091</v>
      </c>
      <c r="H24" s="55"/>
      <c r="I24" s="55">
        <f t="shared" si="1"/>
        <v>254777.00655079901</v>
      </c>
    </row>
    <row r="25" spans="1:9" ht="20.1" customHeight="1">
      <c r="A25" s="390">
        <v>9</v>
      </c>
      <c r="B25" s="1048" t="s">
        <v>239</v>
      </c>
      <c r="C25" s="1048" t="str">
        <f t="shared" si="4"/>
        <v>Year 2024</v>
      </c>
      <c r="D25" s="55">
        <f t="shared" si="3"/>
        <v>-243151.91356333593</v>
      </c>
      <c r="E25" s="1065">
        <f t="shared" si="3"/>
        <v>0.0068300000000000001</v>
      </c>
      <c r="F25" s="1067">
        <f t="shared" si="2"/>
        <v>6</v>
      </c>
      <c r="G25" s="55">
        <f t="shared" si="0"/>
        <v>9964.3654178255056</v>
      </c>
      <c r="H25" s="55"/>
      <c r="I25" s="55">
        <f t="shared" si="1"/>
        <v>253116.27898116142</v>
      </c>
    </row>
    <row r="26" spans="1:9" ht="20.1" customHeight="1">
      <c r="A26" s="390">
        <v>10</v>
      </c>
      <c r="B26" s="1048" t="s">
        <v>240</v>
      </c>
      <c r="C26" s="1048" t="str">
        <f t="shared" si="4"/>
        <v>Year 2024</v>
      </c>
      <c r="D26" s="55">
        <f t="shared" si="3"/>
        <v>-243151.91356333593</v>
      </c>
      <c r="E26" s="1065">
        <f t="shared" si="3"/>
        <v>0.0068300000000000001</v>
      </c>
      <c r="F26" s="1067">
        <f t="shared" si="2"/>
        <v>5</v>
      </c>
      <c r="G26" s="55">
        <f t="shared" si="0"/>
        <v>8303.6378481879219</v>
      </c>
      <c r="H26" s="55"/>
      <c r="I26" s="55">
        <f t="shared" si="1"/>
        <v>251455.55141152383</v>
      </c>
    </row>
    <row r="27" spans="1:9" ht="20.1" customHeight="1">
      <c r="A27" s="390">
        <v>11</v>
      </c>
      <c r="B27" s="1048" t="s">
        <v>241</v>
      </c>
      <c r="C27" s="1048" t="str">
        <f t="shared" si="4"/>
        <v>Year 2024</v>
      </c>
      <c r="D27" s="55">
        <f t="shared" si="3"/>
        <v>-243151.91356333593</v>
      </c>
      <c r="E27" s="1065">
        <f t="shared" si="3"/>
        <v>0.0068300000000000001</v>
      </c>
      <c r="F27" s="1067">
        <f t="shared" si="2"/>
        <v>4</v>
      </c>
      <c r="G27" s="55">
        <f t="shared" si="0"/>
        <v>6642.9102785503374</v>
      </c>
      <c r="H27" s="55"/>
      <c r="I27" s="55">
        <f t="shared" si="1"/>
        <v>249794.82384188627</v>
      </c>
    </row>
    <row r="28" spans="1:9" ht="20.1" customHeight="1">
      <c r="A28" s="390">
        <v>12</v>
      </c>
      <c r="B28" s="1048" t="s">
        <v>243</v>
      </c>
      <c r="C28" s="1048" t="str">
        <f>C27</f>
        <v>Year 2024</v>
      </c>
      <c r="D28" s="55">
        <f t="shared" si="3"/>
        <v>-243151.91356333593</v>
      </c>
      <c r="E28" s="1065">
        <f t="shared" si="3"/>
        <v>0.0068300000000000001</v>
      </c>
      <c r="F28" s="1067">
        <f t="shared" si="2"/>
        <v>3</v>
      </c>
      <c r="G28" s="55">
        <f t="shared" si="0"/>
        <v>4982.1827089127528</v>
      </c>
      <c r="H28" s="55"/>
      <c r="I28" s="55">
        <f t="shared" si="1"/>
        <v>248134.09627224869</v>
      </c>
    </row>
    <row r="29" spans="1:9" ht="20.1" customHeight="1">
      <c r="A29" s="390">
        <v>13</v>
      </c>
      <c r="B29" s="1048" t="s">
        <v>242</v>
      </c>
      <c r="C29" s="1048" t="str">
        <f t="shared" si="4"/>
        <v>Year 2024</v>
      </c>
      <c r="D29" s="55">
        <f t="shared" si="3"/>
        <v>-243151.91356333593</v>
      </c>
      <c r="E29" s="1065">
        <f t="shared" si="3"/>
        <v>0.0068300000000000001</v>
      </c>
      <c r="F29" s="1067">
        <f t="shared" si="2"/>
        <v>2</v>
      </c>
      <c r="G29" s="55">
        <f t="shared" si="0"/>
        <v>3321.4551392751687</v>
      </c>
      <c r="H29" s="55"/>
      <c r="I29" s="55">
        <f t="shared" si="1"/>
        <v>246473.3687026111</v>
      </c>
    </row>
    <row r="30" spans="1:9" ht="20.1" customHeight="1">
      <c r="A30" s="390">
        <v>14</v>
      </c>
      <c r="B30" s="1048" t="s">
        <v>233</v>
      </c>
      <c r="C30" s="1048" t="str">
        <f>C29</f>
        <v>Year 2024</v>
      </c>
      <c r="D30" s="55">
        <f t="shared" si="3"/>
        <v>-243151.91356333593</v>
      </c>
      <c r="E30" s="1065">
        <f t="shared" si="3"/>
        <v>0.0068300000000000001</v>
      </c>
      <c r="F30" s="1067">
        <f t="shared" si="2"/>
        <v>1</v>
      </c>
      <c r="G30" s="56">
        <f t="shared" si="0"/>
        <v>1660.7275696375843</v>
      </c>
      <c r="H30" s="55"/>
      <c r="I30" s="55">
        <f t="shared" si="1"/>
        <v>244812.64113297351</v>
      </c>
    </row>
    <row r="31" spans="1:9" ht="20.1" customHeight="1">
      <c r="A31" s="390"/>
      <c r="B31" s="1048"/>
      <c r="C31" s="1048"/>
      <c r="D31" s="55"/>
      <c r="E31" s="1065"/>
      <c r="F31" s="1067"/>
      <c r="G31" s="55">
        <f>SUM(G19:G30)</f>
        <v>129536.75043173158</v>
      </c>
      <c r="H31" s="55"/>
      <c r="I31" s="57">
        <f>SUM(I19:I30)</f>
        <v>3047359.7131917626</v>
      </c>
    </row>
    <row r="32" spans="1:9" ht="20.1" customHeight="1">
      <c r="A32" s="390"/>
      <c r="B32" s="1048"/>
      <c r="C32" s="1048"/>
      <c r="D32" s="55"/>
      <c r="E32" s="1065"/>
      <c r="F32" s="1066"/>
      <c r="G32" s="55"/>
      <c r="H32" s="55" t="s">
        <v>3</v>
      </c>
      <c r="I32" s="904"/>
    </row>
    <row r="33" spans="1:9" ht="20.1" customHeight="1">
      <c r="A33" s="390"/>
      <c r="B33" s="1048"/>
      <c r="C33" s="1048"/>
      <c r="D33" s="1058"/>
      <c r="E33" s="1065"/>
      <c r="F33" s="1066"/>
      <c r="G33" s="58" t="s">
        <v>328</v>
      </c>
      <c r="H33" s="55"/>
      <c r="I33" s="55"/>
    </row>
    <row r="34" spans="1:9" ht="20.1" customHeight="1">
      <c r="A34" s="390">
        <f>A30+1</f>
        <v>15</v>
      </c>
      <c r="B34" s="1048" t="s">
        <v>329</v>
      </c>
      <c r="C34" s="473" t="s">
        <v>1443</v>
      </c>
      <c r="D34" s="1058">
        <f>I31</f>
        <v>3047359.7131917626</v>
      </c>
      <c r="E34" s="1065">
        <f>+E30</f>
        <v>0.0068300000000000001</v>
      </c>
      <c r="F34" s="1066">
        <v>12</v>
      </c>
      <c r="G34" s="55">
        <f>+F34*E34*D34</f>
        <v>249761.60209319688</v>
      </c>
      <c r="H34" s="55"/>
      <c r="I34" s="57">
        <f>+D34+G34</f>
        <v>3297121.3152849595</v>
      </c>
    </row>
    <row r="35" spans="1:9" ht="20.1" customHeight="1">
      <c r="A35" s="390"/>
      <c r="B35" s="1048"/>
      <c r="C35" s="1048"/>
      <c r="D35" s="1058"/>
      <c r="E35" s="1065"/>
      <c r="F35" s="1048"/>
      <c r="G35" s="55"/>
      <c r="H35" s="55"/>
      <c r="I35" s="55"/>
    </row>
    <row r="36" spans="1:9" ht="20.1" customHeight="1">
      <c r="A36" s="390"/>
      <c r="B36" s="1068" t="s">
        <v>330</v>
      </c>
      <c r="C36" s="1048"/>
      <c r="D36" s="55"/>
      <c r="E36" s="1065"/>
      <c r="F36" s="1048"/>
      <c r="G36" s="58" t="s">
        <v>327</v>
      </c>
      <c r="H36" s="55"/>
      <c r="I36" s="55"/>
    </row>
    <row r="37" spans="1:9" ht="20.1" customHeight="1">
      <c r="A37" s="390">
        <f>A34+1</f>
        <v>16</v>
      </c>
      <c r="B37" s="1048" t="s">
        <v>234</v>
      </c>
      <c r="C37" s="473" t="s">
        <v>1464</v>
      </c>
      <c r="D37" s="1069">
        <f>-I34</f>
        <v>-3297121.3152849595</v>
      </c>
      <c r="E37" s="1065">
        <f>+E30</f>
        <v>0.0068300000000000001</v>
      </c>
      <c r="F37" s="1048"/>
      <c r="G37" s="55">
        <f t="shared" si="5" ref="G37:G48">-E37*D37</f>
        <v>22519.338583396275</v>
      </c>
      <c r="H37" s="55">
        <f>PMT(E37,12,I$34)</f>
        <v>-287110.28736891295</v>
      </c>
      <c r="I37" s="55">
        <f t="shared" si="6" ref="I37:I48">(+D37+D37*E37-H37)*-1</f>
        <v>3032530.3664994426</v>
      </c>
    </row>
    <row r="38" spans="1:9" ht="20.1" customHeight="1">
      <c r="A38" s="390">
        <f>A37+1</f>
        <v>17</v>
      </c>
      <c r="B38" s="1048" t="s">
        <v>235</v>
      </c>
      <c r="C38" s="1048" t="str">
        <f>+C37</f>
        <v>Year 2026</v>
      </c>
      <c r="D38" s="1058">
        <f>-I37</f>
        <v>-3032530.3664994426</v>
      </c>
      <c r="E38" s="1065">
        <f>+E37</f>
        <v>0.0068300000000000001</v>
      </c>
      <c r="F38" s="1048"/>
      <c r="G38" s="55">
        <f t="shared" si="5"/>
        <v>20712.182403191193</v>
      </c>
      <c r="H38" s="55">
        <f>H37</f>
        <v>-287110.28736891295</v>
      </c>
      <c r="I38" s="55">
        <f t="shared" si="6"/>
        <v>2766132.2615337204</v>
      </c>
    </row>
    <row r="39" spans="1:9" ht="20.1" customHeight="1">
      <c r="A39" s="390">
        <f t="shared" si="7" ref="A39:A48">A38+1</f>
        <v>18</v>
      </c>
      <c r="B39" s="1048" t="s">
        <v>236</v>
      </c>
      <c r="C39" s="1048" t="str">
        <f>+C38</f>
        <v>Year 2026</v>
      </c>
      <c r="D39" s="1058">
        <f t="shared" si="8" ref="D39:D48">-I38</f>
        <v>-2766132.2615337204</v>
      </c>
      <c r="E39" s="1065">
        <f t="shared" si="9" ref="E39:E48">+E38</f>
        <v>0.0068300000000000001</v>
      </c>
      <c r="F39" s="1048"/>
      <c r="G39" s="55">
        <f t="shared" si="5"/>
        <v>18892.683346275309</v>
      </c>
      <c r="H39" s="55">
        <f t="shared" si="10" ref="H39:H48">H38</f>
        <v>-287110.28736891295</v>
      </c>
      <c r="I39" s="55">
        <f t="shared" si="6"/>
        <v>2497914.6575110825</v>
      </c>
    </row>
    <row r="40" spans="1:9" ht="20.1" customHeight="1">
      <c r="A40" s="390">
        <f t="shared" si="7"/>
        <v>19</v>
      </c>
      <c r="B40" s="1048" t="s">
        <v>237</v>
      </c>
      <c r="C40" s="1048" t="str">
        <f>+C39</f>
        <v>Year 2026</v>
      </c>
      <c r="D40" s="1058">
        <f t="shared" si="8"/>
        <v>-2497914.6575110825</v>
      </c>
      <c r="E40" s="1065">
        <f t="shared" si="9"/>
        <v>0.0068300000000000001</v>
      </c>
      <c r="F40" s="1048"/>
      <c r="G40" s="55">
        <f t="shared" si="5"/>
        <v>17060.757110800692</v>
      </c>
      <c r="H40" s="55">
        <f t="shared" si="10"/>
        <v>-287110.28736891295</v>
      </c>
      <c r="I40" s="55">
        <f t="shared" si="6"/>
        <v>2227865.1272529699</v>
      </c>
    </row>
    <row r="41" spans="1:9" ht="20.1" customHeight="1">
      <c r="A41" s="390">
        <f t="shared" si="7"/>
        <v>20</v>
      </c>
      <c r="B41" s="1048" t="s">
        <v>238</v>
      </c>
      <c r="C41" s="1048" t="str">
        <f>+C40</f>
        <v>Year 2026</v>
      </c>
      <c r="D41" s="1058">
        <f t="shared" si="8"/>
        <v>-2227865.1272529699</v>
      </c>
      <c r="E41" s="1065">
        <f t="shared" si="9"/>
        <v>0.0068300000000000001</v>
      </c>
      <c r="F41" s="1048"/>
      <c r="G41" s="55">
        <f t="shared" si="5"/>
        <v>15216.318819137785</v>
      </c>
      <c r="H41" s="55">
        <f t="shared" si="10"/>
        <v>-287110.28736891295</v>
      </c>
      <c r="I41" s="55">
        <f t="shared" si="6"/>
        <v>1955971.1587031947</v>
      </c>
    </row>
    <row r="42" spans="1:9" ht="20.1" customHeight="1">
      <c r="A42" s="390">
        <f t="shared" si="7"/>
        <v>21</v>
      </c>
      <c r="B42" s="1048" t="s">
        <v>249</v>
      </c>
      <c r="C42" s="1048" t="str">
        <f>C41</f>
        <v>Year 2026</v>
      </c>
      <c r="D42" s="1058">
        <f t="shared" si="8"/>
        <v>-1955971.1587031947</v>
      </c>
      <c r="E42" s="1065">
        <f t="shared" si="9"/>
        <v>0.0068300000000000001</v>
      </c>
      <c r="F42" s="1048"/>
      <c r="G42" s="55">
        <f t="shared" si="5"/>
        <v>13359.283013942821</v>
      </c>
      <c r="H42" s="55">
        <f t="shared" si="10"/>
        <v>-287110.28736891295</v>
      </c>
      <c r="I42" s="55">
        <f t="shared" si="6"/>
        <v>1682220.1543482246</v>
      </c>
    </row>
    <row r="43" spans="1:9" ht="20.1" customHeight="1">
      <c r="A43" s="390">
        <f t="shared" si="7"/>
        <v>22</v>
      </c>
      <c r="B43" s="1048" t="s">
        <v>239</v>
      </c>
      <c r="C43" s="1048" t="str">
        <f t="shared" si="11" ref="C43:C48">+C42</f>
        <v>Year 2026</v>
      </c>
      <c r="D43" s="1058">
        <f t="shared" si="8"/>
        <v>-1682220.1543482246</v>
      </c>
      <c r="E43" s="1065">
        <f t="shared" si="9"/>
        <v>0.0068300000000000001</v>
      </c>
      <c r="F43" s="1048"/>
      <c r="G43" s="55">
        <f t="shared" si="5"/>
        <v>11489.563654198375</v>
      </c>
      <c r="H43" s="55">
        <f t="shared" si="10"/>
        <v>-287110.28736891295</v>
      </c>
      <c r="I43" s="55">
        <f t="shared" si="6"/>
        <v>1406599.43063351</v>
      </c>
    </row>
    <row r="44" spans="1:9" ht="20.1" customHeight="1">
      <c r="A44" s="390">
        <f t="shared" si="7"/>
        <v>23</v>
      </c>
      <c r="B44" s="1048" t="s">
        <v>240</v>
      </c>
      <c r="C44" s="1048" t="str">
        <f t="shared" si="11"/>
        <v>Year 2026</v>
      </c>
      <c r="D44" s="1058">
        <f t="shared" si="8"/>
        <v>-1406599.43063351</v>
      </c>
      <c r="E44" s="1065">
        <f t="shared" si="9"/>
        <v>0.0068300000000000001</v>
      </c>
      <c r="F44" s="1048"/>
      <c r="G44" s="55">
        <f t="shared" si="5"/>
        <v>9607.0741112268734</v>
      </c>
      <c r="H44" s="55">
        <f t="shared" si="10"/>
        <v>-287110.28736891295</v>
      </c>
      <c r="I44" s="55">
        <f t="shared" si="6"/>
        <v>1129096.217375824</v>
      </c>
    </row>
    <row r="45" spans="1:9" ht="20.1" customHeight="1">
      <c r="A45" s="390">
        <f t="shared" si="7"/>
        <v>24</v>
      </c>
      <c r="B45" s="1048" t="s">
        <v>241</v>
      </c>
      <c r="C45" s="1048" t="str">
        <f t="shared" si="11"/>
        <v>Year 2026</v>
      </c>
      <c r="D45" s="1058">
        <f t="shared" si="8"/>
        <v>-1129096.217375824</v>
      </c>
      <c r="E45" s="1065">
        <f t="shared" si="9"/>
        <v>0.0068300000000000001</v>
      </c>
      <c r="F45" s="1048"/>
      <c r="G45" s="55">
        <f t="shared" si="5"/>
        <v>7711.7271646768777</v>
      </c>
      <c r="H45" s="55">
        <f t="shared" si="10"/>
        <v>-287110.28736891295</v>
      </c>
      <c r="I45" s="55">
        <f t="shared" si="6"/>
        <v>849697.65717158793</v>
      </c>
    </row>
    <row r="46" spans="1:9" ht="20.1" customHeight="1">
      <c r="A46" s="390">
        <f t="shared" si="7"/>
        <v>25</v>
      </c>
      <c r="B46" s="1048" t="s">
        <v>243</v>
      </c>
      <c r="C46" s="1048" t="str">
        <f t="shared" si="11"/>
        <v>Year 2026</v>
      </c>
      <c r="D46" s="1058">
        <f t="shared" si="8"/>
        <v>-849697.65717158793</v>
      </c>
      <c r="E46" s="1065">
        <f t="shared" si="9"/>
        <v>0.0068300000000000001</v>
      </c>
      <c r="F46" s="1048"/>
      <c r="G46" s="55">
        <f t="shared" si="5"/>
        <v>5803.4349984819455</v>
      </c>
      <c r="H46" s="55">
        <f t="shared" si="10"/>
        <v>-287110.28736891295</v>
      </c>
      <c r="I46" s="55">
        <f t="shared" si="6"/>
        <v>568390.80480115698</v>
      </c>
    </row>
    <row r="47" spans="1:9" ht="20.1" customHeight="1">
      <c r="A47" s="390">
        <f t="shared" si="7"/>
        <v>26</v>
      </c>
      <c r="B47" s="1048" t="s">
        <v>242</v>
      </c>
      <c r="C47" s="1048" t="str">
        <f t="shared" si="11"/>
        <v>Year 2026</v>
      </c>
      <c r="D47" s="1058">
        <f t="shared" si="8"/>
        <v>-568390.80480115698</v>
      </c>
      <c r="E47" s="1065">
        <f t="shared" si="9"/>
        <v>0.0068300000000000001</v>
      </c>
      <c r="F47" s="1048"/>
      <c r="G47" s="55">
        <f t="shared" si="5"/>
        <v>3882.1091967919024</v>
      </c>
      <c r="H47" s="55">
        <f t="shared" si="10"/>
        <v>-287110.28736891295</v>
      </c>
      <c r="I47" s="55">
        <f t="shared" si="6"/>
        <v>285162.62662903592</v>
      </c>
    </row>
    <row r="48" spans="1:9" ht="20.1" customHeight="1">
      <c r="A48" s="390">
        <f t="shared" si="7"/>
        <v>27</v>
      </c>
      <c r="B48" s="1048" t="s">
        <v>233</v>
      </c>
      <c r="C48" s="1048" t="str">
        <f t="shared" si="11"/>
        <v>Year 2026</v>
      </c>
      <c r="D48" s="1058">
        <f t="shared" si="8"/>
        <v>-285162.62662903592</v>
      </c>
      <c r="E48" s="1065">
        <f t="shared" si="9"/>
        <v>0.0068300000000000001</v>
      </c>
      <c r="F48" s="1048"/>
      <c r="G48" s="56">
        <f t="shared" si="5"/>
        <v>1947.6607398763153</v>
      </c>
      <c r="H48" s="55">
        <f t="shared" si="10"/>
        <v>-287110.28736891295</v>
      </c>
      <c r="I48" s="55">
        <f t="shared" si="6"/>
        <v>-6.98491930961609E-10</v>
      </c>
    </row>
    <row r="49" spans="1:9" ht="20.1" customHeight="1">
      <c r="A49" s="390"/>
      <c r="B49" s="1048"/>
      <c r="C49" s="1048"/>
      <c r="D49" s="1058"/>
      <c r="E49" s="1065"/>
      <c r="F49" s="1048"/>
      <c r="G49" s="55">
        <f>SUM(G37:G48)</f>
        <v>148202.13314199634</v>
      </c>
      <c r="H49" s="55"/>
      <c r="I49" s="55"/>
    </row>
    <row r="50" spans="1:9" ht="20.1" customHeight="1">
      <c r="A50" s="390"/>
      <c r="B50" s="904"/>
      <c r="C50" s="904"/>
      <c r="D50" s="904"/>
      <c r="E50" s="904"/>
      <c r="F50" s="904"/>
      <c r="G50" s="904"/>
      <c r="H50" s="904"/>
      <c r="I50" s="904"/>
    </row>
    <row r="51" spans="1:9" ht="20.1" customHeight="1">
      <c r="A51" s="390">
        <v>28</v>
      </c>
      <c r="B51" s="1048" t="s">
        <v>333</v>
      </c>
      <c r="C51" s="904"/>
      <c r="D51" s="904"/>
      <c r="E51" s="904"/>
      <c r="F51" s="904"/>
      <c r="G51" s="904"/>
      <c r="H51" s="59">
        <f>SUM(H37:H48)</f>
        <v>-3445323.4484269563</v>
      </c>
      <c r="I51" s="904"/>
    </row>
    <row r="52" spans="1:9" ht="20.1" customHeight="1">
      <c r="A52" s="390">
        <v>29</v>
      </c>
      <c r="B52" s="1048" t="s">
        <v>331</v>
      </c>
      <c r="C52" s="904"/>
      <c r="D52" s="904"/>
      <c r="E52" s="904"/>
      <c r="F52" s="904"/>
      <c r="G52" s="904"/>
      <c r="H52" s="59">
        <f>+F10</f>
        <v>-2917822.9627600312</v>
      </c>
      <c r="I52" s="904"/>
    </row>
    <row r="53" spans="1:9" ht="20.1" customHeight="1">
      <c r="A53" s="390">
        <v>30</v>
      </c>
      <c r="B53" s="1048" t="s">
        <v>332</v>
      </c>
      <c r="C53" s="904"/>
      <c r="D53" s="904"/>
      <c r="E53" s="904"/>
      <c r="F53" s="904"/>
      <c r="G53" s="904"/>
      <c r="H53" s="59">
        <f>(H51-H52)</f>
        <v>-527500.48566692509</v>
      </c>
      <c r="I53" s="904"/>
    </row>
    <row r="54" spans="1:9" ht="20.1" customHeight="1">
      <c r="A54" s="390"/>
      <c r="B54" s="1048"/>
      <c r="C54" s="904"/>
      <c r="D54" s="904"/>
      <c r="E54" s="904"/>
      <c r="F54" s="904"/>
      <c r="G54" s="904"/>
      <c r="H54" s="59"/>
      <c r="I54" s="904"/>
    </row>
    <row r="55" spans="1:10" ht="36" customHeight="1">
      <c r="A55" s="1070" t="s">
        <v>256</v>
      </c>
      <c r="B55" s="1225" t="s">
        <v>997</v>
      </c>
      <c r="C55" s="1225"/>
      <c r="D55" s="1225"/>
      <c r="E55" s="1225"/>
      <c r="F55" s="1225"/>
      <c r="G55" s="1225"/>
      <c r="H55" s="1225"/>
      <c r="I55" s="1225"/>
      <c r="J55" s="1225"/>
    </row>
  </sheetData>
  <customSheetViews>
    <customSheetView guid="{33e6ffdf-cb42-4a87-b460-a01a45f9a9a1}" printArea="1" scale="60" showPageBreaks="1" topLeftCell="A1" view="pageBreakPreview">
      <selection pane="topLeft" activeCell="E14" sqref="E14"/>
      <pageMargins left="0.7" right="0.7" top="0.75" bottom="0.75" header="0.3" footer="0.3"/>
      <printOptions horizontalCentered="1"/>
      <pageSetup fitToHeight="0" fitToWidth="0" orientation="portrait" paperSize="1" scale="45" r:id="rId2"/>
      <headerFooter alignWithMargins="0"/>
    </customSheetView>
    <customSheetView guid="{394295c0-a883-44ec-b980-c2facd4b6eba}" printArea="1" scale="60" showPageBreaks="1" topLeftCell="A1" view="pageBreakPreview">
      <selection pane="topLeft" activeCell="E14" sqref="E14"/>
      <pageMargins left="0.7" right="0.7" top="0.75" bottom="0.75" header="0.3" footer="0.3"/>
      <printOptions horizontalCentered="1"/>
      <pageSetup fitToHeight="0" fitToWidth="0" orientation="portrait" paperSize="1" scale="45" r:id="rId3"/>
      <headerFooter alignWithMargins="0"/>
    </customSheetView>
  </customSheetViews>
  <mergeCells count="4">
    <mergeCell ref="B5:I5"/>
    <mergeCell ref="B6:I6"/>
    <mergeCell ref="B13:C13"/>
    <mergeCell ref="B55:J55"/>
  </mergeCells>
  <printOptions horizontalCentered="1"/>
  <pageMargins left="0.7" right="0.7" top="0.75" bottom="0.75" header="0.3" footer="0.3"/>
  <pageSetup fitToHeight="0" fitToWidth="0" orientation="portrait" paperSize="1" scale="45"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J55"/>
  <sheetViews>
    <sheetView view="pageBreakPreview" zoomScale="60" zoomScaleNormal="70" workbookViewId="0" topLeftCell="A1"/>
  </sheetViews>
  <sheetFormatPr defaultColWidth="8.88555555555556" defaultRowHeight="20.1" customHeight="1"/>
  <cols>
    <col min="1" max="1" width="4.22222222222222" style="51" customWidth="1"/>
    <col min="2" max="2" width="24.6666666666667" style="53" customWidth="1"/>
    <col min="3" max="3" width="12" style="53" customWidth="1"/>
    <col min="4" max="4" width="25.5555555555556" style="51" customWidth="1"/>
    <col min="5" max="9" width="15.6666666666667" style="51" customWidth="1"/>
    <col min="10" max="10" width="18.6666666666667" style="51" customWidth="1"/>
    <col min="11" max="16384" width="8.88888888888889" style="51"/>
  </cols>
  <sheetData>
    <row r="1" spans="2:10" ht="16.5" customHeight="1">
      <c r="B1" s="50"/>
      <c r="C1" s="50"/>
      <c r="J1" s="52" t="s">
        <v>919</v>
      </c>
    </row>
    <row r="2" spans="2:10" ht="16.5" customHeight="1">
      <c r="B2" s="50"/>
      <c r="C2" s="50"/>
      <c r="J2" s="52" t="s">
        <v>220</v>
      </c>
    </row>
    <row r="3" spans="2:10" ht="16.5" customHeight="1">
      <c r="B3" s="50"/>
      <c r="C3" s="50"/>
      <c r="J3" s="4" t="str">
        <f>'Attachment 1 - Sched 1A'!$J$3</f>
        <v>For the 12 months ended 12/31/2026</v>
      </c>
    </row>
    <row r="4" spans="2:3" ht="20.1" customHeight="1">
      <c r="B4" s="50"/>
      <c r="C4" s="50"/>
    </row>
    <row r="5" spans="2:9" ht="20.1" customHeight="1">
      <c r="B5" s="1223" t="s">
        <v>906</v>
      </c>
      <c r="C5" s="1223"/>
      <c r="D5" s="1223"/>
      <c r="E5" s="1223"/>
      <c r="F5" s="1223"/>
      <c r="G5" s="1223"/>
      <c r="H5" s="1223"/>
      <c r="I5" s="1223"/>
    </row>
    <row r="6" spans="2:9" ht="20.1" customHeight="1">
      <c r="B6" s="1223"/>
      <c r="C6" s="1223"/>
      <c r="D6" s="1223"/>
      <c r="E6" s="1223"/>
      <c r="F6" s="1223"/>
      <c r="G6" s="1223"/>
      <c r="H6" s="1223"/>
      <c r="I6" s="1223"/>
    </row>
    <row r="7" ht="20.1" customHeight="1" thickBot="1"/>
    <row r="8" spans="2:9" s="60" customFormat="1" ht="98.25" customHeight="1">
      <c r="B8" s="472" t="s">
        <v>1462</v>
      </c>
      <c r="C8" s="1044"/>
      <c r="D8" s="472" t="s">
        <v>1463</v>
      </c>
      <c r="E8" s="1044"/>
      <c r="F8" s="1045" t="s">
        <v>319</v>
      </c>
      <c r="H8" s="1046"/>
      <c r="I8" s="1046"/>
    </row>
    <row r="9" spans="2:9" ht="20.1" customHeight="1">
      <c r="B9" s="1047"/>
      <c r="C9" s="1048"/>
      <c r="D9" s="1047"/>
      <c r="E9" s="1048"/>
      <c r="F9" s="1049"/>
      <c r="H9" s="1050"/>
      <c r="I9" s="1050"/>
    </row>
    <row r="10" spans="1:9" ht="20.1" customHeight="1" thickBot="1">
      <c r="A10" s="390">
        <v>1</v>
      </c>
      <c r="B10" s="477">
        <f>'Attachment 12 - TEC True-up'!I43</f>
        <v>38245317.140331835</v>
      </c>
      <c r="C10" s="1051" t="str">
        <f>"-"</f>
        <v>-</v>
      </c>
      <c r="D10" s="477">
        <f>'Attachment 12 - TEC True-up'!E15</f>
        <v>29915601.953173839</v>
      </c>
      <c r="E10" s="1051" t="str">
        <f>"="</f>
        <v>=</v>
      </c>
      <c r="F10" s="1052">
        <f>IF(B10=0,0,D10-B10)</f>
        <v>-8329715.187157996</v>
      </c>
      <c r="H10" s="1050"/>
      <c r="I10" s="1050"/>
    </row>
    <row r="11" spans="1:9" ht="20.1" customHeight="1" thickBot="1">
      <c r="A11" s="390"/>
      <c r="B11" s="1053"/>
      <c r="C11" s="1054"/>
      <c r="D11" s="1053"/>
      <c r="E11" s="1054"/>
      <c r="F11" s="1053"/>
      <c r="G11" s="1055"/>
      <c r="H11" s="1055"/>
      <c r="I11" s="1055"/>
    </row>
    <row r="12" spans="1:9" ht="20.1" customHeight="1">
      <c r="A12" s="390"/>
      <c r="B12" s="1056"/>
      <c r="C12" s="1057"/>
      <c r="D12" s="1058"/>
      <c r="E12" s="1057"/>
      <c r="F12" s="1058"/>
      <c r="G12" s="1050"/>
      <c r="H12" s="1050"/>
      <c r="I12" s="1050"/>
    </row>
    <row r="13" spans="1:9" ht="31.5">
      <c r="A13" s="390"/>
      <c r="B13" s="1224"/>
      <c r="C13" s="1224"/>
      <c r="D13" s="1059" t="s">
        <v>320</v>
      </c>
      <c r="E13" s="1059" t="s">
        <v>321</v>
      </c>
      <c r="F13" s="1051" t="s">
        <v>322</v>
      </c>
      <c r="G13" s="1060" t="s">
        <v>323</v>
      </c>
      <c r="H13" s="1059" t="s">
        <v>324</v>
      </c>
      <c r="I13" s="1059" t="s">
        <v>325</v>
      </c>
    </row>
    <row r="14" spans="1:9" ht="20.1" customHeight="1">
      <c r="A14" s="390">
        <v>2</v>
      </c>
      <c r="B14" s="1061" t="s">
        <v>996</v>
      </c>
      <c r="C14" s="1057"/>
      <c r="D14" s="1050"/>
      <c r="E14" s="727">
        <v>0.0068300000000000001</v>
      </c>
      <c r="F14" s="1058"/>
      <c r="G14" s="1050"/>
      <c r="H14" s="1050"/>
      <c r="I14" s="1050"/>
    </row>
    <row r="15" spans="1:9" ht="20.1" customHeight="1">
      <c r="A15" s="390"/>
      <c r="B15" s="1062"/>
      <c r="C15" s="1057"/>
      <c r="D15" s="1050"/>
      <c r="E15" s="54"/>
      <c r="F15" s="1058"/>
      <c r="G15" s="1050"/>
      <c r="H15" s="1050"/>
      <c r="I15" s="1050"/>
    </row>
    <row r="16" spans="1:9" ht="20.1" customHeight="1">
      <c r="A16" s="390"/>
      <c r="B16" s="1062" t="s">
        <v>1483</v>
      </c>
      <c r="C16" s="1057"/>
      <c r="D16" s="1050"/>
      <c r="E16" s="54"/>
      <c r="F16" s="1058"/>
      <c r="G16" s="1050"/>
      <c r="H16" s="1050"/>
      <c r="I16" s="1050"/>
    </row>
    <row r="17" spans="1:9" ht="20.1" customHeight="1">
      <c r="A17" s="390"/>
      <c r="B17" s="1063" t="s">
        <v>3</v>
      </c>
      <c r="C17" s="1057"/>
      <c r="D17" s="1057"/>
      <c r="E17" s="1057" t="s">
        <v>3</v>
      </c>
      <c r="F17" s="1050"/>
      <c r="G17" s="1050"/>
      <c r="H17" s="1050"/>
      <c r="I17" s="1050"/>
    </row>
    <row r="18" spans="1:9" ht="20.1" customHeight="1">
      <c r="A18" s="390"/>
      <c r="B18" s="1064" t="s">
        <v>326</v>
      </c>
      <c r="C18" s="1057"/>
      <c r="D18" s="1057"/>
      <c r="E18" s="1050"/>
      <c r="F18" s="1050"/>
      <c r="G18" s="1051" t="s">
        <v>327</v>
      </c>
      <c r="H18" s="1057"/>
      <c r="I18" s="1057"/>
    </row>
    <row r="19" spans="1:9" ht="20.1" customHeight="1">
      <c r="A19" s="390">
        <v>3</v>
      </c>
      <c r="B19" s="1048" t="s">
        <v>234</v>
      </c>
      <c r="C19" s="473" t="s">
        <v>1399</v>
      </c>
      <c r="D19" s="55">
        <f>+F10/12</f>
        <v>-694142.93226316629</v>
      </c>
      <c r="E19" s="1065">
        <f>+E14</f>
        <v>0.0068300000000000001</v>
      </c>
      <c r="F19" s="1066">
        <v>12</v>
      </c>
      <c r="G19" s="55">
        <f t="shared" si="0" ref="G19:G30">E19*D19*F19*-1</f>
        <v>56891.954728289107</v>
      </c>
      <c r="H19" s="55"/>
      <c r="I19" s="55">
        <f t="shared" si="1" ref="I19:I30">(-G19+D19)*-1</f>
        <v>751034.88699145545</v>
      </c>
    </row>
    <row r="20" spans="1:9" ht="20.1" customHeight="1">
      <c r="A20" s="390">
        <v>4</v>
      </c>
      <c r="B20" s="1048" t="s">
        <v>235</v>
      </c>
      <c r="C20" s="1048" t="str">
        <f>C19</f>
        <v>Year 2024</v>
      </c>
      <c r="D20" s="55">
        <f>+D19</f>
        <v>-694142.93226316629</v>
      </c>
      <c r="E20" s="1065">
        <f>+E19</f>
        <v>0.0068300000000000001</v>
      </c>
      <c r="F20" s="1067">
        <f t="shared" si="2" ref="F20:F30">+F19-1</f>
        <v>11</v>
      </c>
      <c r="G20" s="55">
        <f t="shared" si="0"/>
        <v>52150.95850093168</v>
      </c>
      <c r="H20" s="55"/>
      <c r="I20" s="55">
        <f t="shared" si="1"/>
        <v>746293.89076409792</v>
      </c>
    </row>
    <row r="21" spans="1:9" ht="20.1" customHeight="1">
      <c r="A21" s="390">
        <v>5</v>
      </c>
      <c r="B21" s="1048" t="s">
        <v>236</v>
      </c>
      <c r="C21" s="1048" t="str">
        <f>C20</f>
        <v>Year 2024</v>
      </c>
      <c r="D21" s="55">
        <f t="shared" si="3" ref="D21:E30">+D20</f>
        <v>-694142.93226316629</v>
      </c>
      <c r="E21" s="1065">
        <f t="shared" si="3"/>
        <v>0.0068300000000000001</v>
      </c>
      <c r="F21" s="1067">
        <f t="shared" si="2"/>
        <v>10</v>
      </c>
      <c r="G21" s="55">
        <f t="shared" si="0"/>
        <v>47409.96227357426</v>
      </c>
      <c r="H21" s="55"/>
      <c r="I21" s="55">
        <f t="shared" si="1"/>
        <v>741552.89453674061</v>
      </c>
    </row>
    <row r="22" spans="1:9" ht="20.1" customHeight="1">
      <c r="A22" s="390">
        <v>6</v>
      </c>
      <c r="B22" s="1048" t="s">
        <v>237</v>
      </c>
      <c r="C22" s="1048" t="str">
        <f t="shared" si="4" ref="C22:C29">C21</f>
        <v>Year 2024</v>
      </c>
      <c r="D22" s="55">
        <f t="shared" si="3"/>
        <v>-694142.93226316629</v>
      </c>
      <c r="E22" s="1065">
        <f t="shared" si="3"/>
        <v>0.0068300000000000001</v>
      </c>
      <c r="F22" s="1067">
        <f t="shared" si="2"/>
        <v>9</v>
      </c>
      <c r="G22" s="55">
        <f t="shared" si="0"/>
        <v>42668.966046216832</v>
      </c>
      <c r="H22" s="55"/>
      <c r="I22" s="55">
        <f t="shared" si="1"/>
        <v>736811.89830938308</v>
      </c>
    </row>
    <row r="23" spans="1:9" ht="20.1" customHeight="1">
      <c r="A23" s="390">
        <v>7</v>
      </c>
      <c r="B23" s="1048" t="s">
        <v>238</v>
      </c>
      <c r="C23" s="1048" t="str">
        <f t="shared" si="4"/>
        <v>Year 2024</v>
      </c>
      <c r="D23" s="55">
        <f t="shared" si="3"/>
        <v>-694142.93226316629</v>
      </c>
      <c r="E23" s="1065">
        <f t="shared" si="3"/>
        <v>0.0068300000000000001</v>
      </c>
      <c r="F23" s="1067">
        <f t="shared" si="2"/>
        <v>8</v>
      </c>
      <c r="G23" s="55">
        <f t="shared" si="0"/>
        <v>37927.969818859405</v>
      </c>
      <c r="H23" s="55"/>
      <c r="I23" s="55">
        <f t="shared" si="1"/>
        <v>732070.90208202566</v>
      </c>
    </row>
    <row r="24" spans="1:9" ht="20.1" customHeight="1">
      <c r="A24" s="390">
        <v>8</v>
      </c>
      <c r="B24" s="1048" t="s">
        <v>249</v>
      </c>
      <c r="C24" s="1048" t="str">
        <f t="shared" si="4"/>
        <v>Year 2024</v>
      </c>
      <c r="D24" s="55">
        <f t="shared" si="3"/>
        <v>-694142.93226316629</v>
      </c>
      <c r="E24" s="1065">
        <f t="shared" si="3"/>
        <v>0.0068300000000000001</v>
      </c>
      <c r="F24" s="1067">
        <f t="shared" si="2"/>
        <v>7</v>
      </c>
      <c r="G24" s="55">
        <f t="shared" si="0"/>
        <v>33186.973591501977</v>
      </c>
      <c r="H24" s="55"/>
      <c r="I24" s="55">
        <f t="shared" si="1"/>
        <v>727329.90585466824</v>
      </c>
    </row>
    <row r="25" spans="1:9" ht="20.1" customHeight="1">
      <c r="A25" s="390">
        <v>9</v>
      </c>
      <c r="B25" s="1048" t="s">
        <v>239</v>
      </c>
      <c r="C25" s="1048" t="str">
        <f t="shared" si="4"/>
        <v>Year 2024</v>
      </c>
      <c r="D25" s="55">
        <f t="shared" si="3"/>
        <v>-694142.93226316629</v>
      </c>
      <c r="E25" s="1065">
        <f t="shared" si="3"/>
        <v>0.0068300000000000001</v>
      </c>
      <c r="F25" s="1067">
        <f t="shared" si="2"/>
        <v>6</v>
      </c>
      <c r="G25" s="55">
        <f t="shared" si="0"/>
        <v>28445.977364144554</v>
      </c>
      <c r="H25" s="55"/>
      <c r="I25" s="55">
        <f t="shared" si="1"/>
        <v>722588.90962731082</v>
      </c>
    </row>
    <row r="26" spans="1:9" ht="20.1" customHeight="1">
      <c r="A26" s="390">
        <v>10</v>
      </c>
      <c r="B26" s="1048" t="s">
        <v>240</v>
      </c>
      <c r="C26" s="1048" t="str">
        <f t="shared" si="4"/>
        <v>Year 2024</v>
      </c>
      <c r="D26" s="55">
        <f t="shared" si="3"/>
        <v>-694142.93226316629</v>
      </c>
      <c r="E26" s="1065">
        <f t="shared" si="3"/>
        <v>0.0068300000000000001</v>
      </c>
      <c r="F26" s="1067">
        <f t="shared" si="2"/>
        <v>5</v>
      </c>
      <c r="G26" s="55">
        <f t="shared" si="0"/>
        <v>23704.98113678713</v>
      </c>
      <c r="H26" s="55"/>
      <c r="I26" s="55">
        <f t="shared" si="1"/>
        <v>717847.9133999534</v>
      </c>
    </row>
    <row r="27" spans="1:9" ht="20.1" customHeight="1">
      <c r="A27" s="390">
        <v>11</v>
      </c>
      <c r="B27" s="1048" t="s">
        <v>241</v>
      </c>
      <c r="C27" s="1048" t="str">
        <f t="shared" si="4"/>
        <v>Year 2024</v>
      </c>
      <c r="D27" s="55">
        <f t="shared" si="3"/>
        <v>-694142.93226316629</v>
      </c>
      <c r="E27" s="1065">
        <f t="shared" si="3"/>
        <v>0.0068300000000000001</v>
      </c>
      <c r="F27" s="1067">
        <f t="shared" si="2"/>
        <v>4</v>
      </c>
      <c r="G27" s="55">
        <f t="shared" si="0"/>
        <v>18963.984909429702</v>
      </c>
      <c r="H27" s="55"/>
      <c r="I27" s="55">
        <f t="shared" si="1"/>
        <v>713106.91717259597</v>
      </c>
    </row>
    <row r="28" spans="1:9" ht="20.1" customHeight="1">
      <c r="A28" s="390">
        <v>12</v>
      </c>
      <c r="B28" s="1048" t="s">
        <v>243</v>
      </c>
      <c r="C28" s="1048" t="str">
        <f>C27</f>
        <v>Year 2024</v>
      </c>
      <c r="D28" s="55">
        <f t="shared" si="3"/>
        <v>-694142.93226316629</v>
      </c>
      <c r="E28" s="1065">
        <f t="shared" si="3"/>
        <v>0.0068300000000000001</v>
      </c>
      <c r="F28" s="1067">
        <f t="shared" si="2"/>
        <v>3</v>
      </c>
      <c r="G28" s="55">
        <f t="shared" si="0"/>
        <v>14222.988682072277</v>
      </c>
      <c r="H28" s="55"/>
      <c r="I28" s="55">
        <f t="shared" si="1"/>
        <v>708365.92094523855</v>
      </c>
    </row>
    <row r="29" spans="1:9" ht="20.1" customHeight="1">
      <c r="A29" s="390">
        <v>13</v>
      </c>
      <c r="B29" s="1048" t="s">
        <v>242</v>
      </c>
      <c r="C29" s="1048" t="str">
        <f t="shared" si="4"/>
        <v>Year 2024</v>
      </c>
      <c r="D29" s="55">
        <f t="shared" si="3"/>
        <v>-694142.93226316629</v>
      </c>
      <c r="E29" s="1065">
        <f t="shared" si="3"/>
        <v>0.0068300000000000001</v>
      </c>
      <c r="F29" s="1067">
        <f t="shared" si="2"/>
        <v>2</v>
      </c>
      <c r="G29" s="55">
        <f t="shared" si="0"/>
        <v>9481.9924547148512</v>
      </c>
      <c r="H29" s="55"/>
      <c r="I29" s="55">
        <f t="shared" si="1"/>
        <v>703624.92471788113</v>
      </c>
    </row>
    <row r="30" spans="1:9" ht="20.1" customHeight="1">
      <c r="A30" s="390">
        <v>14</v>
      </c>
      <c r="B30" s="1048" t="s">
        <v>233</v>
      </c>
      <c r="C30" s="1048" t="str">
        <f>C29</f>
        <v>Year 2024</v>
      </c>
      <c r="D30" s="55">
        <f t="shared" si="3"/>
        <v>-694142.93226316629</v>
      </c>
      <c r="E30" s="1065">
        <f t="shared" si="3"/>
        <v>0.0068300000000000001</v>
      </c>
      <c r="F30" s="1067">
        <f t="shared" si="2"/>
        <v>1</v>
      </c>
      <c r="G30" s="56">
        <f t="shared" si="0"/>
        <v>4740.9962273574256</v>
      </c>
      <c r="H30" s="55"/>
      <c r="I30" s="55">
        <f t="shared" si="1"/>
        <v>698883.92849052371</v>
      </c>
    </row>
    <row r="31" spans="1:9" ht="20.1" customHeight="1">
      <c r="A31" s="390"/>
      <c r="B31" s="1048"/>
      <c r="C31" s="1048"/>
      <c r="D31" s="55"/>
      <c r="E31" s="1065"/>
      <c r="F31" s="1067"/>
      <c r="G31" s="55">
        <f>SUM(G19:G30)</f>
        <v>369797.70573387924</v>
      </c>
      <c r="H31" s="55"/>
      <c r="I31" s="57">
        <f>SUM(I19:I30)</f>
        <v>8699512.8928918745</v>
      </c>
    </row>
    <row r="32" spans="1:9" ht="20.1" customHeight="1">
      <c r="A32" s="390"/>
      <c r="B32" s="1048"/>
      <c r="C32" s="1048"/>
      <c r="D32" s="55"/>
      <c r="E32" s="1065"/>
      <c r="F32" s="1066"/>
      <c r="G32" s="55"/>
      <c r="H32" s="55" t="s">
        <v>3</v>
      </c>
      <c r="I32" s="904"/>
    </row>
    <row r="33" spans="1:9" ht="20.1" customHeight="1">
      <c r="A33" s="390"/>
      <c r="B33" s="1048"/>
      <c r="C33" s="1048"/>
      <c r="D33" s="1058"/>
      <c r="E33" s="1065"/>
      <c r="F33" s="1066"/>
      <c r="G33" s="58" t="s">
        <v>328</v>
      </c>
      <c r="H33" s="55"/>
      <c r="I33" s="55"/>
    </row>
    <row r="34" spans="1:9" ht="20.1" customHeight="1">
      <c r="A34" s="390">
        <f>A30+1</f>
        <v>15</v>
      </c>
      <c r="B34" s="1048" t="s">
        <v>329</v>
      </c>
      <c r="C34" s="473" t="s">
        <v>1443</v>
      </c>
      <c r="D34" s="1058">
        <f>I31</f>
        <v>8699512.8928918745</v>
      </c>
      <c r="E34" s="1065">
        <f>+E30</f>
        <v>0.0068300000000000001</v>
      </c>
      <c r="F34" s="1066">
        <v>12</v>
      </c>
      <c r="G34" s="55">
        <f>+F34*E34*D34</f>
        <v>713012.07670141803</v>
      </c>
      <c r="H34" s="55"/>
      <c r="I34" s="57">
        <f>+D34+G34</f>
        <v>9412524.9695932921</v>
      </c>
    </row>
    <row r="35" spans="1:9" ht="20.1" customHeight="1">
      <c r="A35" s="390"/>
      <c r="B35" s="1048"/>
      <c r="C35" s="1048"/>
      <c r="D35" s="1058"/>
      <c r="E35" s="1065"/>
      <c r="F35" s="1048"/>
      <c r="G35" s="55"/>
      <c r="H35" s="55"/>
      <c r="I35" s="55"/>
    </row>
    <row r="36" spans="1:9" ht="20.1" customHeight="1">
      <c r="A36" s="390"/>
      <c r="B36" s="1068" t="s">
        <v>330</v>
      </c>
      <c r="C36" s="1048"/>
      <c r="D36" s="55"/>
      <c r="E36" s="1065"/>
      <c r="F36" s="1048"/>
      <c r="G36" s="58" t="s">
        <v>327</v>
      </c>
      <c r="H36" s="55"/>
      <c r="I36" s="55"/>
    </row>
    <row r="37" spans="1:9" ht="20.1" customHeight="1">
      <c r="A37" s="390">
        <f>A34+1</f>
        <v>16</v>
      </c>
      <c r="B37" s="1048" t="s">
        <v>234</v>
      </c>
      <c r="C37" s="473" t="s">
        <v>1464</v>
      </c>
      <c r="D37" s="1069">
        <f>-I34</f>
        <v>-9412524.9695932921</v>
      </c>
      <c r="E37" s="1065">
        <f>+E30</f>
        <v>0.0068300000000000001</v>
      </c>
      <c r="F37" s="1048"/>
      <c r="G37" s="55">
        <f t="shared" si="5" ref="G37:G48">-E37*D37</f>
        <v>64287.545542322187</v>
      </c>
      <c r="H37" s="55">
        <f>PMT(E37,12,I$34)</f>
        <v>-819634.00508162263</v>
      </c>
      <c r="I37" s="55">
        <f t="shared" si="6" ref="I37:I48">(+D37+D37*E37-H37)*-1</f>
        <v>8657178.5100539923</v>
      </c>
    </row>
    <row r="38" spans="1:9" ht="20.1" customHeight="1">
      <c r="A38" s="390">
        <f>A37+1</f>
        <v>17</v>
      </c>
      <c r="B38" s="1048" t="s">
        <v>235</v>
      </c>
      <c r="C38" s="1048" t="str">
        <f>+C37</f>
        <v>Year 2026</v>
      </c>
      <c r="D38" s="1058">
        <f>-I37</f>
        <v>-8657178.5100539923</v>
      </c>
      <c r="E38" s="1065">
        <f>+E37</f>
        <v>0.0068300000000000001</v>
      </c>
      <c r="F38" s="1048"/>
      <c r="G38" s="55">
        <f t="shared" si="5"/>
        <v>59128.529223668767</v>
      </c>
      <c r="H38" s="55">
        <f>H37</f>
        <v>-819634.00508162263</v>
      </c>
      <c r="I38" s="55">
        <f t="shared" si="6"/>
        <v>7896673.0341960387</v>
      </c>
    </row>
    <row r="39" spans="1:9" ht="20.1" customHeight="1">
      <c r="A39" s="390">
        <f t="shared" si="7" ref="A39:A48">A38+1</f>
        <v>18</v>
      </c>
      <c r="B39" s="1048" t="s">
        <v>236</v>
      </c>
      <c r="C39" s="1048" t="str">
        <f>+C38</f>
        <v>Year 2026</v>
      </c>
      <c r="D39" s="1058">
        <f t="shared" si="8" ref="D39:D48">-I38</f>
        <v>-7896673.0341960387</v>
      </c>
      <c r="E39" s="1065">
        <f t="shared" si="9" ref="E39:E48">+E38</f>
        <v>0.0068300000000000001</v>
      </c>
      <c r="F39" s="1048"/>
      <c r="G39" s="55">
        <f t="shared" si="5"/>
        <v>53934.276823558946</v>
      </c>
      <c r="H39" s="55">
        <f t="shared" si="10" ref="H39:H48">H38</f>
        <v>-819634.00508162263</v>
      </c>
      <c r="I39" s="55">
        <f t="shared" si="6"/>
        <v>7130973.3059379747</v>
      </c>
    </row>
    <row r="40" spans="1:9" ht="20.1" customHeight="1">
      <c r="A40" s="390">
        <f t="shared" si="7"/>
        <v>19</v>
      </c>
      <c r="B40" s="1048" t="s">
        <v>237</v>
      </c>
      <c r="C40" s="1048" t="str">
        <f>+C39</f>
        <v>Year 2026</v>
      </c>
      <c r="D40" s="1058">
        <f t="shared" si="8"/>
        <v>-7130973.3059379747</v>
      </c>
      <c r="E40" s="1065">
        <f t="shared" si="9"/>
        <v>0.0068300000000000001</v>
      </c>
      <c r="F40" s="1048"/>
      <c r="G40" s="55">
        <f t="shared" si="5"/>
        <v>48704.547679556366</v>
      </c>
      <c r="H40" s="55">
        <f t="shared" si="10"/>
        <v>-819634.00508162263</v>
      </c>
      <c r="I40" s="55">
        <f t="shared" si="6"/>
        <v>6360043.8485359084</v>
      </c>
    </row>
    <row r="41" spans="1:9" ht="20.1" customHeight="1">
      <c r="A41" s="390">
        <f t="shared" si="7"/>
        <v>20</v>
      </c>
      <c r="B41" s="1048" t="s">
        <v>238</v>
      </c>
      <c r="C41" s="1048" t="str">
        <f>+C40</f>
        <v>Year 2026</v>
      </c>
      <c r="D41" s="1058">
        <f t="shared" si="8"/>
        <v>-6360043.8485359084</v>
      </c>
      <c r="E41" s="1065">
        <f t="shared" si="9"/>
        <v>0.0068300000000000001</v>
      </c>
      <c r="F41" s="1048"/>
      <c r="G41" s="55">
        <f t="shared" si="5"/>
        <v>43439.099485500257</v>
      </c>
      <c r="H41" s="55">
        <f t="shared" si="10"/>
        <v>-819634.00508162263</v>
      </c>
      <c r="I41" s="55">
        <f t="shared" si="6"/>
        <v>5583848.9429397862</v>
      </c>
    </row>
    <row r="42" spans="1:9" ht="20.1" customHeight="1">
      <c r="A42" s="390">
        <f t="shared" si="7"/>
        <v>21</v>
      </c>
      <c r="B42" s="1048" t="s">
        <v>249</v>
      </c>
      <c r="C42" s="1048" t="str">
        <f>C41</f>
        <v>Year 2026</v>
      </c>
      <c r="D42" s="1058">
        <f t="shared" si="8"/>
        <v>-5583848.9429397862</v>
      </c>
      <c r="E42" s="1065">
        <f t="shared" si="9"/>
        <v>0.0068300000000000001</v>
      </c>
      <c r="F42" s="1048"/>
      <c r="G42" s="55">
        <f t="shared" si="5"/>
        <v>38137.688280278744</v>
      </c>
      <c r="H42" s="55">
        <f t="shared" si="10"/>
        <v>-819634.00508162263</v>
      </c>
      <c r="I42" s="55">
        <f t="shared" si="6"/>
        <v>4802352.6261384422</v>
      </c>
    </row>
    <row r="43" spans="1:9" ht="20.1" customHeight="1">
      <c r="A43" s="390">
        <f t="shared" si="7"/>
        <v>22</v>
      </c>
      <c r="B43" s="1048" t="s">
        <v>239</v>
      </c>
      <c r="C43" s="1048" t="str">
        <f t="shared" si="11" ref="C43:C48">+C42</f>
        <v>Year 2026</v>
      </c>
      <c r="D43" s="1058">
        <f t="shared" si="8"/>
        <v>-4802352.6261384422</v>
      </c>
      <c r="E43" s="1065">
        <f t="shared" si="9"/>
        <v>0.0068300000000000001</v>
      </c>
      <c r="F43" s="1048"/>
      <c r="G43" s="55">
        <f t="shared" si="5"/>
        <v>32800.068436525558</v>
      </c>
      <c r="H43" s="55">
        <f t="shared" si="10"/>
        <v>-819634.00508162263</v>
      </c>
      <c r="I43" s="55">
        <f t="shared" si="6"/>
        <v>4015518.6894933451</v>
      </c>
    </row>
    <row r="44" spans="1:9" ht="20.1" customHeight="1">
      <c r="A44" s="390">
        <f t="shared" si="7"/>
        <v>23</v>
      </c>
      <c r="B44" s="1048" t="s">
        <v>240</v>
      </c>
      <c r="C44" s="1048" t="str">
        <f t="shared" si="11"/>
        <v>Year 2026</v>
      </c>
      <c r="D44" s="1058">
        <f t="shared" si="8"/>
        <v>-4015518.6894933451</v>
      </c>
      <c r="E44" s="1065">
        <f t="shared" si="9"/>
        <v>0.0068300000000000001</v>
      </c>
      <c r="F44" s="1048"/>
      <c r="G44" s="55">
        <f t="shared" si="5"/>
        <v>27425.992649239546</v>
      </c>
      <c r="H44" s="55">
        <f t="shared" si="10"/>
        <v>-819634.00508162263</v>
      </c>
      <c r="I44" s="55">
        <f t="shared" si="6"/>
        <v>3223310.6770609617</v>
      </c>
    </row>
    <row r="45" spans="1:9" ht="20.1" customHeight="1">
      <c r="A45" s="390">
        <f t="shared" si="7"/>
        <v>24</v>
      </c>
      <c r="B45" s="1048" t="s">
        <v>241</v>
      </c>
      <c r="C45" s="1048" t="str">
        <f t="shared" si="11"/>
        <v>Year 2026</v>
      </c>
      <c r="D45" s="1058">
        <f t="shared" si="8"/>
        <v>-3223310.6770609617</v>
      </c>
      <c r="E45" s="1065">
        <f t="shared" si="9"/>
        <v>0.0068300000000000001</v>
      </c>
      <c r="F45" s="1048"/>
      <c r="G45" s="55">
        <f t="shared" si="5"/>
        <v>22015.21192432637</v>
      </c>
      <c r="H45" s="55">
        <f t="shared" si="10"/>
        <v>-819634.00508162263</v>
      </c>
      <c r="I45" s="55">
        <f t="shared" si="6"/>
        <v>2425691.8839036655</v>
      </c>
    </row>
    <row r="46" spans="1:9" ht="20.1" customHeight="1">
      <c r="A46" s="390">
        <f t="shared" si="7"/>
        <v>25</v>
      </c>
      <c r="B46" s="1048" t="s">
        <v>243</v>
      </c>
      <c r="C46" s="1048" t="str">
        <f t="shared" si="11"/>
        <v>Year 2026</v>
      </c>
      <c r="D46" s="1058">
        <f t="shared" si="8"/>
        <v>-2425691.8839036655</v>
      </c>
      <c r="E46" s="1065">
        <f t="shared" si="9"/>
        <v>0.0068300000000000001</v>
      </c>
      <c r="F46" s="1048"/>
      <c r="G46" s="55">
        <f t="shared" si="5"/>
        <v>16567.475567062036</v>
      </c>
      <c r="H46" s="55">
        <f t="shared" si="10"/>
        <v>-819634.00508162263</v>
      </c>
      <c r="I46" s="55">
        <f t="shared" si="6"/>
        <v>1622625.3543891048</v>
      </c>
    </row>
    <row r="47" spans="1:9" ht="20.1" customHeight="1">
      <c r="A47" s="390">
        <f t="shared" si="7"/>
        <v>26</v>
      </c>
      <c r="B47" s="1048" t="s">
        <v>242</v>
      </c>
      <c r="C47" s="1048" t="str">
        <f t="shared" si="11"/>
        <v>Year 2026</v>
      </c>
      <c r="D47" s="1058">
        <f t="shared" si="8"/>
        <v>-1622625.3543891048</v>
      </c>
      <c r="E47" s="1065">
        <f t="shared" si="9"/>
        <v>0.0068300000000000001</v>
      </c>
      <c r="F47" s="1048"/>
      <c r="G47" s="55">
        <f t="shared" si="5"/>
        <v>11082.531170477585</v>
      </c>
      <c r="H47" s="55">
        <f t="shared" si="10"/>
        <v>-819634.00508162263</v>
      </c>
      <c r="I47" s="55">
        <f t="shared" si="6"/>
        <v>814073.88047795976</v>
      </c>
    </row>
    <row r="48" spans="1:9" ht="20.1" customHeight="1">
      <c r="A48" s="390">
        <f t="shared" si="7"/>
        <v>27</v>
      </c>
      <c r="B48" s="1048" t="s">
        <v>233</v>
      </c>
      <c r="C48" s="1048" t="str">
        <f t="shared" si="11"/>
        <v>Year 2026</v>
      </c>
      <c r="D48" s="1058">
        <f t="shared" si="8"/>
        <v>-814073.88047795976</v>
      </c>
      <c r="E48" s="1065">
        <f t="shared" si="9"/>
        <v>0.0068300000000000001</v>
      </c>
      <c r="F48" s="1048"/>
      <c r="G48" s="56">
        <f t="shared" si="5"/>
        <v>5560.1246036644652</v>
      </c>
      <c r="H48" s="55">
        <f t="shared" si="10"/>
        <v>-819634.00508162263</v>
      </c>
      <c r="I48" s="55">
        <f t="shared" si="6"/>
        <v>1.62981450557709E-09</v>
      </c>
    </row>
    <row r="49" spans="1:9" ht="20.1" customHeight="1">
      <c r="A49" s="390"/>
      <c r="B49" s="1048"/>
      <c r="C49" s="1048"/>
      <c r="D49" s="1058"/>
      <c r="E49" s="1065"/>
      <c r="F49" s="1048"/>
      <c r="G49" s="55">
        <f>SUM(G37:G48)</f>
        <v>423083.09138618078</v>
      </c>
      <c r="H49" s="55"/>
      <c r="I49" s="55"/>
    </row>
    <row r="50" spans="1:9" ht="20.1" customHeight="1">
      <c r="A50" s="390"/>
      <c r="B50" s="904"/>
      <c r="C50" s="904"/>
      <c r="D50" s="904"/>
      <c r="E50" s="904"/>
      <c r="F50" s="904"/>
      <c r="G50" s="904"/>
      <c r="H50" s="904"/>
      <c r="I50" s="904"/>
    </row>
    <row r="51" spans="1:9" ht="20.1" customHeight="1">
      <c r="A51" s="390">
        <v>28</v>
      </c>
      <c r="B51" s="1048" t="s">
        <v>333</v>
      </c>
      <c r="C51" s="904"/>
      <c r="D51" s="904"/>
      <c r="E51" s="904"/>
      <c r="F51" s="904"/>
      <c r="G51" s="904"/>
      <c r="H51" s="59">
        <f>SUM(H37:H48)</f>
        <v>-9835608.0609794725</v>
      </c>
      <c r="I51" s="904"/>
    </row>
    <row r="52" spans="1:9" ht="20.1" customHeight="1">
      <c r="A52" s="390">
        <v>29</v>
      </c>
      <c r="B52" s="1048" t="s">
        <v>331</v>
      </c>
      <c r="C52" s="904"/>
      <c r="D52" s="904"/>
      <c r="E52" s="904"/>
      <c r="F52" s="904"/>
      <c r="G52" s="904"/>
      <c r="H52" s="59">
        <f>+F10</f>
        <v>-8329715.187157996</v>
      </c>
      <c r="I52" s="904"/>
    </row>
    <row r="53" spans="1:9" ht="20.1" customHeight="1">
      <c r="A53" s="390">
        <v>30</v>
      </c>
      <c r="B53" s="1048" t="s">
        <v>332</v>
      </c>
      <c r="C53" s="904"/>
      <c r="D53" s="904"/>
      <c r="E53" s="904"/>
      <c r="F53" s="904"/>
      <c r="G53" s="904"/>
      <c r="H53" s="59">
        <f>(H51-H52)</f>
        <v>-1505892.8738214765</v>
      </c>
      <c r="I53" s="904"/>
    </row>
    <row r="54" spans="1:9" ht="20.1" customHeight="1">
      <c r="A54" s="390"/>
      <c r="B54" s="1048"/>
      <c r="C54" s="904"/>
      <c r="D54" s="904"/>
      <c r="E54" s="904"/>
      <c r="F54" s="904"/>
      <c r="G54" s="904"/>
      <c r="H54" s="59"/>
      <c r="I54" s="904"/>
    </row>
    <row r="55" spans="1:10" ht="35.25" customHeight="1">
      <c r="A55" s="1070" t="s">
        <v>256</v>
      </c>
      <c r="B55" s="1225" t="s">
        <v>997</v>
      </c>
      <c r="C55" s="1225"/>
      <c r="D55" s="1225"/>
      <c r="E55" s="1225"/>
      <c r="F55" s="1225"/>
      <c r="G55" s="1225"/>
      <c r="H55" s="1225"/>
      <c r="I55" s="1225"/>
      <c r="J55" s="1225"/>
    </row>
  </sheetData>
  <customSheetViews>
    <customSheetView guid="{33e6ffdf-cb42-4a87-b460-a01a45f9a9a1}" printArea="1" scale="60" showPageBreaks="1" topLeftCell="A1" view="pageBreakPreview">
      <selection pane="topLeft" activeCell="H4" sqref="H4"/>
      <pageMargins left="0.7" right="0.7" top="0.75" bottom="0.75" header="0.3" footer="0.3"/>
      <printOptions horizontalCentered="1"/>
      <pageSetup fitToHeight="0" fitToWidth="0" orientation="portrait" paperSize="1" scale="45" r:id="rId2"/>
      <headerFooter alignWithMargins="0"/>
    </customSheetView>
    <customSheetView guid="{394295c0-a883-44ec-b980-c2facd4b6eba}" printArea="1" scale="60" showPageBreaks="1" topLeftCell="A1" view="pageBreakPreview">
      <selection pane="topLeft" activeCell="H4" sqref="H4"/>
      <pageMargins left="0.7" right="0.7" top="0.75" bottom="0.75" header="0.3" footer="0.3"/>
      <printOptions horizontalCentered="1"/>
      <pageSetup fitToHeight="0" fitToWidth="0" orientation="portrait" paperSize="1" scale="45" r:id="rId3"/>
      <headerFooter alignWithMargins="0"/>
    </customSheetView>
  </customSheetViews>
  <mergeCells count="4">
    <mergeCell ref="B5:I5"/>
    <mergeCell ref="B6:I6"/>
    <mergeCell ref="B13:C13"/>
    <mergeCell ref="B55:J55"/>
  </mergeCells>
  <printOptions horizontalCentered="1"/>
  <pageMargins left="0.7" right="0.7" top="0.75" bottom="0.75" header="0.3" footer="0.3"/>
  <pageSetup fitToHeight="0" fitToWidth="0" orientation="portrait" paperSize="1" scale="45"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A1:M72"/>
  <sheetViews>
    <sheetView view="pageBreakPreview" zoomScale="70" zoomScaleNormal="90" zoomScaleSheetLayoutView="70" workbookViewId="0" topLeftCell="A1"/>
  </sheetViews>
  <sheetFormatPr defaultColWidth="8.88555555555556" defaultRowHeight="15"/>
  <cols>
    <col min="1" max="1" width="6.55555555555556" style="509" customWidth="1"/>
    <col min="2" max="2" width="82.5555555555556" style="509" customWidth="1"/>
    <col min="3" max="3" width="10.4444444444444" style="509" customWidth="1"/>
    <col min="4" max="4" width="10.1111111111111" style="509" customWidth="1"/>
    <col min="5" max="5" width="13.6666666666667" style="509" customWidth="1"/>
    <col min="6" max="6" width="9.88888888888889" style="509" customWidth="1"/>
    <col min="7" max="7" width="9.66666666666667" style="509" customWidth="1"/>
    <col min="8" max="8" width="15.5555555555556" style="509" customWidth="1"/>
    <col min="9" max="9" width="1.44444444444444" style="509" customWidth="1"/>
    <col min="10" max="10" width="8.88888888888889" style="509"/>
    <col min="11" max="11" width="6" style="509" customWidth="1"/>
    <col min="12" max="16384" width="8.88888888888889" style="509"/>
  </cols>
  <sheetData>
    <row r="1" spans="1:13" ht="15.75">
      <c r="A1" s="517"/>
      <c r="B1" s="518"/>
      <c r="C1" s="518"/>
      <c r="D1" s="518"/>
      <c r="E1" s="517"/>
      <c r="F1" s="517"/>
      <c r="G1" s="517"/>
      <c r="H1" s="519" t="s">
        <v>804</v>
      </c>
      <c r="I1" s="518"/>
      <c r="J1" s="518"/>
      <c r="K1" s="519"/>
      <c r="L1" s="518"/>
      <c r="M1" s="518"/>
    </row>
    <row r="2" spans="1:13" ht="15.75">
      <c r="A2" s="517"/>
      <c r="B2" s="518"/>
      <c r="C2" s="518"/>
      <c r="D2" s="518"/>
      <c r="E2" s="517"/>
      <c r="F2" s="517"/>
      <c r="G2" s="517"/>
      <c r="H2" s="519" t="s">
        <v>220</v>
      </c>
      <c r="I2" s="518"/>
      <c r="J2" s="518"/>
      <c r="K2" s="519"/>
      <c r="L2" s="518"/>
      <c r="M2" s="518"/>
    </row>
    <row r="3" spans="1:13" ht="15.75">
      <c r="A3" s="517"/>
      <c r="B3" s="518"/>
      <c r="C3" s="518"/>
      <c r="D3" s="518"/>
      <c r="E3" s="517"/>
      <c r="F3" s="517"/>
      <c r="G3" s="520"/>
      <c r="H3" s="521" t="str">
        <f>'Attach 13a-TEC Rev Req True up'!J3</f>
        <v>For the 12 months ended 12/31/2026</v>
      </c>
      <c r="I3" s="518"/>
      <c r="J3" s="518"/>
      <c r="K3" s="521"/>
      <c r="L3" s="518"/>
      <c r="M3" s="518"/>
    </row>
    <row r="4" spans="1:13" ht="15.75">
      <c r="A4" s="522"/>
      <c r="B4" s="518"/>
      <c r="C4" s="520" t="s">
        <v>805</v>
      </c>
      <c r="D4" s="518"/>
      <c r="E4" s="520"/>
      <c r="F4" s="517"/>
      <c r="G4" s="517"/>
      <c r="H4" s="518"/>
      <c r="I4" s="518"/>
      <c r="J4" s="518"/>
      <c r="K4" s="518"/>
      <c r="L4" s="518"/>
      <c r="M4" s="518"/>
    </row>
    <row r="5" spans="1:13" ht="15.75">
      <c r="A5" s="517"/>
      <c r="B5" s="518"/>
      <c r="C5" s="518"/>
      <c r="D5" s="518"/>
      <c r="E5" s="517"/>
      <c r="F5" s="517"/>
      <c r="G5" s="517"/>
      <c r="H5" s="517"/>
      <c r="I5" s="517"/>
      <c r="J5" s="518"/>
      <c r="K5" s="517"/>
      <c r="L5" s="518"/>
      <c r="M5" s="518"/>
    </row>
    <row r="6" spans="1:13" ht="15.75">
      <c r="A6" s="517"/>
      <c r="B6" s="510" t="s">
        <v>1066</v>
      </c>
      <c r="C6" s="510" t="s">
        <v>1067</v>
      </c>
      <c r="D6" s="510" t="s">
        <v>1068</v>
      </c>
      <c r="E6" s="510" t="s">
        <v>1069</v>
      </c>
      <c r="F6" s="510" t="s">
        <v>1084</v>
      </c>
      <c r="G6" s="510" t="s">
        <v>1085</v>
      </c>
      <c r="H6" s="510" t="s">
        <v>1086</v>
      </c>
      <c r="I6" s="520"/>
      <c r="J6" s="518"/>
      <c r="K6" s="518"/>
      <c r="L6" s="518"/>
      <c r="M6" s="518"/>
    </row>
    <row r="7" spans="1:13" ht="15.75">
      <c r="A7" s="517"/>
      <c r="B7" s="510"/>
      <c r="C7" s="510"/>
      <c r="D7" s="510"/>
      <c r="E7" s="510"/>
      <c r="F7" s="510"/>
      <c r="G7" s="510"/>
      <c r="H7" s="510"/>
      <c r="I7" s="520"/>
      <c r="J7" s="518"/>
      <c r="K7" s="518"/>
      <c r="L7" s="518"/>
      <c r="M7" s="518"/>
    </row>
    <row r="8" spans="1:13" ht="15.75">
      <c r="A8" s="517"/>
      <c r="B8" s="518"/>
      <c r="C8" s="510" t="s">
        <v>1070</v>
      </c>
      <c r="D8" s="510" t="s">
        <v>1070</v>
      </c>
      <c r="E8" s="510" t="s">
        <v>1071</v>
      </c>
      <c r="F8" s="520"/>
      <c r="G8" s="520"/>
      <c r="H8" s="510"/>
      <c r="I8" s="518"/>
      <c r="J8" s="518"/>
      <c r="K8" s="518"/>
      <c r="L8" s="518"/>
      <c r="M8" s="518"/>
    </row>
    <row r="9" spans="1:13" ht="15.75">
      <c r="A9" s="523" t="s">
        <v>211</v>
      </c>
      <c r="B9" s="523" t="s">
        <v>1002</v>
      </c>
      <c r="C9" s="1158" t="s">
        <v>1442</v>
      </c>
      <c r="D9" s="1158" t="s">
        <v>1461</v>
      </c>
      <c r="E9" s="513" t="s">
        <v>1072</v>
      </c>
      <c r="F9" s="1228"/>
      <c r="G9" s="1228"/>
      <c r="H9" s="513"/>
      <c r="I9" s="518"/>
      <c r="J9" s="518"/>
      <c r="K9" s="518"/>
      <c r="L9" s="518"/>
      <c r="M9" s="518"/>
    </row>
    <row r="10" spans="1:13" ht="15.75">
      <c r="A10" s="524">
        <v>1</v>
      </c>
      <c r="B10" s="525" t="s">
        <v>1090</v>
      </c>
      <c r="C10" s="526">
        <v>0</v>
      </c>
      <c r="D10" s="526">
        <v>0</v>
      </c>
      <c r="E10" s="527">
        <f>AVERAGE(C10:D10)</f>
        <v>0</v>
      </c>
      <c r="F10" s="528"/>
      <c r="G10" s="528"/>
      <c r="H10" s="529"/>
      <c r="I10" s="530"/>
      <c r="J10" s="518"/>
      <c r="K10" s="518"/>
      <c r="L10" s="518"/>
      <c r="M10" s="518"/>
    </row>
    <row r="11" spans="1:13" ht="15.75">
      <c r="A11" s="524">
        <f>A10+1</f>
        <v>2</v>
      </c>
      <c r="B11" s="525" t="s">
        <v>1091</v>
      </c>
      <c r="C11" s="526">
        <v>0</v>
      </c>
      <c r="D11" s="526">
        <v>0</v>
      </c>
      <c r="E11" s="527">
        <f>AVERAGE(C11:D11)</f>
        <v>0</v>
      </c>
      <c r="F11" s="528"/>
      <c r="G11" s="528"/>
      <c r="H11" s="529"/>
      <c r="I11" s="530"/>
      <c r="J11" s="518"/>
      <c r="K11" s="518"/>
      <c r="L11" s="518"/>
      <c r="M11" s="518"/>
    </row>
    <row r="12" spans="1:13" ht="15.75">
      <c r="A12" s="524">
        <f>A11+1</f>
        <v>3</v>
      </c>
      <c r="B12" s="531" t="s">
        <v>1092</v>
      </c>
      <c r="C12" s="1071">
        <v>566320</v>
      </c>
      <c r="D12" s="1071">
        <v>1206888</v>
      </c>
      <c r="E12" s="527">
        <f>AVERAGE(C12:D12)</f>
        <v>886604</v>
      </c>
      <c r="F12" s="528"/>
      <c r="G12" s="528"/>
      <c r="H12" s="529"/>
      <c r="I12" s="530"/>
      <c r="J12" s="518"/>
      <c r="K12" s="518"/>
      <c r="L12" s="518"/>
      <c r="M12" s="518"/>
    </row>
    <row r="13" spans="1:13" ht="15.75">
      <c r="A13" s="517"/>
      <c r="B13" s="518"/>
      <c r="C13" s="518"/>
      <c r="D13" s="518"/>
      <c r="E13" s="517"/>
      <c r="F13" s="517"/>
      <c r="G13" s="517"/>
      <c r="H13" s="518"/>
      <c r="I13" s="518"/>
      <c r="J13" s="518"/>
      <c r="K13" s="532"/>
      <c r="L13" s="518"/>
      <c r="M13" s="518"/>
    </row>
    <row r="14" spans="1:13" ht="15.75">
      <c r="A14" s="517"/>
      <c r="B14" s="520"/>
      <c r="C14" s="520" t="s">
        <v>1093</v>
      </c>
      <c r="D14" s="520"/>
      <c r="E14" s="517"/>
      <c r="I14" s="518"/>
      <c r="J14" s="518"/>
      <c r="K14" s="533"/>
      <c r="L14" s="518"/>
      <c r="M14" s="518"/>
    </row>
    <row r="15" spans="1:8" ht="15">
      <c r="A15" s="510"/>
      <c r="B15" s="510"/>
      <c r="C15" s="510"/>
      <c r="D15" s="510"/>
      <c r="E15" s="510"/>
      <c r="F15" s="510"/>
      <c r="G15" s="510"/>
      <c r="H15" s="510"/>
    </row>
    <row r="16" spans="1:8" ht="15">
      <c r="A16" s="510"/>
      <c r="B16" s="510"/>
      <c r="C16" s="510" t="s">
        <v>1070</v>
      </c>
      <c r="D16" s="510" t="s">
        <v>1070</v>
      </c>
      <c r="E16" s="510" t="s">
        <v>1071</v>
      </c>
      <c r="H16" s="510" t="s">
        <v>1087</v>
      </c>
    </row>
    <row r="17" spans="1:8" ht="15">
      <c r="A17" s="523" t="s">
        <v>211</v>
      </c>
      <c r="B17" s="523" t="s">
        <v>1002</v>
      </c>
      <c r="C17" s="513" t="str">
        <f>C9</f>
        <v>OF 12-31-25</v>
      </c>
      <c r="D17" s="513" t="str">
        <f>D9</f>
        <v>OF 12-31-26</v>
      </c>
      <c r="E17" s="513" t="s">
        <v>1072</v>
      </c>
      <c r="F17" s="1228" t="s">
        <v>1088</v>
      </c>
      <c r="G17" s="1228"/>
      <c r="H17" s="513" t="s">
        <v>1089</v>
      </c>
    </row>
    <row r="18" spans="2:8" ht="15">
      <c r="B18" s="1229" t="s">
        <v>1094</v>
      </c>
      <c r="C18" s="1229"/>
      <c r="D18" s="1229"/>
      <c r="E18" s="1229"/>
      <c r="F18" s="1229"/>
      <c r="G18" s="1229"/>
      <c r="H18" s="1229"/>
    </row>
    <row r="19" spans="1:8" ht="15">
      <c r="A19" s="510" t="s">
        <v>640</v>
      </c>
      <c r="B19" s="509" t="s">
        <v>1095</v>
      </c>
      <c r="C19" s="534">
        <v>0</v>
      </c>
      <c r="D19" s="534">
        <v>0</v>
      </c>
      <c r="E19" s="509">
        <f>AVERAGE(C19:D19)</f>
        <v>0</v>
      </c>
      <c r="F19" s="509" t="s">
        <v>60</v>
      </c>
      <c r="G19" s="535">
        <f>'Attachment H-28A MAIT '!$G$61</f>
        <v>1</v>
      </c>
      <c r="H19" s="509">
        <f>G19*E19</f>
        <v>0</v>
      </c>
    </row>
    <row r="20" spans="1:8" ht="15">
      <c r="A20" s="510" t="s">
        <v>1096</v>
      </c>
      <c r="B20" s="534" t="s">
        <v>1097</v>
      </c>
      <c r="C20" s="534">
        <v>0</v>
      </c>
      <c r="D20" s="534">
        <v>0</v>
      </c>
      <c r="E20" s="509">
        <f>AVERAGE(C20:D20)</f>
        <v>0</v>
      </c>
      <c r="F20" s="509" t="s">
        <v>1076</v>
      </c>
      <c r="G20" s="509">
        <v>0</v>
      </c>
      <c r="H20" s="509">
        <f>G20*E20</f>
        <v>0</v>
      </c>
    </row>
    <row r="21" spans="1:8" ht="15">
      <c r="A21" s="510" t="s">
        <v>1098</v>
      </c>
      <c r="B21" s="534" t="s">
        <v>1097</v>
      </c>
      <c r="C21" s="534">
        <v>0</v>
      </c>
      <c r="D21" s="534">
        <v>0</v>
      </c>
      <c r="E21" s="509">
        <f>AVERAGE(C21:D21)</f>
        <v>0</v>
      </c>
      <c r="F21" s="509" t="s">
        <v>1076</v>
      </c>
      <c r="G21" s="509">
        <v>0</v>
      </c>
      <c r="H21" s="523">
        <f>G21*E21</f>
        <v>0</v>
      </c>
    </row>
    <row r="22" spans="1:8" ht="15">
      <c r="A22" s="510" t="s">
        <v>737</v>
      </c>
      <c r="B22" s="509" t="s">
        <v>1099</v>
      </c>
      <c r="C22" s="509">
        <f>SUM(C19:C21)</f>
        <v>0</v>
      </c>
      <c r="D22" s="509">
        <f>SUM(D19:D21)</f>
        <v>0</v>
      </c>
      <c r="H22" s="509">
        <f>SUM(H19:H21)</f>
        <v>0</v>
      </c>
    </row>
    <row r="23" spans="1:1" ht="15">
      <c r="A23" s="510" t="str">
        <f>IF(H23&lt;&gt;"",COUNTA($H$19:H23),"")</f>
        <v/>
      </c>
    </row>
    <row r="24" spans="1:8" ht="15">
      <c r="A24" s="510" t="str">
        <f>IF(H24&lt;&gt;"",COUNTA($H$19:H24),"")</f>
        <v/>
      </c>
      <c r="B24" s="1227" t="s">
        <v>1100</v>
      </c>
      <c r="C24" s="1227"/>
      <c r="D24" s="1227"/>
      <c r="E24" s="1227"/>
      <c r="F24" s="1227"/>
      <c r="G24" s="1227"/>
      <c r="H24" s="1227"/>
    </row>
    <row r="25" spans="1:8" ht="15">
      <c r="A25" s="510" t="s">
        <v>731</v>
      </c>
      <c r="B25" s="509" t="s">
        <v>1101</v>
      </c>
      <c r="C25" s="534">
        <v>0</v>
      </c>
      <c r="D25" s="534">
        <v>0</v>
      </c>
      <c r="E25" s="509">
        <f>AVERAGE(C25:D25)</f>
        <v>0</v>
      </c>
      <c r="F25" s="509" t="s">
        <v>39</v>
      </c>
      <c r="G25" s="535">
        <f>'Attachment H-28A MAIT '!$I$233</f>
        <v>1</v>
      </c>
      <c r="H25" s="509">
        <f>G25*E25</f>
        <v>0</v>
      </c>
    </row>
    <row r="26" spans="1:8" ht="15">
      <c r="A26" s="510" t="s">
        <v>732</v>
      </c>
      <c r="B26" s="509" t="s">
        <v>1102</v>
      </c>
      <c r="C26" s="534">
        <v>0</v>
      </c>
      <c r="D26" s="534">
        <v>0</v>
      </c>
      <c r="E26" s="509">
        <f>AVERAGE(C26:D26)</f>
        <v>0</v>
      </c>
      <c r="F26" s="509" t="s">
        <v>39</v>
      </c>
      <c r="G26" s="535">
        <f>'Attachment H-28A MAIT '!$I$233</f>
        <v>1</v>
      </c>
      <c r="H26" s="509">
        <f>G26*E26</f>
        <v>0</v>
      </c>
    </row>
    <row r="27" spans="1:8" ht="15">
      <c r="A27" s="510" t="s">
        <v>733</v>
      </c>
      <c r="B27" s="509" t="s">
        <v>1103</v>
      </c>
      <c r="C27" s="534">
        <v>0</v>
      </c>
      <c r="D27" s="534">
        <v>0</v>
      </c>
      <c r="E27" s="509">
        <f>AVERAGE(C27:D27)</f>
        <v>0</v>
      </c>
      <c r="F27" s="509" t="s">
        <v>60</v>
      </c>
      <c r="G27" s="535">
        <f>'Attachment H-28A MAIT '!$G$61</f>
        <v>1</v>
      </c>
      <c r="H27" s="509">
        <f>G27*E27</f>
        <v>0</v>
      </c>
    </row>
    <row r="28" spans="1:8" ht="15">
      <c r="A28" s="510" t="s">
        <v>1104</v>
      </c>
      <c r="B28" s="534" t="s">
        <v>1105</v>
      </c>
      <c r="C28" s="534">
        <v>0</v>
      </c>
      <c r="D28" s="534">
        <v>0</v>
      </c>
      <c r="E28" s="509">
        <f>AVERAGE(C28:D28)</f>
        <v>0</v>
      </c>
      <c r="F28" s="509" t="s">
        <v>1076</v>
      </c>
      <c r="G28" s="509">
        <v>0</v>
      </c>
      <c r="H28" s="509">
        <f>G28*E28</f>
        <v>0</v>
      </c>
    </row>
    <row r="29" spans="1:8" ht="15">
      <c r="A29" s="510" t="s">
        <v>1106</v>
      </c>
      <c r="B29" s="534" t="s">
        <v>1105</v>
      </c>
      <c r="C29" s="534">
        <v>0</v>
      </c>
      <c r="D29" s="534">
        <v>0</v>
      </c>
      <c r="E29" s="509">
        <f>AVERAGE(C29:D29)</f>
        <v>0</v>
      </c>
      <c r="F29" s="509" t="s">
        <v>1076</v>
      </c>
      <c r="G29" s="509">
        <v>0</v>
      </c>
      <c r="H29" s="523">
        <f>G29*E29</f>
        <v>0</v>
      </c>
    </row>
    <row r="30" spans="1:8" ht="15">
      <c r="A30" s="510" t="s">
        <v>738</v>
      </c>
      <c r="B30" s="509" t="s">
        <v>1107</v>
      </c>
      <c r="C30" s="509">
        <f>SUM(C25:C29)</f>
        <v>0</v>
      </c>
      <c r="D30" s="509">
        <f>SUM(D25:D29)</f>
        <v>0</v>
      </c>
      <c r="H30" s="509">
        <f>SUM(H25:H29)</f>
        <v>0</v>
      </c>
    </row>
    <row r="31" spans="1:1" ht="15">
      <c r="A31" s="510" t="str">
        <f>IF(H31&lt;&gt;"",COUNTA($H$19:H31),"")</f>
        <v/>
      </c>
    </row>
    <row r="32" spans="1:8" ht="15">
      <c r="A32" s="510" t="str">
        <f>IF(H32&lt;&gt;"",COUNTA($H$19:H32),"")</f>
        <v/>
      </c>
      <c r="B32" s="1227" t="s">
        <v>1108</v>
      </c>
      <c r="C32" s="1227"/>
      <c r="D32" s="1227"/>
      <c r="E32" s="1227"/>
      <c r="F32" s="1227"/>
      <c r="G32" s="1227"/>
      <c r="H32" s="1227"/>
    </row>
    <row r="33" spans="1:8" ht="15">
      <c r="A33" s="510" t="s">
        <v>1109</v>
      </c>
      <c r="B33" s="509" t="s">
        <v>1110</v>
      </c>
      <c r="C33" s="534">
        <v>0</v>
      </c>
      <c r="D33" s="534">
        <v>0</v>
      </c>
      <c r="E33" s="509">
        <f t="shared" si="0" ref="E33:E38">AVERAGE(C33:D33)</f>
        <v>0</v>
      </c>
      <c r="F33" s="509" t="s">
        <v>39</v>
      </c>
      <c r="G33" s="535">
        <f>'Attachment H-28A MAIT '!$I$233</f>
        <v>1</v>
      </c>
      <c r="H33" s="509">
        <f t="shared" si="1" ref="H33:H38">G33*E33</f>
        <v>0</v>
      </c>
    </row>
    <row r="34" spans="1:8" ht="15">
      <c r="A34" s="510" t="s">
        <v>1111</v>
      </c>
      <c r="B34" s="509" t="s">
        <v>1112</v>
      </c>
      <c r="C34" s="534">
        <v>0</v>
      </c>
      <c r="D34" s="534">
        <v>0</v>
      </c>
      <c r="E34" s="509">
        <f t="shared" si="0"/>
        <v>0</v>
      </c>
      <c r="F34" s="509" t="s">
        <v>39</v>
      </c>
      <c r="G34" s="535">
        <f>'Attachment H-28A MAIT '!$I$233</f>
        <v>1</v>
      </c>
      <c r="H34" s="509">
        <f t="shared" si="1"/>
        <v>0</v>
      </c>
    </row>
    <row r="35" spans="1:8" ht="15">
      <c r="A35" s="510" t="s">
        <v>1113</v>
      </c>
      <c r="B35" s="509" t="s">
        <v>1114</v>
      </c>
      <c r="C35" s="534">
        <v>0</v>
      </c>
      <c r="D35" s="534">
        <v>0</v>
      </c>
      <c r="E35" s="509">
        <f t="shared" si="0"/>
        <v>0</v>
      </c>
      <c r="F35" s="509" t="s">
        <v>39</v>
      </c>
      <c r="G35" s="535">
        <f>'Attachment H-28A MAIT '!$I$233</f>
        <v>1</v>
      </c>
      <c r="H35" s="509">
        <f t="shared" si="1"/>
        <v>0</v>
      </c>
    </row>
    <row r="36" spans="1:8" ht="15">
      <c r="A36" s="510" t="s">
        <v>1115</v>
      </c>
      <c r="B36" s="509" t="s">
        <v>1116</v>
      </c>
      <c r="C36" s="534">
        <v>0</v>
      </c>
      <c r="D36" s="534">
        <v>0</v>
      </c>
      <c r="E36" s="509">
        <f t="shared" si="0"/>
        <v>0</v>
      </c>
      <c r="F36" s="509" t="s">
        <v>39</v>
      </c>
      <c r="G36" s="535">
        <f>'Attachment H-28A MAIT '!$I$233</f>
        <v>1</v>
      </c>
      <c r="H36" s="509">
        <f t="shared" si="1"/>
        <v>0</v>
      </c>
    </row>
    <row r="37" spans="1:8" ht="15">
      <c r="A37" s="510" t="s">
        <v>1117</v>
      </c>
      <c r="B37" s="509" t="s">
        <v>1118</v>
      </c>
      <c r="C37" s="534">
        <v>0</v>
      </c>
      <c r="D37" s="534">
        <v>0</v>
      </c>
      <c r="E37" s="509">
        <f t="shared" si="0"/>
        <v>0</v>
      </c>
      <c r="F37" s="509" t="s">
        <v>39</v>
      </c>
      <c r="G37" s="535">
        <f>'Attachment H-28A MAIT '!$I$233</f>
        <v>1</v>
      </c>
      <c r="H37" s="509">
        <f t="shared" si="1"/>
        <v>0</v>
      </c>
    </row>
    <row r="38" spans="1:8" ht="15">
      <c r="A38" s="510" t="s">
        <v>1119</v>
      </c>
      <c r="B38" s="509" t="s">
        <v>1120</v>
      </c>
      <c r="C38" s="534">
        <v>0</v>
      </c>
      <c r="D38" s="534">
        <v>0</v>
      </c>
      <c r="E38" s="509">
        <f t="shared" si="0"/>
        <v>0</v>
      </c>
      <c r="F38" s="509" t="s">
        <v>39</v>
      </c>
      <c r="G38" s="535">
        <f>'Attachment H-28A MAIT '!$I$233</f>
        <v>1</v>
      </c>
      <c r="H38" s="509">
        <f t="shared" si="1"/>
        <v>0</v>
      </c>
    </row>
    <row r="39" spans="1:8" ht="15">
      <c r="A39" s="510" t="s">
        <v>1121</v>
      </c>
      <c r="B39" s="534" t="s">
        <v>1122</v>
      </c>
      <c r="C39" s="534">
        <v>0</v>
      </c>
      <c r="D39" s="534">
        <v>0</v>
      </c>
      <c r="E39" s="509">
        <f>AVERAGE(C39:D39)</f>
        <v>0</v>
      </c>
      <c r="F39" s="509" t="s">
        <v>1076</v>
      </c>
      <c r="G39" s="509">
        <v>0</v>
      </c>
      <c r="H39" s="509">
        <f>G39*E39</f>
        <v>0</v>
      </c>
    </row>
    <row r="40" spans="1:8" ht="15">
      <c r="A40" s="510" t="s">
        <v>1123</v>
      </c>
      <c r="B40" s="534" t="s">
        <v>1122</v>
      </c>
      <c r="C40" s="534">
        <v>0</v>
      </c>
      <c r="D40" s="534">
        <v>0</v>
      </c>
      <c r="E40" s="509">
        <f>AVERAGE(C40:D40)</f>
        <v>0</v>
      </c>
      <c r="F40" s="509" t="s">
        <v>1076</v>
      </c>
      <c r="G40" s="509">
        <v>0</v>
      </c>
      <c r="H40" s="523">
        <f>G40*E40</f>
        <v>0</v>
      </c>
    </row>
    <row r="41" spans="1:8" ht="15">
      <c r="A41" s="510" t="s">
        <v>739</v>
      </c>
      <c r="B41" s="509" t="s">
        <v>1124</v>
      </c>
      <c r="C41" s="509">
        <f>SUM(C33:C40)</f>
        <v>0</v>
      </c>
      <c r="D41" s="509">
        <f>SUM(D33:D40)</f>
        <v>0</v>
      </c>
      <c r="H41" s="509">
        <f>SUM(H33:H40)</f>
        <v>0</v>
      </c>
    </row>
    <row r="42" spans="1:1" ht="15">
      <c r="A42" s="510" t="str">
        <f>IF(H42&lt;&gt;"",COUNTA($H$19:H42),"")</f>
        <v/>
      </c>
    </row>
    <row r="43" spans="1:8" ht="15">
      <c r="A43" s="510" t="str">
        <f>IF(H43&lt;&gt;"",COUNTA($H$19:H43),"")</f>
        <v/>
      </c>
      <c r="B43" s="1227" t="s">
        <v>1125</v>
      </c>
      <c r="C43" s="1227"/>
      <c r="D43" s="1227"/>
      <c r="E43" s="1227"/>
      <c r="F43" s="1227"/>
      <c r="G43" s="1227"/>
      <c r="H43" s="1227"/>
    </row>
    <row r="44" spans="1:8" ht="15">
      <c r="A44" s="510" t="s">
        <v>1126</v>
      </c>
      <c r="B44" s="509" t="s">
        <v>1110</v>
      </c>
      <c r="C44" s="534">
        <v>0</v>
      </c>
      <c r="D44" s="534">
        <v>0</v>
      </c>
      <c r="E44" s="509">
        <f t="shared" si="2" ref="E44:E49">AVERAGE(C44:D44)</f>
        <v>0</v>
      </c>
      <c r="F44" s="509" t="s">
        <v>39</v>
      </c>
      <c r="G44" s="535">
        <f>'Attachment H-28A MAIT '!$I$233</f>
        <v>1</v>
      </c>
      <c r="H44" s="509">
        <f t="shared" si="3" ref="H44:H49">G44*E44</f>
        <v>0</v>
      </c>
    </row>
    <row r="45" spans="1:8" ht="15">
      <c r="A45" s="510" t="s">
        <v>1127</v>
      </c>
      <c r="B45" s="509" t="s">
        <v>1112</v>
      </c>
      <c r="C45" s="534">
        <v>0</v>
      </c>
      <c r="D45" s="534">
        <v>0</v>
      </c>
      <c r="E45" s="509">
        <f t="shared" si="2"/>
        <v>0</v>
      </c>
      <c r="F45" s="509" t="s">
        <v>39</v>
      </c>
      <c r="G45" s="535">
        <f>'Attachment H-28A MAIT '!$I$233</f>
        <v>1</v>
      </c>
      <c r="H45" s="509">
        <f t="shared" si="3"/>
        <v>0</v>
      </c>
    </row>
    <row r="46" spans="1:8" ht="15">
      <c r="A46" s="510" t="s">
        <v>1128</v>
      </c>
      <c r="B46" s="509" t="s">
        <v>1114</v>
      </c>
      <c r="C46" s="534">
        <v>0</v>
      </c>
      <c r="D46" s="534">
        <v>0</v>
      </c>
      <c r="E46" s="509">
        <f t="shared" si="2"/>
        <v>0</v>
      </c>
      <c r="F46" s="509" t="s">
        <v>39</v>
      </c>
      <c r="G46" s="535">
        <f>'Attachment H-28A MAIT '!$I$233</f>
        <v>1</v>
      </c>
      <c r="H46" s="509">
        <f t="shared" si="3"/>
        <v>0</v>
      </c>
    </row>
    <row r="47" spans="1:8" ht="15">
      <c r="A47" s="510" t="s">
        <v>1129</v>
      </c>
      <c r="B47" s="509" t="s">
        <v>1116</v>
      </c>
      <c r="C47" s="534">
        <v>0</v>
      </c>
      <c r="D47" s="534">
        <v>0</v>
      </c>
      <c r="E47" s="509">
        <f t="shared" si="2"/>
        <v>0</v>
      </c>
      <c r="F47" s="509" t="s">
        <v>39</v>
      </c>
      <c r="G47" s="535">
        <f>'Attachment H-28A MAIT '!$I$233</f>
        <v>1</v>
      </c>
      <c r="H47" s="509">
        <f t="shared" si="3"/>
        <v>0</v>
      </c>
    </row>
    <row r="48" spans="1:8" ht="15">
      <c r="A48" s="510" t="s">
        <v>1130</v>
      </c>
      <c r="B48" s="509" t="s">
        <v>1118</v>
      </c>
      <c r="C48" s="534">
        <v>0</v>
      </c>
      <c r="D48" s="534">
        <v>0</v>
      </c>
      <c r="E48" s="509">
        <f t="shared" si="2"/>
        <v>0</v>
      </c>
      <c r="F48" s="509" t="s">
        <v>39</v>
      </c>
      <c r="G48" s="535">
        <f>'Attachment H-28A MAIT '!$I$233</f>
        <v>1</v>
      </c>
      <c r="H48" s="509">
        <f t="shared" si="3"/>
        <v>0</v>
      </c>
    </row>
    <row r="49" spans="1:8" ht="15">
      <c r="A49" s="510" t="s">
        <v>1131</v>
      </c>
      <c r="B49" s="509" t="s">
        <v>1120</v>
      </c>
      <c r="C49" s="534">
        <v>0</v>
      </c>
      <c r="D49" s="534">
        <v>0</v>
      </c>
      <c r="E49" s="509">
        <f t="shared" si="2"/>
        <v>0</v>
      </c>
      <c r="F49" s="509" t="s">
        <v>39</v>
      </c>
      <c r="G49" s="535">
        <f>'Attachment H-28A MAIT '!$I$233</f>
        <v>1</v>
      </c>
      <c r="H49" s="509">
        <f t="shared" si="3"/>
        <v>0</v>
      </c>
    </row>
    <row r="50" spans="1:8" ht="15">
      <c r="A50" s="510" t="s">
        <v>1132</v>
      </c>
      <c r="B50" s="534" t="s">
        <v>1133</v>
      </c>
      <c r="C50" s="534">
        <v>0</v>
      </c>
      <c r="D50" s="534">
        <v>0</v>
      </c>
      <c r="E50" s="509">
        <f>AVERAGE(C50:D50)</f>
        <v>0</v>
      </c>
      <c r="F50" s="509" t="s">
        <v>1076</v>
      </c>
      <c r="G50" s="509">
        <v>0</v>
      </c>
      <c r="H50" s="509">
        <f>G50*E50</f>
        <v>0</v>
      </c>
    </row>
    <row r="51" spans="1:8" ht="15">
      <c r="A51" s="510" t="s">
        <v>1134</v>
      </c>
      <c r="B51" s="534" t="s">
        <v>1133</v>
      </c>
      <c r="C51" s="534">
        <v>0</v>
      </c>
      <c r="D51" s="534">
        <v>0</v>
      </c>
      <c r="E51" s="509">
        <f>AVERAGE(C51:D51)</f>
        <v>0</v>
      </c>
      <c r="F51" s="509" t="s">
        <v>1076</v>
      </c>
      <c r="G51" s="509">
        <v>0</v>
      </c>
      <c r="H51" s="523">
        <f>G51*E51</f>
        <v>0</v>
      </c>
    </row>
    <row r="52" spans="1:8" ht="15">
      <c r="A52" s="510" t="s">
        <v>1135</v>
      </c>
      <c r="B52" s="509" t="s">
        <v>1136</v>
      </c>
      <c r="C52" s="509">
        <f>SUM(C44:C51)</f>
        <v>0</v>
      </c>
      <c r="D52" s="509">
        <f>SUM(D44:D51)</f>
        <v>0</v>
      </c>
      <c r="H52" s="509">
        <f>SUM(H44:H51)</f>
        <v>0</v>
      </c>
    </row>
    <row r="53" spans="1:1" ht="15">
      <c r="A53" s="510" t="str">
        <f>IF(H53&lt;&gt;"",COUNTA($H$19:H53),"")</f>
        <v/>
      </c>
    </row>
    <row r="54" spans="1:8" ht="15">
      <c r="A54" s="510" t="str">
        <f>IF(H54&lt;&gt;"",COUNTA($H$19:H54),"")</f>
        <v/>
      </c>
      <c r="B54" s="1227" t="s">
        <v>1137</v>
      </c>
      <c r="C54" s="1227"/>
      <c r="D54" s="1227"/>
      <c r="E54" s="1227"/>
      <c r="F54" s="1227"/>
      <c r="G54" s="1227"/>
      <c r="H54" s="1227"/>
    </row>
    <row r="55" spans="1:8" ht="15">
      <c r="A55" s="510" t="s">
        <v>1138</v>
      </c>
      <c r="B55" s="509" t="s">
        <v>1110</v>
      </c>
      <c r="C55" s="534">
        <v>0</v>
      </c>
      <c r="D55" s="534">
        <v>0</v>
      </c>
      <c r="E55" s="701">
        <f t="shared" si="4" ref="E55:E60">AVERAGE(C55:D55)</f>
        <v>0</v>
      </c>
      <c r="F55" s="509" t="s">
        <v>39</v>
      </c>
      <c r="G55" s="535">
        <f>'Attachment H-28A MAIT '!$I$233</f>
        <v>1</v>
      </c>
      <c r="H55" s="701">
        <f t="shared" si="5" ref="H55:H60">G55*E55</f>
        <v>0</v>
      </c>
    </row>
    <row r="56" spans="1:8" ht="15">
      <c r="A56" s="510" t="s">
        <v>1139</v>
      </c>
      <c r="B56" s="509" t="s">
        <v>1112</v>
      </c>
      <c r="C56" s="534">
        <v>0</v>
      </c>
      <c r="D56" s="534">
        <v>0</v>
      </c>
      <c r="E56" s="509">
        <f t="shared" si="4"/>
        <v>0</v>
      </c>
      <c r="F56" s="509" t="s">
        <v>39</v>
      </c>
      <c r="G56" s="535">
        <f>'Attachment H-28A MAIT '!$I$233</f>
        <v>1</v>
      </c>
      <c r="H56" s="701">
        <f t="shared" si="5"/>
        <v>0</v>
      </c>
    </row>
    <row r="57" spans="1:8" ht="15">
      <c r="A57" s="510" t="s">
        <v>1140</v>
      </c>
      <c r="B57" s="509" t="s">
        <v>1114</v>
      </c>
      <c r="C57" s="534">
        <v>0</v>
      </c>
      <c r="D57" s="534">
        <v>0</v>
      </c>
      <c r="E57" s="509">
        <f t="shared" si="4"/>
        <v>0</v>
      </c>
      <c r="F57" s="509" t="s">
        <v>39</v>
      </c>
      <c r="G57" s="535">
        <f>'Attachment H-28A MAIT '!$I$233</f>
        <v>1</v>
      </c>
      <c r="H57" s="701">
        <f t="shared" si="5"/>
        <v>0</v>
      </c>
    </row>
    <row r="58" spans="1:8" ht="15">
      <c r="A58" s="510" t="s">
        <v>1141</v>
      </c>
      <c r="B58" s="509" t="s">
        <v>1116</v>
      </c>
      <c r="C58" s="534">
        <v>0</v>
      </c>
      <c r="D58" s="534">
        <v>0</v>
      </c>
      <c r="E58" s="509">
        <f t="shared" si="4"/>
        <v>0</v>
      </c>
      <c r="F58" s="509" t="s">
        <v>39</v>
      </c>
      <c r="G58" s="535">
        <f>'Attachment H-28A MAIT '!$I$233</f>
        <v>1</v>
      </c>
      <c r="H58" s="701">
        <f t="shared" si="5"/>
        <v>0</v>
      </c>
    </row>
    <row r="59" spans="1:8" ht="15">
      <c r="A59" s="510" t="s">
        <v>1142</v>
      </c>
      <c r="B59" s="509" t="s">
        <v>1118</v>
      </c>
      <c r="C59" s="534">
        <v>0</v>
      </c>
      <c r="D59" s="534">
        <v>0</v>
      </c>
      <c r="E59" s="509">
        <f t="shared" si="4"/>
        <v>0</v>
      </c>
      <c r="F59" s="509" t="s">
        <v>39</v>
      </c>
      <c r="G59" s="535">
        <f>'Attachment H-28A MAIT '!$I$233</f>
        <v>1</v>
      </c>
      <c r="H59" s="701">
        <f t="shared" si="5"/>
        <v>0</v>
      </c>
    </row>
    <row r="60" spans="1:8" ht="15">
      <c r="A60" s="510" t="s">
        <v>1143</v>
      </c>
      <c r="B60" s="509" t="s">
        <v>1120</v>
      </c>
      <c r="C60" s="534">
        <v>0</v>
      </c>
      <c r="D60" s="534">
        <v>0</v>
      </c>
      <c r="E60" s="509">
        <f t="shared" si="4"/>
        <v>0</v>
      </c>
      <c r="F60" s="509" t="s">
        <v>39</v>
      </c>
      <c r="G60" s="535">
        <f>'Attachment H-28A MAIT '!$I$233</f>
        <v>1</v>
      </c>
      <c r="H60" s="701">
        <f t="shared" si="5"/>
        <v>0</v>
      </c>
    </row>
    <row r="61" spans="1:8" ht="15">
      <c r="A61" s="510" t="s">
        <v>1144</v>
      </c>
      <c r="B61" s="534" t="s">
        <v>1396</v>
      </c>
      <c r="C61" s="1072">
        <v>0</v>
      </c>
      <c r="D61" s="1072">
        <v>0</v>
      </c>
      <c r="E61" s="701">
        <f>AVERAGE(C61:D61)</f>
        <v>0</v>
      </c>
      <c r="F61" s="509" t="s">
        <v>1076</v>
      </c>
      <c r="G61" s="509">
        <v>0</v>
      </c>
      <c r="H61" s="701">
        <f>G61*E61</f>
        <v>0</v>
      </c>
    </row>
    <row r="62" spans="1:8" ht="15">
      <c r="A62" s="510" t="s">
        <v>1146</v>
      </c>
      <c r="B62" s="534" t="s">
        <v>1145</v>
      </c>
      <c r="C62" s="534">
        <v>0</v>
      </c>
      <c r="D62" s="534">
        <v>0</v>
      </c>
      <c r="E62" s="509">
        <f>AVERAGE(C62:D62)</f>
        <v>0</v>
      </c>
      <c r="F62" s="509" t="s">
        <v>1076</v>
      </c>
      <c r="G62" s="509">
        <v>0</v>
      </c>
      <c r="H62" s="703">
        <f>G62*E62</f>
        <v>0</v>
      </c>
    </row>
    <row r="63" spans="1:8" ht="15">
      <c r="A63" s="510" t="s">
        <v>1147</v>
      </c>
      <c r="B63" s="509" t="s">
        <v>1148</v>
      </c>
      <c r="C63" s="509">
        <f>SUM(C55:C62)</f>
        <v>0</v>
      </c>
      <c r="D63" s="702">
        <f>SUM(D55:D62)</f>
        <v>0</v>
      </c>
      <c r="H63" s="701">
        <f>SUM(H55:H62)</f>
        <v>0</v>
      </c>
    </row>
    <row r="64" spans="8:8" ht="15">
      <c r="H64" s="701"/>
    </row>
    <row r="65" spans="1:8" ht="15">
      <c r="A65" s="509">
        <v>9</v>
      </c>
      <c r="B65" s="509" t="s">
        <v>1149</v>
      </c>
      <c r="C65" s="509">
        <f>C19+C27</f>
        <v>0</v>
      </c>
      <c r="D65" s="509">
        <f>D19+D27</f>
        <v>0</v>
      </c>
      <c r="E65" s="509">
        <f>AVERAGE(C65:D65)</f>
        <v>0</v>
      </c>
      <c r="F65" s="509" t="s">
        <v>60</v>
      </c>
      <c r="G65" s="535">
        <f>'Attachment H-28A MAIT '!$G$61</f>
        <v>1</v>
      </c>
      <c r="H65" s="701">
        <f>E65*G65</f>
        <v>0</v>
      </c>
    </row>
    <row r="66" spans="1:8" ht="15">
      <c r="A66" s="509">
        <v>10</v>
      </c>
      <c r="B66" s="509" t="s">
        <v>1150</v>
      </c>
      <c r="C66" s="509">
        <f>C25+C26+SUM(C33:C38)+SUM(C44:C49)+SUM(C55:C60)</f>
        <v>0</v>
      </c>
      <c r="D66" s="701">
        <f>D25+D26+SUM(D33:D38)+SUM(D44:D49)+SUM(D55:D60)</f>
        <v>0</v>
      </c>
      <c r="E66" s="701">
        <f>AVERAGE(C66:D66)</f>
        <v>0</v>
      </c>
      <c r="F66" s="509" t="s">
        <v>39</v>
      </c>
      <c r="G66" s="535">
        <f>'Attachment H-28A MAIT '!$I$233</f>
        <v>1</v>
      </c>
      <c r="H66" s="701">
        <f>E66*G66</f>
        <v>0</v>
      </c>
    </row>
    <row r="68" spans="1:1" ht="15">
      <c r="A68" s="509" t="s">
        <v>257</v>
      </c>
    </row>
    <row r="69" spans="1:2" ht="15">
      <c r="A69" s="536" t="s">
        <v>256</v>
      </c>
      <c r="B69" s="531" t="s">
        <v>879</v>
      </c>
    </row>
    <row r="70" spans="1:2" ht="15">
      <c r="A70" s="536" t="s">
        <v>270</v>
      </c>
      <c r="B70" s="509" t="s">
        <v>1151</v>
      </c>
    </row>
    <row r="71" spans="1:2" ht="15">
      <c r="A71" s="536" t="s">
        <v>339</v>
      </c>
      <c r="B71" s="509" t="s">
        <v>1152</v>
      </c>
    </row>
    <row r="72" spans="1:12" ht="33" customHeight="1">
      <c r="A72" s="717"/>
      <c r="B72" s="1226"/>
      <c r="C72" s="1226"/>
      <c r="D72" s="1226"/>
      <c r="E72" s="1226"/>
      <c r="F72" s="1226"/>
      <c r="G72" s="1226"/>
      <c r="H72" s="1226"/>
      <c r="I72" s="716"/>
      <c r="J72" s="716"/>
      <c r="K72" s="716"/>
      <c r="L72" s="716"/>
    </row>
  </sheetData>
  <customSheetViews>
    <customSheetView guid="{33e6ffdf-cb42-4a87-b460-a01a45f9a9a1}" printArea="1" scale="60" showPageBreaks="1" topLeftCell="A4" view="pageBreakPreview">
      <selection pane="topLeft" activeCell="C12" sqref="C12:D12"/>
      <pageMargins left="0.7" right="0.7" top="0.75" bottom="0.75" header="0.3" footer="0.3"/>
      <pageSetup orientation="landscape" paperSize="1" scale="45" r:id="rId2"/>
    </customSheetView>
    <customSheetView guid="{394295c0-a883-44ec-b980-c2facd4b6eba}" printArea="1" scale="60" showPageBreaks="1" topLeftCell="A4" view="pageBreakPreview">
      <selection pane="topLeft" activeCell="C12" sqref="C12:D12"/>
      <pageMargins left="0.7" right="0.7" top="0.75" bottom="0.75" header="0.3" footer="0.3"/>
      <pageSetup orientation="landscape" paperSize="1" scale="45" r:id="rId3"/>
    </customSheetView>
  </customSheetViews>
  <mergeCells count="8">
    <mergeCell ref="B72:H72"/>
    <mergeCell ref="B54:H54"/>
    <mergeCell ref="F9:G9"/>
    <mergeCell ref="F17:G17"/>
    <mergeCell ref="B18:H18"/>
    <mergeCell ref="B24:H24"/>
    <mergeCell ref="B32:H32"/>
    <mergeCell ref="B43:H43"/>
  </mergeCells>
  <pageMargins left="0.7" right="0.7" top="0.75" bottom="0.75" header="0.3" footer="0.3"/>
  <pageSetup orientation="landscape" paperSize="1" scale="45"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K18"/>
  <sheetViews>
    <sheetView view="pageBreakPreview" zoomScale="90" zoomScaleNormal="100" zoomScaleSheetLayoutView="90" workbookViewId="0" topLeftCell="A1"/>
  </sheetViews>
  <sheetFormatPr defaultRowHeight="15.75"/>
  <cols>
    <col min="1" max="1" width="2.44444444444444" style="145" customWidth="1"/>
    <col min="2" max="2" width="44.2222222222222" style="145" customWidth="1"/>
    <col min="3" max="3" width="13.4444444444444" style="145" bestFit="1" customWidth="1"/>
    <col min="4" max="4" width="16.1111111111111" style="145" customWidth="1"/>
    <col min="5" max="5" width="26.1111111111111" style="145" customWidth="1"/>
    <col min="6" max="6" width="2.44444444444444" style="145" customWidth="1"/>
    <col min="7" max="11" width="8.88888888888889" style="145"/>
  </cols>
  <sheetData>
    <row r="1" spans="5:5" ht="15.75">
      <c r="E1" s="458" t="s">
        <v>808</v>
      </c>
    </row>
    <row r="2" spans="5:5" ht="15.75">
      <c r="E2" s="458" t="s">
        <v>220</v>
      </c>
    </row>
    <row r="3" spans="5:5" ht="15.75">
      <c r="E3" s="459" t="str">
        <f>'Attachment 1 - Sched 1A'!$J$3</f>
        <v>For the 12 months ended 12/31/2026</v>
      </c>
    </row>
    <row r="4" spans="3:3" ht="15.75">
      <c r="C4" s="457" t="s">
        <v>809</v>
      </c>
    </row>
    <row r="5" spans="2:5" ht="15.75">
      <c r="B5" s="355" t="s">
        <v>707</v>
      </c>
      <c r="C5" s="355" t="s">
        <v>708</v>
      </c>
      <c r="D5" s="355" t="s">
        <v>709</v>
      </c>
      <c r="E5" s="355" t="s">
        <v>710</v>
      </c>
    </row>
    <row r="6" spans="1:11" ht="15.75">
      <c r="A6" s="31"/>
      <c r="B6"/>
      <c r="C6"/>
      <c r="D6" s="540">
        <v>2026</v>
      </c>
      <c r="E6"/>
      <c r="F6"/>
      <c r="G6"/>
      <c r="H6"/>
      <c r="I6"/>
      <c r="J6"/>
      <c r="K6"/>
    </row>
    <row r="7" spans="1:11" ht="15.75">
      <c r="A7"/>
      <c r="B7"/>
      <c r="C7"/>
      <c r="D7" s="539" t="s">
        <v>1436</v>
      </c>
      <c r="E7" s="541" t="s">
        <v>222</v>
      </c>
      <c r="F7"/>
      <c r="G7"/>
      <c r="H7"/>
      <c r="I7"/>
      <c r="J7"/>
      <c r="K7"/>
    </row>
    <row r="8" spans="1:11" ht="15.75">
      <c r="A8" s="32">
        <v>1</v>
      </c>
      <c r="B8" s="145" t="s">
        <v>704</v>
      </c>
      <c r="C8" s="29" t="s">
        <v>256</v>
      </c>
      <c r="D8" s="726">
        <v>579023.93999999994</v>
      </c>
      <c r="E8" s="145" t="s">
        <v>1185</v>
      </c>
      <c r="F8"/>
      <c r="G8"/>
      <c r="H8"/>
      <c r="I8"/>
      <c r="J8"/>
      <c r="K8"/>
    </row>
    <row r="9" spans="1:5" ht="15.75">
      <c r="A9" s="32">
        <v>2</v>
      </c>
      <c r="B9" s="145" t="s">
        <v>408</v>
      </c>
      <c r="C9" s="29" t="s">
        <v>270</v>
      </c>
      <c r="D9" s="478">
        <v>-231399.38426516627</v>
      </c>
      <c r="E9" s="21" t="s">
        <v>1498</v>
      </c>
    </row>
    <row r="10" spans="1:5" ht="15.75">
      <c r="A10" s="32">
        <v>3</v>
      </c>
      <c r="B10" s="145" t="s">
        <v>407</v>
      </c>
      <c r="C10" s="29" t="s">
        <v>270</v>
      </c>
      <c r="D10" s="478"/>
      <c r="E10" s="21" t="s">
        <v>1498</v>
      </c>
    </row>
    <row r="14" spans="1:1" ht="15.75">
      <c r="A14" s="145" t="s">
        <v>257</v>
      </c>
    </row>
    <row r="15" spans="1:5" ht="30" customHeight="1">
      <c r="A15" s="146" t="s">
        <v>256</v>
      </c>
      <c r="B15" s="1232" t="s">
        <v>409</v>
      </c>
      <c r="C15" s="1232"/>
      <c r="D15" s="1232"/>
      <c r="E15" s="1232"/>
    </row>
    <row r="16" spans="1:5" ht="65.45" customHeight="1">
      <c r="A16" s="146" t="s">
        <v>270</v>
      </c>
      <c r="B16" s="1231" t="s">
        <v>1300</v>
      </c>
      <c r="C16" s="1231"/>
      <c r="D16" s="1231"/>
      <c r="E16" s="1231"/>
    </row>
    <row r="17" spans="1:5" ht="30.75" customHeight="1">
      <c r="A17" s="456" t="s">
        <v>339</v>
      </c>
      <c r="B17" s="1232" t="s">
        <v>1435</v>
      </c>
      <c r="C17" s="1232"/>
      <c r="D17" s="1232"/>
      <c r="E17" s="1232"/>
    </row>
    <row r="18" spans="1:6" ht="15.75" customHeight="1">
      <c r="A18" s="717"/>
      <c r="B18" s="1230"/>
      <c r="C18" s="1230"/>
      <c r="D18" s="1230"/>
      <c r="E18" s="1230"/>
      <c r="F18" s="718"/>
    </row>
  </sheetData>
  <customSheetViews>
    <customSheetView guid="{33e6ffdf-cb42-4a87-b460-a01a45f9a9a1}" printArea="1" scale="60" showPageBreaks="1" topLeftCell="A1" view="pageBreakPreview">
      <selection pane="topLeft" activeCell="K38" sqref="K38"/>
      <pageMargins left="0.7" right="0.7" top="0.75" bottom="0.75" header="0.3" footer="0.3"/>
      <pageSetup orientation="portrait" paperSize="1" scale="59" r:id="rId2"/>
    </customSheetView>
    <customSheetView guid="{394295c0-a883-44ec-b980-c2facd4b6eba}" printArea="1" scale="60" showPageBreaks="1" topLeftCell="A1" view="pageBreakPreview">
      <selection pane="topLeft" activeCell="K38" sqref="K38"/>
      <pageMargins left="0.7" right="0.7" top="0.75" bottom="0.75" header="0.3" footer="0.3"/>
      <pageSetup orientation="portrait" paperSize="1" scale="59" r:id="rId3"/>
    </customSheetView>
  </customSheetViews>
  <mergeCells count="4">
    <mergeCell ref="B18:E18"/>
    <mergeCell ref="B16:E16"/>
    <mergeCell ref="B15:E15"/>
    <mergeCell ref="B17:E17"/>
  </mergeCells>
  <pageMargins left="0.7" right="0.7" top="0.75" bottom="0.75" header="0.3" footer="0.3"/>
  <pageSetup orientation="portrait" paperSize="1" scale="59"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E3DB719-5244-41F1-88C5-86529ADA6265}">
  <sheetPr codeName="Sheet30"/>
  <dimension ref="A1:Z246"/>
  <sheetViews>
    <sheetView view="pageBreakPreview" zoomScale="80" zoomScaleNormal="80" zoomScaleSheetLayoutView="80" workbookViewId="0" topLeftCell="A1"/>
  </sheetViews>
  <sheetFormatPr defaultColWidth="7.10555555555556" defaultRowHeight="15"/>
  <cols>
    <col min="1" max="1" width="4.44444444444444" style="750" customWidth="1"/>
    <col min="2" max="2" width="14.1111111111111" style="750" customWidth="1"/>
    <col min="3" max="3" width="42.8888888888889" style="741" customWidth="1"/>
    <col min="4" max="4" width="2.11111111111111" style="741" customWidth="1"/>
    <col min="5" max="5" width="21" style="741" bestFit="1" customWidth="1"/>
    <col min="6" max="6" width="15.8888888888889" style="741" customWidth="1"/>
    <col min="7" max="7" width="18.1111111111111" style="741" customWidth="1"/>
    <col min="8" max="8" width="13.1111111111111" style="741" customWidth="1"/>
    <col min="9" max="9" width="12.8888888888889" style="741" customWidth="1"/>
    <col min="10" max="11" width="15.8888888888889" style="741" customWidth="1"/>
    <col min="12" max="12" width="18.1111111111111" style="741" customWidth="1"/>
    <col min="13" max="13" width="15.1111111111111" style="741" customWidth="1"/>
    <col min="14" max="14" width="15" style="741" customWidth="1"/>
    <col min="15" max="15" width="8.66666666666667" style="741" customWidth="1"/>
    <col min="16" max="16" width="7.11111111111111" style="741"/>
    <col min="17" max="17" width="13.5555555555556" style="741" customWidth="1"/>
    <col min="18" max="18" width="9.66666666666667" style="741" bestFit="1" customWidth="1"/>
    <col min="19" max="19" width="15.8888888888889" style="741" customWidth="1"/>
    <col min="20" max="16384" width="7.11111111111111" style="741"/>
  </cols>
  <sheetData>
    <row r="1" spans="1:14" ht="15.75">
      <c r="A1" s="738"/>
      <c r="B1" s="739"/>
      <c r="C1" s="740"/>
      <c r="D1" s="740"/>
      <c r="E1" s="740"/>
      <c r="F1" s="740"/>
      <c r="N1" s="458" t="s">
        <v>1222</v>
      </c>
    </row>
    <row r="2" spans="1:14" ht="15">
      <c r="A2" s="738"/>
      <c r="B2" s="739"/>
      <c r="C2" s="742"/>
      <c r="D2" s="742"/>
      <c r="E2" s="740"/>
      <c r="F2" s="740"/>
      <c r="N2" s="743" t="s">
        <v>1502</v>
      </c>
    </row>
    <row r="3" spans="1:14" ht="15">
      <c r="A3" s="738"/>
      <c r="B3" s="739"/>
      <c r="C3" s="744"/>
      <c r="D3" s="740"/>
      <c r="E3" s="740"/>
      <c r="F3" s="740"/>
      <c r="G3" s="745"/>
      <c r="I3" s="746"/>
      <c r="J3" s="747"/>
      <c r="K3" s="748"/>
      <c r="N3" s="749" t="s">
        <v>1468</v>
      </c>
    </row>
    <row r="4" spans="2:12" ht="15">
      <c r="B4" s="751"/>
      <c r="C4" s="745"/>
      <c r="D4" s="745"/>
      <c r="E4" s="745"/>
      <c r="F4" s="745"/>
      <c r="G4" s="745"/>
      <c r="I4" s="746"/>
      <c r="J4" s="747"/>
      <c r="K4" s="748"/>
      <c r="L4" s="749"/>
    </row>
    <row r="5" spans="3:12" ht="15">
      <c r="C5" s="1233" t="s">
        <v>1223</v>
      </c>
      <c r="D5" s="1233"/>
      <c r="E5" s="1233"/>
      <c r="F5" s="1233"/>
      <c r="G5" s="1233"/>
      <c r="H5" s="1233"/>
      <c r="I5" s="1233"/>
      <c r="J5" s="1233"/>
      <c r="K5" s="1233"/>
      <c r="L5" s="752"/>
    </row>
    <row r="6" spans="3:12" ht="15">
      <c r="C6" s="1234" t="s">
        <v>797</v>
      </c>
      <c r="D6" s="1234"/>
      <c r="E6" s="1234"/>
      <c r="F6" s="1234"/>
      <c r="G6" s="1234"/>
      <c r="H6" s="1234"/>
      <c r="I6" s="1234"/>
      <c r="J6" s="1234"/>
      <c r="K6" s="1234"/>
      <c r="L6" s="753"/>
    </row>
    <row r="7" spans="3:5" ht="15">
      <c r="C7" s="754"/>
      <c r="D7" s="754"/>
      <c r="E7" s="754"/>
    </row>
    <row r="8" spans="2:14" ht="15">
      <c r="B8" s="755" t="s">
        <v>1066</v>
      </c>
      <c r="C8" s="755" t="s">
        <v>1067</v>
      </c>
      <c r="D8" s="754"/>
      <c r="E8" s="755" t="s">
        <v>1068</v>
      </c>
      <c r="F8" s="755" t="s">
        <v>1069</v>
      </c>
      <c r="G8" s="755" t="s">
        <v>1084</v>
      </c>
      <c r="H8" s="755" t="s">
        <v>1085</v>
      </c>
      <c r="I8" s="755" t="s">
        <v>1086</v>
      </c>
      <c r="J8" s="755" t="s">
        <v>1224</v>
      </c>
      <c r="K8" s="755" t="s">
        <v>1225</v>
      </c>
      <c r="L8" s="755" t="s">
        <v>1226</v>
      </c>
      <c r="M8" s="755" t="s">
        <v>1227</v>
      </c>
      <c r="N8" s="755" t="s">
        <v>1228</v>
      </c>
    </row>
    <row r="9" spans="1:14" s="0" customFormat="1" ht="90">
      <c r="A9" s="756" t="s">
        <v>211</v>
      </c>
      <c r="B9" s="757" t="s">
        <v>1229</v>
      </c>
      <c r="C9" s="758" t="s">
        <v>1002</v>
      </c>
      <c r="D9" s="741"/>
      <c r="E9" s="759" t="s">
        <v>1467</v>
      </c>
      <c r="F9" s="758" t="s">
        <v>1230</v>
      </c>
      <c r="G9" s="758" t="s">
        <v>1231</v>
      </c>
      <c r="H9" s="758" t="s">
        <v>1232</v>
      </c>
      <c r="I9" s="758" t="s">
        <v>1233</v>
      </c>
      <c r="J9" s="758" t="s">
        <v>1234</v>
      </c>
      <c r="K9" s="758" t="s">
        <v>1235</v>
      </c>
      <c r="L9" s="758" t="s">
        <v>1236</v>
      </c>
      <c r="M9" s="758" t="s">
        <v>1237</v>
      </c>
      <c r="N9" s="758" t="s">
        <v>1238</v>
      </c>
    </row>
    <row r="10" spans="1:12" ht="15">
      <c r="A10" s="760"/>
      <c r="B10" s="761"/>
      <c r="C10" s="762" t="s">
        <v>1239</v>
      </c>
      <c r="E10" s="763"/>
      <c r="F10" s="763"/>
      <c r="G10" s="763"/>
      <c r="H10" s="763"/>
      <c r="I10" s="763"/>
      <c r="J10" s="763"/>
      <c r="K10" s="763"/>
      <c r="L10" s="763"/>
    </row>
    <row r="11" spans="1:13" ht="15">
      <c r="A11" s="764">
        <v>1</v>
      </c>
      <c r="B11" s="765"/>
      <c r="C11" s="762" t="s">
        <v>1240</v>
      </c>
      <c r="E11" s="763"/>
      <c r="F11" s="763"/>
      <c r="G11" s="763"/>
      <c r="H11" s="766"/>
      <c r="I11" s="763"/>
      <c r="J11" s="763"/>
      <c r="L11" s="763"/>
      <c r="M11" s="767"/>
    </row>
    <row r="12" spans="1:14" ht="14.45" customHeight="1">
      <c r="A12" s="768" t="s">
        <v>725</v>
      </c>
      <c r="B12" s="768" t="s">
        <v>1241</v>
      </c>
      <c r="C12" s="769" t="s">
        <v>1386</v>
      </c>
      <c r="E12" s="770">
        <v>0</v>
      </c>
      <c r="F12" s="770">
        <v>469</v>
      </c>
      <c r="G12" s="770"/>
      <c r="H12" s="770">
        <v>20</v>
      </c>
      <c r="I12" s="770">
        <v>11</v>
      </c>
      <c r="J12" s="770">
        <v>39</v>
      </c>
      <c r="K12" s="771">
        <f>F12+G12-J12</f>
        <v>430</v>
      </c>
      <c r="L12" s="772" t="s">
        <v>1251</v>
      </c>
      <c r="M12" s="772" t="s">
        <v>1388</v>
      </c>
      <c r="N12" s="772">
        <v>410.10</v>
      </c>
    </row>
    <row r="13" spans="1:14" ht="14.45" customHeight="1">
      <c r="A13" s="768"/>
      <c r="B13" s="768" t="s">
        <v>1241</v>
      </c>
      <c r="C13" s="769" t="s">
        <v>1466</v>
      </c>
      <c r="E13" s="770"/>
      <c r="F13" s="770">
        <v>8424853.1446153838</v>
      </c>
      <c r="G13" s="770"/>
      <c r="H13" s="770">
        <v>13</v>
      </c>
      <c r="I13" s="770">
        <v>11</v>
      </c>
      <c r="J13" s="770">
        <v>702071.09538461524</v>
      </c>
      <c r="K13" s="771">
        <f>F13+G13-J13</f>
        <v>7722782.0492307683</v>
      </c>
      <c r="L13" s="772" t="s">
        <v>1249</v>
      </c>
      <c r="M13" s="772" t="s">
        <v>1388</v>
      </c>
      <c r="N13" s="772">
        <v>410.10</v>
      </c>
    </row>
    <row r="14" spans="5:14" ht="14.45" customHeight="1">
      <c r="E14" s="773"/>
      <c r="F14" s="773"/>
      <c r="G14" s="773"/>
      <c r="H14" s="773"/>
      <c r="I14" s="773"/>
      <c r="J14" s="773"/>
      <c r="K14" s="771"/>
      <c r="L14" s="774"/>
      <c r="M14" s="774"/>
      <c r="N14" s="774"/>
    </row>
    <row r="15" spans="1:14" ht="15">
      <c r="A15" s="764">
        <v>2</v>
      </c>
      <c r="B15" s="765"/>
      <c r="C15" s="762" t="s">
        <v>1242</v>
      </c>
      <c r="E15" s="763"/>
      <c r="F15" s="763"/>
      <c r="G15" s="763"/>
      <c r="H15" s="763"/>
      <c r="I15" s="763"/>
      <c r="J15" s="763"/>
      <c r="L15" s="763"/>
      <c r="M15" s="763"/>
      <c r="N15" s="763"/>
    </row>
    <row r="16" spans="1:14" ht="14.45" customHeight="1">
      <c r="A16" s="768" t="s">
        <v>631</v>
      </c>
      <c r="B16" s="768" t="s">
        <v>1241</v>
      </c>
      <c r="C16" s="769"/>
      <c r="E16" s="770">
        <v>0</v>
      </c>
      <c r="F16" s="770"/>
      <c r="G16" s="770"/>
      <c r="H16" s="770"/>
      <c r="I16" s="770"/>
      <c r="J16" s="770"/>
      <c r="K16" s="771"/>
      <c r="L16" s="772"/>
      <c r="M16" s="772"/>
      <c r="N16" s="772"/>
    </row>
    <row r="17" spans="1:2" s="753" customFormat="1" ht="14.45" customHeight="1">
      <c r="A17" s="775"/>
      <c r="B17" s="775"/>
    </row>
    <row r="18" spans="1:14" ht="15">
      <c r="A18" s="764">
        <v>3</v>
      </c>
      <c r="B18" s="765"/>
      <c r="C18" s="762" t="s">
        <v>1243</v>
      </c>
      <c r="E18" s="763"/>
      <c r="F18" s="763"/>
      <c r="G18" s="763"/>
      <c r="H18" s="763"/>
      <c r="I18" s="763"/>
      <c r="J18" s="763"/>
      <c r="L18" s="763"/>
      <c r="M18" s="763"/>
      <c r="N18" s="763"/>
    </row>
    <row r="19" spans="1:14" ht="14.45" customHeight="1">
      <c r="A19" s="768" t="s">
        <v>829</v>
      </c>
      <c r="B19" s="768" t="s">
        <v>1241</v>
      </c>
      <c r="C19" s="769" t="s">
        <v>1389</v>
      </c>
      <c r="E19" s="770">
        <v>0</v>
      </c>
      <c r="F19" s="770">
        <v>321402</v>
      </c>
      <c r="G19" s="770"/>
      <c r="H19" s="770">
        <v>42</v>
      </c>
      <c r="I19" s="770">
        <v>33</v>
      </c>
      <c r="J19" s="770">
        <v>9453</v>
      </c>
      <c r="K19" s="771">
        <f>F19+G19-J19</f>
        <v>311949</v>
      </c>
      <c r="L19" s="772" t="s">
        <v>1387</v>
      </c>
      <c r="M19" s="772" t="s">
        <v>1388</v>
      </c>
      <c r="N19" s="772">
        <v>410.10</v>
      </c>
    </row>
    <row r="20" spans="5:14" ht="14.45" customHeight="1">
      <c r="E20" s="773"/>
      <c r="F20" s="773"/>
      <c r="G20" s="773"/>
      <c r="H20" s="773"/>
      <c r="I20" s="773"/>
      <c r="J20" s="773"/>
      <c r="K20" s="771"/>
      <c r="L20" s="774"/>
      <c r="M20" s="774"/>
      <c r="N20" s="774"/>
    </row>
    <row r="21" spans="1:15" ht="14.45" customHeight="1">
      <c r="A21" s="768">
        <v>4</v>
      </c>
      <c r="B21" s="768" t="s">
        <v>1241</v>
      </c>
      <c r="C21" s="776" t="s">
        <v>1244</v>
      </c>
      <c r="E21" s="770">
        <v>0</v>
      </c>
      <c r="F21" s="770">
        <v>3221498.4418109674</v>
      </c>
      <c r="G21" s="770">
        <v>2.3283064365387E-10</v>
      </c>
      <c r="H21" s="770"/>
      <c r="I21" s="770"/>
      <c r="J21" s="770">
        <v>262075.19125236175</v>
      </c>
      <c r="K21" s="771">
        <f>F21+G21-J21</f>
        <v>2959423.2505586054</v>
      </c>
      <c r="L21" s="772"/>
      <c r="M21" s="772"/>
      <c r="N21" s="772"/>
      <c r="O21" s="1115"/>
    </row>
    <row r="22" spans="3:14" ht="14.45" customHeight="1">
      <c r="C22" s="746"/>
      <c r="E22" s="777"/>
      <c r="F22" s="777"/>
      <c r="G22" s="777"/>
      <c r="H22" s="773"/>
      <c r="I22" s="773"/>
      <c r="J22" s="777"/>
      <c r="K22" s="778"/>
      <c r="L22" s="774"/>
      <c r="M22" s="774"/>
      <c r="N22" s="774"/>
    </row>
    <row r="23" spans="1:11" ht="15">
      <c r="A23" s="768">
        <v>5</v>
      </c>
      <c r="B23" s="768" t="s">
        <v>1241</v>
      </c>
      <c r="C23" s="776" t="s">
        <v>1245</v>
      </c>
      <c r="E23" s="779">
        <f>SUM(E12:E22)</f>
        <v>0</v>
      </c>
      <c r="F23" s="779">
        <f>SUM(F12:F22)</f>
        <v>11968222.586426351</v>
      </c>
      <c r="G23" s="779">
        <f>SUM(G12:G22)</f>
        <v>2.3283064365387E-10</v>
      </c>
      <c r="H23" s="780"/>
      <c r="I23" s="780"/>
      <c r="J23" s="779">
        <f>SUM(J12:J22)</f>
        <v>973638.28663697699</v>
      </c>
      <c r="K23" s="779">
        <f>SUM(K12:K22)</f>
        <v>10994584.299789373</v>
      </c>
    </row>
    <row r="24" s="0" customFormat="1" ht="15"/>
    <row r="25" spans="1:14" ht="15">
      <c r="A25" s="760"/>
      <c r="B25" s="761"/>
      <c r="C25" s="762" t="s">
        <v>1246</v>
      </c>
      <c r="E25" s="763"/>
      <c r="F25" s="762"/>
      <c r="G25" s="762"/>
      <c r="H25" s="762"/>
      <c r="I25" s="762"/>
      <c r="J25" s="762"/>
      <c r="K25" s="763"/>
      <c r="L25" s="763"/>
      <c r="M25" s="763"/>
      <c r="N25" s="763"/>
    </row>
    <row r="26" spans="1:14" ht="15">
      <c r="A26" s="768">
        <f>A23+1</f>
        <v>6</v>
      </c>
      <c r="B26" s="768" t="s">
        <v>1241</v>
      </c>
      <c r="C26" s="781" t="s">
        <v>1247</v>
      </c>
      <c r="E26" s="781"/>
      <c r="F26" s="770"/>
      <c r="G26" s="781"/>
      <c r="H26" s="782"/>
      <c r="I26" s="782"/>
      <c r="J26" s="770"/>
      <c r="K26" s="771"/>
      <c r="L26" s="774" t="s">
        <v>1249</v>
      </c>
      <c r="M26" s="774" t="s">
        <v>1250</v>
      </c>
      <c r="N26" s="774">
        <f>IF(M26="Asset",410.1,IF(M26="Liability",411.1,"N/A"))</f>
        <v>410.10</v>
      </c>
    </row>
    <row r="27" spans="1:14" ht="15">
      <c r="A27" s="768">
        <f>A26+1</f>
        <v>7</v>
      </c>
      <c r="B27" s="768" t="s">
        <v>1241</v>
      </c>
      <c r="C27" s="781" t="str">
        <f>C26</f>
        <v>Property Book-Tax Timing Difference - Account 190</v>
      </c>
      <c r="E27" s="781"/>
      <c r="F27" s="770"/>
      <c r="G27" s="781"/>
      <c r="H27" s="783"/>
      <c r="I27" s="783"/>
      <c r="J27" s="770"/>
      <c r="K27" s="771"/>
      <c r="L27" s="774" t="s">
        <v>1251</v>
      </c>
      <c r="M27" s="774" t="s">
        <v>1252</v>
      </c>
      <c r="N27" s="774">
        <f t="shared" si="0" ref="N27:N37">IF(M27="Asset",410.1,IF(M27="Liability",411.1,"N/A"))</f>
        <v>411.10</v>
      </c>
    </row>
    <row r="28" spans="1:14" ht="15">
      <c r="A28" s="768">
        <f t="shared" si="1" ref="A28:A38">A27+1</f>
        <v>8</v>
      </c>
      <c r="B28" s="768" t="s">
        <v>1241</v>
      </c>
      <c r="C28" s="781" t="s">
        <v>1247</v>
      </c>
      <c r="E28" s="781"/>
      <c r="F28" s="770"/>
      <c r="G28" s="781"/>
      <c r="H28" s="783"/>
      <c r="I28" s="783"/>
      <c r="J28" s="770"/>
      <c r="K28" s="771"/>
      <c r="L28" s="774" t="s">
        <v>1249</v>
      </c>
      <c r="M28" s="774" t="s">
        <v>1252</v>
      </c>
      <c r="N28" s="774">
        <f t="shared" si="0"/>
        <v>411.10</v>
      </c>
    </row>
    <row r="29" spans="1:14" ht="15">
      <c r="A29" s="768">
        <f t="shared" si="1"/>
        <v>9</v>
      </c>
      <c r="B29" s="768" t="s">
        <v>1241</v>
      </c>
      <c r="C29" s="781" t="str">
        <f>C28</f>
        <v>Property Book-Tax Timing Difference - Account 190</v>
      </c>
      <c r="E29" s="781"/>
      <c r="F29" s="770">
        <v>251121.55999999988</v>
      </c>
      <c r="G29" s="781"/>
      <c r="H29" s="783" t="s">
        <v>1248</v>
      </c>
      <c r="I29" s="783" t="s">
        <v>1248</v>
      </c>
      <c r="J29" s="770">
        <v>54410.419999999889</v>
      </c>
      <c r="K29" s="771">
        <f t="shared" si="2" ref="K29:K38">(F29+G29)-J29</f>
        <v>196711.13999999998</v>
      </c>
      <c r="L29" s="774" t="s">
        <v>1251</v>
      </c>
      <c r="M29" s="774" t="s">
        <v>1250</v>
      </c>
      <c r="N29" s="774">
        <f t="shared" si="0"/>
        <v>410.10</v>
      </c>
    </row>
    <row r="30" spans="1:21" ht="15">
      <c r="A30" s="768">
        <f t="shared" si="1"/>
        <v>10</v>
      </c>
      <c r="B30" s="768" t="s">
        <v>1241</v>
      </c>
      <c r="C30" s="781" t="s">
        <v>1253</v>
      </c>
      <c r="E30" s="781"/>
      <c r="F30" s="770"/>
      <c r="G30" s="781"/>
      <c r="H30" s="783" t="s">
        <v>1248</v>
      </c>
      <c r="I30" s="783" t="s">
        <v>1248</v>
      </c>
      <c r="J30" s="770"/>
      <c r="K30" s="771"/>
      <c r="L30" s="774" t="s">
        <v>1249</v>
      </c>
      <c r="M30" s="774" t="s">
        <v>1250</v>
      </c>
      <c r="N30" s="774">
        <f t="shared" si="0"/>
        <v>410.10</v>
      </c>
      <c r="P30" s="1125"/>
      <c r="Q30" s="1125"/>
      <c r="R30" s="1125"/>
      <c r="S30" s="1125"/>
      <c r="T30" s="1125"/>
      <c r="U30" s="1125"/>
    </row>
    <row r="31" spans="1:14" ht="15">
      <c r="A31" s="768">
        <f t="shared" si="1"/>
        <v>11</v>
      </c>
      <c r="B31" s="768" t="s">
        <v>1241</v>
      </c>
      <c r="C31" s="781" t="str">
        <f>C30</f>
        <v>Property Book-Tax Timing Difference - Account 282</v>
      </c>
      <c r="E31" s="781"/>
      <c r="F31" s="770">
        <v>-13723450.18</v>
      </c>
      <c r="G31" s="781"/>
      <c r="H31" s="783" t="s">
        <v>1248</v>
      </c>
      <c r="I31" s="783" t="s">
        <v>1248</v>
      </c>
      <c r="J31" s="770">
        <v>-449179.33999999642</v>
      </c>
      <c r="K31" s="771">
        <f t="shared" si="2"/>
        <v>-13274270.840000004</v>
      </c>
      <c r="L31" s="774" t="s">
        <v>1251</v>
      </c>
      <c r="M31" s="774" t="s">
        <v>1252</v>
      </c>
      <c r="N31" s="774">
        <f t="shared" si="0"/>
        <v>411.10</v>
      </c>
    </row>
    <row r="32" spans="1:14" ht="15">
      <c r="A32" s="768">
        <f t="shared" si="1"/>
        <v>12</v>
      </c>
      <c r="B32" s="768" t="s">
        <v>1241</v>
      </c>
      <c r="C32" s="781" t="s">
        <v>1253</v>
      </c>
      <c r="E32" s="781"/>
      <c r="F32" s="770">
        <v>-56316914.349999979</v>
      </c>
      <c r="G32" s="781"/>
      <c r="H32" s="783" t="s">
        <v>1248</v>
      </c>
      <c r="I32" s="783" t="s">
        <v>1248</v>
      </c>
      <c r="J32" s="770">
        <v>-552298.97000002488</v>
      </c>
      <c r="K32" s="771">
        <f t="shared" si="2"/>
        <v>-55764615.379999951</v>
      </c>
      <c r="L32" s="774" t="s">
        <v>1249</v>
      </c>
      <c r="M32" s="774" t="s">
        <v>1252</v>
      </c>
      <c r="N32" s="774">
        <f t="shared" si="0"/>
        <v>411.10</v>
      </c>
    </row>
    <row r="33" spans="1:14" ht="15">
      <c r="A33" s="768">
        <f t="shared" si="1"/>
        <v>13</v>
      </c>
      <c r="B33" s="768" t="s">
        <v>1241</v>
      </c>
      <c r="C33" s="781" t="str">
        <f>C32</f>
        <v>Property Book-Tax Timing Difference - Account 282</v>
      </c>
      <c r="E33" s="781"/>
      <c r="F33" s="770"/>
      <c r="G33" s="781"/>
      <c r="H33" s="783"/>
      <c r="I33" s="783"/>
      <c r="J33" s="770"/>
      <c r="K33" s="771">
        <f t="shared" si="2"/>
        <v>0</v>
      </c>
      <c r="L33" s="774" t="s">
        <v>1251</v>
      </c>
      <c r="M33" s="774" t="s">
        <v>1250</v>
      </c>
      <c r="N33" s="774">
        <f t="shared" si="0"/>
        <v>410.10</v>
      </c>
    </row>
    <row r="34" spans="1:14" ht="15">
      <c r="A34" s="768">
        <f t="shared" si="1"/>
        <v>14</v>
      </c>
      <c r="B34" s="768" t="s">
        <v>1241</v>
      </c>
      <c r="C34" s="781" t="s">
        <v>1254</v>
      </c>
      <c r="E34" s="781"/>
      <c r="F34" s="781"/>
      <c r="G34" s="781"/>
      <c r="H34" s="783"/>
      <c r="I34" s="783"/>
      <c r="J34" s="770"/>
      <c r="K34" s="771">
        <f t="shared" si="2"/>
        <v>0</v>
      </c>
      <c r="L34" s="774" t="s">
        <v>1249</v>
      </c>
      <c r="M34" s="774" t="s">
        <v>1250</v>
      </c>
      <c r="N34" s="774">
        <f t="shared" si="0"/>
        <v>410.10</v>
      </c>
    </row>
    <row r="35" spans="1:14" ht="15">
      <c r="A35" s="768">
        <f t="shared" si="1"/>
        <v>15</v>
      </c>
      <c r="B35" s="768" t="s">
        <v>1241</v>
      </c>
      <c r="C35" s="781" t="str">
        <f>C34</f>
        <v>Property Book-Tax Timing Difference - Account 283</v>
      </c>
      <c r="E35" s="781"/>
      <c r="F35" s="781"/>
      <c r="G35" s="781"/>
      <c r="H35" s="783"/>
      <c r="I35" s="783"/>
      <c r="J35" s="770"/>
      <c r="K35" s="771">
        <f t="shared" si="2"/>
        <v>0</v>
      </c>
      <c r="L35" s="774" t="s">
        <v>1251</v>
      </c>
      <c r="M35" s="774" t="s">
        <v>1252</v>
      </c>
      <c r="N35" s="774">
        <f t="shared" si="0"/>
        <v>411.10</v>
      </c>
    </row>
    <row r="36" spans="1:14" ht="15">
      <c r="A36" s="768">
        <f t="shared" si="1"/>
        <v>16</v>
      </c>
      <c r="B36" s="768" t="s">
        <v>1241</v>
      </c>
      <c r="C36" s="781" t="s">
        <v>1254</v>
      </c>
      <c r="E36" s="781"/>
      <c r="F36" s="781"/>
      <c r="G36" s="781"/>
      <c r="H36" s="783"/>
      <c r="I36" s="783"/>
      <c r="J36" s="770"/>
      <c r="K36" s="771">
        <f t="shared" si="2"/>
        <v>0</v>
      </c>
      <c r="L36" s="774" t="s">
        <v>1249</v>
      </c>
      <c r="M36" s="774" t="s">
        <v>1252</v>
      </c>
      <c r="N36" s="774">
        <f t="shared" si="0"/>
        <v>411.10</v>
      </c>
    </row>
    <row r="37" spans="1:14" ht="15">
      <c r="A37" s="768">
        <f t="shared" si="1"/>
        <v>17</v>
      </c>
      <c r="B37" s="768" t="s">
        <v>1241</v>
      </c>
      <c r="C37" s="781" t="str">
        <f>C36</f>
        <v>Property Book-Tax Timing Difference - Account 283</v>
      </c>
      <c r="E37" s="781"/>
      <c r="F37" s="781"/>
      <c r="G37" s="781"/>
      <c r="H37" s="783"/>
      <c r="I37" s="783"/>
      <c r="J37" s="770"/>
      <c r="K37" s="771">
        <f t="shared" si="2"/>
        <v>0</v>
      </c>
      <c r="L37" s="774" t="s">
        <v>1251</v>
      </c>
      <c r="M37" s="774" t="s">
        <v>1250</v>
      </c>
      <c r="N37" s="774">
        <f t="shared" si="0"/>
        <v>410.10</v>
      </c>
    </row>
    <row r="38" spans="1:15" ht="15">
      <c r="A38" s="768">
        <f t="shared" si="1"/>
        <v>18</v>
      </c>
      <c r="B38" s="768" t="s">
        <v>1241</v>
      </c>
      <c r="C38" s="781" t="s">
        <v>1255</v>
      </c>
      <c r="E38" s="784"/>
      <c r="F38" s="784">
        <f>SUM(F26:F37)*('Attachment H-28A MAIT '!$D$169-1)</f>
        <v>-25704016.013975725</v>
      </c>
      <c r="G38" s="784"/>
      <c r="H38" s="782"/>
      <c r="I38" s="782"/>
      <c r="J38" s="784">
        <f>SUM(J26:J37)*('Attachment H-28A MAIT '!$D$169-1)</f>
        <v>-348813.75946930918</v>
      </c>
      <c r="K38" s="778">
        <f t="shared" si="2"/>
        <v>-25355202.254506417</v>
      </c>
      <c r="L38" s="772"/>
      <c r="M38" s="772"/>
      <c r="N38" s="772"/>
      <c r="O38" s="1115"/>
    </row>
    <row r="39" spans="1:13" ht="15">
      <c r="A39" s="768">
        <f>A38+1</f>
        <v>19</v>
      </c>
      <c r="B39" s="768" t="s">
        <v>1241</v>
      </c>
      <c r="C39" s="776" t="str">
        <f>"Total Property (Total of lines "&amp;A26&amp;" thru "&amp;A38&amp;")"</f>
        <v>Total Property (Total of lines 6 thru 18)</v>
      </c>
      <c r="E39" s="785">
        <f>SUM(E26:E38)</f>
        <v>0</v>
      </c>
      <c r="F39" s="785">
        <f>SUM(F26:F38)</f>
        <v>-95493258.983975708</v>
      </c>
      <c r="G39" s="785">
        <f>SUM(G26:G38)</f>
        <v>0</v>
      </c>
      <c r="H39" s="780"/>
      <c r="I39" s="780"/>
      <c r="J39" s="785">
        <f>SUM(J26:J38)</f>
        <v>-1295881.6494693307</v>
      </c>
      <c r="K39" s="785">
        <f>SUM(K26:K38)</f>
        <v>-94197377.334506363</v>
      </c>
      <c r="L39" s="774"/>
      <c r="M39" s="774"/>
    </row>
    <row r="40" s="0" customFormat="1" ht="15"/>
    <row r="41" spans="14:14" s="0" customFormat="1" ht="15.75">
      <c r="N41" s="458" t="s">
        <v>1222</v>
      </c>
    </row>
    <row r="42" spans="14:14" s="0" customFormat="1" ht="15.75">
      <c r="N42" s="743" t="s">
        <v>1503</v>
      </c>
    </row>
    <row r="43" spans="14:14" s="0" customFormat="1" ht="15.75">
      <c r="N43" s="749" t="str">
        <f>$N$3</f>
        <v>For the 12 months ended 12/31/26</v>
      </c>
    </row>
    <row r="44" spans="14:14" s="0" customFormat="1" ht="15.75">
      <c r="N44" s="749"/>
    </row>
    <row r="45" spans="2:14" ht="15">
      <c r="B45" s="755" t="s">
        <v>1066</v>
      </c>
      <c r="C45" s="755" t="s">
        <v>1067</v>
      </c>
      <c r="D45" s="754"/>
      <c r="E45" s="755" t="s">
        <v>1068</v>
      </c>
      <c r="F45" s="755" t="s">
        <v>1069</v>
      </c>
      <c r="G45" s="755" t="s">
        <v>1084</v>
      </c>
      <c r="H45" s="755" t="s">
        <v>1085</v>
      </c>
      <c r="I45" s="755" t="s">
        <v>1086</v>
      </c>
      <c r="J45" s="755" t="s">
        <v>1224</v>
      </c>
      <c r="K45" s="755" t="s">
        <v>1225</v>
      </c>
      <c r="L45" s="755" t="s">
        <v>1226</v>
      </c>
      <c r="M45" s="755" t="s">
        <v>1227</v>
      </c>
      <c r="N45" s="755" t="s">
        <v>1228</v>
      </c>
    </row>
    <row r="46" spans="1:14" s="0" customFormat="1" ht="111" customHeight="1">
      <c r="A46" s="756" t="s">
        <v>211</v>
      </c>
      <c r="B46" s="757" t="s">
        <v>1229</v>
      </c>
      <c r="C46" s="758" t="s">
        <v>1002</v>
      </c>
      <c r="D46" s="741"/>
      <c r="E46" s="759" t="s">
        <v>1467</v>
      </c>
      <c r="F46" s="758" t="s">
        <v>1230</v>
      </c>
      <c r="G46" s="758" t="s">
        <v>1231</v>
      </c>
      <c r="H46" s="758" t="s">
        <v>1232</v>
      </c>
      <c r="I46" s="758" t="s">
        <v>1233</v>
      </c>
      <c r="J46" s="758" t="s">
        <v>1234</v>
      </c>
      <c r="K46" s="758" t="s">
        <v>1235</v>
      </c>
      <c r="L46" s="758" t="s">
        <v>1236</v>
      </c>
      <c r="M46" s="758" t="s">
        <v>1237</v>
      </c>
      <c r="N46" s="758" t="s">
        <v>1238</v>
      </c>
    </row>
    <row r="47" spans="1:14" s="0" customFormat="1" ht="15.75">
      <c r="A47" s="760"/>
      <c r="B47" s="761"/>
      <c r="C47" s="762" t="s">
        <v>1239</v>
      </c>
      <c r="D47" s="741"/>
      <c r="E47" s="763"/>
      <c r="F47" s="763"/>
      <c r="G47" s="763"/>
      <c r="H47" s="763"/>
      <c r="I47" s="763"/>
      <c r="J47" s="763"/>
      <c r="K47" s="763"/>
      <c r="L47" s="763"/>
      <c r="M47" s="741"/>
      <c r="N47" s="741"/>
    </row>
    <row r="48" spans="1:14" s="0" customFormat="1" ht="15.75">
      <c r="A48" s="764">
        <v>20</v>
      </c>
      <c r="B48" s="765"/>
      <c r="C48" s="762" t="s">
        <v>1240</v>
      </c>
      <c r="D48" s="741"/>
      <c r="E48" s="763"/>
      <c r="F48" s="763"/>
      <c r="G48" s="763"/>
      <c r="H48" s="766"/>
      <c r="I48" s="763"/>
      <c r="J48" s="763"/>
      <c r="K48" s="741"/>
      <c r="L48" s="763"/>
      <c r="M48" s="767"/>
      <c r="N48" s="741"/>
    </row>
    <row r="49" spans="1:14" s="0" customFormat="1" ht="15.75">
      <c r="A49" s="768" t="s">
        <v>1256</v>
      </c>
      <c r="B49" s="768" t="s">
        <v>1410</v>
      </c>
      <c r="C49" s="769" t="s">
        <v>1306</v>
      </c>
      <c r="D49" s="741"/>
      <c r="E49" s="770"/>
      <c r="F49" s="770"/>
      <c r="G49" s="770"/>
      <c r="H49" s="770"/>
      <c r="I49" s="770"/>
      <c r="J49" s="770"/>
      <c r="K49" s="773"/>
      <c r="L49" s="772" t="s">
        <v>1251</v>
      </c>
      <c r="M49" s="772" t="s">
        <v>1388</v>
      </c>
      <c r="N49" s="772"/>
    </row>
    <row r="50" spans="1:13" ht="15">
      <c r="A50" s="768"/>
      <c r="B50" s="768"/>
      <c r="C50" s="769"/>
      <c r="E50" s="770"/>
      <c r="F50" s="770"/>
      <c r="G50" s="770"/>
      <c r="H50" s="770"/>
      <c r="I50" s="770"/>
      <c r="J50" s="770"/>
      <c r="K50" s="773"/>
      <c r="L50" s="772"/>
      <c r="M50" s="772"/>
    </row>
    <row r="51" spans="1:14" s="0" customFormat="1" ht="15.75">
      <c r="A51" s="768"/>
      <c r="B51" s="768"/>
      <c r="C51" s="769"/>
      <c r="D51" s="741"/>
      <c r="E51" s="770"/>
      <c r="F51" s="770"/>
      <c r="G51" s="770"/>
      <c r="H51" s="770"/>
      <c r="I51" s="770"/>
      <c r="J51" s="770"/>
      <c r="K51" s="773"/>
      <c r="L51" s="772"/>
      <c r="M51" s="772"/>
      <c r="N51" s="772"/>
    </row>
    <row r="52" spans="1:14" s="0" customFormat="1" ht="15.75">
      <c r="A52" s="750"/>
      <c r="B52" s="750"/>
      <c r="C52" s="741"/>
      <c r="D52" s="741"/>
      <c r="E52" s="741"/>
      <c r="F52" s="773"/>
      <c r="G52" s="741"/>
      <c r="H52" s="773"/>
      <c r="I52" s="773"/>
      <c r="J52" s="773"/>
      <c r="K52" s="773"/>
      <c r="L52" s="774"/>
      <c r="M52" s="774"/>
      <c r="N52" s="774"/>
    </row>
    <row r="53" spans="1:14" s="0" customFormat="1" ht="15.75">
      <c r="A53" s="764">
        <f>A48+1</f>
        <v>21</v>
      </c>
      <c r="B53" s="765"/>
      <c r="C53" s="762" t="s">
        <v>1242</v>
      </c>
      <c r="D53" s="741"/>
      <c r="E53" s="741"/>
      <c r="F53" s="763"/>
      <c r="G53" s="741"/>
      <c r="H53" s="763"/>
      <c r="I53" s="763"/>
      <c r="J53" s="763"/>
      <c r="K53" s="773"/>
      <c r="L53" s="763"/>
      <c r="M53" s="763"/>
      <c r="N53" s="763"/>
    </row>
    <row r="54" spans="1:14" s="0" customFormat="1" ht="15.75">
      <c r="A54" s="768" t="s">
        <v>1257</v>
      </c>
      <c r="B54" s="768"/>
      <c r="C54" s="769"/>
      <c r="D54" s="741"/>
      <c r="E54" s="769"/>
      <c r="F54" s="770"/>
      <c r="G54" s="769"/>
      <c r="H54" s="770"/>
      <c r="I54" s="770"/>
      <c r="J54" s="770"/>
      <c r="K54" s="773"/>
      <c r="L54" s="772"/>
      <c r="M54" s="772"/>
      <c r="N54" s="772"/>
    </row>
    <row r="55" spans="1:14" s="0" customFormat="1" ht="15.75">
      <c r="A55" s="775"/>
      <c r="B55" s="775"/>
      <c r="C55" s="753"/>
      <c r="D55" s="753"/>
      <c r="E55" s="741"/>
      <c r="F55" s="753"/>
      <c r="G55" s="741"/>
      <c r="H55" s="753"/>
      <c r="I55" s="753"/>
      <c r="J55" s="753"/>
      <c r="K55" s="773"/>
      <c r="L55" s="753"/>
      <c r="M55" s="753"/>
      <c r="N55" s="753"/>
    </row>
    <row r="56" spans="1:14" s="0" customFormat="1" ht="15.75">
      <c r="A56" s="764">
        <f>A53+1</f>
        <v>22</v>
      </c>
      <c r="B56" s="765"/>
      <c r="C56" s="762" t="s">
        <v>1243</v>
      </c>
      <c r="D56" s="741"/>
      <c r="E56" s="741"/>
      <c r="F56" s="763"/>
      <c r="G56" s="741"/>
      <c r="H56" s="763"/>
      <c r="I56" s="763"/>
      <c r="J56" s="763"/>
      <c r="K56" s="773"/>
      <c r="L56" s="763"/>
      <c r="M56" s="763"/>
      <c r="N56" s="763"/>
    </row>
    <row r="57" spans="1:14" s="0" customFormat="1" ht="15.75">
      <c r="A57" s="764" t="s">
        <v>1258</v>
      </c>
      <c r="B57" s="768" t="s">
        <v>1410</v>
      </c>
      <c r="C57" s="769" t="s">
        <v>1390</v>
      </c>
      <c r="D57" s="741"/>
      <c r="E57" s="769"/>
      <c r="F57" s="770">
        <v>-5897</v>
      </c>
      <c r="G57" s="769"/>
      <c r="H57" s="770">
        <v>8</v>
      </c>
      <c r="I57" s="770">
        <v>4</v>
      </c>
      <c r="J57" s="770">
        <v>-1180</v>
      </c>
      <c r="K57" s="773">
        <f>(F57+G57)-J57</f>
        <v>-4717</v>
      </c>
      <c r="L57" s="772" t="s">
        <v>1251</v>
      </c>
      <c r="M57" s="772" t="s">
        <v>1391</v>
      </c>
      <c r="N57" s="772"/>
    </row>
    <row r="58" spans="1:14" s="0" customFormat="1" ht="15.75">
      <c r="A58" s="768"/>
      <c r="B58" s="768"/>
      <c r="C58" s="769"/>
      <c r="D58" s="769"/>
      <c r="E58" s="769"/>
      <c r="F58" s="769"/>
      <c r="G58" s="769"/>
      <c r="H58" s="769"/>
      <c r="I58" s="769"/>
      <c r="J58" s="769"/>
      <c r="K58" s="773"/>
      <c r="L58" s="772" t="s">
        <v>1251</v>
      </c>
      <c r="M58" s="772" t="s">
        <v>1391</v>
      </c>
      <c r="N58" s="772"/>
    </row>
    <row r="59" spans="1:14" s="0" customFormat="1" ht="15.75">
      <c r="A59" s="768"/>
      <c r="B59" s="768"/>
      <c r="C59" s="769"/>
      <c r="D59" s="769"/>
      <c r="E59" s="769"/>
      <c r="F59" s="769"/>
      <c r="G59" s="769"/>
      <c r="H59" s="769"/>
      <c r="I59" s="769"/>
      <c r="J59" s="769"/>
      <c r="K59" s="773"/>
      <c r="L59" s="772" t="s">
        <v>1251</v>
      </c>
      <c r="M59" s="772" t="s">
        <v>1391</v>
      </c>
      <c r="N59" s="772"/>
    </row>
    <row r="60" spans="1:14" s="0" customFormat="1" ht="15.75">
      <c r="A60" s="768"/>
      <c r="B60" s="768"/>
      <c r="C60" s="769"/>
      <c r="D60" s="769"/>
      <c r="E60" s="769"/>
      <c r="F60" s="769"/>
      <c r="G60" s="769"/>
      <c r="H60" s="769"/>
      <c r="I60" s="769"/>
      <c r="J60" s="769"/>
      <c r="K60" s="773"/>
      <c r="L60" s="772" t="s">
        <v>1251</v>
      </c>
      <c r="M60" s="772" t="s">
        <v>1391</v>
      </c>
      <c r="N60" s="772"/>
    </row>
    <row r="61" spans="1:14" s="0" customFormat="1" ht="15.75">
      <c r="A61" s="768"/>
      <c r="B61" s="768"/>
      <c r="C61" s="769"/>
      <c r="D61" s="769"/>
      <c r="E61" s="769"/>
      <c r="F61" s="769"/>
      <c r="G61" s="769"/>
      <c r="H61" s="769"/>
      <c r="I61" s="769"/>
      <c r="J61" s="769"/>
      <c r="K61" s="773"/>
      <c r="L61" s="772" t="s">
        <v>1251</v>
      </c>
      <c r="M61" s="772" t="s">
        <v>1391</v>
      </c>
      <c r="N61" s="772"/>
    </row>
    <row r="62" spans="1:14" s="0" customFormat="1" ht="15.75">
      <c r="A62" s="750"/>
      <c r="B62" s="750"/>
      <c r="C62" s="741"/>
      <c r="D62" s="741"/>
      <c r="E62" s="741"/>
      <c r="F62" s="773"/>
      <c r="G62" s="741"/>
      <c r="H62" s="773"/>
      <c r="I62" s="773"/>
      <c r="J62" s="773"/>
      <c r="K62" s="773"/>
      <c r="L62" s="774"/>
      <c r="M62" s="774"/>
      <c r="N62" s="774"/>
    </row>
    <row r="63" spans="1:15" s="0" customFormat="1" ht="15.75">
      <c r="A63" s="768">
        <f>A56+1</f>
        <v>23</v>
      </c>
      <c r="B63" s="768" t="s">
        <v>1410</v>
      </c>
      <c r="C63" s="776" t="s">
        <v>1244</v>
      </c>
      <c r="D63" s="741"/>
      <c r="E63" s="769"/>
      <c r="F63" s="770">
        <v>-2171.9189947306418</v>
      </c>
      <c r="G63" s="770">
        <v>0</v>
      </c>
      <c r="H63" s="770"/>
      <c r="I63" s="770"/>
      <c r="J63" s="770">
        <v>-434.6047844297367</v>
      </c>
      <c r="K63" s="773">
        <f>(F63+G63)-J63</f>
        <v>-1737.314210300905</v>
      </c>
      <c r="L63" s="772"/>
      <c r="M63" s="772"/>
      <c r="N63" s="772"/>
      <c r="O63" s="1115"/>
    </row>
    <row r="64" spans="1:14" s="0" customFormat="1" ht="15.75">
      <c r="A64" s="750"/>
      <c r="B64" s="750"/>
      <c r="C64" s="746"/>
      <c r="D64" s="741"/>
      <c r="E64" s="777"/>
      <c r="F64" s="777"/>
      <c r="G64" s="777"/>
      <c r="H64" s="773"/>
      <c r="I64" s="773"/>
      <c r="J64" s="777"/>
      <c r="K64" s="778"/>
      <c r="L64" s="774"/>
      <c r="M64" s="774"/>
      <c r="N64" s="774"/>
    </row>
    <row r="65" spans="1:14" s="0" customFormat="1" ht="15.75">
      <c r="A65" s="768">
        <f>A63+1</f>
        <v>24</v>
      </c>
      <c r="B65" s="768" t="s">
        <v>1410</v>
      </c>
      <c r="C65" s="776" t="s">
        <v>1245</v>
      </c>
      <c r="D65" s="741"/>
      <c r="E65" s="779">
        <f>SUM(E49:E64)</f>
        <v>0</v>
      </c>
      <c r="F65" s="779">
        <f>SUM(F49:F64)</f>
        <v>-8068.9189947306422</v>
      </c>
      <c r="G65" s="779">
        <f>SUM(G49:G64)</f>
        <v>0</v>
      </c>
      <c r="H65" s="780"/>
      <c r="I65" s="780"/>
      <c r="J65" s="779">
        <f>SUM(J49:J64)</f>
        <v>-1614.6047844297368</v>
      </c>
      <c r="K65" s="779">
        <f>SUM(K49:K64)</f>
        <v>-6454.314210300905</v>
      </c>
      <c r="L65" s="741"/>
      <c r="M65" s="741"/>
      <c r="N65" s="741"/>
    </row>
    <row r="66" s="0" customFormat="1" ht="15"/>
    <row r="67" spans="1:19" ht="15">
      <c r="A67" s="760"/>
      <c r="B67" s="761"/>
      <c r="C67" s="762" t="s">
        <v>1246</v>
      </c>
      <c r="E67" s="763"/>
      <c r="F67" s="786"/>
      <c r="G67" s="786"/>
      <c r="H67" s="786"/>
      <c r="I67" s="786"/>
      <c r="J67" s="786"/>
      <c r="K67" s="763"/>
      <c r="L67" s="763"/>
      <c r="M67" s="763"/>
      <c r="N67" s="763"/>
      <c r="S67" s="1115"/>
    </row>
    <row r="68" spans="1:19" ht="15">
      <c r="A68" s="768">
        <f>A65+1</f>
        <v>25</v>
      </c>
      <c r="B68" s="768" t="s">
        <v>1410</v>
      </c>
      <c r="C68" s="769" t="s">
        <v>1247</v>
      </c>
      <c r="E68" s="770"/>
      <c r="F68" s="770"/>
      <c r="G68" s="770"/>
      <c r="H68" s="782" t="s">
        <v>1248</v>
      </c>
      <c r="I68" s="782" t="s">
        <v>1248</v>
      </c>
      <c r="J68" s="770"/>
      <c r="K68" s="771">
        <f>(F68+G68)-J68</f>
        <v>0</v>
      </c>
      <c r="L68" s="774" t="s">
        <v>1249</v>
      </c>
      <c r="M68" s="774" t="s">
        <v>1250</v>
      </c>
      <c r="N68" s="774">
        <f t="shared" si="3" ref="N68:N79">IF(M68="Asset",410.1,IF(M68="Liability",411.1,"N/A"))</f>
        <v>410.10</v>
      </c>
      <c r="S68" s="1115"/>
    </row>
    <row r="69" spans="1:19" ht="15">
      <c r="A69" s="768">
        <f>A68+1</f>
        <v>26</v>
      </c>
      <c r="B69" s="768" t="s">
        <v>1410</v>
      </c>
      <c r="C69" s="769" t="str">
        <f>C68</f>
        <v>Property Book-Tax Timing Difference - Account 190</v>
      </c>
      <c r="E69" s="770"/>
      <c r="F69" s="770"/>
      <c r="G69" s="770"/>
      <c r="H69" s="783" t="s">
        <v>1248</v>
      </c>
      <c r="I69" s="783" t="s">
        <v>1248</v>
      </c>
      <c r="J69" s="770"/>
      <c r="K69" s="771">
        <f t="shared" si="4" ref="K69:K80">(F69+G69)-J69</f>
        <v>0</v>
      </c>
      <c r="L69" s="774" t="s">
        <v>1251</v>
      </c>
      <c r="M69" s="774" t="s">
        <v>1252</v>
      </c>
      <c r="N69" s="774">
        <f t="shared" si="3"/>
        <v>411.10</v>
      </c>
      <c r="S69" s="1115"/>
    </row>
    <row r="70" spans="1:19" ht="15">
      <c r="A70" s="768">
        <f t="shared" si="5" ref="A70:A80">A69+1</f>
        <v>27</v>
      </c>
      <c r="B70" s="768" t="s">
        <v>1410</v>
      </c>
      <c r="C70" s="769" t="s">
        <v>1247</v>
      </c>
      <c r="E70" s="770"/>
      <c r="F70" s="770"/>
      <c r="G70" s="770"/>
      <c r="H70" s="783" t="s">
        <v>1248</v>
      </c>
      <c r="I70" s="783" t="s">
        <v>1248</v>
      </c>
      <c r="J70" s="770"/>
      <c r="K70" s="771">
        <f t="shared" si="4"/>
        <v>0</v>
      </c>
      <c r="L70" s="774" t="s">
        <v>1249</v>
      </c>
      <c r="M70" s="774" t="s">
        <v>1252</v>
      </c>
      <c r="N70" s="774">
        <f t="shared" si="3"/>
        <v>411.10</v>
      </c>
      <c r="S70" s="1115"/>
    </row>
    <row r="71" spans="1:19" ht="15">
      <c r="A71" s="768">
        <f t="shared" si="5"/>
        <v>28</v>
      </c>
      <c r="B71" s="768" t="s">
        <v>1410</v>
      </c>
      <c r="C71" s="769" t="str">
        <f>C70</f>
        <v>Property Book-Tax Timing Difference - Account 190</v>
      </c>
      <c r="E71" s="770"/>
      <c r="F71" s="770">
        <v>137406.79999999999</v>
      </c>
      <c r="G71" s="770"/>
      <c r="H71" s="783" t="s">
        <v>1248</v>
      </c>
      <c r="I71" s="783" t="s">
        <v>1248</v>
      </c>
      <c r="J71" s="770">
        <v>14378.559999999979</v>
      </c>
      <c r="K71" s="771">
        <f t="shared" si="4"/>
        <v>123028.24</v>
      </c>
      <c r="L71" s="774" t="s">
        <v>1251</v>
      </c>
      <c r="M71" s="774" t="s">
        <v>1250</v>
      </c>
      <c r="N71" s="774">
        <f t="shared" si="3"/>
        <v>410.10</v>
      </c>
      <c r="S71" s="1115"/>
    </row>
    <row r="72" spans="1:19" ht="15">
      <c r="A72" s="768">
        <f t="shared" si="5"/>
        <v>29</v>
      </c>
      <c r="B72" s="768" t="s">
        <v>1410</v>
      </c>
      <c r="C72" s="769" t="s">
        <v>1253</v>
      </c>
      <c r="E72" s="770"/>
      <c r="F72" s="770"/>
      <c r="G72" s="770"/>
      <c r="H72" s="783" t="s">
        <v>1248</v>
      </c>
      <c r="I72" s="783" t="s">
        <v>1248</v>
      </c>
      <c r="J72" s="770"/>
      <c r="K72" s="771">
        <f t="shared" si="4"/>
        <v>0</v>
      </c>
      <c r="L72" s="774" t="s">
        <v>1249</v>
      </c>
      <c r="M72" s="774" t="s">
        <v>1250</v>
      </c>
      <c r="N72" s="774">
        <f t="shared" si="3"/>
        <v>410.10</v>
      </c>
      <c r="S72" s="1115"/>
    </row>
    <row r="73" spans="1:14" ht="15">
      <c r="A73" s="768">
        <f t="shared" si="5"/>
        <v>30</v>
      </c>
      <c r="B73" s="768" t="s">
        <v>1410</v>
      </c>
      <c r="C73" s="769" t="str">
        <f>C72</f>
        <v>Property Book-Tax Timing Difference - Account 282</v>
      </c>
      <c r="E73" s="770"/>
      <c r="F73" s="770">
        <v>-2631273.0799999996</v>
      </c>
      <c r="G73" s="770"/>
      <c r="H73" s="783" t="s">
        <v>1248</v>
      </c>
      <c r="I73" s="783" t="s">
        <v>1248</v>
      </c>
      <c r="J73" s="770">
        <v>-48983.900000000373</v>
      </c>
      <c r="K73" s="771">
        <f t="shared" si="4"/>
        <v>-2582289.1799999992</v>
      </c>
      <c r="L73" s="774" t="s">
        <v>1251</v>
      </c>
      <c r="M73" s="774" t="s">
        <v>1252</v>
      </c>
      <c r="N73" s="774">
        <f t="shared" si="3"/>
        <v>411.10</v>
      </c>
    </row>
    <row r="74" spans="1:14" ht="15">
      <c r="A74" s="768">
        <f t="shared" si="5"/>
        <v>31</v>
      </c>
      <c r="B74" s="768" t="s">
        <v>1410</v>
      </c>
      <c r="C74" s="769" t="s">
        <v>1253</v>
      </c>
      <c r="E74" s="770"/>
      <c r="F74" s="770">
        <v>-4630751.7800000021</v>
      </c>
      <c r="G74" s="770"/>
      <c r="H74" s="783" t="s">
        <v>1248</v>
      </c>
      <c r="I74" s="783" t="s">
        <v>1248</v>
      </c>
      <c r="J74" s="770">
        <v>-40186.770000000019</v>
      </c>
      <c r="K74" s="771">
        <f t="shared" si="4"/>
        <v>-4590565.0100000016</v>
      </c>
      <c r="L74" s="774" t="s">
        <v>1249</v>
      </c>
      <c r="M74" s="774" t="s">
        <v>1252</v>
      </c>
      <c r="N74" s="774">
        <f t="shared" si="3"/>
        <v>411.10</v>
      </c>
    </row>
    <row r="75" spans="1:14" ht="15">
      <c r="A75" s="768">
        <f t="shared" si="5"/>
        <v>32</v>
      </c>
      <c r="B75" s="768" t="s">
        <v>1410</v>
      </c>
      <c r="C75" s="769" t="str">
        <f>C74</f>
        <v>Property Book-Tax Timing Difference - Account 282</v>
      </c>
      <c r="E75" s="770"/>
      <c r="F75" s="770"/>
      <c r="G75" s="770"/>
      <c r="H75" s="783"/>
      <c r="I75" s="783"/>
      <c r="J75" s="770"/>
      <c r="K75" s="771">
        <f t="shared" si="4"/>
        <v>0</v>
      </c>
      <c r="L75" s="774" t="s">
        <v>1251</v>
      </c>
      <c r="M75" s="774" t="s">
        <v>1250</v>
      </c>
      <c r="N75" s="774">
        <f t="shared" si="3"/>
        <v>410.10</v>
      </c>
    </row>
    <row r="76" spans="1:14" ht="15">
      <c r="A76" s="768">
        <f t="shared" si="5"/>
        <v>33</v>
      </c>
      <c r="B76" s="768" t="s">
        <v>1410</v>
      </c>
      <c r="C76" s="769" t="s">
        <v>1254</v>
      </c>
      <c r="E76" s="781"/>
      <c r="F76" s="781"/>
      <c r="G76" s="781"/>
      <c r="H76" s="783"/>
      <c r="I76" s="783"/>
      <c r="J76" s="770"/>
      <c r="K76" s="771">
        <f t="shared" si="4"/>
        <v>0</v>
      </c>
      <c r="L76" s="774" t="s">
        <v>1249</v>
      </c>
      <c r="M76" s="774" t="s">
        <v>1250</v>
      </c>
      <c r="N76" s="774">
        <f t="shared" si="3"/>
        <v>410.10</v>
      </c>
    </row>
    <row r="77" spans="1:14" ht="15">
      <c r="A77" s="768">
        <f t="shared" si="5"/>
        <v>34</v>
      </c>
      <c r="B77" s="768" t="s">
        <v>1410</v>
      </c>
      <c r="C77" s="769" t="str">
        <f>C76</f>
        <v>Property Book-Tax Timing Difference - Account 283</v>
      </c>
      <c r="E77" s="781"/>
      <c r="F77" s="781"/>
      <c r="G77" s="781"/>
      <c r="H77" s="783"/>
      <c r="I77" s="783"/>
      <c r="J77" s="770"/>
      <c r="K77" s="771">
        <f t="shared" si="4"/>
        <v>0</v>
      </c>
      <c r="L77" s="774" t="s">
        <v>1251</v>
      </c>
      <c r="M77" s="774" t="s">
        <v>1252</v>
      </c>
      <c r="N77" s="774">
        <f t="shared" si="3"/>
        <v>411.10</v>
      </c>
    </row>
    <row r="78" spans="1:14" ht="15">
      <c r="A78" s="768">
        <f t="shared" si="5"/>
        <v>35</v>
      </c>
      <c r="B78" s="768" t="s">
        <v>1410</v>
      </c>
      <c r="C78" s="769" t="s">
        <v>1254</v>
      </c>
      <c r="E78" s="781"/>
      <c r="F78" s="781"/>
      <c r="G78" s="781"/>
      <c r="H78" s="783"/>
      <c r="I78" s="783"/>
      <c r="J78" s="770"/>
      <c r="K78" s="771">
        <f t="shared" si="4"/>
        <v>0</v>
      </c>
      <c r="L78" s="774" t="s">
        <v>1249</v>
      </c>
      <c r="M78" s="774" t="s">
        <v>1252</v>
      </c>
      <c r="N78" s="774">
        <f t="shared" si="3"/>
        <v>411.10</v>
      </c>
    </row>
    <row r="79" spans="1:14" ht="15">
      <c r="A79" s="768">
        <f t="shared" si="5"/>
        <v>36</v>
      </c>
      <c r="B79" s="768" t="s">
        <v>1410</v>
      </c>
      <c r="C79" s="769" t="str">
        <f>C78</f>
        <v>Property Book-Tax Timing Difference - Account 283</v>
      </c>
      <c r="E79" s="781"/>
      <c r="F79" s="781"/>
      <c r="G79" s="781"/>
      <c r="H79" s="783"/>
      <c r="I79" s="783"/>
      <c r="J79" s="770"/>
      <c r="K79" s="771">
        <f t="shared" si="4"/>
        <v>0</v>
      </c>
      <c r="L79" s="774" t="s">
        <v>1251</v>
      </c>
      <c r="M79" s="774" t="s">
        <v>1250</v>
      </c>
      <c r="N79" s="774">
        <f t="shared" si="3"/>
        <v>410.10</v>
      </c>
    </row>
    <row r="80" spans="1:15" ht="15">
      <c r="A80" s="768">
        <f t="shared" si="5"/>
        <v>37</v>
      </c>
      <c r="B80" s="768" t="s">
        <v>1410</v>
      </c>
      <c r="C80" s="769" t="s">
        <v>1255</v>
      </c>
      <c r="E80" s="784"/>
      <c r="F80" s="784">
        <f>SUM(F68:F79)*('Attachment H-28A MAIT '!$D$169-1)</f>
        <v>-2624061.945856364</v>
      </c>
      <c r="G80" s="784"/>
      <c r="H80" s="782"/>
      <c r="I80" s="782"/>
      <c r="J80" s="784">
        <f>SUM(J68:J79)*('Attachment H-28A MAIT '!$D$169)</f>
        <v>-102338.72766406424</v>
      </c>
      <c r="K80" s="771">
        <f t="shared" si="4"/>
        <v>-2521723.2181922998</v>
      </c>
      <c r="L80" s="772"/>
      <c r="M80" s="772"/>
      <c r="N80" s="772"/>
      <c r="O80" s="1115"/>
    </row>
    <row r="81" spans="1:13" ht="15">
      <c r="A81" s="768">
        <f>A80+1</f>
        <v>38</v>
      </c>
      <c r="B81" s="768" t="s">
        <v>1410</v>
      </c>
      <c r="C81" s="776" t="str">
        <f>"Total Property (Total of lines "&amp;A68&amp;" thru "&amp;A80&amp;")"</f>
        <v>Total Property (Total of lines 25 thru 37)</v>
      </c>
      <c r="E81" s="785">
        <f>SUM(E68:E80)</f>
        <v>0</v>
      </c>
      <c r="F81" s="785">
        <f>SUM(F68:F80)</f>
        <v>-9748680.0058563668</v>
      </c>
      <c r="G81" s="785">
        <f>SUM(G68:G80)</f>
        <v>0</v>
      </c>
      <c r="H81" s="780"/>
      <c r="I81" s="780"/>
      <c r="J81" s="785">
        <f>SUM(J68:J80)</f>
        <v>-177130.83766406466</v>
      </c>
      <c r="K81" s="1150">
        <f>SUM(K68:K80)</f>
        <v>-9571549.1681923009</v>
      </c>
      <c r="L81" s="774"/>
      <c r="M81" s="774"/>
    </row>
    <row r="82" spans="3:13" ht="15">
      <c r="C82" s="746"/>
      <c r="E82" s="785"/>
      <c r="F82" s="785"/>
      <c r="G82" s="785"/>
      <c r="H82" s="792"/>
      <c r="I82" s="792"/>
      <c r="J82" s="785"/>
      <c r="K82" s="785"/>
      <c r="L82" s="774"/>
      <c r="M82" s="774"/>
    </row>
    <row r="83" spans="3:13" ht="15">
      <c r="C83" s="746"/>
      <c r="E83" s="785"/>
      <c r="F83" s="785"/>
      <c r="G83" s="785"/>
      <c r="H83" s="792"/>
      <c r="I83" s="792"/>
      <c r="J83" s="785"/>
      <c r="K83" s="785"/>
      <c r="L83" s="774"/>
      <c r="M83" s="774"/>
    </row>
    <row r="84" spans="3:14" ht="15.75">
      <c r="C84" s="746"/>
      <c r="E84" s="785"/>
      <c r="F84" s="785"/>
      <c r="G84" s="785"/>
      <c r="H84" s="792"/>
      <c r="I84" s="792"/>
      <c r="J84" s="785"/>
      <c r="K84" s="785"/>
      <c r="L84" s="204"/>
      <c r="N84" s="458" t="s">
        <v>1222</v>
      </c>
    </row>
    <row r="85" spans="3:14" ht="15">
      <c r="C85" s="746"/>
      <c r="E85" s="785"/>
      <c r="F85" s="785"/>
      <c r="G85" s="785"/>
      <c r="H85" s="792"/>
      <c r="I85" s="792"/>
      <c r="J85" s="785"/>
      <c r="K85" s="785"/>
      <c r="L85" s="1131"/>
      <c r="N85" s="743" t="s">
        <v>1504</v>
      </c>
    </row>
    <row r="86" spans="3:14" ht="15">
      <c r="C86" s="746"/>
      <c r="E86" s="785"/>
      <c r="F86" s="785"/>
      <c r="G86" s="785"/>
      <c r="H86" s="792"/>
      <c r="I86" s="792"/>
      <c r="J86" s="785"/>
      <c r="K86" s="785"/>
      <c r="L86" s="1131"/>
      <c r="N86" s="749" t="str">
        <f>$N$3</f>
        <v>For the 12 months ended 12/31/26</v>
      </c>
    </row>
    <row r="87" spans="3:11" ht="15">
      <c r="C87" s="746"/>
      <c r="E87" s="785"/>
      <c r="F87" s="785"/>
      <c r="G87" s="785"/>
      <c r="H87" s="792"/>
      <c r="I87" s="792"/>
      <c r="J87" s="785"/>
      <c r="K87" s="785"/>
    </row>
    <row r="88" spans="3:13" ht="15">
      <c r="C88" s="746"/>
      <c r="E88" s="785"/>
      <c r="F88" s="785"/>
      <c r="G88" s="785"/>
      <c r="H88" s="792"/>
      <c r="I88" s="792"/>
      <c r="J88" s="785"/>
      <c r="K88" s="785"/>
      <c r="L88" s="774"/>
      <c r="M88" s="774"/>
    </row>
    <row r="89" spans="2:14" ht="15">
      <c r="B89" s="755" t="s">
        <v>1066</v>
      </c>
      <c r="C89" s="755" t="s">
        <v>1067</v>
      </c>
      <c r="D89" s="754"/>
      <c r="E89" s="755" t="s">
        <v>1068</v>
      </c>
      <c r="F89" s="755" t="s">
        <v>1069</v>
      </c>
      <c r="G89" s="755" t="s">
        <v>1084</v>
      </c>
      <c r="H89" s="755" t="s">
        <v>1085</v>
      </c>
      <c r="I89" s="755" t="s">
        <v>1086</v>
      </c>
      <c r="J89" s="755" t="s">
        <v>1224</v>
      </c>
      <c r="K89" s="755" t="s">
        <v>1225</v>
      </c>
      <c r="L89" s="755" t="s">
        <v>1226</v>
      </c>
      <c r="M89" s="755" t="s">
        <v>1227</v>
      </c>
      <c r="N89" s="755" t="s">
        <v>1228</v>
      </c>
    </row>
    <row r="90" spans="1:19" ht="90">
      <c r="A90" s="756" t="s">
        <v>211</v>
      </c>
      <c r="B90" s="757" t="s">
        <v>1229</v>
      </c>
      <c r="C90" s="758" t="s">
        <v>1002</v>
      </c>
      <c r="E90" s="759" t="s">
        <v>1467</v>
      </c>
      <c r="F90" s="758" t="s">
        <v>1230</v>
      </c>
      <c r="G90" s="758" t="s">
        <v>1231</v>
      </c>
      <c r="H90" s="758" t="s">
        <v>1232</v>
      </c>
      <c r="I90" s="758" t="s">
        <v>1233</v>
      </c>
      <c r="J90" s="758" t="s">
        <v>1234</v>
      </c>
      <c r="K90" s="758" t="s">
        <v>1235</v>
      </c>
      <c r="L90" s="758" t="s">
        <v>1236</v>
      </c>
      <c r="M90" s="758" t="s">
        <v>1237</v>
      </c>
      <c r="N90" s="758" t="s">
        <v>1238</v>
      </c>
      <c r="S90" s="771"/>
    </row>
    <row r="91" spans="1:14" s="0" customFormat="1" ht="15.75">
      <c r="A91" s="760"/>
      <c r="B91" s="761"/>
      <c r="C91" s="762" t="s">
        <v>1239</v>
      </c>
      <c r="D91" s="741"/>
      <c r="E91" s="763"/>
      <c r="F91" s="763"/>
      <c r="G91" s="763"/>
      <c r="H91" s="763"/>
      <c r="I91" s="763"/>
      <c r="J91" s="763"/>
      <c r="K91" s="763"/>
      <c r="L91" s="763"/>
      <c r="M91" s="741"/>
      <c r="N91" s="741"/>
    </row>
    <row r="92" spans="1:14" s="0" customFormat="1" ht="15.75">
      <c r="A92" s="764">
        <v>39</v>
      </c>
      <c r="B92" s="765"/>
      <c r="C92" s="762" t="s">
        <v>1240</v>
      </c>
      <c r="D92" s="741"/>
      <c r="E92" s="763"/>
      <c r="F92" s="763"/>
      <c r="G92" s="763"/>
      <c r="H92" s="766"/>
      <c r="I92" s="763"/>
      <c r="J92" s="763"/>
      <c r="K92" s="741"/>
      <c r="L92" s="763"/>
      <c r="M92" s="767"/>
      <c r="N92" s="741"/>
    </row>
    <row r="93" spans="1:14" s="0" customFormat="1" ht="15.75">
      <c r="A93" s="768" t="s">
        <v>1455</v>
      </c>
      <c r="B93" s="768" t="s">
        <v>1411</v>
      </c>
      <c r="C93" s="769" t="s">
        <v>1306</v>
      </c>
      <c r="D93" s="741"/>
      <c r="E93" s="770"/>
      <c r="F93" s="770">
        <v>153242</v>
      </c>
      <c r="G93" s="770"/>
      <c r="H93" s="770">
        <v>4</v>
      </c>
      <c r="I93" s="770">
        <v>1</v>
      </c>
      <c r="J93" s="770">
        <v>76621</v>
      </c>
      <c r="K93" s="773">
        <f>(F93+G93)-J93</f>
        <v>76621</v>
      </c>
      <c r="L93" s="772" t="s">
        <v>1251</v>
      </c>
      <c r="M93" s="772" t="s">
        <v>1388</v>
      </c>
      <c r="N93" s="772"/>
    </row>
    <row r="94" spans="1:14" s="0" customFormat="1" ht="15.75">
      <c r="A94" s="768" t="s">
        <v>1430</v>
      </c>
      <c r="B94" s="768"/>
      <c r="C94" s="769"/>
      <c r="D94" s="741"/>
      <c r="E94" s="770"/>
      <c r="F94" s="770"/>
      <c r="G94" s="770"/>
      <c r="H94" s="770"/>
      <c r="I94" s="770"/>
      <c r="J94" s="770"/>
      <c r="K94" s="773"/>
      <c r="L94" s="772"/>
      <c r="M94" s="772"/>
      <c r="N94" s="772"/>
    </row>
    <row r="95" spans="1:14" s="0" customFormat="1" ht="15.75">
      <c r="A95" s="768"/>
      <c r="B95" s="750"/>
      <c r="C95" s="741"/>
      <c r="D95" s="741"/>
      <c r="E95" s="741"/>
      <c r="F95" s="773"/>
      <c r="G95" s="741"/>
      <c r="H95" s="773"/>
      <c r="I95" s="773"/>
      <c r="J95" s="773"/>
      <c r="K95" s="773"/>
      <c r="L95" s="774"/>
      <c r="M95" s="774"/>
      <c r="N95" s="774"/>
    </row>
    <row r="96" spans="1:14" s="0" customFormat="1" ht="15.75">
      <c r="A96" s="764">
        <f>A92+1</f>
        <v>40</v>
      </c>
      <c r="B96" s="765"/>
      <c r="C96" s="762" t="s">
        <v>1242</v>
      </c>
      <c r="D96" s="741"/>
      <c r="E96" s="741"/>
      <c r="F96" s="763"/>
      <c r="G96" s="741"/>
      <c r="H96" s="763"/>
      <c r="I96" s="763"/>
      <c r="J96" s="763"/>
      <c r="K96" s="773"/>
      <c r="L96" s="763"/>
      <c r="M96" s="763"/>
      <c r="N96" s="763"/>
    </row>
    <row r="97" spans="1:26" s="0" customFormat="1" ht="15.75">
      <c r="A97" s="768" t="s">
        <v>1431</v>
      </c>
      <c r="B97" s="768"/>
      <c r="C97" s="769"/>
      <c r="D97" s="741"/>
      <c r="E97" s="769"/>
      <c r="F97" s="770"/>
      <c r="G97" s="769"/>
      <c r="H97" s="770"/>
      <c r="I97" s="770"/>
      <c r="J97" s="770"/>
      <c r="K97" s="773"/>
      <c r="L97" s="772"/>
      <c r="M97" s="772"/>
      <c r="N97" s="772"/>
      <c r="R97" s="1126"/>
      <c r="S97" s="1126"/>
      <c r="T97" s="1126"/>
      <c r="U97" s="1126"/>
      <c r="V97" s="1126"/>
      <c r="W97" s="1126"/>
      <c r="X97" s="1126"/>
      <c r="Y97" s="1126"/>
      <c r="Z97" s="1126"/>
    </row>
    <row r="98" spans="1:14" s="0" customFormat="1" ht="15.75">
      <c r="A98" s="1135"/>
      <c r="B98" s="775"/>
      <c r="C98" s="753"/>
      <c r="D98" s="753"/>
      <c r="E98" s="741"/>
      <c r="F98" s="753"/>
      <c r="G98" s="741"/>
      <c r="H98" s="753"/>
      <c r="I98" s="753"/>
      <c r="J98" s="753"/>
      <c r="K98" s="773"/>
      <c r="L98" s="753"/>
      <c r="M98" s="753"/>
      <c r="N98" s="753"/>
    </row>
    <row r="99" spans="1:14" s="0" customFormat="1" ht="15.75">
      <c r="A99" s="764">
        <f>A96+1</f>
        <v>41</v>
      </c>
      <c r="B99" s="765"/>
      <c r="C99" s="762" t="s">
        <v>1243</v>
      </c>
      <c r="D99" s="741"/>
      <c r="E99" s="741"/>
      <c r="F99" s="763"/>
      <c r="G99" s="741"/>
      <c r="H99" s="763"/>
      <c r="I99" s="763"/>
      <c r="J99" s="763"/>
      <c r="K99" s="773"/>
      <c r="L99" s="763"/>
      <c r="M99" s="763"/>
      <c r="N99" s="763"/>
    </row>
    <row r="100" spans="1:14" s="0" customFormat="1" ht="15.75">
      <c r="A100" s="764" t="s">
        <v>1431</v>
      </c>
      <c r="B100" s="768" t="s">
        <v>1411</v>
      </c>
      <c r="C100" s="769" t="s">
        <v>1302</v>
      </c>
      <c r="D100" s="741"/>
      <c r="E100" s="769"/>
      <c r="F100" s="770">
        <v>0</v>
      </c>
      <c r="G100" s="769"/>
      <c r="H100" s="770">
        <v>2</v>
      </c>
      <c r="I100" s="770">
        <v>0</v>
      </c>
      <c r="J100" s="770"/>
      <c r="K100" s="773">
        <f t="shared" si="6" ref="K100:K101">(F100+G100)-J100</f>
        <v>0</v>
      </c>
      <c r="L100" s="772" t="s">
        <v>1251</v>
      </c>
      <c r="M100" s="772" t="s">
        <v>1391</v>
      </c>
      <c r="N100" s="772"/>
    </row>
    <row r="101" spans="1:14" s="0" customFormat="1" ht="15.75">
      <c r="A101" s="768" t="s">
        <v>1432</v>
      </c>
      <c r="B101" s="768" t="s">
        <v>1411</v>
      </c>
      <c r="C101" s="769" t="s">
        <v>1390</v>
      </c>
      <c r="D101" s="741"/>
      <c r="E101" s="769"/>
      <c r="F101" s="770">
        <v>-1685</v>
      </c>
      <c r="G101" s="769"/>
      <c r="H101" s="770">
        <v>7</v>
      </c>
      <c r="I101" s="770">
        <v>4</v>
      </c>
      <c r="J101" s="770">
        <v>-337</v>
      </c>
      <c r="K101" s="773">
        <f t="shared" si="6"/>
        <v>-1348</v>
      </c>
      <c r="L101" s="772" t="s">
        <v>1251</v>
      </c>
      <c r="M101" s="772" t="s">
        <v>1391</v>
      </c>
      <c r="N101" s="772"/>
    </row>
    <row r="102" spans="1:14" s="0" customFormat="1" ht="15.75">
      <c r="A102" s="768"/>
      <c r="B102" s="768"/>
      <c r="C102" s="769"/>
      <c r="D102" s="741"/>
      <c r="E102" s="770"/>
      <c r="F102" s="770"/>
      <c r="G102" s="769"/>
      <c r="H102" s="770"/>
      <c r="I102" s="770"/>
      <c r="J102" s="770"/>
      <c r="K102" s="773"/>
      <c r="L102" s="772"/>
      <c r="M102" s="772"/>
      <c r="N102" s="772"/>
    </row>
    <row r="103" spans="1:14" s="0" customFormat="1" ht="15.75">
      <c r="A103" s="768"/>
      <c r="B103" s="768"/>
      <c r="C103" s="769"/>
      <c r="D103" s="741"/>
      <c r="E103" s="770"/>
      <c r="F103" s="770"/>
      <c r="G103" s="769"/>
      <c r="H103" s="770"/>
      <c r="I103" s="770"/>
      <c r="J103" s="770"/>
      <c r="K103" s="773"/>
      <c r="L103" s="772"/>
      <c r="M103" s="772"/>
      <c r="N103" s="772"/>
    </row>
    <row r="104" spans="1:14" s="0" customFormat="1" ht="15.75">
      <c r="A104" s="768"/>
      <c r="B104" s="750"/>
      <c r="C104" s="741"/>
      <c r="D104" s="741"/>
      <c r="E104" s="741"/>
      <c r="F104" s="773"/>
      <c r="G104" s="741"/>
      <c r="H104" s="773"/>
      <c r="I104" s="773"/>
      <c r="J104" s="773"/>
      <c r="K104" s="773"/>
      <c r="L104" s="774"/>
      <c r="M104" s="774"/>
      <c r="N104" s="774"/>
    </row>
    <row r="105" spans="1:15" s="0" customFormat="1" ht="15.75">
      <c r="A105" s="768">
        <f>A99+1</f>
        <v>42</v>
      </c>
      <c r="B105" s="768" t="s">
        <v>1411</v>
      </c>
      <c r="C105" s="776" t="s">
        <v>1244</v>
      </c>
      <c r="D105" s="741"/>
      <c r="E105" s="770"/>
      <c r="F105" s="770">
        <v>55819.828232048814</v>
      </c>
      <c r="G105" s="769">
        <v>0</v>
      </c>
      <c r="H105" s="770"/>
      <c r="I105" s="770"/>
      <c r="J105" s="770">
        <v>28096.094385964436</v>
      </c>
      <c r="K105" s="773">
        <v>27723.733846084382</v>
      </c>
      <c r="L105" s="772"/>
      <c r="M105" s="772"/>
      <c r="N105" s="772"/>
      <c r="O105" s="1115"/>
    </row>
    <row r="106" spans="1:14" s="0" customFormat="1" ht="15.75">
      <c r="A106" s="768"/>
      <c r="B106" s="750"/>
      <c r="C106" s="746"/>
      <c r="D106" s="741"/>
      <c r="E106" s="777"/>
      <c r="F106" s="777"/>
      <c r="G106" s="777"/>
      <c r="H106" s="773"/>
      <c r="I106" s="773"/>
      <c r="J106" s="777"/>
      <c r="K106" s="778"/>
      <c r="L106" s="774"/>
      <c r="M106" s="774"/>
      <c r="N106" s="774"/>
    </row>
    <row r="107" spans="1:14" s="0" customFormat="1" ht="15.75">
      <c r="A107" s="768">
        <f>A105+1</f>
        <v>43</v>
      </c>
      <c r="B107" s="768" t="s">
        <v>1411</v>
      </c>
      <c r="C107" s="776" t="s">
        <v>1245</v>
      </c>
      <c r="D107" s="741"/>
      <c r="E107" s="779">
        <f>SUM(E93:E106)</f>
        <v>0</v>
      </c>
      <c r="F107" s="779">
        <f>SUM(F93:F106)</f>
        <v>207376.82823204881</v>
      </c>
      <c r="G107" s="779">
        <f>SUM(G93:G106)</f>
        <v>0</v>
      </c>
      <c r="H107" s="780"/>
      <c r="I107" s="780"/>
      <c r="J107" s="779">
        <f>SUM(J93:J106)</f>
        <v>104380.09438596443</v>
      </c>
      <c r="K107" s="779">
        <f>SUM(K93:K106)</f>
        <v>102996.73384608439</v>
      </c>
      <c r="L107" s="741"/>
      <c r="M107" s="741"/>
      <c r="N107" s="741"/>
    </row>
    <row r="108" spans="1:14" s="0" customFormat="1" ht="15.75">
      <c r="A108" s="768"/>
      <c r="B108" s="768"/>
      <c r="C108" s="776"/>
      <c r="D108" s="741"/>
      <c r="E108" s="779"/>
      <c r="F108" s="779"/>
      <c r="G108" s="779"/>
      <c r="H108" s="780"/>
      <c r="I108" s="780"/>
      <c r="J108" s="779"/>
      <c r="K108" s="779"/>
      <c r="L108" s="741"/>
      <c r="M108" s="741"/>
      <c r="N108" s="741"/>
    </row>
    <row r="109" spans="1:14" ht="15">
      <c r="A109" s="1136"/>
      <c r="B109" s="761"/>
      <c r="C109" s="762" t="s">
        <v>1246</v>
      </c>
      <c r="E109" s="763"/>
      <c r="F109" s="786"/>
      <c r="G109" s="786"/>
      <c r="H109" s="786"/>
      <c r="I109" s="786"/>
      <c r="J109" s="786"/>
      <c r="K109" s="763"/>
      <c r="L109" s="763"/>
      <c r="M109" s="763"/>
      <c r="N109" s="763"/>
    </row>
    <row r="110" spans="1:14" ht="15">
      <c r="A110" s="768">
        <f>A107+1</f>
        <v>44</v>
      </c>
      <c r="B110" s="768" t="s">
        <v>1411</v>
      </c>
      <c r="C110" s="769" t="s">
        <v>1247</v>
      </c>
      <c r="E110" s="770"/>
      <c r="F110" s="770"/>
      <c r="G110" s="770"/>
      <c r="H110" s="783" t="s">
        <v>1248</v>
      </c>
      <c r="I110" s="783" t="s">
        <v>1248</v>
      </c>
      <c r="J110" s="770"/>
      <c r="K110" s="771">
        <f t="shared" si="7" ref="K110:K111">(F110+G110)-J110</f>
        <v>0</v>
      </c>
      <c r="L110" s="774" t="s">
        <v>1249</v>
      </c>
      <c r="M110" s="774" t="s">
        <v>1250</v>
      </c>
      <c r="N110" s="774">
        <v>410.10</v>
      </c>
    </row>
    <row r="111" spans="1:14" ht="15">
      <c r="A111" s="768">
        <f>A110+1</f>
        <v>45</v>
      </c>
      <c r="B111" s="768" t="s">
        <v>1411</v>
      </c>
      <c r="C111" s="769" t="s">
        <v>1247</v>
      </c>
      <c r="E111" s="770"/>
      <c r="F111" s="770"/>
      <c r="G111" s="770"/>
      <c r="H111" s="783" t="s">
        <v>1248</v>
      </c>
      <c r="I111" s="783" t="s">
        <v>1248</v>
      </c>
      <c r="J111" s="770"/>
      <c r="K111" s="771">
        <f t="shared" si="7"/>
        <v>0</v>
      </c>
      <c r="L111" s="774" t="s">
        <v>1251</v>
      </c>
      <c r="M111" s="774" t="s">
        <v>1252</v>
      </c>
      <c r="N111" s="774">
        <v>411.10</v>
      </c>
    </row>
    <row r="112" spans="1:14" ht="15">
      <c r="A112" s="768">
        <f t="shared" si="8" ref="A112:A121">A111+1</f>
        <v>46</v>
      </c>
      <c r="B112" s="768" t="s">
        <v>1411</v>
      </c>
      <c r="C112" s="769" t="s">
        <v>1247</v>
      </c>
      <c r="E112" s="770"/>
      <c r="F112" s="770"/>
      <c r="G112" s="770"/>
      <c r="H112" s="783"/>
      <c r="I112" s="783"/>
      <c r="J112" s="770"/>
      <c r="K112" s="771"/>
      <c r="L112" s="774" t="s">
        <v>1249</v>
      </c>
      <c r="M112" s="774" t="s">
        <v>1252</v>
      </c>
      <c r="N112" s="774">
        <v>411.10</v>
      </c>
    </row>
    <row r="113" spans="1:14" ht="15">
      <c r="A113" s="768">
        <f t="shared" si="8"/>
        <v>47</v>
      </c>
      <c r="B113" s="768" t="s">
        <v>1411</v>
      </c>
      <c r="C113" s="769" t="s">
        <v>1247</v>
      </c>
      <c r="E113" s="770"/>
      <c r="F113" s="770">
        <v>68211.329999999958</v>
      </c>
      <c r="G113" s="770"/>
      <c r="H113" s="783" t="s">
        <v>1248</v>
      </c>
      <c r="I113" s="783" t="s">
        <v>1248</v>
      </c>
      <c r="J113" s="770">
        <v>7664.9899999999652</v>
      </c>
      <c r="K113" s="771">
        <f t="shared" si="9" ref="K113:K122">(F113+G113)-J113</f>
        <v>60546.34</v>
      </c>
      <c r="L113" s="774" t="s">
        <v>1251</v>
      </c>
      <c r="M113" s="774" t="s">
        <v>1250</v>
      </c>
      <c r="N113" s="774">
        <v>410.10</v>
      </c>
    </row>
    <row r="114" spans="1:14" ht="15">
      <c r="A114" s="768">
        <f t="shared" si="8"/>
        <v>48</v>
      </c>
      <c r="B114" s="768" t="s">
        <v>1411</v>
      </c>
      <c r="C114" s="769" t="s">
        <v>1253</v>
      </c>
      <c r="E114" s="770"/>
      <c r="F114" s="770"/>
      <c r="G114" s="770"/>
      <c r="H114" s="783" t="s">
        <v>1248</v>
      </c>
      <c r="I114" s="783" t="s">
        <v>1248</v>
      </c>
      <c r="J114" s="770"/>
      <c r="K114" s="771">
        <f t="shared" si="9"/>
        <v>0</v>
      </c>
      <c r="L114" s="774" t="s">
        <v>1251</v>
      </c>
      <c r="M114" s="774" t="s">
        <v>1250</v>
      </c>
      <c r="N114" s="774">
        <f t="shared" si="10" ref="N114:N122">IF(M114="Asset",410.1,IF(M114="Liability",411.1,"N/A"))</f>
        <v>410.10</v>
      </c>
    </row>
    <row r="115" spans="1:14" ht="15">
      <c r="A115" s="768">
        <f t="shared" si="8"/>
        <v>49</v>
      </c>
      <c r="B115" s="768" t="s">
        <v>1411</v>
      </c>
      <c r="C115" s="769" t="s">
        <v>1253</v>
      </c>
      <c r="E115" s="770"/>
      <c r="F115" s="770">
        <v>-1568281.66</v>
      </c>
      <c r="G115" s="770"/>
      <c r="H115" s="783" t="s">
        <v>1248</v>
      </c>
      <c r="I115" s="783" t="s">
        <v>1248</v>
      </c>
      <c r="J115" s="770">
        <v>-19534.419999999958</v>
      </c>
      <c r="K115" s="771">
        <f t="shared" si="9"/>
        <v>-1548747.24</v>
      </c>
      <c r="L115" s="774" t="s">
        <v>1249</v>
      </c>
      <c r="M115" s="774" t="s">
        <v>1250</v>
      </c>
      <c r="N115" s="774">
        <f t="shared" si="10"/>
        <v>410.10</v>
      </c>
    </row>
    <row r="116" spans="1:14" ht="15">
      <c r="A116" s="768">
        <f t="shared" si="8"/>
        <v>50</v>
      </c>
      <c r="B116" s="768" t="s">
        <v>1411</v>
      </c>
      <c r="C116" s="769" t="s">
        <v>1253</v>
      </c>
      <c r="E116" s="770"/>
      <c r="F116" s="770">
        <v>-2753802.6100000027</v>
      </c>
      <c r="G116" s="770"/>
      <c r="H116" s="783" t="s">
        <v>1248</v>
      </c>
      <c r="I116" s="783" t="s">
        <v>1248</v>
      </c>
      <c r="J116" s="770">
        <v>-22441.450000002165</v>
      </c>
      <c r="K116" s="771">
        <f t="shared" si="9"/>
        <v>-2731361.1600000006</v>
      </c>
      <c r="L116" s="774" t="s">
        <v>1251</v>
      </c>
      <c r="M116" s="774" t="s">
        <v>1252</v>
      </c>
      <c r="N116" s="774">
        <f t="shared" si="10"/>
        <v>411.10</v>
      </c>
    </row>
    <row r="117" spans="1:14" ht="15">
      <c r="A117" s="768">
        <f t="shared" si="8"/>
        <v>51</v>
      </c>
      <c r="B117" s="768" t="s">
        <v>1411</v>
      </c>
      <c r="C117" s="769" t="s">
        <v>1253</v>
      </c>
      <c r="E117" s="770"/>
      <c r="F117" s="770"/>
      <c r="G117" s="770"/>
      <c r="H117" s="783"/>
      <c r="I117" s="783"/>
      <c r="J117" s="770"/>
      <c r="K117" s="771">
        <f t="shared" si="9"/>
        <v>0</v>
      </c>
      <c r="L117" s="774" t="s">
        <v>1249</v>
      </c>
      <c r="M117" s="774" t="s">
        <v>1252</v>
      </c>
      <c r="N117" s="774">
        <f t="shared" si="10"/>
        <v>411.10</v>
      </c>
    </row>
    <row r="118" spans="1:14" ht="15">
      <c r="A118" s="768">
        <f t="shared" si="8"/>
        <v>52</v>
      </c>
      <c r="B118" s="768" t="s">
        <v>1411</v>
      </c>
      <c r="C118" s="769" t="s">
        <v>1254</v>
      </c>
      <c r="E118" s="770"/>
      <c r="F118" s="770"/>
      <c r="G118" s="770"/>
      <c r="H118" s="783"/>
      <c r="I118" s="783"/>
      <c r="J118" s="770"/>
      <c r="K118" s="771">
        <f t="shared" si="9"/>
        <v>0</v>
      </c>
      <c r="L118" s="774" t="s">
        <v>1251</v>
      </c>
      <c r="M118" s="774" t="s">
        <v>1250</v>
      </c>
      <c r="N118" s="774">
        <f t="shared" si="10"/>
        <v>410.10</v>
      </c>
    </row>
    <row r="119" spans="1:14" ht="15">
      <c r="A119" s="768">
        <f t="shared" si="8"/>
        <v>53</v>
      </c>
      <c r="B119" s="768" t="s">
        <v>1411</v>
      </c>
      <c r="C119" s="769" t="s">
        <v>1254</v>
      </c>
      <c r="E119" s="781"/>
      <c r="F119" s="781"/>
      <c r="G119" s="781"/>
      <c r="H119" s="783"/>
      <c r="I119" s="783"/>
      <c r="J119" s="770"/>
      <c r="K119" s="771">
        <f t="shared" si="9"/>
        <v>0</v>
      </c>
      <c r="L119" s="774" t="s">
        <v>1249</v>
      </c>
      <c r="M119" s="774" t="s">
        <v>1250</v>
      </c>
      <c r="N119" s="774">
        <f t="shared" si="10"/>
        <v>410.10</v>
      </c>
    </row>
    <row r="120" spans="1:14" ht="15">
      <c r="A120" s="768">
        <f t="shared" si="8"/>
        <v>54</v>
      </c>
      <c r="B120" s="768" t="s">
        <v>1411</v>
      </c>
      <c r="C120" s="769" t="s">
        <v>1254</v>
      </c>
      <c r="E120" s="781"/>
      <c r="F120" s="781"/>
      <c r="G120" s="781"/>
      <c r="H120" s="783"/>
      <c r="I120" s="783"/>
      <c r="J120" s="770"/>
      <c r="K120" s="771">
        <f t="shared" si="9"/>
        <v>0</v>
      </c>
      <c r="L120" s="774" t="s">
        <v>1251</v>
      </c>
      <c r="M120" s="774" t="s">
        <v>1252</v>
      </c>
      <c r="N120" s="774">
        <f t="shared" si="10"/>
        <v>411.10</v>
      </c>
    </row>
    <row r="121" spans="1:14" ht="15">
      <c r="A121" s="768">
        <f t="shared" si="8"/>
        <v>55</v>
      </c>
      <c r="B121" s="768" t="s">
        <v>1411</v>
      </c>
      <c r="C121" s="769" t="s">
        <v>1254</v>
      </c>
      <c r="E121" s="781"/>
      <c r="F121" s="781"/>
      <c r="G121" s="781"/>
      <c r="H121" s="783"/>
      <c r="I121" s="783"/>
      <c r="J121" s="770"/>
      <c r="K121" s="771">
        <f t="shared" si="9"/>
        <v>0</v>
      </c>
      <c r="L121" s="774" t="s">
        <v>1249</v>
      </c>
      <c r="M121" s="774" t="s">
        <v>1252</v>
      </c>
      <c r="N121" s="774">
        <f t="shared" si="10"/>
        <v>411.10</v>
      </c>
    </row>
    <row r="122" spans="1:14" ht="15">
      <c r="A122" s="768">
        <v>56</v>
      </c>
      <c r="B122" s="768" t="s">
        <v>1411</v>
      </c>
      <c r="C122" s="769" t="s">
        <v>1255</v>
      </c>
      <c r="E122" s="781"/>
      <c r="F122" s="781">
        <f>SUM(F110:F121)*('Attachment H-28A MAIT '!$D$169)</f>
        <v>-5820613.2214238942</v>
      </c>
      <c r="G122" s="781"/>
      <c r="H122" s="783"/>
      <c r="I122" s="783"/>
      <c r="J122" s="770">
        <f>SUM(J110:J121)*('Attachment H-28A MAIT '!$D$169)</f>
        <v>-46947.890683049191</v>
      </c>
      <c r="K122" s="771">
        <f t="shared" si="9"/>
        <v>-5773665.3307408448</v>
      </c>
      <c r="L122" s="774" t="s">
        <v>1251</v>
      </c>
      <c r="M122" s="774" t="s">
        <v>1250</v>
      </c>
      <c r="N122" s="774">
        <f t="shared" si="10"/>
        <v>410.10</v>
      </c>
    </row>
    <row r="123" spans="1:13" ht="15">
      <c r="A123" s="768">
        <v>57</v>
      </c>
      <c r="B123" s="768" t="s">
        <v>1411</v>
      </c>
      <c r="C123" s="776" t="s">
        <v>1493</v>
      </c>
      <c r="E123" s="1150">
        <f>SUM(E110:E122)</f>
        <v>0</v>
      </c>
      <c r="F123" s="1150">
        <f>SUM(F110:F122)</f>
        <v>-10074486.161423897</v>
      </c>
      <c r="G123" s="1150">
        <f>SUM(G107:G122)</f>
        <v>0</v>
      </c>
      <c r="H123" s="1151"/>
      <c r="I123" s="1151"/>
      <c r="J123" s="1150">
        <f>SUM(J110:J122)</f>
        <v>-81258.770683051349</v>
      </c>
      <c r="K123" s="1150">
        <f>SUM(K110:K122)</f>
        <v>-9993227.3907408454</v>
      </c>
      <c r="L123" s="774"/>
      <c r="M123" s="774"/>
    </row>
    <row r="124" spans="1:13" ht="15">
      <c r="A124" s="768"/>
      <c r="B124" s="768"/>
      <c r="C124" s="776"/>
      <c r="E124" s="785"/>
      <c r="F124" s="785"/>
      <c r="G124" s="785"/>
      <c r="H124" s="1151"/>
      <c r="I124" s="1151"/>
      <c r="J124" s="785"/>
      <c r="K124" s="785"/>
      <c r="L124" s="774"/>
      <c r="M124" s="774"/>
    </row>
    <row r="125" spans="3:13" ht="15">
      <c r="C125" s="746"/>
      <c r="F125" s="787"/>
      <c r="G125" s="787"/>
      <c r="H125" s="780"/>
      <c r="I125" s="780"/>
      <c r="J125" s="788"/>
      <c r="K125" s="785"/>
      <c r="L125" s="774"/>
      <c r="M125" s="774"/>
    </row>
    <row r="126" spans="3:14" ht="15.75">
      <c r="C126" s="746"/>
      <c r="E126" s="785"/>
      <c r="F126" s="785"/>
      <c r="G126" s="785"/>
      <c r="H126" s="792"/>
      <c r="I126" s="792"/>
      <c r="J126" s="785"/>
      <c r="K126" s="785"/>
      <c r="L126" s="204"/>
      <c r="N126" s="458" t="s">
        <v>1222</v>
      </c>
    </row>
    <row r="127" spans="3:14" ht="15">
      <c r="C127" s="746"/>
      <c r="E127" s="785"/>
      <c r="F127" s="785"/>
      <c r="G127" s="785"/>
      <c r="H127" s="792"/>
      <c r="I127" s="792"/>
      <c r="J127" s="785"/>
      <c r="K127" s="785"/>
      <c r="L127" s="1131"/>
      <c r="N127" s="743" t="s">
        <v>1505</v>
      </c>
    </row>
    <row r="128" spans="3:14" ht="15">
      <c r="C128" s="746"/>
      <c r="E128" s="785"/>
      <c r="F128" s="785"/>
      <c r="G128" s="785"/>
      <c r="H128" s="792"/>
      <c r="I128" s="792"/>
      <c r="J128" s="785"/>
      <c r="K128" s="785"/>
      <c r="L128" s="1131"/>
      <c r="N128" s="749" t="str">
        <f>$N$3</f>
        <v>For the 12 months ended 12/31/26</v>
      </c>
    </row>
    <row r="129" spans="3:11" ht="15">
      <c r="C129" s="746"/>
      <c r="E129" s="785"/>
      <c r="F129" s="785"/>
      <c r="G129" s="785"/>
      <c r="H129" s="792"/>
      <c r="I129" s="792"/>
      <c r="J129" s="785"/>
      <c r="K129" s="785"/>
    </row>
    <row r="130" spans="3:13" ht="15">
      <c r="C130" s="746"/>
      <c r="E130" s="785"/>
      <c r="F130" s="785"/>
      <c r="G130" s="785"/>
      <c r="H130" s="792"/>
      <c r="I130" s="792"/>
      <c r="J130" s="785"/>
      <c r="K130" s="785"/>
      <c r="L130" s="774"/>
      <c r="M130" s="774"/>
    </row>
    <row r="131" spans="2:14" ht="15">
      <c r="B131" s="755" t="s">
        <v>1066</v>
      </c>
      <c r="C131" s="755" t="s">
        <v>1067</v>
      </c>
      <c r="D131" s="754"/>
      <c r="E131" s="755" t="s">
        <v>1068</v>
      </c>
      <c r="F131" s="755" t="s">
        <v>1069</v>
      </c>
      <c r="G131" s="755" t="s">
        <v>1084</v>
      </c>
      <c r="H131" s="755" t="s">
        <v>1085</v>
      </c>
      <c r="I131" s="755" t="s">
        <v>1086</v>
      </c>
      <c r="J131" s="755" t="s">
        <v>1224</v>
      </c>
      <c r="K131" s="755" t="s">
        <v>1225</v>
      </c>
      <c r="L131" s="755" t="s">
        <v>1226</v>
      </c>
      <c r="M131" s="755" t="s">
        <v>1227</v>
      </c>
      <c r="N131" s="755" t="s">
        <v>1228</v>
      </c>
    </row>
    <row r="132" spans="1:19" ht="90">
      <c r="A132" s="756" t="s">
        <v>211</v>
      </c>
      <c r="B132" s="757" t="s">
        <v>1229</v>
      </c>
      <c r="C132" s="758" t="s">
        <v>1002</v>
      </c>
      <c r="E132" s="759" t="s">
        <v>1467</v>
      </c>
      <c r="F132" s="758" t="s">
        <v>1230</v>
      </c>
      <c r="G132" s="758" t="s">
        <v>1231</v>
      </c>
      <c r="H132" s="758" t="s">
        <v>1232</v>
      </c>
      <c r="I132" s="758" t="s">
        <v>1233</v>
      </c>
      <c r="J132" s="758" t="s">
        <v>1234</v>
      </c>
      <c r="K132" s="758" t="s">
        <v>1235</v>
      </c>
      <c r="L132" s="758" t="s">
        <v>1236</v>
      </c>
      <c r="M132" s="758" t="s">
        <v>1237</v>
      </c>
      <c r="N132" s="758" t="s">
        <v>1238</v>
      </c>
      <c r="S132" s="771"/>
    </row>
    <row r="133" spans="1:14" s="0" customFormat="1" ht="15.75">
      <c r="A133" s="760"/>
      <c r="B133" s="761"/>
      <c r="C133" s="762" t="s">
        <v>1239</v>
      </c>
      <c r="D133" s="741"/>
      <c r="E133" s="763"/>
      <c r="F133" s="763"/>
      <c r="G133" s="763"/>
      <c r="H133" s="763"/>
      <c r="I133" s="763"/>
      <c r="J133" s="763"/>
      <c r="K133" s="763"/>
      <c r="L133" s="763"/>
      <c r="M133" s="741"/>
      <c r="N133" s="741"/>
    </row>
    <row r="134" spans="1:14" s="0" customFormat="1" ht="15.75">
      <c r="A134" s="764">
        <v>58</v>
      </c>
      <c r="B134" s="765"/>
      <c r="C134" s="762" t="s">
        <v>1240</v>
      </c>
      <c r="D134" s="741"/>
      <c r="E134" s="763"/>
      <c r="F134" s="763"/>
      <c r="G134" s="763"/>
      <c r="H134" s="766"/>
      <c r="I134" s="763"/>
      <c r="J134" s="763"/>
      <c r="K134" s="741"/>
      <c r="L134" s="763"/>
      <c r="M134" s="767"/>
      <c r="N134" s="741"/>
    </row>
    <row r="135" spans="1:14" s="0" customFormat="1" ht="15.75">
      <c r="A135" s="768" t="s">
        <v>1456</v>
      </c>
      <c r="B135" s="768" t="s">
        <v>1453</v>
      </c>
      <c r="C135" s="769" t="s">
        <v>1306</v>
      </c>
      <c r="D135" s="741"/>
      <c r="E135" s="770"/>
      <c r="F135" s="770">
        <v>163136</v>
      </c>
      <c r="G135" s="770"/>
      <c r="H135" s="770">
        <v>3</v>
      </c>
      <c r="I135" s="770">
        <v>1</v>
      </c>
      <c r="J135" s="770">
        <v>81568</v>
      </c>
      <c r="K135" s="773">
        <f>(F135+G135)-J135</f>
        <v>81568</v>
      </c>
      <c r="L135" s="772" t="s">
        <v>1251</v>
      </c>
      <c r="M135" s="772" t="s">
        <v>1388</v>
      </c>
      <c r="N135" s="772"/>
    </row>
    <row r="136" spans="1:14" s="0" customFormat="1" ht="15.75">
      <c r="A136" s="768"/>
      <c r="B136" s="768"/>
      <c r="C136" s="769"/>
      <c r="D136" s="741"/>
      <c r="E136" s="770"/>
      <c r="F136" s="770"/>
      <c r="G136" s="770"/>
      <c r="H136" s="770"/>
      <c r="I136" s="770"/>
      <c r="J136" s="770"/>
      <c r="K136" s="773"/>
      <c r="L136" s="772"/>
      <c r="M136" s="772"/>
      <c r="N136" s="772"/>
    </row>
    <row r="137" spans="1:14" s="0" customFormat="1" ht="15.75">
      <c r="A137" s="768"/>
      <c r="B137" s="750"/>
      <c r="C137" s="741"/>
      <c r="D137" s="741"/>
      <c r="E137" s="741"/>
      <c r="F137" s="773"/>
      <c r="G137" s="741"/>
      <c r="H137" s="773"/>
      <c r="I137" s="773"/>
      <c r="J137" s="773"/>
      <c r="K137" s="773"/>
      <c r="L137" s="774"/>
      <c r="M137" s="774"/>
      <c r="N137" s="774"/>
    </row>
    <row r="138" spans="1:14" s="0" customFormat="1" ht="15.75">
      <c r="A138" s="764">
        <f>A134+1</f>
        <v>59</v>
      </c>
      <c r="B138" s="765"/>
      <c r="C138" s="762" t="s">
        <v>1242</v>
      </c>
      <c r="D138" s="741"/>
      <c r="E138" s="741"/>
      <c r="F138" s="763"/>
      <c r="G138" s="741"/>
      <c r="H138" s="763"/>
      <c r="I138" s="763"/>
      <c r="J138" s="763"/>
      <c r="K138" s="773"/>
      <c r="L138" s="763"/>
      <c r="M138" s="763"/>
      <c r="N138" s="763"/>
    </row>
    <row r="139" spans="1:26" s="0" customFormat="1" ht="15.75">
      <c r="A139" s="768" t="s">
        <v>1489</v>
      </c>
      <c r="B139" s="768"/>
      <c r="C139" s="769"/>
      <c r="D139" s="741"/>
      <c r="E139" s="769"/>
      <c r="F139" s="769"/>
      <c r="G139" s="769"/>
      <c r="H139" s="769"/>
      <c r="I139" s="769"/>
      <c r="J139" s="769"/>
      <c r="K139" s="773"/>
      <c r="L139" s="772"/>
      <c r="M139" s="772"/>
      <c r="N139" s="772"/>
      <c r="R139" s="1126"/>
      <c r="S139" s="1126"/>
      <c r="T139" s="1126"/>
      <c r="U139" s="1126"/>
      <c r="V139" s="1126"/>
      <c r="W139" s="1126"/>
      <c r="X139" s="1126"/>
      <c r="Y139" s="1126"/>
      <c r="Z139" s="1126"/>
    </row>
    <row r="140" spans="1:14" s="0" customFormat="1" ht="15.75">
      <c r="A140" s="1135"/>
      <c r="B140" s="775"/>
      <c r="C140" s="753"/>
      <c r="D140" s="753"/>
      <c r="E140" s="741"/>
      <c r="F140" s="753"/>
      <c r="G140" s="741"/>
      <c r="H140" s="753"/>
      <c r="I140" s="753"/>
      <c r="J140" s="753"/>
      <c r="K140" s="773"/>
      <c r="L140" s="753"/>
      <c r="M140" s="753"/>
      <c r="N140" s="753"/>
    </row>
    <row r="141" spans="1:14" s="0" customFormat="1" ht="15.75">
      <c r="A141" s="764">
        <f>A138+1</f>
        <v>60</v>
      </c>
      <c r="B141" s="765"/>
      <c r="C141" s="762" t="s">
        <v>1243</v>
      </c>
      <c r="D141" s="741"/>
      <c r="E141" s="741"/>
      <c r="F141" s="763"/>
      <c r="G141" s="741"/>
      <c r="H141" s="763"/>
      <c r="I141" s="763"/>
      <c r="J141" s="763"/>
      <c r="K141" s="773"/>
      <c r="L141" s="763"/>
      <c r="M141" s="763"/>
      <c r="N141" s="763"/>
    </row>
    <row r="142" spans="1:14" s="0" customFormat="1" ht="15.75">
      <c r="A142" s="764" t="s">
        <v>1490</v>
      </c>
      <c r="B142" s="768" t="s">
        <v>1453</v>
      </c>
      <c r="C142" s="769" t="s">
        <v>1302</v>
      </c>
      <c r="D142" s="741"/>
      <c r="E142" s="769"/>
      <c r="F142" s="770">
        <v>-2297</v>
      </c>
      <c r="G142" s="769"/>
      <c r="H142" s="770">
        <v>2</v>
      </c>
      <c r="I142" s="770">
        <v>0</v>
      </c>
      <c r="J142" s="770">
        <v>-2297</v>
      </c>
      <c r="K142" s="773">
        <f>(F145+G145)-J145</f>
        <v>0</v>
      </c>
      <c r="L142" s="772" t="s">
        <v>1251</v>
      </c>
      <c r="M142" s="772" t="s">
        <v>1391</v>
      </c>
      <c r="N142" s="772"/>
    </row>
    <row r="143" spans="1:14" s="0" customFormat="1" ht="15.75">
      <c r="A143" s="768"/>
      <c r="B143" s="768"/>
      <c r="C143" s="769"/>
      <c r="D143" s="741"/>
      <c r="E143" s="769"/>
      <c r="F143" s="770"/>
      <c r="G143" s="769"/>
      <c r="H143" s="770"/>
      <c r="I143" s="770"/>
      <c r="J143" s="770"/>
      <c r="K143" s="773"/>
      <c r="L143" s="772"/>
      <c r="M143" s="772"/>
      <c r="N143" s="772"/>
    </row>
    <row r="144" spans="1:14" s="0" customFormat="1" ht="15.75">
      <c r="A144" s="768"/>
      <c r="B144" s="768"/>
      <c r="C144" s="769"/>
      <c r="D144" s="741"/>
      <c r="E144" s="770"/>
      <c r="F144" s="770"/>
      <c r="G144" s="769"/>
      <c r="H144" s="770"/>
      <c r="I144" s="770"/>
      <c r="J144" s="770"/>
      <c r="K144" s="773"/>
      <c r="L144" s="772"/>
      <c r="M144" s="772"/>
      <c r="N144" s="772"/>
    </row>
    <row r="145" spans="1:14" s="0" customFormat="1" ht="15.75">
      <c r="A145" s="768"/>
      <c r="B145" s="768"/>
      <c r="C145" s="769"/>
      <c r="D145" s="741"/>
      <c r="E145" s="770"/>
      <c r="F145" s="770"/>
      <c r="G145" s="769"/>
      <c r="H145" s="770"/>
      <c r="I145" s="770"/>
      <c r="J145" s="770"/>
      <c r="K145" s="773"/>
      <c r="L145" s="772"/>
      <c r="M145" s="772"/>
      <c r="N145" s="772"/>
    </row>
    <row r="146" spans="1:14" s="0" customFormat="1" ht="15.75">
      <c r="A146" s="768"/>
      <c r="B146" s="750"/>
      <c r="C146" s="741"/>
      <c r="D146" s="741"/>
      <c r="E146" s="741"/>
      <c r="F146" s="773"/>
      <c r="G146" s="741"/>
      <c r="H146" s="773"/>
      <c r="I146" s="773"/>
      <c r="J146" s="773"/>
      <c r="K146" s="773"/>
      <c r="L146" s="774"/>
      <c r="M146" s="774"/>
      <c r="N146" s="774"/>
    </row>
    <row r="147" spans="1:15" s="0" customFormat="1" ht="15.75">
      <c r="A147" s="768">
        <f>A141+1</f>
        <v>61</v>
      </c>
      <c r="B147" s="768"/>
      <c r="C147" s="776" t="s">
        <v>1244</v>
      </c>
      <c r="D147" s="741"/>
      <c r="E147" s="770"/>
      <c r="F147" s="770">
        <v>59238.473663469842</v>
      </c>
      <c r="G147" s="769">
        <v>0</v>
      </c>
      <c r="H147" s="770"/>
      <c r="I147" s="770"/>
      <c r="J147" s="770">
        <v>29196.233785194625</v>
      </c>
      <c r="K147" s="773">
        <v>30042.239878275221</v>
      </c>
      <c r="L147" s="772"/>
      <c r="M147" s="772"/>
      <c r="N147" s="772"/>
      <c r="O147" s="1115"/>
    </row>
    <row r="148" spans="1:14" s="0" customFormat="1" ht="15.75">
      <c r="A148" s="768"/>
      <c r="B148" s="750"/>
      <c r="C148" s="746"/>
      <c r="D148" s="741"/>
      <c r="E148" s="777"/>
      <c r="F148" s="777"/>
      <c r="G148" s="777"/>
      <c r="H148" s="773"/>
      <c r="I148" s="773"/>
      <c r="J148" s="777"/>
      <c r="K148" s="778"/>
      <c r="L148" s="774"/>
      <c r="M148" s="774"/>
      <c r="N148" s="774"/>
    </row>
    <row r="149" spans="1:14" s="0" customFormat="1" ht="15.75">
      <c r="A149" s="768">
        <f>A147+1</f>
        <v>62</v>
      </c>
      <c r="B149" s="768"/>
      <c r="C149" s="776" t="s">
        <v>1245</v>
      </c>
      <c r="D149" s="741"/>
      <c r="E149" s="779">
        <f>SUM(E135:E148)</f>
        <v>0</v>
      </c>
      <c r="F149" s="779">
        <f>SUM(F135:F148)</f>
        <v>220077.47366346983</v>
      </c>
      <c r="G149" s="779">
        <f>SUM(G135:G148)</f>
        <v>0</v>
      </c>
      <c r="H149" s="780"/>
      <c r="I149" s="780"/>
      <c r="J149" s="779">
        <f>SUM(J135:J148)</f>
        <v>108467.23378519462</v>
      </c>
      <c r="K149" s="779">
        <f>SUM(K135:K148)</f>
        <v>111610.23987827523</v>
      </c>
      <c r="L149" s="741"/>
      <c r="M149" s="741"/>
      <c r="N149" s="741"/>
    </row>
    <row r="150" spans="1:14" s="0" customFormat="1" ht="15.75">
      <c r="A150" s="768"/>
      <c r="B150" s="768"/>
      <c r="C150" s="776"/>
      <c r="D150" s="741"/>
      <c r="E150" s="779"/>
      <c r="F150" s="779"/>
      <c r="G150" s="779"/>
      <c r="H150" s="780"/>
      <c r="I150" s="780"/>
      <c r="J150" s="779"/>
      <c r="K150" s="779"/>
      <c r="L150" s="741"/>
      <c r="M150" s="741"/>
      <c r="N150" s="741"/>
    </row>
    <row r="151" spans="1:14" ht="15">
      <c r="A151" s="1136"/>
      <c r="B151" s="761"/>
      <c r="C151" s="762" t="s">
        <v>1246</v>
      </c>
      <c r="E151" s="763"/>
      <c r="F151" s="786"/>
      <c r="G151" s="786"/>
      <c r="H151" s="786"/>
      <c r="I151" s="786"/>
      <c r="J151" s="786"/>
      <c r="K151" s="763"/>
      <c r="L151" s="763"/>
      <c r="M151" s="763"/>
      <c r="N151" s="763"/>
    </row>
    <row r="152" spans="1:14" ht="15">
      <c r="A152" s="768">
        <f>A149+1</f>
        <v>63</v>
      </c>
      <c r="B152" s="768" t="s">
        <v>1453</v>
      </c>
      <c r="C152" s="769" t="s">
        <v>1247</v>
      </c>
      <c r="E152" s="770"/>
      <c r="F152" s="770"/>
      <c r="G152" s="770"/>
      <c r="H152" s="783" t="s">
        <v>1248</v>
      </c>
      <c r="I152" s="783" t="s">
        <v>1248</v>
      </c>
      <c r="J152" s="770"/>
      <c r="K152" s="771">
        <f t="shared" si="11" ref="K152:K164">(F152+G152)-J152</f>
        <v>0</v>
      </c>
      <c r="L152" s="774" t="s">
        <v>1249</v>
      </c>
      <c r="M152" s="774" t="s">
        <v>1250</v>
      </c>
      <c r="N152" s="774">
        <v>410.10</v>
      </c>
    </row>
    <row r="153" spans="1:14" ht="15">
      <c r="A153" s="768">
        <v>64</v>
      </c>
      <c r="B153" s="768" t="s">
        <v>1453</v>
      </c>
      <c r="C153" s="769" t="s">
        <v>1247</v>
      </c>
      <c r="E153" s="770"/>
      <c r="F153" s="770"/>
      <c r="G153" s="770"/>
      <c r="H153" s="783" t="s">
        <v>1248</v>
      </c>
      <c r="I153" s="783" t="s">
        <v>1248</v>
      </c>
      <c r="J153" s="770"/>
      <c r="K153" s="771">
        <f t="shared" si="11"/>
        <v>0</v>
      </c>
      <c r="L153" s="774" t="s">
        <v>1251</v>
      </c>
      <c r="M153" s="774" t="s">
        <v>1252</v>
      </c>
      <c r="N153" s="774">
        <v>411.10</v>
      </c>
    </row>
    <row r="154" spans="1:14" ht="15">
      <c r="A154" s="768">
        <v>65</v>
      </c>
      <c r="B154" s="768" t="s">
        <v>1453</v>
      </c>
      <c r="C154" s="769" t="s">
        <v>1247</v>
      </c>
      <c r="E154" s="770"/>
      <c r="F154" s="770"/>
      <c r="G154" s="770"/>
      <c r="H154" s="783" t="s">
        <v>1248</v>
      </c>
      <c r="I154" s="783" t="s">
        <v>1248</v>
      </c>
      <c r="J154" s="770"/>
      <c r="K154" s="771">
        <f t="shared" si="11"/>
        <v>0</v>
      </c>
      <c r="L154" s="774" t="s">
        <v>1249</v>
      </c>
      <c r="M154" s="774" t="s">
        <v>1252</v>
      </c>
      <c r="N154" s="774">
        <v>411.10</v>
      </c>
    </row>
    <row r="155" spans="1:14" ht="15">
      <c r="A155" s="768">
        <v>66</v>
      </c>
      <c r="B155" s="768" t="s">
        <v>1453</v>
      </c>
      <c r="C155" s="769" t="s">
        <v>1247</v>
      </c>
      <c r="E155" s="770"/>
      <c r="F155" s="770">
        <v>120529.68999999994</v>
      </c>
      <c r="G155" s="770"/>
      <c r="H155" s="783" t="s">
        <v>1248</v>
      </c>
      <c r="I155" s="783" t="s">
        <v>1248</v>
      </c>
      <c r="J155" s="770">
        <v>13816.469999999954</v>
      </c>
      <c r="K155" s="771">
        <f t="shared" si="11"/>
        <v>106713.21999999999</v>
      </c>
      <c r="L155" s="774" t="s">
        <v>1251</v>
      </c>
      <c r="M155" s="774" t="s">
        <v>1250</v>
      </c>
      <c r="N155" s="774">
        <v>410.10</v>
      </c>
    </row>
    <row r="156" spans="1:14" ht="15">
      <c r="A156" s="768">
        <v>67</v>
      </c>
      <c r="B156" s="768" t="s">
        <v>1453</v>
      </c>
      <c r="C156" s="769" t="s">
        <v>1253</v>
      </c>
      <c r="E156" s="770"/>
      <c r="F156" s="770"/>
      <c r="G156" s="770"/>
      <c r="H156" s="783" t="s">
        <v>1248</v>
      </c>
      <c r="I156" s="783" t="s">
        <v>1248</v>
      </c>
      <c r="J156" s="770"/>
      <c r="K156" s="771">
        <f t="shared" si="11"/>
        <v>0</v>
      </c>
      <c r="L156" s="774" t="s">
        <v>1251</v>
      </c>
      <c r="M156" s="774" t="s">
        <v>1250</v>
      </c>
      <c r="N156" s="774">
        <f t="shared" si="12" ref="N156:N164">IF(M156="Asset",410.1,IF(M156="Liability",411.1,"N/A"))</f>
        <v>410.10</v>
      </c>
    </row>
    <row r="157" spans="1:14" ht="15">
      <c r="A157" s="768">
        <v>68</v>
      </c>
      <c r="B157" s="768" t="s">
        <v>1453</v>
      </c>
      <c r="C157" s="769" t="s">
        <v>1253</v>
      </c>
      <c r="E157" s="770"/>
      <c r="F157" s="770">
        <v>-1941196.5200000009</v>
      </c>
      <c r="G157" s="770"/>
      <c r="H157" s="783" t="s">
        <v>1248</v>
      </c>
      <c r="I157" s="783" t="s">
        <v>1248</v>
      </c>
      <c r="J157" s="770">
        <v>-31582.539999999935</v>
      </c>
      <c r="K157" s="771">
        <f t="shared" si="11"/>
        <v>-1909613.9800000009</v>
      </c>
      <c r="L157" s="774" t="s">
        <v>1249</v>
      </c>
      <c r="M157" s="774" t="s">
        <v>1250</v>
      </c>
      <c r="N157" s="774">
        <f t="shared" si="12"/>
        <v>410.10</v>
      </c>
    </row>
    <row r="158" spans="1:14" ht="15">
      <c r="A158" s="768">
        <v>69</v>
      </c>
      <c r="B158" s="768" t="s">
        <v>1453</v>
      </c>
      <c r="C158" s="769" t="s">
        <v>1253</v>
      </c>
      <c r="E158" s="770"/>
      <c r="F158" s="770">
        <v>-3306136.3600000013</v>
      </c>
      <c r="G158" s="770"/>
      <c r="H158" s="783" t="s">
        <v>1248</v>
      </c>
      <c r="I158" s="783" t="s">
        <v>1248</v>
      </c>
      <c r="J158" s="770">
        <v>-24108.520000001532</v>
      </c>
      <c r="K158" s="771">
        <f t="shared" si="11"/>
        <v>-3282027.84</v>
      </c>
      <c r="L158" s="774" t="s">
        <v>1251</v>
      </c>
      <c r="M158" s="774" t="s">
        <v>1252</v>
      </c>
      <c r="N158" s="774">
        <f t="shared" si="12"/>
        <v>411.10</v>
      </c>
    </row>
    <row r="159" spans="1:14" ht="15">
      <c r="A159" s="768">
        <v>70</v>
      </c>
      <c r="B159" s="768" t="s">
        <v>1453</v>
      </c>
      <c r="C159" s="769" t="s">
        <v>1253</v>
      </c>
      <c r="E159" s="770"/>
      <c r="F159" s="770"/>
      <c r="G159" s="770"/>
      <c r="H159" s="783"/>
      <c r="I159" s="783"/>
      <c r="J159" s="770"/>
      <c r="K159" s="771">
        <f t="shared" si="11"/>
        <v>0</v>
      </c>
      <c r="L159" s="774" t="s">
        <v>1249</v>
      </c>
      <c r="M159" s="774" t="s">
        <v>1252</v>
      </c>
      <c r="N159" s="774">
        <f t="shared" si="12"/>
        <v>411.10</v>
      </c>
    </row>
    <row r="160" spans="1:14" ht="15">
      <c r="A160" s="768">
        <v>71</v>
      </c>
      <c r="B160" s="768" t="s">
        <v>1453</v>
      </c>
      <c r="C160" s="769" t="s">
        <v>1254</v>
      </c>
      <c r="E160" s="770"/>
      <c r="F160" s="770"/>
      <c r="G160" s="770"/>
      <c r="H160" s="783"/>
      <c r="I160" s="783"/>
      <c r="J160" s="770"/>
      <c r="K160" s="771">
        <f t="shared" si="11"/>
        <v>0</v>
      </c>
      <c r="L160" s="774" t="s">
        <v>1251</v>
      </c>
      <c r="M160" s="774" t="s">
        <v>1250</v>
      </c>
      <c r="N160" s="774">
        <f t="shared" si="12"/>
        <v>410.10</v>
      </c>
    </row>
    <row r="161" spans="1:14" ht="15">
      <c r="A161" s="768">
        <v>72</v>
      </c>
      <c r="B161" s="768" t="s">
        <v>1453</v>
      </c>
      <c r="C161" s="769" t="s">
        <v>1254</v>
      </c>
      <c r="E161" s="781"/>
      <c r="F161" s="781"/>
      <c r="G161" s="781"/>
      <c r="H161" s="783"/>
      <c r="I161" s="783"/>
      <c r="J161" s="770"/>
      <c r="K161" s="771">
        <f t="shared" si="11"/>
        <v>0</v>
      </c>
      <c r="L161" s="774" t="s">
        <v>1249</v>
      </c>
      <c r="M161" s="774" t="s">
        <v>1250</v>
      </c>
      <c r="N161" s="774">
        <f t="shared" si="12"/>
        <v>410.10</v>
      </c>
    </row>
    <row r="162" spans="1:14" ht="15">
      <c r="A162" s="768">
        <v>73</v>
      </c>
      <c r="B162" s="768" t="s">
        <v>1453</v>
      </c>
      <c r="C162" s="769" t="s">
        <v>1254</v>
      </c>
      <c r="E162" s="781"/>
      <c r="F162" s="781"/>
      <c r="G162" s="781"/>
      <c r="H162" s="783"/>
      <c r="I162" s="783"/>
      <c r="J162" s="770"/>
      <c r="K162" s="771">
        <f t="shared" si="11"/>
        <v>0</v>
      </c>
      <c r="L162" s="774" t="s">
        <v>1251</v>
      </c>
      <c r="M162" s="774" t="s">
        <v>1252</v>
      </c>
      <c r="N162" s="774">
        <f t="shared" si="12"/>
        <v>411.10</v>
      </c>
    </row>
    <row r="163" spans="1:14" ht="15">
      <c r="A163" s="768">
        <v>74</v>
      </c>
      <c r="B163" s="768" t="s">
        <v>1453</v>
      </c>
      <c r="C163" s="769" t="s">
        <v>1254</v>
      </c>
      <c r="E163" s="781"/>
      <c r="F163" s="781"/>
      <c r="G163" s="781"/>
      <c r="H163" s="783"/>
      <c r="I163" s="783"/>
      <c r="J163" s="770"/>
      <c r="K163" s="771">
        <f t="shared" si="11"/>
        <v>0</v>
      </c>
      <c r="L163" s="774" t="s">
        <v>1249</v>
      </c>
      <c r="M163" s="774" t="s">
        <v>1252</v>
      </c>
      <c r="N163" s="774">
        <f t="shared" si="12"/>
        <v>411.10</v>
      </c>
    </row>
    <row r="164" spans="1:14" ht="15">
      <c r="A164" s="768">
        <v>75</v>
      </c>
      <c r="B164" s="768" t="s">
        <v>1453</v>
      </c>
      <c r="C164" s="769" t="s">
        <v>1255</v>
      </c>
      <c r="E164" s="781"/>
      <c r="F164" s="781">
        <f>SUM(F152:F163)*('Attachment H-28A MAIT '!D169-1)</f>
        <v>-1888248.4705115568</v>
      </c>
      <c r="G164" s="781"/>
      <c r="H164" s="783"/>
      <c r="I164" s="783"/>
      <c r="J164" s="770">
        <f>SUM(J152:J163)*('Attachment H-28A MAIT '!$D$169)</f>
        <v>-57297.384203420377</v>
      </c>
      <c r="K164" s="771">
        <f t="shared" si="11"/>
        <v>-1830951.0863081363</v>
      </c>
      <c r="L164" s="774" t="s">
        <v>1251</v>
      </c>
      <c r="M164" s="774" t="s">
        <v>1250</v>
      </c>
      <c r="N164" s="774">
        <f t="shared" si="12"/>
        <v>410.10</v>
      </c>
    </row>
    <row r="165" spans="1:13" ht="15">
      <c r="A165" s="768">
        <v>76</v>
      </c>
      <c r="B165" s="768"/>
      <c r="C165" s="776" t="s">
        <v>1494</v>
      </c>
      <c r="E165" s="1150">
        <f>SUM(E152:E164)</f>
        <v>0</v>
      </c>
      <c r="F165" s="1150">
        <f>SUM(F152:F164)</f>
        <v>-7015051.6605115589</v>
      </c>
      <c r="G165" s="1150">
        <f>SUM(G149:G164)</f>
        <v>0</v>
      </c>
      <c r="H165" s="780"/>
      <c r="I165" s="780"/>
      <c r="J165" s="1150">
        <f>SUM(J152:J164)</f>
        <v>-99171.97420342188</v>
      </c>
      <c r="K165" s="1150">
        <f>SUM(K152:K164)</f>
        <v>-6915879.6863081371</v>
      </c>
      <c r="L165" s="774"/>
      <c r="M165" s="774"/>
    </row>
    <row r="166" spans="3:13" ht="17.45" customHeight="1">
      <c r="C166" s="746"/>
      <c r="E166" s="785"/>
      <c r="F166" s="785"/>
      <c r="G166" s="785"/>
      <c r="H166" s="780"/>
      <c r="I166" s="780"/>
      <c r="J166" s="785"/>
      <c r="K166" s="785"/>
      <c r="L166" s="774"/>
      <c r="M166" s="774"/>
    </row>
    <row r="167" spans="3:13" ht="17.45" customHeight="1">
      <c r="C167" s="746"/>
      <c r="E167" s="785"/>
      <c r="F167" s="785"/>
      <c r="G167" s="785"/>
      <c r="H167" s="780"/>
      <c r="I167" s="780"/>
      <c r="J167" s="785"/>
      <c r="K167" s="785"/>
      <c r="L167" s="774"/>
      <c r="M167" s="774"/>
    </row>
    <row r="168" spans="3:13" ht="15">
      <c r="C168" s="746"/>
      <c r="E168" s="785"/>
      <c r="F168" s="785"/>
      <c r="G168" s="785"/>
      <c r="H168" s="780"/>
      <c r="I168" s="780"/>
      <c r="J168" s="785"/>
      <c r="K168" s="785"/>
      <c r="L168" s="774"/>
      <c r="M168" s="774"/>
    </row>
    <row r="169" spans="3:13" ht="15">
      <c r="C169" s="746"/>
      <c r="F169" s="787"/>
      <c r="G169" s="787"/>
      <c r="H169" s="780"/>
      <c r="I169" s="780"/>
      <c r="J169" s="788"/>
      <c r="K169" s="785"/>
      <c r="L169" s="774"/>
      <c r="M169" s="774"/>
    </row>
    <row r="170" spans="1:14" s="0" customFormat="1" ht="15.75">
      <c r="A170" s="750"/>
      <c r="B170" s="750"/>
      <c r="C170" s="746"/>
      <c r="D170" s="741"/>
      <c r="E170" s="741"/>
      <c r="F170" s="787"/>
      <c r="G170" s="787"/>
      <c r="H170" s="780"/>
      <c r="I170" s="780"/>
      <c r="J170" s="788"/>
      <c r="K170" s="785"/>
      <c r="L170" s="774"/>
      <c r="M170" s="774"/>
      <c r="N170" s="741"/>
    </row>
    <row r="171" spans="1:14" s="0" customFormat="1" ht="15.75">
      <c r="A171" s="750"/>
      <c r="B171" s="750"/>
      <c r="C171" s="746"/>
      <c r="D171" s="741"/>
      <c r="E171" s="785"/>
      <c r="F171" s="785"/>
      <c r="G171" s="785"/>
      <c r="H171" s="792"/>
      <c r="I171" s="792"/>
      <c r="J171" s="785"/>
      <c r="K171" s="785"/>
      <c r="L171" s="204"/>
      <c r="M171" s="741"/>
      <c r="N171" s="458" t="s">
        <v>1222</v>
      </c>
    </row>
    <row r="172" spans="1:14" s="0" customFormat="1" ht="15.75">
      <c r="A172" s="750"/>
      <c r="B172" s="750"/>
      <c r="C172" s="746"/>
      <c r="D172" s="741"/>
      <c r="E172" s="785"/>
      <c r="F172" s="785"/>
      <c r="G172" s="785"/>
      <c r="H172" s="792"/>
      <c r="I172" s="792"/>
      <c r="J172" s="785"/>
      <c r="K172" s="785"/>
      <c r="L172" s="1131"/>
      <c r="M172" s="741"/>
      <c r="N172" s="743" t="s">
        <v>1506</v>
      </c>
    </row>
    <row r="173" spans="1:14" s="0" customFormat="1" ht="15.75">
      <c r="A173" s="750"/>
      <c r="B173" s="750"/>
      <c r="C173" s="746"/>
      <c r="D173" s="741"/>
      <c r="E173" s="785"/>
      <c r="F173" s="785"/>
      <c r="G173" s="785"/>
      <c r="H173" s="792"/>
      <c r="I173" s="792"/>
      <c r="J173" s="785"/>
      <c r="K173" s="785"/>
      <c r="L173" s="1131"/>
      <c r="M173" s="741"/>
      <c r="N173" s="749" t="str">
        <f>$N$3</f>
        <v>For the 12 months ended 12/31/26</v>
      </c>
    </row>
    <row r="174" spans="3:11" ht="15">
      <c r="C174" s="746"/>
      <c r="E174" s="785"/>
      <c r="F174" s="785"/>
      <c r="G174" s="785"/>
      <c r="H174" s="792"/>
      <c r="I174" s="792"/>
      <c r="J174" s="785"/>
      <c r="K174" s="785"/>
    </row>
    <row r="175" spans="3:13" ht="112.5" customHeight="1">
      <c r="C175" s="746"/>
      <c r="E175" s="785"/>
      <c r="F175" s="785"/>
      <c r="G175" s="785"/>
      <c r="H175" s="792"/>
      <c r="I175" s="792"/>
      <c r="J175" s="785"/>
      <c r="K175" s="785"/>
      <c r="L175" s="774"/>
      <c r="M175" s="774"/>
    </row>
    <row r="176" spans="2:14" ht="15">
      <c r="B176" s="755" t="s">
        <v>1066</v>
      </c>
      <c r="C176" s="755" t="s">
        <v>1067</v>
      </c>
      <c r="D176" s="754"/>
      <c r="E176" s="755" t="s">
        <v>1068</v>
      </c>
      <c r="F176" s="755" t="s">
        <v>1069</v>
      </c>
      <c r="G176" s="755" t="s">
        <v>1084</v>
      </c>
      <c r="H176" s="755" t="s">
        <v>1085</v>
      </c>
      <c r="I176" s="755" t="s">
        <v>1086</v>
      </c>
      <c r="J176" s="755" t="s">
        <v>1224</v>
      </c>
      <c r="K176" s="755" t="s">
        <v>1225</v>
      </c>
      <c r="L176" s="755" t="s">
        <v>1226</v>
      </c>
      <c r="M176" s="755" t="s">
        <v>1227</v>
      </c>
      <c r="N176" s="755" t="s">
        <v>1228</v>
      </c>
    </row>
    <row r="177" spans="1:14" ht="90">
      <c r="A177" s="756" t="s">
        <v>211</v>
      </c>
      <c r="B177" s="757" t="s">
        <v>1229</v>
      </c>
      <c r="C177" s="758" t="s">
        <v>1002</v>
      </c>
      <c r="E177" s="759" t="s">
        <v>1467</v>
      </c>
      <c r="F177" s="758" t="s">
        <v>1230</v>
      </c>
      <c r="G177" s="758" t="s">
        <v>1231</v>
      </c>
      <c r="H177" s="758" t="s">
        <v>1232</v>
      </c>
      <c r="I177" s="758" t="s">
        <v>1233</v>
      </c>
      <c r="J177" s="758" t="s">
        <v>1234</v>
      </c>
      <c r="K177" s="758" t="s">
        <v>1235</v>
      </c>
      <c r="L177" s="758" t="s">
        <v>1236</v>
      </c>
      <c r="M177" s="758" t="s">
        <v>1237</v>
      </c>
      <c r="N177" s="758" t="s">
        <v>1238</v>
      </c>
    </row>
    <row r="178" spans="1:12" ht="15">
      <c r="A178" s="760"/>
      <c r="B178" s="761"/>
      <c r="C178" s="762" t="s">
        <v>1239</v>
      </c>
      <c r="E178" s="763"/>
      <c r="F178" s="763"/>
      <c r="G178" s="763"/>
      <c r="H178" s="763"/>
      <c r="I178" s="763"/>
      <c r="J178" s="763"/>
      <c r="K178" s="763"/>
      <c r="L178" s="763"/>
    </row>
    <row r="179" spans="1:13" ht="15">
      <c r="A179" s="764">
        <v>77</v>
      </c>
      <c r="B179" s="765"/>
      <c r="C179" s="762" t="s">
        <v>1240</v>
      </c>
      <c r="E179" s="763"/>
      <c r="F179" s="763"/>
      <c r="G179" s="763"/>
      <c r="H179" s="766"/>
      <c r="I179" s="763"/>
      <c r="J179" s="763"/>
      <c r="L179" s="763"/>
      <c r="M179" s="767"/>
    </row>
    <row r="180" spans="1:18" ht="15">
      <c r="A180" s="768" t="s">
        <v>1491</v>
      </c>
      <c r="B180" s="768" t="s">
        <v>1465</v>
      </c>
      <c r="C180" s="769" t="s">
        <v>1306</v>
      </c>
      <c r="E180" s="770"/>
      <c r="F180" s="770">
        <v>151396.43271071929</v>
      </c>
      <c r="G180" s="770"/>
      <c r="H180" s="770">
        <v>3</v>
      </c>
      <c r="I180" s="770">
        <v>2</v>
      </c>
      <c r="J180" s="770">
        <v>50465.477570239767</v>
      </c>
      <c r="K180" s="773">
        <f>(F180+G180)-J180</f>
        <v>100930.95514047952</v>
      </c>
      <c r="L180" s="772" t="s">
        <v>1251</v>
      </c>
      <c r="M180" s="772" t="s">
        <v>1388</v>
      </c>
      <c r="N180" s="772"/>
      <c r="R180" s="771"/>
    </row>
    <row r="181" spans="1:14" ht="15">
      <c r="A181" s="768"/>
      <c r="B181" s="768"/>
      <c r="C181" s="769"/>
      <c r="E181" s="770"/>
      <c r="F181" s="770"/>
      <c r="G181" s="770"/>
      <c r="H181" s="770"/>
      <c r="I181" s="770"/>
      <c r="J181" s="770"/>
      <c r="K181" s="773"/>
      <c r="L181" s="772"/>
      <c r="M181" s="772"/>
      <c r="N181" s="772"/>
    </row>
    <row r="182" spans="1:14" ht="15">
      <c r="A182" s="768"/>
      <c r="F182" s="773"/>
      <c r="H182" s="773"/>
      <c r="I182" s="773"/>
      <c r="J182" s="773"/>
      <c r="K182" s="773"/>
      <c r="L182" s="774"/>
      <c r="M182" s="774"/>
      <c r="N182" s="774"/>
    </row>
    <row r="183" spans="1:14" ht="15">
      <c r="A183" s="764">
        <f>A179+1</f>
        <v>78</v>
      </c>
      <c r="B183" s="765"/>
      <c r="C183" s="762" t="s">
        <v>1242</v>
      </c>
      <c r="F183" s="763"/>
      <c r="H183" s="763"/>
      <c r="I183" s="763"/>
      <c r="J183" s="763"/>
      <c r="K183" s="773"/>
      <c r="L183" s="763"/>
      <c r="M183" s="763"/>
      <c r="N183" s="763"/>
    </row>
    <row r="184" spans="1:14" ht="15">
      <c r="A184" s="768" t="s">
        <v>1495</v>
      </c>
      <c r="B184" s="768"/>
      <c r="C184" s="769"/>
      <c r="E184" s="769"/>
      <c r="F184" s="770"/>
      <c r="G184" s="769"/>
      <c r="H184" s="770"/>
      <c r="I184" s="770"/>
      <c r="J184" s="770"/>
      <c r="K184" s="773"/>
      <c r="L184" s="772"/>
      <c r="M184" s="772"/>
      <c r="N184" s="772"/>
    </row>
    <row r="185" spans="1:14" ht="15">
      <c r="A185" s="1135"/>
      <c r="B185" s="775"/>
      <c r="C185" s="753"/>
      <c r="D185" s="753"/>
      <c r="F185" s="753"/>
      <c r="H185" s="753"/>
      <c r="I185" s="753"/>
      <c r="J185" s="753"/>
      <c r="K185" s="773"/>
      <c r="L185" s="753"/>
      <c r="M185" s="753"/>
      <c r="N185" s="753"/>
    </row>
    <row r="186" spans="1:14" ht="15">
      <c r="A186" s="764">
        <f>A183+1</f>
        <v>79</v>
      </c>
      <c r="B186" s="765"/>
      <c r="C186" s="762" t="s">
        <v>1243</v>
      </c>
      <c r="F186" s="763"/>
      <c r="H186" s="763"/>
      <c r="I186" s="763"/>
      <c r="J186" s="763"/>
      <c r="K186" s="773"/>
      <c r="L186" s="763"/>
      <c r="M186" s="763"/>
      <c r="N186" s="763"/>
    </row>
    <row r="187" spans="1:15" ht="16.5" customHeight="1">
      <c r="A187" s="764" t="s">
        <v>1496</v>
      </c>
      <c r="B187" s="768" t="s">
        <v>1465</v>
      </c>
      <c r="C187" s="769" t="s">
        <v>1302</v>
      </c>
      <c r="E187" s="769"/>
      <c r="F187" s="770">
        <v>-6456.7344400000293</v>
      </c>
      <c r="G187" s="769"/>
      <c r="H187" s="770">
        <v>2</v>
      </c>
      <c r="I187" s="770">
        <v>1</v>
      </c>
      <c r="J187" s="770">
        <v>-3228.3672200000146</v>
      </c>
      <c r="K187" s="773">
        <f>(F187+G187)-J187</f>
        <v>-3228.3672200000146</v>
      </c>
      <c r="L187" s="772"/>
      <c r="M187" s="772"/>
      <c r="N187" s="772"/>
      <c r="O187" s="794"/>
    </row>
    <row r="188" spans="1:14" ht="15">
      <c r="A188" s="768"/>
      <c r="B188" s="768"/>
      <c r="C188" s="769"/>
      <c r="E188" s="769"/>
      <c r="F188" s="770"/>
      <c r="G188" s="769"/>
      <c r="H188" s="770"/>
      <c r="I188" s="770"/>
      <c r="J188" s="770"/>
      <c r="K188" s="773"/>
      <c r="L188" s="772"/>
      <c r="M188" s="772"/>
      <c r="N188" s="772"/>
    </row>
    <row r="189" spans="1:14" ht="15">
      <c r="A189" s="768"/>
      <c r="B189" s="768"/>
      <c r="C189" s="769"/>
      <c r="E189" s="770"/>
      <c r="F189" s="770"/>
      <c r="G189" s="769"/>
      <c r="H189" s="770"/>
      <c r="I189" s="770"/>
      <c r="J189" s="770"/>
      <c r="K189" s="773"/>
      <c r="L189" s="772"/>
      <c r="M189" s="772"/>
      <c r="N189" s="772"/>
    </row>
    <row r="190" spans="1:14" ht="15">
      <c r="A190" s="768"/>
      <c r="B190" s="768"/>
      <c r="C190" s="769"/>
      <c r="E190" s="770"/>
      <c r="F190" s="770"/>
      <c r="G190" s="769"/>
      <c r="H190" s="770"/>
      <c r="I190" s="770"/>
      <c r="J190" s="770"/>
      <c r="K190" s="773"/>
      <c r="L190" s="772"/>
      <c r="M190" s="772"/>
      <c r="N190" s="772"/>
    </row>
    <row r="191" spans="1:14" ht="15">
      <c r="A191" s="768"/>
      <c r="F191" s="773"/>
      <c r="H191" s="773"/>
      <c r="I191" s="773"/>
      <c r="J191" s="773"/>
      <c r="K191" s="773"/>
      <c r="L191" s="774"/>
      <c r="M191" s="774"/>
      <c r="N191" s="774"/>
    </row>
    <row r="192" spans="1:14" ht="15">
      <c r="A192" s="768">
        <f>A186+1</f>
        <v>80</v>
      </c>
      <c r="B192" s="768"/>
      <c r="C192" s="776" t="s">
        <v>1244</v>
      </c>
      <c r="E192" s="770"/>
      <c r="F192" s="770">
        <v>53382.615527336457</v>
      </c>
      <c r="G192" s="769">
        <v>0</v>
      </c>
      <c r="H192" s="770"/>
      <c r="I192" s="770"/>
      <c r="J192" s="770">
        <v>17397.859458347146</v>
      </c>
      <c r="K192" s="773">
        <v>35984.756068989314</v>
      </c>
      <c r="L192" s="772"/>
      <c r="M192" s="772"/>
      <c r="N192" s="772"/>
    </row>
    <row r="193" spans="1:17" ht="15">
      <c r="A193" s="768"/>
      <c r="C193" s="746"/>
      <c r="E193" s="777"/>
      <c r="F193" s="777"/>
      <c r="G193" s="777"/>
      <c r="H193" s="773"/>
      <c r="I193" s="773"/>
      <c r="J193" s="777"/>
      <c r="K193" s="778"/>
      <c r="L193" s="774"/>
      <c r="M193" s="774"/>
      <c r="N193" s="774"/>
      <c r="Q193" s="1138"/>
    </row>
    <row r="194" spans="1:11" ht="15">
      <c r="A194" s="768">
        <f>A192+1</f>
        <v>81</v>
      </c>
      <c r="B194" s="768"/>
      <c r="C194" s="776" t="s">
        <v>1245</v>
      </c>
      <c r="E194" s="779">
        <f>SUM(E180:E193)</f>
        <v>0</v>
      </c>
      <c r="F194" s="779">
        <f>SUM(F180:F193)</f>
        <v>198322.31379805572</v>
      </c>
      <c r="G194" s="779">
        <f>SUM(G180:G193)</f>
        <v>0</v>
      </c>
      <c r="H194" s="780"/>
      <c r="I194" s="780"/>
      <c r="J194" s="779">
        <f>SUM(J180:J193)</f>
        <v>64634.969808586902</v>
      </c>
      <c r="K194" s="779">
        <f>SUM(K180:K193)</f>
        <v>133687.34398946882</v>
      </c>
    </row>
    <row r="195" spans="1:11" ht="31.35" customHeight="1">
      <c r="A195" s="768"/>
      <c r="B195" s="768"/>
      <c r="C195" s="776"/>
      <c r="E195" s="779"/>
      <c r="F195" s="779"/>
      <c r="G195" s="779"/>
      <c r="H195" s="780"/>
      <c r="I195" s="780"/>
      <c r="J195" s="779"/>
      <c r="K195" s="779"/>
    </row>
    <row r="196" spans="1:14" ht="15">
      <c r="A196" s="1136"/>
      <c r="B196" s="761"/>
      <c r="C196" s="762" t="s">
        <v>1246</v>
      </c>
      <c r="E196" s="763"/>
      <c r="F196" s="786"/>
      <c r="G196" s="786"/>
      <c r="H196" s="786"/>
      <c r="I196" s="786"/>
      <c r="J196" s="786"/>
      <c r="K196" s="763"/>
      <c r="L196" s="763"/>
      <c r="M196" s="763"/>
      <c r="N196" s="763"/>
    </row>
    <row r="197" spans="1:14" ht="15">
      <c r="A197" s="768">
        <f>A194+1</f>
        <v>82</v>
      </c>
      <c r="B197" s="768" t="s">
        <v>1465</v>
      </c>
      <c r="C197" s="769" t="s">
        <v>1247</v>
      </c>
      <c r="E197" s="770"/>
      <c r="F197" s="770"/>
      <c r="G197" s="770"/>
      <c r="H197" s="783" t="s">
        <v>1248</v>
      </c>
      <c r="I197" s="783" t="s">
        <v>1248</v>
      </c>
      <c r="J197" s="770"/>
      <c r="K197" s="771">
        <f t="shared" si="13" ref="K197:K207">(F197+G197)-J197</f>
        <v>0</v>
      </c>
      <c r="L197" s="774" t="s">
        <v>1249</v>
      </c>
      <c r="M197" s="774" t="s">
        <v>1250</v>
      </c>
      <c r="N197" s="774">
        <v>410.10</v>
      </c>
    </row>
    <row r="198" spans="1:14" ht="15">
      <c r="A198" s="768">
        <v>83</v>
      </c>
      <c r="B198" s="768" t="s">
        <v>1465</v>
      </c>
      <c r="C198" s="769" t="s">
        <v>1247</v>
      </c>
      <c r="E198" s="770"/>
      <c r="F198" s="770"/>
      <c r="G198" s="770"/>
      <c r="H198" s="783" t="s">
        <v>1248</v>
      </c>
      <c r="I198" s="783" t="s">
        <v>1248</v>
      </c>
      <c r="J198" s="770"/>
      <c r="K198" s="771">
        <f t="shared" si="13"/>
        <v>0</v>
      </c>
      <c r="L198" s="774" t="s">
        <v>1251</v>
      </c>
      <c r="M198" s="774" t="s">
        <v>1252</v>
      </c>
      <c r="N198" s="774">
        <v>411.10</v>
      </c>
    </row>
    <row r="199" spans="1:14" ht="15">
      <c r="A199" s="768">
        <v>84</v>
      </c>
      <c r="B199" s="768" t="s">
        <v>1465</v>
      </c>
      <c r="C199" s="769" t="s">
        <v>1247</v>
      </c>
      <c r="E199" s="770"/>
      <c r="F199" s="770"/>
      <c r="G199" s="770"/>
      <c r="H199" s="783" t="s">
        <v>1248</v>
      </c>
      <c r="I199" s="783" t="s">
        <v>1248</v>
      </c>
      <c r="J199" s="770"/>
      <c r="K199" s="771">
        <f t="shared" si="13"/>
        <v>0</v>
      </c>
      <c r="L199" s="774" t="s">
        <v>1249</v>
      </c>
      <c r="M199" s="774" t="s">
        <v>1252</v>
      </c>
      <c r="N199" s="774">
        <v>411.10</v>
      </c>
    </row>
    <row r="200" spans="1:14" ht="15">
      <c r="A200" s="768">
        <v>85</v>
      </c>
      <c r="B200" s="768" t="s">
        <v>1465</v>
      </c>
      <c r="C200" s="769" t="s">
        <v>1247</v>
      </c>
      <c r="E200" s="770"/>
      <c r="F200" s="770">
        <v>139184.81999999992</v>
      </c>
      <c r="G200" s="770"/>
      <c r="H200" s="783" t="s">
        <v>1248</v>
      </c>
      <c r="I200" s="783" t="s">
        <v>1248</v>
      </c>
      <c r="J200" s="770">
        <v>16017.449999999972</v>
      </c>
      <c r="K200" s="771">
        <f t="shared" si="13"/>
        <v>123167.36999999995</v>
      </c>
      <c r="L200" s="774"/>
      <c r="M200" s="774" t="s">
        <v>1248</v>
      </c>
      <c r="N200" s="774" t="s">
        <v>1248</v>
      </c>
    </row>
    <row r="201" spans="1:14" ht="15">
      <c r="A201" s="768">
        <v>86</v>
      </c>
      <c r="B201" s="768" t="s">
        <v>1465</v>
      </c>
      <c r="C201" s="769" t="s">
        <v>1253</v>
      </c>
      <c r="E201" s="770"/>
      <c r="F201" s="770"/>
      <c r="G201" s="770"/>
      <c r="H201" s="783" t="s">
        <v>1248</v>
      </c>
      <c r="I201" s="783" t="s">
        <v>1248</v>
      </c>
      <c r="J201" s="770"/>
      <c r="K201" s="771">
        <f t="shared" si="13"/>
        <v>0</v>
      </c>
      <c r="L201" s="774"/>
      <c r="M201" s="774" t="s">
        <v>1248</v>
      </c>
      <c r="N201" s="774" t="s">
        <v>1248</v>
      </c>
    </row>
    <row r="202" spans="1:14" ht="15">
      <c r="A202" s="768">
        <v>87</v>
      </c>
      <c r="B202" s="768" t="s">
        <v>1465</v>
      </c>
      <c r="C202" s="769" t="s">
        <v>1253</v>
      </c>
      <c r="E202" s="770"/>
      <c r="F202" s="770">
        <v>-2411298.4000000004</v>
      </c>
      <c r="G202" s="770"/>
      <c r="H202" s="783" t="s">
        <v>1248</v>
      </c>
      <c r="I202" s="783" t="s">
        <v>1248</v>
      </c>
      <c r="J202" s="770">
        <v>-37881.59999999978</v>
      </c>
      <c r="K202" s="771">
        <f t="shared" si="13"/>
        <v>-2373416.8000000007</v>
      </c>
      <c r="L202" s="774"/>
      <c r="M202" s="774" t="s">
        <v>1248</v>
      </c>
      <c r="N202" s="774" t="s">
        <v>1248</v>
      </c>
    </row>
    <row r="203" spans="1:14" ht="15">
      <c r="A203" s="768">
        <v>88</v>
      </c>
      <c r="B203" s="768" t="s">
        <v>1465</v>
      </c>
      <c r="C203" s="769" t="s">
        <v>1253</v>
      </c>
      <c r="E203" s="770"/>
      <c r="F203" s="770">
        <v>-3911127.3000000063</v>
      </c>
      <c r="G203" s="770"/>
      <c r="H203" s="783" t="s">
        <v>1248</v>
      </c>
      <c r="I203" s="783" t="s">
        <v>1248</v>
      </c>
      <c r="J203" s="770">
        <v>-24664.969999995898</v>
      </c>
      <c r="K203" s="771">
        <f t="shared" si="13"/>
        <v>-3886462.3300000103</v>
      </c>
      <c r="L203" s="774"/>
      <c r="M203" s="774" t="s">
        <v>1248</v>
      </c>
      <c r="N203" s="774" t="s">
        <v>1248</v>
      </c>
    </row>
    <row r="204" spans="1:14" ht="15">
      <c r="A204" s="768">
        <v>89</v>
      </c>
      <c r="B204" s="768" t="s">
        <v>1465</v>
      </c>
      <c r="C204" s="769" t="s">
        <v>1253</v>
      </c>
      <c r="E204" s="770"/>
      <c r="F204" s="770"/>
      <c r="G204" s="770"/>
      <c r="H204" s="783"/>
      <c r="I204" s="783"/>
      <c r="J204" s="770"/>
      <c r="K204" s="771">
        <f t="shared" si="13"/>
        <v>0</v>
      </c>
      <c r="L204" s="774" t="s">
        <v>1249</v>
      </c>
      <c r="M204" s="774" t="s">
        <v>1252</v>
      </c>
      <c r="N204" s="774">
        <f t="shared" si="14" ref="N204:N209">IF(M204="Asset",410.1,IF(M204="Liability",411.1,"N/A"))</f>
        <v>411.10</v>
      </c>
    </row>
    <row r="205" spans="1:14" ht="15">
      <c r="A205" s="768">
        <v>90</v>
      </c>
      <c r="B205" s="768" t="s">
        <v>1465</v>
      </c>
      <c r="C205" s="769" t="s">
        <v>1254</v>
      </c>
      <c r="E205" s="770"/>
      <c r="F205" s="770"/>
      <c r="G205" s="770"/>
      <c r="H205" s="783"/>
      <c r="I205" s="783"/>
      <c r="J205" s="770"/>
      <c r="K205" s="771">
        <f t="shared" si="13"/>
        <v>0</v>
      </c>
      <c r="L205" s="774" t="s">
        <v>1251</v>
      </c>
      <c r="M205" s="774" t="s">
        <v>1250</v>
      </c>
      <c r="N205" s="774">
        <f t="shared" si="14"/>
        <v>410.10</v>
      </c>
    </row>
    <row r="206" spans="1:14" ht="15">
      <c r="A206" s="768">
        <v>91</v>
      </c>
      <c r="B206" s="768" t="s">
        <v>1465</v>
      </c>
      <c r="C206" s="769" t="s">
        <v>1254</v>
      </c>
      <c r="E206" s="781"/>
      <c r="F206" s="781"/>
      <c r="G206" s="781"/>
      <c r="H206" s="783"/>
      <c r="I206" s="783"/>
      <c r="J206" s="770"/>
      <c r="K206" s="771">
        <f t="shared" si="13"/>
        <v>0</v>
      </c>
      <c r="L206" s="774" t="s">
        <v>1249</v>
      </c>
      <c r="M206" s="774" t="s">
        <v>1250</v>
      </c>
      <c r="N206" s="774">
        <f t="shared" si="14"/>
        <v>410.10</v>
      </c>
    </row>
    <row r="207" spans="1:14" ht="15">
      <c r="A207" s="768">
        <v>92</v>
      </c>
      <c r="B207" s="768" t="s">
        <v>1465</v>
      </c>
      <c r="C207" s="769" t="s">
        <v>1254</v>
      </c>
      <c r="E207" s="781"/>
      <c r="F207" s="781"/>
      <c r="G207" s="781"/>
      <c r="H207" s="783"/>
      <c r="I207" s="783"/>
      <c r="J207" s="770"/>
      <c r="K207" s="771">
        <f t="shared" si="13"/>
        <v>0</v>
      </c>
      <c r="L207" s="774" t="s">
        <v>1251</v>
      </c>
      <c r="M207" s="774" t="s">
        <v>1252</v>
      </c>
      <c r="N207" s="774">
        <f t="shared" si="14"/>
        <v>411.10</v>
      </c>
    </row>
    <row r="208" spans="1:14" ht="15">
      <c r="A208" s="768">
        <v>93</v>
      </c>
      <c r="B208" s="768" t="s">
        <v>1465</v>
      </c>
      <c r="C208" s="769" t="s">
        <v>1254</v>
      </c>
      <c r="E208" s="781"/>
      <c r="F208" s="781"/>
      <c r="G208" s="781"/>
      <c r="H208" s="783"/>
      <c r="I208" s="783"/>
      <c r="J208" s="770"/>
      <c r="K208" s="771"/>
      <c r="L208" s="774" t="s">
        <v>1249</v>
      </c>
      <c r="M208" s="774" t="s">
        <v>1252</v>
      </c>
      <c r="N208" s="774">
        <f t="shared" si="14"/>
        <v>411.10</v>
      </c>
    </row>
    <row r="209" spans="1:14" ht="15">
      <c r="A209" s="768">
        <v>94</v>
      </c>
      <c r="B209" s="768" t="s">
        <v>1465</v>
      </c>
      <c r="C209" s="769" t="s">
        <v>1255</v>
      </c>
      <c r="E209" s="781"/>
      <c r="F209" s="781">
        <f>SUM(F197:F208)*('Attachment H-28A MAIT '!$D$169-1)</f>
        <v>-2277344.1268894388</v>
      </c>
      <c r="G209" s="781"/>
      <c r="H209" s="783"/>
      <c r="I209" s="783"/>
      <c r="J209" s="770">
        <f>SUM(J197:J208)*('Attachment H-28A MAIT '!$D$169-1)</f>
        <v>-17137.100141782608</v>
      </c>
      <c r="K209" s="771">
        <f>(F209+G209)-J209</f>
        <v>-2260207.0267476561</v>
      </c>
      <c r="L209" s="774" t="s">
        <v>1251</v>
      </c>
      <c r="M209" s="774" t="s">
        <v>1250</v>
      </c>
      <c r="N209" s="774">
        <f t="shared" si="14"/>
        <v>410.10</v>
      </c>
    </row>
    <row r="210" spans="1:13" ht="15">
      <c r="A210" s="768">
        <v>95</v>
      </c>
      <c r="B210" s="768"/>
      <c r="C210" s="776" t="s">
        <v>1497</v>
      </c>
      <c r="E210" s="1150">
        <f>SUM(E197:E209)</f>
        <v>0</v>
      </c>
      <c r="F210" s="1150">
        <f>SUM(F197:F209)</f>
        <v>-8460585.0068894457</v>
      </c>
      <c r="G210" s="1150">
        <f>SUM(G194:G209)</f>
        <v>0</v>
      </c>
      <c r="H210" s="780"/>
      <c r="I210" s="780"/>
      <c r="J210" s="1150">
        <f>SUM(J197:J209)</f>
        <v>-63666.220141778307</v>
      </c>
      <c r="K210" s="1150">
        <f>SUM(K197:K209)</f>
        <v>-8396918.7867476679</v>
      </c>
      <c r="L210" s="774"/>
      <c r="M210" s="774"/>
    </row>
    <row r="211" spans="3:13" ht="15">
      <c r="C211" s="746"/>
      <c r="E211" s="785"/>
      <c r="F211" s="785"/>
      <c r="G211" s="785"/>
      <c r="H211" s="780"/>
      <c r="I211" s="780"/>
      <c r="J211" s="785"/>
      <c r="K211" s="785"/>
      <c r="L211" s="774"/>
      <c r="M211" s="774"/>
    </row>
    <row r="212" spans="3:13" ht="15">
      <c r="C212" s="746"/>
      <c r="E212" s="785"/>
      <c r="F212" s="785"/>
      <c r="G212" s="785"/>
      <c r="H212" s="780"/>
      <c r="I212" s="780"/>
      <c r="J212" s="785"/>
      <c r="K212" s="785"/>
      <c r="L212" s="774"/>
      <c r="M212" s="774"/>
    </row>
    <row r="213" spans="3:13" ht="15">
      <c r="C213" s="746"/>
      <c r="F213" s="787"/>
      <c r="G213" s="787"/>
      <c r="H213" s="780"/>
      <c r="I213" s="780"/>
      <c r="J213" s="788"/>
      <c r="K213" s="785"/>
      <c r="L213" s="774"/>
      <c r="M213" s="774"/>
    </row>
    <row r="214" spans="1:14" ht="15.75">
      <c r="A214"/>
      <c r="B214"/>
      <c r="C214"/>
      <c r="D214"/>
      <c r="E214"/>
      <c r="F214"/>
      <c r="G214"/>
      <c r="H214"/>
      <c r="I214"/>
      <c r="J214"/>
      <c r="K214"/>
      <c r="L214"/>
      <c r="M214"/>
      <c r="N214" s="458" t="s">
        <v>1222</v>
      </c>
    </row>
    <row r="215" spans="1:14" ht="15.75">
      <c r="A215"/>
      <c r="B215"/>
      <c r="C215"/>
      <c r="D215"/>
      <c r="E215"/>
      <c r="F215"/>
      <c r="G215"/>
      <c r="H215"/>
      <c r="I215"/>
      <c r="J215"/>
      <c r="K215"/>
      <c r="L215"/>
      <c r="M215"/>
      <c r="N215" s="743" t="s">
        <v>1507</v>
      </c>
    </row>
    <row r="216" spans="1:14" ht="15.75">
      <c r="A216"/>
      <c r="B216"/>
      <c r="C216"/>
      <c r="D216"/>
      <c r="E216"/>
      <c r="F216"/>
      <c r="G216"/>
      <c r="H216"/>
      <c r="I216"/>
      <c r="J216"/>
      <c r="K216"/>
      <c r="L216"/>
      <c r="M216"/>
      <c r="N216" s="749" t="str">
        <f>$N$3</f>
        <v>For the 12 months ended 12/31/26</v>
      </c>
    </row>
    <row r="217" spans="1:14" ht="15.75">
      <c r="A217"/>
      <c r="B217"/>
      <c r="C217"/>
      <c r="D217"/>
      <c r="E217"/>
      <c r="F217"/>
      <c r="G217"/>
      <c r="H217"/>
      <c r="I217"/>
      <c r="J217"/>
      <c r="K217"/>
      <c r="L217"/>
      <c r="M217"/>
      <c r="N217" s="749"/>
    </row>
    <row r="218" spans="2:14" ht="15">
      <c r="B218" s="755" t="s">
        <v>1066</v>
      </c>
      <c r="C218" s="755" t="s">
        <v>1067</v>
      </c>
      <c r="D218" s="754"/>
      <c r="E218" s="755" t="s">
        <v>1068</v>
      </c>
      <c r="F218" s="755" t="s">
        <v>1069</v>
      </c>
      <c r="G218" s="755" t="s">
        <v>1084</v>
      </c>
      <c r="H218" s="755" t="s">
        <v>1085</v>
      </c>
      <c r="I218" s="755" t="s">
        <v>1086</v>
      </c>
      <c r="J218" s="755" t="s">
        <v>1224</v>
      </c>
      <c r="K218" s="755" t="s">
        <v>1225</v>
      </c>
      <c r="L218" s="755" t="s">
        <v>1226</v>
      </c>
      <c r="M218" s="755" t="s">
        <v>1227</v>
      </c>
      <c r="N218" s="755" t="s">
        <v>1228</v>
      </c>
    </row>
    <row r="219" spans="1:14" ht="60">
      <c r="A219" s="756" t="s">
        <v>211</v>
      </c>
      <c r="B219" s="757" t="s">
        <v>1229</v>
      </c>
      <c r="C219" s="758" t="s">
        <v>1002</v>
      </c>
      <c r="E219" s="758"/>
      <c r="F219" s="758"/>
      <c r="G219" s="758"/>
      <c r="H219" s="758"/>
      <c r="I219" s="758"/>
      <c r="J219" s="758" t="s">
        <v>1234</v>
      </c>
      <c r="K219" s="758" t="s">
        <v>1259</v>
      </c>
      <c r="L219" s="758" t="s">
        <v>1236</v>
      </c>
      <c r="M219" s="758" t="s">
        <v>1237</v>
      </c>
      <c r="N219" s="758" t="s">
        <v>1238</v>
      </c>
    </row>
    <row r="220" spans="3:10" ht="15">
      <c r="C220" s="746"/>
      <c r="F220" s="780"/>
      <c r="G220" s="780"/>
      <c r="H220" s="780"/>
      <c r="I220" s="780"/>
      <c r="J220" s="779"/>
    </row>
    <row r="221" spans="1:13" ht="15">
      <c r="A221" s="768">
        <v>96</v>
      </c>
      <c r="C221" s="746" t="s">
        <v>1260</v>
      </c>
      <c r="F221" s="787"/>
      <c r="G221" s="787"/>
      <c r="H221" s="780"/>
      <c r="I221" s="780"/>
      <c r="J221" s="789"/>
      <c r="K221" s="785"/>
      <c r="L221" s="774"/>
      <c r="M221" s="774"/>
    </row>
    <row r="222" spans="1:10" ht="15">
      <c r="A222" s="768"/>
      <c r="C222" s="746"/>
      <c r="F222" s="780"/>
      <c r="G222" s="780"/>
      <c r="H222" s="780"/>
      <c r="I222" s="780"/>
      <c r="J222" s="779"/>
    </row>
    <row r="223" spans="1:14" ht="15">
      <c r="A223" s="768">
        <v>97</v>
      </c>
      <c r="C223" s="776" t="s">
        <v>1499</v>
      </c>
      <c r="D223" s="769"/>
      <c r="E223" s="769"/>
      <c r="F223" s="790"/>
      <c r="G223" s="790"/>
      <c r="H223" s="790"/>
      <c r="I223" s="790"/>
      <c r="J223" s="791">
        <f>J23+J39+J65+J81+J107+J123+J149+J165+J194+J210-SUM(J63,J21,J38,J80,J105,J122,J147,J164,J192,J209)</f>
        <v>-231399.38426516627</v>
      </c>
      <c r="L223" s="772" t="s">
        <v>1261</v>
      </c>
      <c r="M223" s="772" t="s">
        <v>1250</v>
      </c>
      <c r="N223" s="772">
        <f>IF(M223="Asset",410.1,IF(M223="Liability",411.1,"N/A"))</f>
        <v>410.10</v>
      </c>
    </row>
    <row r="224" spans="1:12" ht="15">
      <c r="A224" s="768"/>
      <c r="C224" s="746"/>
      <c r="F224" s="780"/>
      <c r="G224" s="780"/>
      <c r="H224" s="780"/>
      <c r="I224" s="780"/>
      <c r="J224" s="779"/>
      <c r="L224" s="774"/>
    </row>
    <row r="225" spans="1:12" ht="15">
      <c r="A225" s="768">
        <v>98</v>
      </c>
      <c r="C225" s="776" t="s">
        <v>1500</v>
      </c>
      <c r="D225" s="769"/>
      <c r="E225" s="769"/>
      <c r="F225" s="780"/>
      <c r="G225" s="780"/>
      <c r="H225" s="780"/>
      <c r="I225" s="780"/>
      <c r="J225" s="779"/>
      <c r="K225" s="791">
        <f>K81+K23+K65+K39+K107+K123+K149+K165+K194+K210</f>
        <v>-117738528.0632024</v>
      </c>
      <c r="L225" s="774"/>
    </row>
    <row r="226" spans="1:12" ht="15">
      <c r="A226" s="768"/>
      <c r="C226" s="746"/>
      <c r="F226" s="780"/>
      <c r="G226" s="780"/>
      <c r="H226" s="780"/>
      <c r="I226" s="780"/>
      <c r="J226" s="779"/>
      <c r="K226" s="769"/>
      <c r="L226" s="774"/>
    </row>
    <row r="227" spans="1:13" ht="15">
      <c r="A227" s="768">
        <f>A225+1</f>
        <v>99</v>
      </c>
      <c r="C227" s="776" t="s">
        <v>1488</v>
      </c>
      <c r="F227" s="780"/>
      <c r="G227" s="780"/>
      <c r="H227" s="780"/>
      <c r="I227" s="780"/>
      <c r="J227" s="779"/>
      <c r="K227" s="791">
        <f>SUM('Attachment 5 - ADIT'!N33,'Attachment 5 - ADIT'!N39,'Attachment 5 - ADIT'!N44)</f>
        <v>-117738528.06320243</v>
      </c>
      <c r="L227" s="774"/>
      <c r="M227" s="771">
        <f>K225-K227</f>
        <v>0</v>
      </c>
    </row>
    <row r="228" spans="3:12" ht="15">
      <c r="C228" s="746"/>
      <c r="F228" s="780"/>
      <c r="G228" s="780"/>
      <c r="H228" s="780"/>
      <c r="I228" s="780"/>
      <c r="J228" s="779"/>
      <c r="L228" s="774"/>
    </row>
    <row r="229" spans="1:10" ht="15">
      <c r="A229" s="750" t="s">
        <v>257</v>
      </c>
      <c r="F229" s="780"/>
      <c r="G229" s="780"/>
      <c r="H229" s="780"/>
      <c r="I229" s="780"/>
      <c r="J229" s="779"/>
    </row>
    <row r="230" spans="1:9" ht="15">
      <c r="A230" s="750" t="s">
        <v>123</v>
      </c>
      <c r="B230" s="741" t="s">
        <v>1262</v>
      </c>
      <c r="E230" s="792"/>
      <c r="F230" s="792"/>
      <c r="G230" s="792"/>
      <c r="H230" s="792"/>
      <c r="I230" s="779"/>
    </row>
    <row r="231" spans="1:14" ht="15">
      <c r="A231" s="793" t="s">
        <v>124</v>
      </c>
      <c r="B231" s="1235" t="s">
        <v>1263</v>
      </c>
      <c r="C231" s="1235"/>
      <c r="D231" s="1235"/>
      <c r="E231" s="1235"/>
      <c r="F231" s="1235"/>
      <c r="G231" s="1235"/>
      <c r="H231" s="1235"/>
      <c r="I231" s="1235"/>
      <c r="J231" s="1235"/>
      <c r="K231" s="1235"/>
      <c r="L231" s="1235"/>
      <c r="M231" s="1235"/>
      <c r="N231" s="1235"/>
    </row>
    <row r="232" spans="1:11" ht="15">
      <c r="A232" s="793" t="s">
        <v>125</v>
      </c>
      <c r="B232" s="795" t="s">
        <v>1264</v>
      </c>
      <c r="C232" s="795"/>
      <c r="D232" s="795"/>
      <c r="E232" s="796"/>
      <c r="F232" s="796"/>
      <c r="G232" s="796"/>
      <c r="H232" s="796"/>
      <c r="I232" s="797"/>
      <c r="J232" s="795"/>
      <c r="K232" s="795"/>
    </row>
    <row r="233" spans="1:11" ht="15">
      <c r="A233" s="793" t="s">
        <v>126</v>
      </c>
      <c r="B233" s="795" t="s">
        <v>1265</v>
      </c>
      <c r="C233" s="795"/>
      <c r="D233" s="795"/>
      <c r="E233" s="796"/>
      <c r="F233" s="796"/>
      <c r="G233" s="796"/>
      <c r="H233" s="796"/>
      <c r="I233" s="797"/>
      <c r="J233" s="795"/>
      <c r="K233" s="795"/>
    </row>
    <row r="234" spans="1:11" ht="15">
      <c r="A234" s="793" t="s">
        <v>127</v>
      </c>
      <c r="B234" s="795" t="s">
        <v>1266</v>
      </c>
      <c r="C234" s="795"/>
      <c r="D234" s="795"/>
      <c r="E234" s="796"/>
      <c r="F234" s="796"/>
      <c r="G234" s="796"/>
      <c r="H234" s="796"/>
      <c r="I234" s="797"/>
      <c r="J234" s="795"/>
      <c r="K234" s="795"/>
    </row>
    <row r="235" spans="1:11" ht="15">
      <c r="A235" s="793"/>
      <c r="B235" s="795" t="s">
        <v>1267</v>
      </c>
      <c r="D235" s="795"/>
      <c r="E235" s="795" t="s">
        <v>1268</v>
      </c>
      <c r="F235" s="796"/>
      <c r="G235" s="796"/>
      <c r="H235" s="796"/>
      <c r="I235" s="797"/>
      <c r="J235" s="795"/>
      <c r="K235" s="795"/>
    </row>
    <row r="236" spans="1:11" ht="15">
      <c r="A236" s="793"/>
      <c r="B236" s="795" t="s">
        <v>1269</v>
      </c>
      <c r="C236" s="795"/>
      <c r="D236" s="795"/>
      <c r="E236" s="796"/>
      <c r="F236" s="796"/>
      <c r="G236" s="796"/>
      <c r="H236" s="796"/>
      <c r="I236" s="797"/>
      <c r="J236" s="795"/>
      <c r="K236" s="795"/>
    </row>
    <row r="237" spans="1:11" ht="15">
      <c r="A237" s="793" t="s">
        <v>128</v>
      </c>
      <c r="B237" s="795" t="s">
        <v>1270</v>
      </c>
      <c r="C237" s="795"/>
      <c r="D237" s="795"/>
      <c r="E237" s="796"/>
      <c r="F237" s="796"/>
      <c r="G237" s="796"/>
      <c r="H237" s="796"/>
      <c r="I237" s="797"/>
      <c r="J237" s="795"/>
      <c r="K237" s="795"/>
    </row>
    <row r="238" spans="1:11" ht="15">
      <c r="A238" s="793" t="s">
        <v>129</v>
      </c>
      <c r="B238" s="795" t="s">
        <v>1271</v>
      </c>
      <c r="C238" s="795"/>
      <c r="D238" s="795"/>
      <c r="E238" s="796"/>
      <c r="F238" s="796"/>
      <c r="G238" s="796"/>
      <c r="H238" s="796"/>
      <c r="I238" s="797"/>
      <c r="J238" s="795"/>
      <c r="K238" s="795"/>
    </row>
    <row r="239" spans="1:14" ht="15">
      <c r="A239" s="793" t="s">
        <v>131</v>
      </c>
      <c r="B239" s="1236" t="s">
        <v>1272</v>
      </c>
      <c r="C239" s="1236"/>
      <c r="D239" s="1236"/>
      <c r="E239" s="1236"/>
      <c r="F239" s="1236"/>
      <c r="G239" s="1236"/>
      <c r="H239" s="1236"/>
      <c r="I239" s="1236"/>
      <c r="J239" s="1236"/>
      <c r="K239" s="1236"/>
      <c r="L239" s="1236"/>
      <c r="M239" s="1236"/>
      <c r="N239" s="1236"/>
    </row>
    <row r="240" spans="1:10" ht="15">
      <c r="A240" s="750" t="s">
        <v>132</v>
      </c>
      <c r="B240" s="750" t="s">
        <v>1273</v>
      </c>
      <c r="F240" s="780"/>
      <c r="G240" s="780"/>
      <c r="H240" s="780"/>
      <c r="I240" s="780"/>
      <c r="J240" s="779"/>
    </row>
    <row r="241" spans="1:9" ht="15">
      <c r="A241" s="750" t="s">
        <v>133</v>
      </c>
      <c r="B241" s="741" t="s">
        <v>1274</v>
      </c>
      <c r="E241" s="792"/>
      <c r="F241" s="792"/>
      <c r="G241" s="792"/>
      <c r="H241" s="792"/>
      <c r="I241" s="779"/>
    </row>
    <row r="242" spans="6:10" ht="15">
      <c r="F242" s="780"/>
      <c r="G242" s="780"/>
      <c r="H242" s="780"/>
      <c r="I242" s="780"/>
      <c r="J242" s="779"/>
    </row>
    <row r="243" spans="6:10" ht="15">
      <c r="F243" s="780"/>
      <c r="G243" s="780"/>
      <c r="H243" s="780"/>
      <c r="I243" s="780"/>
      <c r="J243" s="779"/>
    </row>
    <row r="244" spans="6:10" ht="15">
      <c r="F244" s="780"/>
      <c r="G244" s="780"/>
      <c r="H244" s="780"/>
      <c r="I244" s="780"/>
      <c r="J244" s="779"/>
    </row>
    <row r="245" spans="6:10" ht="15">
      <c r="F245" s="780"/>
      <c r="G245" s="780"/>
      <c r="H245" s="780"/>
      <c r="I245" s="780"/>
      <c r="J245" s="779"/>
    </row>
    <row r="246" spans="6:8" ht="15">
      <c r="F246" s="780"/>
      <c r="G246" s="780"/>
      <c r="H246" s="780"/>
    </row>
  </sheetData>
  <mergeCells count="4">
    <mergeCell ref="C5:K5"/>
    <mergeCell ref="C6:K6"/>
    <mergeCell ref="B231:N231"/>
    <mergeCell ref="B239:N239"/>
  </mergeCells>
  <pageMargins left="0.7" right="0.7" top="0.75" bottom="0.75" header="0.3" footer="0.3"/>
  <pageSetup orientation="portrait" paperSize="1" scale="33" r:id="rId1"/>
  <rowBreaks count="5" manualBreakCount="5">
    <brk id="40" max="13" man="1"/>
    <brk id="83" max="16383" man="1"/>
    <brk id="124" max="16383" man="1"/>
    <brk id="169" max="13" man="1"/>
    <brk id="213" max="1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239FE60-F0C8-40C9-B11B-6E52B62AE683}">
  <sheetPr codeName="Sheet31"/>
  <dimension ref="A1:AL65"/>
  <sheetViews>
    <sheetView view="pageBreakPreview" zoomScale="60" zoomScaleNormal="80" workbookViewId="0" topLeftCell="A1"/>
  </sheetViews>
  <sheetFormatPr defaultColWidth="7.44555555555556" defaultRowHeight="15"/>
  <cols>
    <col min="1" max="1" width="4.88888888888889" style="798" customWidth="1"/>
    <col min="2" max="2" width="8.11111111111111" style="798" customWidth="1"/>
    <col min="3" max="4" width="2.11111111111111" style="742" customWidth="1"/>
    <col min="5" max="5" width="49.1111111111111" style="742" customWidth="1"/>
    <col min="6" max="9" width="15.1111111111111" style="742" customWidth="1"/>
    <col min="10" max="10" width="18.8888888888889" style="742" customWidth="1"/>
    <col min="11" max="12" width="15.1111111111111" style="742" customWidth="1"/>
    <col min="13" max="13" width="19.5555555555556" style="742" customWidth="1"/>
    <col min="14" max="14" width="10.4444444444444" style="799" customWidth="1"/>
    <col min="15" max="15" width="23.4444444444444" style="742" customWidth="1"/>
    <col min="16" max="16384" width="7.44444444444444" style="742"/>
  </cols>
  <sheetData>
    <row r="1" spans="15:15" ht="15.75">
      <c r="O1" s="458" t="s">
        <v>1275</v>
      </c>
    </row>
    <row r="2" spans="15:15" ht="15.75">
      <c r="O2" s="800" t="s">
        <v>223</v>
      </c>
    </row>
    <row r="3" spans="15:15" ht="15.75">
      <c r="O3" s="4" t="s">
        <v>1468</v>
      </c>
    </row>
    <row r="4" spans="5:13" ht="15">
      <c r="E4" s="801"/>
      <c r="M4" s="802"/>
    </row>
    <row r="5" spans="1:15" s="753" customFormat="1" ht="15">
      <c r="A5" s="775"/>
      <c r="B5" s="755" t="s">
        <v>1066</v>
      </c>
      <c r="E5" s="755" t="s">
        <v>1067</v>
      </c>
      <c r="F5" s="755" t="s">
        <v>1068</v>
      </c>
      <c r="G5" s="755" t="s">
        <v>1069</v>
      </c>
      <c r="H5" s="755" t="s">
        <v>1084</v>
      </c>
      <c r="I5" s="755" t="s">
        <v>1085</v>
      </c>
      <c r="J5" s="755" t="s">
        <v>1086</v>
      </c>
      <c r="K5" s="755" t="s">
        <v>1224</v>
      </c>
      <c r="L5" s="755" t="s">
        <v>1225</v>
      </c>
      <c r="M5" s="755" t="s">
        <v>1226</v>
      </c>
      <c r="N5" s="755" t="s">
        <v>1227</v>
      </c>
      <c r="O5" s="755" t="s">
        <v>1228</v>
      </c>
    </row>
    <row r="6" spans="3:15" ht="60" customHeight="1">
      <c r="C6" s="803"/>
      <c r="D6" s="803"/>
      <c r="E6" s="803"/>
      <c r="F6" s="1237" t="s">
        <v>1276</v>
      </c>
      <c r="G6" s="1238"/>
      <c r="H6" s="1239"/>
      <c r="I6" s="804" t="s">
        <v>1277</v>
      </c>
      <c r="J6" s="804" t="s">
        <v>1278</v>
      </c>
      <c r="K6" s="1240" t="s">
        <v>1279</v>
      </c>
      <c r="L6" s="1241"/>
      <c r="M6" s="1242"/>
      <c r="N6" s="805"/>
      <c r="O6" s="805"/>
    </row>
    <row r="7" spans="1:15" ht="72" customHeight="1">
      <c r="A7" s="806" t="s">
        <v>211</v>
      </c>
      <c r="B7" s="806" t="s">
        <v>1229</v>
      </c>
      <c r="E7" s="807" t="s">
        <v>1280</v>
      </c>
      <c r="F7" s="808" t="s">
        <v>1479</v>
      </c>
      <c r="G7" s="808" t="s">
        <v>1480</v>
      </c>
      <c r="H7" s="808" t="s">
        <v>1481</v>
      </c>
      <c r="I7" s="804" t="s">
        <v>1281</v>
      </c>
      <c r="J7" s="804" t="s">
        <v>1282</v>
      </c>
      <c r="K7" s="809" t="s">
        <v>1283</v>
      </c>
      <c r="L7" s="808" t="s">
        <v>1501</v>
      </c>
      <c r="M7" s="804" t="s">
        <v>1284</v>
      </c>
      <c r="N7" s="810" t="s">
        <v>1236</v>
      </c>
      <c r="O7" s="811" t="s">
        <v>1237</v>
      </c>
    </row>
    <row r="8" spans="3:13" ht="15">
      <c r="C8" s="812" t="s">
        <v>1285</v>
      </c>
      <c r="F8" s="813"/>
      <c r="G8" s="813"/>
      <c r="H8" s="813"/>
      <c r="I8" s="813"/>
      <c r="J8" s="813"/>
      <c r="L8" s="813"/>
      <c r="M8" s="813"/>
    </row>
    <row r="9" spans="1:15" ht="15">
      <c r="A9" s="814">
        <v>1</v>
      </c>
      <c r="C9" s="742" t="s">
        <v>1286</v>
      </c>
      <c r="O9" s="815"/>
    </row>
    <row r="10" spans="1:37" ht="15">
      <c r="A10" s="814" t="s">
        <v>725</v>
      </c>
      <c r="B10" s="816" t="s">
        <v>1465</v>
      </c>
      <c r="C10" s="1132"/>
      <c r="D10" s="1132"/>
      <c r="E10" s="1133" t="s">
        <v>1304</v>
      </c>
      <c r="F10" s="1134">
        <v>43793.574956365002</v>
      </c>
      <c r="G10" s="1134">
        <v>43160.198423754999</v>
      </c>
      <c r="H10" s="1134">
        <v>-633.37653261000378</v>
      </c>
      <c r="I10" s="1134">
        <v>633.37653261000378</v>
      </c>
      <c r="J10" s="819">
        <f t="shared" si="0" ref="J10:J14">-(H10+I10)</f>
        <v>0</v>
      </c>
      <c r="K10" s="818"/>
      <c r="L10" s="818"/>
      <c r="M10" s="819">
        <f>+L10+K10+J10</f>
        <v>0</v>
      </c>
      <c r="N10" s="820" t="s">
        <v>1395</v>
      </c>
      <c r="O10" s="821"/>
      <c r="P10" s="822"/>
      <c r="Q10" s="822"/>
      <c r="R10" s="822"/>
      <c r="S10" s="822"/>
      <c r="T10" s="822"/>
      <c r="U10" s="822"/>
      <c r="V10" s="822"/>
      <c r="W10" s="822"/>
      <c r="X10" s="822"/>
      <c r="Y10" s="822"/>
      <c r="Z10" s="822"/>
      <c r="AA10" s="822"/>
      <c r="AB10" s="822"/>
      <c r="AC10" s="822"/>
      <c r="AD10" s="822"/>
      <c r="AE10" s="822"/>
      <c r="AF10" s="822"/>
      <c r="AG10" s="822"/>
      <c r="AH10" s="822"/>
      <c r="AI10" s="822"/>
      <c r="AJ10" s="822"/>
      <c r="AK10" s="822"/>
    </row>
    <row r="11" spans="1:37" ht="15">
      <c r="A11" s="814" t="s">
        <v>726</v>
      </c>
      <c r="B11" s="816" t="s">
        <v>1465</v>
      </c>
      <c r="C11" s="1132"/>
      <c r="D11" s="1132"/>
      <c r="E11" s="1133" t="s">
        <v>1305</v>
      </c>
      <c r="F11" s="1134"/>
      <c r="G11" s="1134"/>
      <c r="H11" s="1134"/>
      <c r="I11" s="1134"/>
      <c r="J11" s="819">
        <f t="shared" si="0"/>
        <v>0</v>
      </c>
      <c r="K11" s="818"/>
      <c r="L11" s="818"/>
      <c r="M11" s="819">
        <f t="shared" si="1" ref="M11:M15">+L11+K11+J11</f>
        <v>0</v>
      </c>
      <c r="N11" s="820" t="s">
        <v>1395</v>
      </c>
      <c r="O11" s="821"/>
      <c r="P11" s="822"/>
      <c r="Q11" s="822"/>
      <c r="R11" s="822"/>
      <c r="S11" s="822"/>
      <c r="T11" s="822"/>
      <c r="U11" s="822"/>
      <c r="V11" s="822"/>
      <c r="W11" s="822"/>
      <c r="X11" s="822"/>
      <c r="Y11" s="822"/>
      <c r="Z11" s="822"/>
      <c r="AA11" s="822"/>
      <c r="AB11" s="822"/>
      <c r="AC11" s="822"/>
      <c r="AD11" s="822"/>
      <c r="AE11" s="822"/>
      <c r="AF11" s="822"/>
      <c r="AG11" s="822"/>
      <c r="AH11" s="822"/>
      <c r="AI11" s="822"/>
      <c r="AJ11" s="822"/>
      <c r="AK11" s="822"/>
    </row>
    <row r="12" spans="1:37" ht="15">
      <c r="A12" s="814" t="s">
        <v>727</v>
      </c>
      <c r="B12" s="816" t="s">
        <v>1465</v>
      </c>
      <c r="C12" s="1132"/>
      <c r="D12" s="1132"/>
      <c r="E12" s="1133" t="s">
        <v>1428</v>
      </c>
      <c r="F12" s="1134"/>
      <c r="G12" s="1134"/>
      <c r="H12" s="1134"/>
      <c r="I12" s="1134"/>
      <c r="J12" s="819">
        <f t="shared" si="0"/>
        <v>0</v>
      </c>
      <c r="K12" s="818"/>
      <c r="L12" s="818"/>
      <c r="M12" s="819">
        <f t="shared" si="1"/>
        <v>0</v>
      </c>
      <c r="N12" s="820" t="s">
        <v>1395</v>
      </c>
      <c r="O12" s="821"/>
      <c r="P12" s="822"/>
      <c r="Q12" s="822"/>
      <c r="R12" s="822"/>
      <c r="S12" s="822"/>
      <c r="T12" s="822"/>
      <c r="U12" s="822"/>
      <c r="V12" s="822"/>
      <c r="W12" s="822"/>
      <c r="X12" s="822"/>
      <c r="Y12" s="822"/>
      <c r="Z12" s="822"/>
      <c r="AA12" s="822"/>
      <c r="AB12" s="822"/>
      <c r="AC12" s="822"/>
      <c r="AD12" s="822"/>
      <c r="AE12" s="822"/>
      <c r="AF12" s="822"/>
      <c r="AG12" s="822"/>
      <c r="AH12" s="822"/>
      <c r="AI12" s="822"/>
      <c r="AJ12" s="822"/>
      <c r="AK12" s="822"/>
    </row>
    <row r="13" spans="1:37" ht="15">
      <c r="A13" s="814" t="s">
        <v>1392</v>
      </c>
      <c r="B13" s="816" t="s">
        <v>1465</v>
      </c>
      <c r="C13" s="1132"/>
      <c r="D13" s="1132"/>
      <c r="E13" s="1133" t="s">
        <v>1429</v>
      </c>
      <c r="F13" s="1134">
        <v>613093.38834755856</v>
      </c>
      <c r="G13" s="1134">
        <v>600960.80941976176</v>
      </c>
      <c r="H13" s="1134">
        <v>-12132.5789277968</v>
      </c>
      <c r="I13" s="1134">
        <v>0</v>
      </c>
      <c r="J13" s="819">
        <f t="shared" si="0"/>
        <v>12132.5789277968</v>
      </c>
      <c r="K13" s="818">
        <v>-12132.5789277968</v>
      </c>
      <c r="L13" s="818"/>
      <c r="M13" s="819">
        <f>+L13+K13+J13</f>
        <v>0</v>
      </c>
      <c r="N13" s="820" t="s">
        <v>1395</v>
      </c>
      <c r="O13" s="821"/>
      <c r="P13" s="822"/>
      <c r="Q13" s="822"/>
      <c r="R13" s="822"/>
      <c r="S13" s="822"/>
      <c r="T13" s="822"/>
      <c r="U13" s="822"/>
      <c r="V13" s="822"/>
      <c r="W13" s="822"/>
      <c r="X13" s="822"/>
      <c r="Y13" s="822"/>
      <c r="Z13" s="822"/>
      <c r="AA13" s="822"/>
      <c r="AB13" s="822"/>
      <c r="AC13" s="822"/>
      <c r="AD13" s="822"/>
      <c r="AE13" s="822"/>
      <c r="AF13" s="822"/>
      <c r="AG13" s="822"/>
      <c r="AH13" s="822"/>
      <c r="AI13" s="822"/>
      <c r="AJ13" s="822"/>
      <c r="AK13" s="822"/>
    </row>
    <row r="14" spans="1:37" ht="15">
      <c r="A14" s="814" t="s">
        <v>1393</v>
      </c>
      <c r="B14" s="816" t="s">
        <v>1465</v>
      </c>
      <c r="C14" s="1132"/>
      <c r="D14" s="1132"/>
      <c r="E14" s="1133" t="s">
        <v>1303</v>
      </c>
      <c r="F14" s="1134"/>
      <c r="G14" s="1134"/>
      <c r="H14" s="1134"/>
      <c r="I14" s="1134"/>
      <c r="J14" s="819">
        <f t="shared" si="0"/>
        <v>0</v>
      </c>
      <c r="K14" s="818"/>
      <c r="L14" s="818"/>
      <c r="M14" s="819">
        <f t="shared" si="1"/>
        <v>0</v>
      </c>
      <c r="N14" s="820" t="s">
        <v>1395</v>
      </c>
      <c r="O14" s="821"/>
      <c r="P14" s="822"/>
      <c r="Q14" s="822"/>
      <c r="R14" s="822"/>
      <c r="S14" s="822"/>
      <c r="T14" s="822"/>
      <c r="U14" s="822"/>
      <c r="V14" s="822"/>
      <c r="W14" s="822"/>
      <c r="X14" s="822"/>
      <c r="Y14" s="822"/>
      <c r="Z14" s="822"/>
      <c r="AA14" s="822"/>
      <c r="AB14" s="822"/>
      <c r="AC14" s="822"/>
      <c r="AD14" s="822"/>
      <c r="AE14" s="822"/>
      <c r="AF14" s="822"/>
      <c r="AG14" s="822"/>
      <c r="AH14" s="822"/>
      <c r="AI14" s="822"/>
      <c r="AJ14" s="822"/>
      <c r="AK14" s="822"/>
    </row>
    <row r="15" spans="1:37" ht="15">
      <c r="A15" s="814" t="s">
        <v>1394</v>
      </c>
      <c r="B15" s="816" t="s">
        <v>1465</v>
      </c>
      <c r="C15" s="1132"/>
      <c r="D15" s="1132"/>
      <c r="E15" s="1133" t="s">
        <v>1306</v>
      </c>
      <c r="F15" s="1134">
        <v>2419314.9868569998</v>
      </c>
      <c r="G15" s="1134">
        <v>2267918.5541462805</v>
      </c>
      <c r="H15" s="1134">
        <v>-151396.43271071929</v>
      </c>
      <c r="I15" s="1134">
        <v>0</v>
      </c>
      <c r="J15" s="819">
        <f>-(H15+I15)</f>
        <v>151396.43271071929</v>
      </c>
      <c r="K15" s="818"/>
      <c r="L15" s="818"/>
      <c r="M15" s="819">
        <f t="shared" si="1"/>
        <v>151396.43271071929</v>
      </c>
      <c r="N15" s="820" t="s">
        <v>1251</v>
      </c>
      <c r="O15" s="1116">
        <v>182.30</v>
      </c>
      <c r="P15" s="822"/>
      <c r="Q15" s="822"/>
      <c r="R15" s="822"/>
      <c r="S15" s="822"/>
      <c r="T15" s="822"/>
      <c r="U15" s="822"/>
      <c r="V15" s="822"/>
      <c r="W15" s="822"/>
      <c r="X15" s="822"/>
      <c r="Y15" s="822"/>
      <c r="Z15" s="822"/>
      <c r="AA15" s="822"/>
      <c r="AB15" s="822"/>
      <c r="AC15" s="822"/>
      <c r="AD15" s="822"/>
      <c r="AE15" s="822"/>
      <c r="AF15" s="822"/>
      <c r="AG15" s="822"/>
      <c r="AH15" s="822"/>
      <c r="AI15" s="822"/>
      <c r="AJ15" s="822"/>
      <c r="AK15" s="822"/>
    </row>
    <row r="16" spans="1:13" ht="15">
      <c r="A16" s="814">
        <v>2</v>
      </c>
      <c r="D16" s="742" t="s">
        <v>1287</v>
      </c>
      <c r="F16" s="823">
        <f t="shared" si="2" ref="F16:M16">SUM(F10:F15)</f>
        <v>3076201.9501609234</v>
      </c>
      <c r="G16" s="823">
        <f t="shared" si="2"/>
        <v>2912039.5619897973</v>
      </c>
      <c r="H16" s="823">
        <f t="shared" si="2"/>
        <v>-164162.38817112611</v>
      </c>
      <c r="I16" s="823">
        <f t="shared" si="2"/>
        <v>633.37653261000378</v>
      </c>
      <c r="J16" s="823">
        <f t="shared" si="2"/>
        <v>163529.01163851609</v>
      </c>
      <c r="K16" s="823">
        <f t="shared" si="2"/>
        <v>-12132.5789277968</v>
      </c>
      <c r="L16" s="823">
        <f t="shared" si="2"/>
        <v>0</v>
      </c>
      <c r="M16" s="823">
        <f t="shared" si="2"/>
        <v>151396.43271071929</v>
      </c>
    </row>
    <row r="17" spans="1:13" ht="15">
      <c r="A17" s="814">
        <v>3</v>
      </c>
      <c r="C17" s="742" t="s">
        <v>1288</v>
      </c>
      <c r="F17" s="819"/>
      <c r="G17" s="819"/>
      <c r="H17" s="819"/>
      <c r="I17" s="819"/>
      <c r="J17" s="819"/>
      <c r="K17" s="819"/>
      <c r="L17" s="819"/>
      <c r="M17" s="819"/>
    </row>
    <row r="18" spans="1:15" ht="15">
      <c r="A18" s="814" t="s">
        <v>829</v>
      </c>
      <c r="B18" s="816"/>
      <c r="E18" s="817"/>
      <c r="F18" s="818"/>
      <c r="G18" s="818"/>
      <c r="H18" s="818"/>
      <c r="I18" s="818"/>
      <c r="J18" s="819">
        <f>-(H18+I18)</f>
        <v>0</v>
      </c>
      <c r="K18" s="818"/>
      <c r="L18" s="818"/>
      <c r="M18" s="819">
        <f>+L18+K18+J18</f>
        <v>0</v>
      </c>
      <c r="N18" s="820"/>
      <c r="O18" s="821"/>
    </row>
    <row r="19" spans="1:13" ht="15">
      <c r="A19" s="814">
        <v>4</v>
      </c>
      <c r="D19" s="742" t="s">
        <v>1289</v>
      </c>
      <c r="F19" s="823">
        <f t="shared" si="3" ref="F19:M19">SUM(F18:F18)</f>
        <v>0</v>
      </c>
      <c r="G19" s="823">
        <f t="shared" si="3"/>
        <v>0</v>
      </c>
      <c r="H19" s="823">
        <f t="shared" si="3"/>
        <v>0</v>
      </c>
      <c r="I19" s="823">
        <f t="shared" si="3"/>
        <v>0</v>
      </c>
      <c r="J19" s="823">
        <f t="shared" si="3"/>
        <v>0</v>
      </c>
      <c r="K19" s="823">
        <f t="shared" si="3"/>
        <v>0</v>
      </c>
      <c r="L19" s="823">
        <f t="shared" si="3"/>
        <v>0</v>
      </c>
      <c r="M19" s="823">
        <f t="shared" si="3"/>
        <v>0</v>
      </c>
    </row>
    <row r="20" spans="1:13" ht="15">
      <c r="A20" s="814">
        <v>5</v>
      </c>
      <c r="C20" s="742" t="s">
        <v>1290</v>
      </c>
      <c r="F20" s="819"/>
      <c r="G20" s="819"/>
      <c r="H20" s="819"/>
      <c r="I20" s="819"/>
      <c r="J20" s="819"/>
      <c r="K20" s="819"/>
      <c r="L20" s="819"/>
      <c r="M20" s="819"/>
    </row>
    <row r="21" spans="1:37" ht="15">
      <c r="A21" s="814" t="s">
        <v>731</v>
      </c>
      <c r="B21" s="816" t="s">
        <v>1465</v>
      </c>
      <c r="E21" s="817" t="s">
        <v>1302</v>
      </c>
      <c r="F21" s="818">
        <v>-446448.48535116005</v>
      </c>
      <c r="G21" s="818">
        <v>-439991.75091116002</v>
      </c>
      <c r="H21" s="818">
        <v>6456.7344400000293</v>
      </c>
      <c r="I21" s="818">
        <v>0</v>
      </c>
      <c r="J21" s="819">
        <f>-(H21+I21)</f>
        <v>-6456.7344400000293</v>
      </c>
      <c r="K21" s="818"/>
      <c r="L21" s="818"/>
      <c r="M21" s="819">
        <f>+L21+K21+J21</f>
        <v>-6456.7344400000293</v>
      </c>
      <c r="N21" s="820" t="s">
        <v>1251</v>
      </c>
      <c r="O21" s="1116">
        <v>182.30</v>
      </c>
      <c r="P21" s="822"/>
      <c r="Q21" s="822"/>
      <c r="R21" s="822"/>
      <c r="S21" s="822"/>
      <c r="T21" s="822"/>
      <c r="U21" s="822"/>
      <c r="V21" s="822"/>
      <c r="W21" s="822"/>
      <c r="X21" s="822"/>
      <c r="Y21" s="822"/>
      <c r="Z21" s="822"/>
      <c r="AA21" s="822"/>
      <c r="AB21" s="822"/>
      <c r="AC21" s="822"/>
      <c r="AD21" s="822"/>
      <c r="AE21" s="822"/>
      <c r="AF21" s="822"/>
      <c r="AG21" s="822"/>
      <c r="AH21" s="822"/>
      <c r="AI21" s="822"/>
      <c r="AJ21" s="822"/>
      <c r="AK21" s="822"/>
    </row>
    <row r="22" spans="1:37" ht="15">
      <c r="A22" s="814" t="s">
        <v>732</v>
      </c>
      <c r="B22" s="816" t="s">
        <v>1465</v>
      </c>
      <c r="E22" s="817"/>
      <c r="F22" s="818"/>
      <c r="G22" s="818"/>
      <c r="H22" s="818"/>
      <c r="I22" s="818">
        <v>0</v>
      </c>
      <c r="J22" s="819">
        <f>-(H22+I22)</f>
        <v>0</v>
      </c>
      <c r="K22" s="818"/>
      <c r="L22" s="818"/>
      <c r="M22" s="819">
        <f>+L22+K22+J22</f>
        <v>0</v>
      </c>
      <c r="N22" s="820"/>
      <c r="O22" s="1116"/>
      <c r="P22" s="822"/>
      <c r="Q22" s="822"/>
      <c r="R22" s="822"/>
      <c r="S22" s="822"/>
      <c r="T22" s="822"/>
      <c r="U22" s="822"/>
      <c r="V22" s="822"/>
      <c r="W22" s="822"/>
      <c r="X22" s="822"/>
      <c r="Y22" s="822"/>
      <c r="Z22" s="822"/>
      <c r="AA22" s="822"/>
      <c r="AB22" s="822"/>
      <c r="AC22" s="822"/>
      <c r="AD22" s="822"/>
      <c r="AE22" s="822"/>
      <c r="AF22" s="822"/>
      <c r="AG22" s="822"/>
      <c r="AH22" s="822"/>
      <c r="AI22" s="822"/>
      <c r="AJ22" s="822"/>
      <c r="AK22" s="822"/>
    </row>
    <row r="23" spans="1:37" ht="15">
      <c r="A23" s="814">
        <v>6</v>
      </c>
      <c r="B23" s="816"/>
      <c r="E23" s="817"/>
      <c r="F23" s="818"/>
      <c r="G23" s="818"/>
      <c r="H23" s="818"/>
      <c r="I23" s="818"/>
      <c r="J23" s="819"/>
      <c r="K23" s="818"/>
      <c r="L23" s="818"/>
      <c r="M23" s="819"/>
      <c r="N23" s="820"/>
      <c r="O23" s="1116"/>
      <c r="P23" s="822"/>
      <c r="Q23" s="822"/>
      <c r="R23" s="822"/>
      <c r="S23" s="822"/>
      <c r="T23" s="822"/>
      <c r="U23" s="822"/>
      <c r="V23" s="822"/>
      <c r="W23" s="822"/>
      <c r="X23" s="822"/>
      <c r="Y23" s="822"/>
      <c r="Z23" s="822"/>
      <c r="AA23" s="822"/>
      <c r="AB23" s="822"/>
      <c r="AC23" s="822"/>
      <c r="AD23" s="822"/>
      <c r="AE23" s="822"/>
      <c r="AF23" s="822"/>
      <c r="AG23" s="822"/>
      <c r="AH23" s="822"/>
      <c r="AI23" s="822"/>
      <c r="AJ23" s="822"/>
      <c r="AK23" s="822"/>
    </row>
    <row r="24" spans="1:13" ht="15">
      <c r="A24" s="814">
        <v>7</v>
      </c>
      <c r="D24" s="742" t="s">
        <v>1291</v>
      </c>
      <c r="F24" s="823">
        <f t="shared" si="4" ref="F24:M24">SUM(F21:F22)</f>
        <v>-446448.48535116005</v>
      </c>
      <c r="G24" s="823">
        <f t="shared" si="4"/>
        <v>-439991.75091116002</v>
      </c>
      <c r="H24" s="823">
        <f t="shared" si="4"/>
        <v>6456.7344400000293</v>
      </c>
      <c r="I24" s="823">
        <f t="shared" si="4"/>
        <v>0</v>
      </c>
      <c r="J24" s="823">
        <f t="shared" si="4"/>
        <v>-6456.7344400000293</v>
      </c>
      <c r="K24" s="823">
        <f t="shared" si="4"/>
        <v>0</v>
      </c>
      <c r="L24" s="823">
        <f t="shared" si="4"/>
        <v>0</v>
      </c>
      <c r="M24" s="823">
        <f t="shared" si="4"/>
        <v>-6456.7344400000293</v>
      </c>
    </row>
    <row r="25" spans="3:13" ht="15">
      <c r="C25" s="801" t="s">
        <v>1292</v>
      </c>
      <c r="D25" s="801"/>
      <c r="E25" s="801"/>
      <c r="F25" s="824"/>
      <c r="G25" s="824"/>
      <c r="H25" s="824"/>
      <c r="J25" s="822"/>
      <c r="K25" s="824"/>
      <c r="L25" s="824"/>
      <c r="M25" s="822"/>
    </row>
    <row r="26" spans="1:13" ht="15">
      <c r="A26" s="814">
        <v>8</v>
      </c>
      <c r="B26" s="816"/>
      <c r="E26" s="742" t="s">
        <v>1293</v>
      </c>
      <c r="F26" s="824"/>
      <c r="G26" s="824"/>
      <c r="H26" s="824"/>
      <c r="I26" s="824"/>
      <c r="J26" s="824">
        <f>+J16+J19+J24</f>
        <v>157072.27719851607</v>
      </c>
      <c r="K26" s="824">
        <f>+K16+K19+K24</f>
        <v>-12132.5789277968</v>
      </c>
      <c r="L26" s="824">
        <f>+L16+L19+L24</f>
        <v>0</v>
      </c>
      <c r="M26" s="824">
        <f>+M16+M19+M24</f>
        <v>144939.69827071927</v>
      </c>
    </row>
    <row r="27" spans="1:13" ht="15">
      <c r="A27" s="814">
        <v>9</v>
      </c>
      <c r="B27" s="816"/>
      <c r="E27" s="742" t="s">
        <v>1294</v>
      </c>
      <c r="F27" s="824"/>
      <c r="G27" s="824"/>
      <c r="H27" s="824"/>
      <c r="I27" s="824"/>
      <c r="J27" s="825">
        <v>57851.155230295692</v>
      </c>
      <c r="K27" s="825">
        <v>-4468.5397029592323</v>
      </c>
      <c r="L27" s="825"/>
      <c r="M27" s="824">
        <f>+L27+K27+J27</f>
        <v>53382.615527336457</v>
      </c>
    </row>
    <row r="28" spans="1:14" s="801" customFormat="1" ht="15.75" thickBot="1">
      <c r="A28" s="826">
        <v>10</v>
      </c>
      <c r="B28" s="816"/>
      <c r="E28" s="801" t="s">
        <v>1295</v>
      </c>
      <c r="F28" s="827"/>
      <c r="G28" s="827"/>
      <c r="H28" s="827"/>
      <c r="I28" s="827"/>
      <c r="J28" s="828">
        <f>SUM(J26:J27)</f>
        <v>214923.43242881176</v>
      </c>
      <c r="K28" s="828">
        <f>SUM(K26:K27)</f>
        <v>-16601.118630756031</v>
      </c>
      <c r="L28" s="828">
        <f>SUM(L26:L27)</f>
        <v>0</v>
      </c>
      <c r="M28" s="828">
        <f>SUM(M26:M27)</f>
        <v>198322.31379805572</v>
      </c>
      <c r="N28" s="829"/>
    </row>
    <row r="29" s="399" customFormat="1" ht="15.75" thickTop="1"/>
    <row r="30" spans="3:13" ht="15">
      <c r="C30" s="812" t="s">
        <v>1296</v>
      </c>
      <c r="F30" s="819"/>
      <c r="G30" s="819"/>
      <c r="H30" s="819"/>
      <c r="I30" s="830"/>
      <c r="J30" s="819"/>
      <c r="K30" s="819"/>
      <c r="L30" s="819"/>
      <c r="M30" s="819"/>
    </row>
    <row r="31" spans="1:13" ht="15">
      <c r="A31" s="814">
        <v>11</v>
      </c>
      <c r="C31" s="742" t="s">
        <v>1286</v>
      </c>
      <c r="F31" s="819"/>
      <c r="G31" s="819"/>
      <c r="H31" s="819"/>
      <c r="I31" s="819"/>
      <c r="J31" s="819"/>
      <c r="K31" s="819"/>
      <c r="L31" s="819"/>
      <c r="M31" s="819"/>
    </row>
    <row r="32" spans="1:36" ht="15">
      <c r="A32" s="814" t="s">
        <v>644</v>
      </c>
      <c r="B32" s="816" t="s">
        <v>1465</v>
      </c>
      <c r="D32" s="799"/>
      <c r="E32" s="817" t="s">
        <v>1415</v>
      </c>
      <c r="F32" s="818">
        <v>-577269.38</v>
      </c>
      <c r="G32" s="818">
        <v>-716454.20</v>
      </c>
      <c r="H32" s="818">
        <v>-139184.81999999992</v>
      </c>
      <c r="I32" s="818">
        <v>0</v>
      </c>
      <c r="J32" s="819">
        <v>139184.81999999992</v>
      </c>
      <c r="K32" s="818"/>
      <c r="L32" s="818"/>
      <c r="M32" s="819">
        <v>139184.81999999992</v>
      </c>
      <c r="N32" s="1127" t="s">
        <v>1251</v>
      </c>
      <c r="O32" s="1128">
        <v>182.30</v>
      </c>
      <c r="P32" s="822"/>
      <c r="Q32" s="822"/>
      <c r="R32" s="822"/>
      <c r="S32" s="822"/>
      <c r="T32" s="822"/>
      <c r="U32" s="822"/>
      <c r="V32" s="822"/>
      <c r="W32" s="822"/>
      <c r="X32" s="822"/>
      <c r="Y32" s="822"/>
      <c r="Z32" s="822"/>
      <c r="AA32" s="822"/>
      <c r="AB32" s="822"/>
      <c r="AC32" s="822"/>
      <c r="AD32" s="822"/>
      <c r="AE32" s="822"/>
      <c r="AF32" s="822"/>
      <c r="AG32" s="822"/>
      <c r="AH32" s="822"/>
      <c r="AI32" s="822"/>
      <c r="AJ32" s="822"/>
    </row>
    <row r="33" spans="1:13" ht="15">
      <c r="A33" s="814">
        <v>12</v>
      </c>
      <c r="D33" s="742" t="s">
        <v>1287</v>
      </c>
      <c r="F33" s="823">
        <f t="shared" si="5" ref="F33:M33">SUM(F32:F32)</f>
        <v>-577269.38</v>
      </c>
      <c r="G33" s="823">
        <f t="shared" si="5"/>
        <v>-716454.20</v>
      </c>
      <c r="H33" s="823">
        <f t="shared" si="5"/>
        <v>-139184.81999999992</v>
      </c>
      <c r="I33" s="823">
        <f t="shared" si="5"/>
        <v>0</v>
      </c>
      <c r="J33" s="823">
        <f t="shared" si="5"/>
        <v>139184.81999999992</v>
      </c>
      <c r="K33" s="823">
        <f t="shared" si="5"/>
        <v>0</v>
      </c>
      <c r="L33" s="823">
        <f t="shared" si="5"/>
        <v>0</v>
      </c>
      <c r="M33" s="823">
        <f t="shared" si="5"/>
        <v>139184.81999999992</v>
      </c>
    </row>
    <row r="34" spans="1:13" ht="15">
      <c r="A34" s="814">
        <v>13</v>
      </c>
      <c r="C34" s="742" t="s">
        <v>1288</v>
      </c>
      <c r="F34" s="819"/>
      <c r="G34" s="819"/>
      <c r="H34" s="819"/>
      <c r="I34" s="819"/>
      <c r="J34" s="819"/>
      <c r="K34" s="819"/>
      <c r="L34" s="819"/>
      <c r="M34" s="819"/>
    </row>
    <row r="35" spans="1:38" ht="15">
      <c r="A35" s="814" t="s">
        <v>1469</v>
      </c>
      <c r="B35" s="816" t="s">
        <v>1465</v>
      </c>
      <c r="D35" s="799"/>
      <c r="E35" s="817" t="s">
        <v>1454</v>
      </c>
      <c r="F35" s="818">
        <v>32.879999999999995</v>
      </c>
      <c r="G35" s="818">
        <v>41.09</v>
      </c>
      <c r="H35" s="818">
        <v>8.2100000000000009</v>
      </c>
      <c r="I35" s="818">
        <v>-8.2100000000000009</v>
      </c>
      <c r="J35" s="818">
        <v>0</v>
      </c>
      <c r="K35" s="818"/>
      <c r="L35" s="818"/>
      <c r="M35" s="818">
        <v>0</v>
      </c>
      <c r="N35" s="820" t="s">
        <v>1251</v>
      </c>
      <c r="O35" s="1117">
        <v>254</v>
      </c>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row>
    <row r="36" spans="1:38" ht="15">
      <c r="A36" s="814" t="s">
        <v>491</v>
      </c>
      <c r="B36" s="816" t="s">
        <v>1465</v>
      </c>
      <c r="D36" s="799"/>
      <c r="E36" s="817" t="s">
        <v>1418</v>
      </c>
      <c r="F36" s="818">
        <v>5943297.0300000021</v>
      </c>
      <c r="G36" s="818">
        <v>6110341.3900000025</v>
      </c>
      <c r="H36" s="818">
        <v>167044.36000000004</v>
      </c>
      <c r="I36" s="818">
        <v>0</v>
      </c>
      <c r="J36" s="818">
        <v>-167044.36000000004</v>
      </c>
      <c r="K36" s="818"/>
      <c r="L36" s="818"/>
      <c r="M36" s="818">
        <v>-167044.36000000004</v>
      </c>
      <c r="N36" s="820" t="s">
        <v>1251</v>
      </c>
      <c r="O36" s="1117">
        <v>254</v>
      </c>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2"/>
    </row>
    <row r="37" spans="1:38" ht="15">
      <c r="A37" s="814" t="s">
        <v>1470</v>
      </c>
      <c r="B37" s="816" t="s">
        <v>1465</v>
      </c>
      <c r="D37" s="799"/>
      <c r="E37" s="817" t="s">
        <v>1419</v>
      </c>
      <c r="F37" s="818">
        <v>67007605.099999972</v>
      </c>
      <c r="G37" s="818">
        <v>70918732.399999768</v>
      </c>
      <c r="H37" s="818">
        <v>3911127.3000000063</v>
      </c>
      <c r="I37" s="818">
        <v>0</v>
      </c>
      <c r="J37" s="818">
        <v>-3911127.3000000063</v>
      </c>
      <c r="K37" s="818"/>
      <c r="L37" s="818"/>
      <c r="M37" s="818">
        <v>-3911127.3000000063</v>
      </c>
      <c r="N37" s="820" t="s">
        <v>1249</v>
      </c>
      <c r="O37" s="1117">
        <v>254</v>
      </c>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row>
    <row r="38" spans="1:38" ht="15">
      <c r="A38" s="814" t="s">
        <v>1471</v>
      </c>
      <c r="B38" s="816" t="s">
        <v>1465</v>
      </c>
      <c r="D38" s="799"/>
      <c r="E38" s="817" t="s">
        <v>1420</v>
      </c>
      <c r="F38" s="818">
        <v>1118436.7199999997</v>
      </c>
      <c r="G38" s="818">
        <v>1232883.6100000013</v>
      </c>
      <c r="H38" s="818">
        <v>114446.89</v>
      </c>
      <c r="I38" s="818">
        <v>0</v>
      </c>
      <c r="J38" s="818">
        <v>-114446.89</v>
      </c>
      <c r="K38" s="818"/>
      <c r="L38" s="818"/>
      <c r="M38" s="818">
        <v>-114446.89</v>
      </c>
      <c r="N38" s="820" t="s">
        <v>1251</v>
      </c>
      <c r="O38" s="1117">
        <v>254</v>
      </c>
      <c r="P38" s="822"/>
      <c r="Q38" s="822"/>
      <c r="R38" s="822"/>
      <c r="S38" s="822"/>
      <c r="T38" s="822"/>
      <c r="U38" s="822"/>
      <c r="V38" s="822"/>
      <c r="W38" s="822"/>
      <c r="X38" s="822"/>
      <c r="Y38" s="822"/>
      <c r="Z38" s="822"/>
      <c r="AA38" s="822"/>
      <c r="AB38" s="822"/>
      <c r="AC38" s="822"/>
      <c r="AD38" s="822"/>
      <c r="AE38" s="822"/>
      <c r="AF38" s="822"/>
      <c r="AG38" s="822"/>
      <c r="AH38" s="822"/>
      <c r="AI38" s="822"/>
      <c r="AJ38" s="822"/>
      <c r="AK38" s="822"/>
      <c r="AL38" s="822"/>
    </row>
    <row r="39" spans="1:38" ht="15">
      <c r="A39" s="814" t="s">
        <v>1472</v>
      </c>
      <c r="B39" s="816" t="s">
        <v>1465</v>
      </c>
      <c r="D39" s="799"/>
      <c r="E39" s="817" t="s">
        <v>1422</v>
      </c>
      <c r="F39" s="818">
        <v>1397799.6699999995</v>
      </c>
      <c r="G39" s="818">
        <v>1437387.8999999959</v>
      </c>
      <c r="H39" s="818">
        <v>39588.230000000003</v>
      </c>
      <c r="I39" s="818">
        <v>0</v>
      </c>
      <c r="J39" s="818">
        <v>-39588.230000000003</v>
      </c>
      <c r="K39" s="818"/>
      <c r="L39" s="818"/>
      <c r="M39" s="818">
        <v>-39588.230000000003</v>
      </c>
      <c r="N39" s="820" t="s">
        <v>1251</v>
      </c>
      <c r="O39" s="1117">
        <v>254</v>
      </c>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row>
    <row r="40" spans="1:38" ht="15">
      <c r="A40" s="814" t="s">
        <v>1473</v>
      </c>
      <c r="B40" s="816" t="s">
        <v>1465</v>
      </c>
      <c r="D40" s="799"/>
      <c r="E40" s="817" t="s">
        <v>1423</v>
      </c>
      <c r="F40" s="818">
        <v>1063575.96</v>
      </c>
      <c r="G40" s="818">
        <v>1010411.8700000006</v>
      </c>
      <c r="H40" s="818">
        <v>-53164.089999999975</v>
      </c>
      <c r="I40" s="818">
        <v>0</v>
      </c>
      <c r="J40" s="818">
        <v>53164.089999999975</v>
      </c>
      <c r="K40" s="818"/>
      <c r="L40" s="818"/>
      <c r="M40" s="818">
        <v>53164.089999999975</v>
      </c>
      <c r="N40" s="820" t="s">
        <v>1251</v>
      </c>
      <c r="O40" s="1117">
        <v>182.30</v>
      </c>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row>
    <row r="41" spans="1:38" ht="15">
      <c r="A41" s="814" t="s">
        <v>1474</v>
      </c>
      <c r="B41" s="816" t="s">
        <v>1465</v>
      </c>
      <c r="D41" s="799"/>
      <c r="E41" s="817" t="s">
        <v>1424</v>
      </c>
      <c r="F41" s="818">
        <v>-1088147.05</v>
      </c>
      <c r="G41" s="818">
        <v>-1069534.0400000003</v>
      </c>
      <c r="H41" s="818">
        <v>18613.009999999991</v>
      </c>
      <c r="I41" s="818">
        <v>0</v>
      </c>
      <c r="J41" s="818">
        <v>-18613.009999999991</v>
      </c>
      <c r="K41" s="818"/>
      <c r="L41" s="818"/>
      <c r="M41" s="818">
        <v>-18613.009999999991</v>
      </c>
      <c r="N41" s="820" t="s">
        <v>1251</v>
      </c>
      <c r="O41" s="1117">
        <v>254</v>
      </c>
      <c r="P41" s="822"/>
      <c r="Q41" s="822"/>
      <c r="R41" s="822"/>
      <c r="S41" s="822"/>
      <c r="T41" s="822"/>
      <c r="U41" s="822"/>
      <c r="V41" s="822"/>
      <c r="W41" s="822"/>
      <c r="X41" s="822"/>
      <c r="Y41" s="822"/>
      <c r="Z41" s="822"/>
      <c r="AA41" s="822"/>
      <c r="AB41" s="822"/>
      <c r="AC41" s="822"/>
      <c r="AD41" s="822"/>
      <c r="AE41" s="822"/>
      <c r="AF41" s="822"/>
      <c r="AG41" s="822"/>
      <c r="AH41" s="822"/>
      <c r="AI41" s="822"/>
      <c r="AJ41" s="822"/>
      <c r="AK41" s="822"/>
      <c r="AL41" s="822"/>
    </row>
    <row r="42" spans="1:38" ht="15">
      <c r="A42" s="814" t="s">
        <v>1475</v>
      </c>
      <c r="B42" s="816" t="s">
        <v>1465</v>
      </c>
      <c r="D42" s="799"/>
      <c r="E42" s="817" t="s">
        <v>1425</v>
      </c>
      <c r="F42" s="818">
        <v>4061216.6499999994</v>
      </c>
      <c r="G42" s="818">
        <v>4653103.04</v>
      </c>
      <c r="H42" s="818">
        <v>591886.3899999999</v>
      </c>
      <c r="I42" s="818">
        <v>0</v>
      </c>
      <c r="J42" s="818">
        <v>-591886.3899999999</v>
      </c>
      <c r="K42" s="818"/>
      <c r="L42" s="818"/>
      <c r="M42" s="818">
        <v>-591886.3899999999</v>
      </c>
      <c r="N42" s="820" t="s">
        <v>1251</v>
      </c>
      <c r="O42" s="1117">
        <v>254</v>
      </c>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row>
    <row r="43" spans="1:38" ht="15">
      <c r="A43" s="814" t="s">
        <v>1476</v>
      </c>
      <c r="B43" s="816" t="s">
        <v>1465</v>
      </c>
      <c r="D43" s="799"/>
      <c r="E43" s="817" t="s">
        <v>1426</v>
      </c>
      <c r="F43" s="818">
        <v>-2103404.39</v>
      </c>
      <c r="G43" s="818">
        <v>-2162026.1000000024</v>
      </c>
      <c r="H43" s="818">
        <v>-58621.710000000021</v>
      </c>
      <c r="I43" s="818">
        <v>0</v>
      </c>
      <c r="J43" s="818">
        <v>58621.710000000021</v>
      </c>
      <c r="K43" s="818"/>
      <c r="L43" s="818"/>
      <c r="M43" s="818">
        <v>58621.710000000021</v>
      </c>
      <c r="N43" s="820" t="s">
        <v>1251</v>
      </c>
      <c r="O43" s="1117">
        <v>182.30</v>
      </c>
      <c r="P43" s="822"/>
      <c r="Q43" s="822"/>
      <c r="R43" s="822"/>
      <c r="S43" s="822"/>
      <c r="T43" s="822"/>
      <c r="U43" s="822"/>
      <c r="V43" s="822"/>
      <c r="W43" s="822"/>
      <c r="X43" s="822"/>
      <c r="Y43" s="822"/>
      <c r="Z43" s="822"/>
      <c r="AA43" s="822"/>
      <c r="AB43" s="822"/>
      <c r="AC43" s="822"/>
      <c r="AD43" s="822"/>
      <c r="AE43" s="822"/>
      <c r="AF43" s="822"/>
      <c r="AG43" s="822"/>
      <c r="AH43" s="822"/>
      <c r="AI43" s="822"/>
      <c r="AJ43" s="822"/>
      <c r="AK43" s="822"/>
      <c r="AL43" s="822"/>
    </row>
    <row r="44" spans="1:38" ht="15">
      <c r="A44" s="814" t="s">
        <v>1477</v>
      </c>
      <c r="B44" s="816" t="s">
        <v>1465</v>
      </c>
      <c r="D44" s="799"/>
      <c r="E44" s="817" t="s">
        <v>1076</v>
      </c>
      <c r="F44" s="818">
        <v>-822119.05999999982</v>
      </c>
      <c r="G44" s="818">
        <v>-852157.06000000052</v>
      </c>
      <c r="H44" s="818">
        <v>-30037.999999999978</v>
      </c>
      <c r="I44" s="818">
        <v>0</v>
      </c>
      <c r="J44" s="818">
        <v>30037.999999999978</v>
      </c>
      <c r="K44" s="818"/>
      <c r="L44" s="818"/>
      <c r="M44" s="818">
        <v>30037.999999999978</v>
      </c>
      <c r="N44" s="820" t="s">
        <v>1251</v>
      </c>
      <c r="O44" s="1117">
        <v>182.30</v>
      </c>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row>
    <row r="45" spans="1:38" ht="15">
      <c r="A45" s="814" t="s">
        <v>1478</v>
      </c>
      <c r="B45" s="816" t="s">
        <v>1465</v>
      </c>
      <c r="D45" s="799"/>
      <c r="E45" s="817" t="s">
        <v>1427</v>
      </c>
      <c r="F45" s="818">
        <v>10293545.909999998</v>
      </c>
      <c r="G45" s="818">
        <v>11915089.230000019</v>
      </c>
      <c r="H45" s="818">
        <v>1621543.3199999998</v>
      </c>
      <c r="I45" s="818">
        <v>0</v>
      </c>
      <c r="J45" s="818">
        <v>-1621543.3199999998</v>
      </c>
      <c r="K45" s="818"/>
      <c r="L45" s="818"/>
      <c r="M45" s="818">
        <v>-1621543.3199999998</v>
      </c>
      <c r="N45" s="820" t="s">
        <v>1251</v>
      </c>
      <c r="O45" s="1117">
        <v>254</v>
      </c>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row>
    <row r="46" spans="1:13" ht="15">
      <c r="A46" s="814">
        <v>14</v>
      </c>
      <c r="D46" s="742" t="s">
        <v>1289</v>
      </c>
      <c r="F46" s="823"/>
      <c r="G46" s="823"/>
      <c r="H46" s="823"/>
      <c r="I46" s="823"/>
      <c r="J46" s="823">
        <f t="shared" si="6" ref="J46:L46">SUM(J35:J45)</f>
        <v>-6322425.7000000067</v>
      </c>
      <c r="K46" s="823">
        <f t="shared" si="6"/>
        <v>0</v>
      </c>
      <c r="L46" s="823">
        <f t="shared" si="6"/>
        <v>0</v>
      </c>
      <c r="M46" s="823">
        <f>SUM(M35:M45)</f>
        <v>-6322425.7000000067</v>
      </c>
    </row>
    <row r="47" spans="3:12" ht="18" customHeight="1">
      <c r="C47" s="801" t="s">
        <v>1297</v>
      </c>
      <c r="F47" s="824"/>
      <c r="G47" s="824"/>
      <c r="H47" s="824"/>
      <c r="K47" s="824"/>
      <c r="L47" s="824"/>
    </row>
    <row r="48" spans="1:13" ht="15">
      <c r="A48" s="814">
        <v>15</v>
      </c>
      <c r="B48" s="816" t="s">
        <v>1465</v>
      </c>
      <c r="E48" s="742" t="s">
        <v>1293</v>
      </c>
      <c r="F48" s="819"/>
      <c r="G48" s="819"/>
      <c r="H48" s="819"/>
      <c r="I48" s="819"/>
      <c r="J48" s="819">
        <f>+J33+J46</f>
        <v>-6183240.8800000064</v>
      </c>
      <c r="K48" s="819">
        <f>+K33+K46</f>
        <v>0</v>
      </c>
      <c r="L48" s="819">
        <f>+L33+L46</f>
        <v>0</v>
      </c>
      <c r="M48" s="819">
        <f>+M33+M46</f>
        <v>-6183240.8800000064</v>
      </c>
    </row>
    <row r="49" spans="1:13" ht="15">
      <c r="A49" s="814">
        <v>16</v>
      </c>
      <c r="B49" s="816" t="s">
        <v>1465</v>
      </c>
      <c r="E49" s="742" t="s">
        <v>1294</v>
      </c>
      <c r="F49" s="819"/>
      <c r="G49" s="819"/>
      <c r="H49" s="819"/>
      <c r="I49" s="819"/>
      <c r="J49" s="825">
        <v>-2277344.1268894388</v>
      </c>
      <c r="K49" s="818"/>
      <c r="L49" s="825"/>
      <c r="M49" s="819">
        <v>-2277344.1268894388</v>
      </c>
    </row>
    <row r="50" spans="1:14" s="801" customFormat="1" ht="15.75" thickBot="1">
      <c r="A50" s="814">
        <v>17</v>
      </c>
      <c r="B50" s="816" t="s">
        <v>1465</v>
      </c>
      <c r="E50" s="801" t="s">
        <v>1295</v>
      </c>
      <c r="F50" s="831"/>
      <c r="G50" s="831"/>
      <c r="H50" s="831"/>
      <c r="I50" s="831"/>
      <c r="J50" s="828">
        <f>+J48+J49</f>
        <v>-8460585.0068894457</v>
      </c>
      <c r="K50" s="828">
        <f>+K48+K49</f>
        <v>0</v>
      </c>
      <c r="L50" s="828">
        <f>+L48+L49</f>
        <v>0</v>
      </c>
      <c r="M50" s="828">
        <f>+M48+M49</f>
        <v>-8460585.0068894457</v>
      </c>
      <c r="N50" s="829"/>
    </row>
    <row r="51" spans="1:14" s="801" customFormat="1" ht="15.75" thickTop="1">
      <c r="A51" s="798"/>
      <c r="B51" s="798"/>
      <c r="C51" s="801" t="s">
        <v>1298</v>
      </c>
      <c r="F51" s="831"/>
      <c r="G51" s="831"/>
      <c r="H51" s="831"/>
      <c r="I51" s="742"/>
      <c r="J51" s="822"/>
      <c r="K51" s="827"/>
      <c r="L51" s="827"/>
      <c r="M51" s="822"/>
      <c r="N51" s="829"/>
    </row>
    <row r="52" spans="1:14" s="801" customFormat="1" ht="15">
      <c r="A52" s="814">
        <v>18</v>
      </c>
      <c r="B52" s="816" t="s">
        <v>1465</v>
      </c>
      <c r="E52" s="742" t="s">
        <v>1293</v>
      </c>
      <c r="F52" s="831"/>
      <c r="G52" s="831"/>
      <c r="H52" s="831"/>
      <c r="I52" s="831"/>
      <c r="J52" s="818">
        <f>J48+J26</f>
        <v>-6026168.6028014906</v>
      </c>
      <c r="K52" s="818">
        <f>K48+K26</f>
        <v>-12132.5789277968</v>
      </c>
      <c r="L52" s="818"/>
      <c r="M52" s="818">
        <f>M48+M26</f>
        <v>-6038301.1817292869</v>
      </c>
      <c r="N52" s="829"/>
    </row>
    <row r="53" spans="1:14" s="801" customFormat="1" ht="15">
      <c r="A53" s="814">
        <v>19</v>
      </c>
      <c r="B53" s="816" t="s">
        <v>1465</v>
      </c>
      <c r="E53" s="742" t="s">
        <v>1294</v>
      </c>
      <c r="F53" s="831"/>
      <c r="G53" s="831"/>
      <c r="H53" s="831"/>
      <c r="I53" s="831"/>
      <c r="J53" s="818">
        <f>J49+J27</f>
        <v>-2219492.971659143</v>
      </c>
      <c r="K53" s="818">
        <f>K49+K27</f>
        <v>-4468.5397029592323</v>
      </c>
      <c r="L53" s="818"/>
      <c r="M53" s="818">
        <f>M49+M27</f>
        <v>-2223961.5113621023</v>
      </c>
      <c r="N53" s="829"/>
    </row>
    <row r="54" spans="1:13" ht="15.75" thickBot="1">
      <c r="A54" s="814">
        <v>20</v>
      </c>
      <c r="B54" s="816" t="s">
        <v>1465</v>
      </c>
      <c r="C54" s="801"/>
      <c r="E54" s="801" t="s">
        <v>1295</v>
      </c>
      <c r="J54" s="828">
        <f>SUM(J52:J53)</f>
        <v>-8245661.5744606331</v>
      </c>
      <c r="K54" s="828">
        <f>SUM(K52:K53)</f>
        <v>-16601.118630756031</v>
      </c>
      <c r="L54" s="828">
        <f>SUM(L52:L53)</f>
        <v>0</v>
      </c>
      <c r="M54" s="828">
        <f>SUM(M52:M53)</f>
        <v>-8262262.6930913888</v>
      </c>
    </row>
    <row r="55" s="399" customFormat="1" ht="15.75" thickTop="1"/>
    <row r="57" spans="15:15" ht="15.75">
      <c r="O57" s="458" t="s">
        <v>1275</v>
      </c>
    </row>
    <row r="58" spans="15:15" ht="16.5">
      <c r="O58" s="800" t="s">
        <v>226</v>
      </c>
    </row>
    <row r="59" spans="15:15" ht="15.75">
      <c r="O59" s="4" t="str">
        <f>$O$3</f>
        <v>For the 12 months ended 12/31/26</v>
      </c>
    </row>
    <row r="60" spans="3:13" ht="15">
      <c r="C60" s="801"/>
      <c r="E60" s="801"/>
      <c r="H60" s="819"/>
      <c r="I60" s="830"/>
      <c r="J60" s="819"/>
      <c r="M60" s="819"/>
    </row>
    <row r="61" spans="1:12" ht="15">
      <c r="A61" s="832"/>
      <c r="B61" s="832"/>
      <c r="C61" s="833"/>
      <c r="D61" s="833"/>
      <c r="E61" s="834"/>
      <c r="F61" s="834"/>
      <c r="G61" s="834"/>
      <c r="H61" s="835"/>
      <c r="I61" s="836"/>
      <c r="L61" s="836"/>
    </row>
    <row r="62" spans="1:12" ht="15">
      <c r="A62" s="832" t="s">
        <v>257</v>
      </c>
      <c r="B62" s="832"/>
      <c r="C62" s="833"/>
      <c r="D62" s="833"/>
      <c r="E62" s="834"/>
      <c r="F62" s="834"/>
      <c r="G62" s="834"/>
      <c r="H62" s="835"/>
      <c r="I62" s="836"/>
      <c r="L62" s="836"/>
    </row>
    <row r="63" spans="1:12" ht="15">
      <c r="A63" s="837" t="s">
        <v>123</v>
      </c>
      <c r="B63" s="833" t="s">
        <v>1262</v>
      </c>
      <c r="C63" s="833"/>
      <c r="D63" s="833"/>
      <c r="E63" s="838"/>
      <c r="F63" s="838"/>
      <c r="G63" s="838"/>
      <c r="H63" s="835"/>
      <c r="I63" s="836"/>
      <c r="L63" s="836"/>
    </row>
    <row r="64" spans="1:15" ht="83.45" customHeight="1">
      <c r="A64" s="837" t="s">
        <v>124</v>
      </c>
      <c r="B64" s="1235" t="s">
        <v>1263</v>
      </c>
      <c r="C64" s="1235"/>
      <c r="D64" s="1235"/>
      <c r="E64" s="1235"/>
      <c r="F64" s="1235"/>
      <c r="G64" s="1235"/>
      <c r="H64" s="1235"/>
      <c r="I64" s="1235"/>
      <c r="J64" s="1235"/>
      <c r="K64" s="1235"/>
      <c r="L64" s="1235"/>
      <c r="M64" s="1235"/>
      <c r="N64" s="1235"/>
      <c r="O64" s="1235"/>
    </row>
    <row r="65" spans="1:12" ht="15">
      <c r="A65" s="837" t="s">
        <v>125</v>
      </c>
      <c r="B65" s="839" t="s">
        <v>1299</v>
      </c>
      <c r="C65" s="839"/>
      <c r="D65" s="840"/>
      <c r="F65" s="840"/>
      <c r="G65" s="840"/>
      <c r="H65" s="841"/>
      <c r="I65" s="839"/>
      <c r="L65" s="839"/>
    </row>
  </sheetData>
  <mergeCells count="3">
    <mergeCell ref="F6:H6"/>
    <mergeCell ref="K6:M6"/>
    <mergeCell ref="B64:O64"/>
  </mergeCells>
  <pageMargins left="0.7" right="0.7" top="0.75" bottom="0.75" header="0.3" footer="0.3"/>
  <pageSetup orientation="portrait" paperSize="1" scale="33" r:id="rId1"/>
  <rowBreaks count="1" manualBreakCount="1">
    <brk id="56"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I24"/>
  <sheetViews>
    <sheetView view="pageBreakPreview" zoomScale="70" zoomScaleNormal="100" zoomScaleSheetLayoutView="70" workbookViewId="0" topLeftCell="A1"/>
  </sheetViews>
  <sheetFormatPr defaultRowHeight="15"/>
  <cols>
    <col min="2" max="3" width="26.8888888888889" customWidth="1"/>
    <col min="4" max="4" width="10.1111111111111" customWidth="1"/>
    <col min="5" max="5" width="12.8888888888889" bestFit="1" customWidth="1"/>
    <col min="6" max="6" width="23.8888888888889" bestFit="1" customWidth="1"/>
    <col min="7" max="7" width="10.1111111111111" customWidth="1"/>
    <col min="8" max="8" width="23.2222222222222" bestFit="1" customWidth="1"/>
  </cols>
  <sheetData>
    <row r="1" spans="9:9" ht="15.75">
      <c r="I1" s="458" t="s">
        <v>870</v>
      </c>
    </row>
    <row r="2" spans="9:9" ht="15.75">
      <c r="I2" s="458" t="s">
        <v>220</v>
      </c>
    </row>
    <row r="3" spans="9:9" ht="15.75">
      <c r="I3" s="459" t="str">
        <f>'Attachment 1 - Sched 1A'!$J$3</f>
        <v>For the 12 months ended 12/31/2026</v>
      </c>
    </row>
    <row r="4" spans="5:5" ht="15">
      <c r="E4" t="s">
        <v>918</v>
      </c>
    </row>
    <row r="5" spans="1:8" ht="15.75">
      <c r="A5" s="31"/>
      <c r="B5" s="355" t="s">
        <v>707</v>
      </c>
      <c r="C5" s="355" t="s">
        <v>708</v>
      </c>
      <c r="D5" s="355" t="s">
        <v>709</v>
      </c>
      <c r="E5" s="355" t="s">
        <v>710</v>
      </c>
      <c r="F5" s="461" t="s">
        <v>711</v>
      </c>
      <c r="G5" s="461" t="s">
        <v>712</v>
      </c>
      <c r="H5" s="461" t="s">
        <v>713</v>
      </c>
    </row>
    <row r="6" spans="1:8" ht="51">
      <c r="A6" s="156">
        <v>1</v>
      </c>
      <c r="B6" s="157" t="s">
        <v>412</v>
      </c>
      <c r="C6" s="148" t="s">
        <v>369</v>
      </c>
      <c r="D6" s="158" t="s">
        <v>413</v>
      </c>
      <c r="E6" s="159" t="s">
        <v>414</v>
      </c>
      <c r="F6" s="160" t="s">
        <v>511</v>
      </c>
      <c r="G6" s="160" t="s">
        <v>416</v>
      </c>
      <c r="H6" s="161" t="s">
        <v>417</v>
      </c>
    </row>
    <row r="7" spans="1:8" ht="15">
      <c r="A7" s="156">
        <f t="shared" si="0" ref="A7:A20">A6+1</f>
        <v>2</v>
      </c>
      <c r="B7" s="488" t="s">
        <v>1437</v>
      </c>
      <c r="C7" s="148" t="s">
        <v>509</v>
      </c>
      <c r="D7" s="394">
        <v>13</v>
      </c>
      <c r="E7" s="395"/>
      <c r="F7" s="396"/>
      <c r="G7" s="396"/>
      <c r="H7" s="704">
        <v>0</v>
      </c>
    </row>
    <row r="8" spans="1:8" ht="15">
      <c r="A8" s="156">
        <f t="shared" si="0"/>
        <v>3</v>
      </c>
      <c r="B8" s="152" t="s">
        <v>419</v>
      </c>
      <c r="C8" s="148" t="s">
        <v>994</v>
      </c>
      <c r="D8" s="149">
        <f>D7-1</f>
        <v>12</v>
      </c>
      <c r="E8" s="150">
        <f>H7</f>
        <v>0</v>
      </c>
      <c r="F8" s="705">
        <f>E8/D8</f>
        <v>0</v>
      </c>
      <c r="G8" s="151">
        <v>0</v>
      </c>
      <c r="H8" s="705">
        <f t="shared" si="1" ref="H8:H19">E8-F8+G8</f>
        <v>0</v>
      </c>
    </row>
    <row r="9" spans="1:8" ht="15">
      <c r="A9" s="156">
        <f t="shared" si="0"/>
        <v>4</v>
      </c>
      <c r="B9" s="152" t="s">
        <v>235</v>
      </c>
      <c r="C9" s="148" t="s">
        <v>994</v>
      </c>
      <c r="D9" s="149">
        <f t="shared" si="2" ref="D9:D19">D8-1</f>
        <v>11</v>
      </c>
      <c r="E9" s="150">
        <f t="shared" si="3" ref="E9:E19">H8</f>
        <v>0</v>
      </c>
      <c r="F9" s="705">
        <f t="shared" si="4" ref="F9:F18">E9/D9</f>
        <v>0</v>
      </c>
      <c r="G9" s="151">
        <v>0</v>
      </c>
      <c r="H9" s="705">
        <f t="shared" si="1"/>
        <v>0</v>
      </c>
    </row>
    <row r="10" spans="1:8" ht="15">
      <c r="A10" s="156">
        <f t="shared" si="0"/>
        <v>5</v>
      </c>
      <c r="B10" s="152" t="s">
        <v>236</v>
      </c>
      <c r="C10" s="148" t="s">
        <v>994</v>
      </c>
      <c r="D10" s="149">
        <f t="shared" si="2"/>
        <v>10</v>
      </c>
      <c r="E10" s="150">
        <f t="shared" si="3"/>
        <v>0</v>
      </c>
      <c r="F10" s="705">
        <f t="shared" si="4"/>
        <v>0</v>
      </c>
      <c r="G10" s="151">
        <v>0</v>
      </c>
      <c r="H10" s="705">
        <f t="shared" si="1"/>
        <v>0</v>
      </c>
    </row>
    <row r="11" spans="1:8" ht="15">
      <c r="A11" s="156">
        <f t="shared" si="0"/>
        <v>6</v>
      </c>
      <c r="B11" s="152" t="s">
        <v>237</v>
      </c>
      <c r="C11" s="148" t="s">
        <v>994</v>
      </c>
      <c r="D11" s="149">
        <f t="shared" si="2"/>
        <v>9</v>
      </c>
      <c r="E11" s="150">
        <f t="shared" si="3"/>
        <v>0</v>
      </c>
      <c r="F11" s="705">
        <f t="shared" si="4"/>
        <v>0</v>
      </c>
      <c r="G11" s="151">
        <v>0</v>
      </c>
      <c r="H11" s="705">
        <f t="shared" si="1"/>
        <v>0</v>
      </c>
    </row>
    <row r="12" spans="1:8" ht="15">
      <c r="A12" s="156">
        <f t="shared" si="0"/>
        <v>7</v>
      </c>
      <c r="B12" s="152" t="s">
        <v>238</v>
      </c>
      <c r="C12" s="148" t="s">
        <v>994</v>
      </c>
      <c r="D12" s="149">
        <f t="shared" si="2"/>
        <v>8</v>
      </c>
      <c r="E12" s="150">
        <f t="shared" si="3"/>
        <v>0</v>
      </c>
      <c r="F12" s="705">
        <f t="shared" si="4"/>
        <v>0</v>
      </c>
      <c r="G12" s="151">
        <v>0</v>
      </c>
      <c r="H12" s="705">
        <f t="shared" si="1"/>
        <v>0</v>
      </c>
    </row>
    <row r="13" spans="1:8" ht="15">
      <c r="A13" s="156">
        <f t="shared" si="0"/>
        <v>8</v>
      </c>
      <c r="B13" s="152" t="s">
        <v>421</v>
      </c>
      <c r="C13" s="148" t="s">
        <v>994</v>
      </c>
      <c r="D13" s="149">
        <f t="shared" si="2"/>
        <v>7</v>
      </c>
      <c r="E13" s="150">
        <f t="shared" si="3"/>
        <v>0</v>
      </c>
      <c r="F13" s="705">
        <f t="shared" si="4"/>
        <v>0</v>
      </c>
      <c r="G13" s="151">
        <v>0</v>
      </c>
      <c r="H13" s="705">
        <f t="shared" si="1"/>
        <v>0</v>
      </c>
    </row>
    <row r="14" spans="1:8" ht="15">
      <c r="A14" s="156">
        <f t="shared" si="0"/>
        <v>9</v>
      </c>
      <c r="B14" s="152" t="s">
        <v>239</v>
      </c>
      <c r="C14" s="148" t="s">
        <v>994</v>
      </c>
      <c r="D14" s="149">
        <f t="shared" si="2"/>
        <v>6</v>
      </c>
      <c r="E14" s="150">
        <f t="shared" si="3"/>
        <v>0</v>
      </c>
      <c r="F14" s="705">
        <f t="shared" si="4"/>
        <v>0</v>
      </c>
      <c r="G14" s="151">
        <v>0</v>
      </c>
      <c r="H14" s="705">
        <f t="shared" si="1"/>
        <v>0</v>
      </c>
    </row>
    <row r="15" spans="1:8" ht="15">
      <c r="A15" s="156">
        <f t="shared" si="0"/>
        <v>10</v>
      </c>
      <c r="B15" s="152" t="s">
        <v>240</v>
      </c>
      <c r="C15" s="148" t="s">
        <v>994</v>
      </c>
      <c r="D15" s="149">
        <f t="shared" si="2"/>
        <v>5</v>
      </c>
      <c r="E15" s="150">
        <f t="shared" si="3"/>
        <v>0</v>
      </c>
      <c r="F15" s="705">
        <f t="shared" si="4"/>
        <v>0</v>
      </c>
      <c r="G15" s="151">
        <v>0</v>
      </c>
      <c r="H15" s="705">
        <f t="shared" si="1"/>
        <v>0</v>
      </c>
    </row>
    <row r="16" spans="1:8" ht="15">
      <c r="A16" s="156">
        <f t="shared" si="0"/>
        <v>11</v>
      </c>
      <c r="B16" s="152" t="s">
        <v>241</v>
      </c>
      <c r="C16" s="148" t="s">
        <v>994</v>
      </c>
      <c r="D16" s="149">
        <f t="shared" si="2"/>
        <v>4</v>
      </c>
      <c r="E16" s="150">
        <f t="shared" si="3"/>
        <v>0</v>
      </c>
      <c r="F16" s="705">
        <f t="shared" si="4"/>
        <v>0</v>
      </c>
      <c r="G16" s="151">
        <v>0</v>
      </c>
      <c r="H16" s="705">
        <f t="shared" si="1"/>
        <v>0</v>
      </c>
    </row>
    <row r="17" spans="1:8" ht="15">
      <c r="A17" s="156">
        <f t="shared" si="0"/>
        <v>12</v>
      </c>
      <c r="B17" s="152" t="s">
        <v>422</v>
      </c>
      <c r="C17" s="148" t="s">
        <v>994</v>
      </c>
      <c r="D17" s="149">
        <f t="shared" si="2"/>
        <v>3</v>
      </c>
      <c r="E17" s="150">
        <f t="shared" si="3"/>
        <v>0</v>
      </c>
      <c r="F17" s="705">
        <f t="shared" si="4"/>
        <v>0</v>
      </c>
      <c r="G17" s="151">
        <v>0</v>
      </c>
      <c r="H17" s="705">
        <f t="shared" si="1"/>
        <v>0</v>
      </c>
    </row>
    <row r="18" spans="1:8" ht="15">
      <c r="A18" s="156">
        <f t="shared" si="0"/>
        <v>13</v>
      </c>
      <c r="B18" s="152" t="s">
        <v>242</v>
      </c>
      <c r="C18" s="148" t="s">
        <v>994</v>
      </c>
      <c r="D18" s="149">
        <f t="shared" si="2"/>
        <v>2</v>
      </c>
      <c r="E18" s="150">
        <f t="shared" si="3"/>
        <v>0</v>
      </c>
      <c r="F18" s="705">
        <f t="shared" si="4"/>
        <v>0</v>
      </c>
      <c r="G18" s="151">
        <v>0</v>
      </c>
      <c r="H18" s="705">
        <f t="shared" si="1"/>
        <v>0</v>
      </c>
    </row>
    <row r="19" spans="1:8" ht="17.25">
      <c r="A19" s="156">
        <f t="shared" si="0"/>
        <v>14</v>
      </c>
      <c r="B19" s="488" t="s">
        <v>1460</v>
      </c>
      <c r="C19" s="153" t="s">
        <v>510</v>
      </c>
      <c r="D19" s="149">
        <f t="shared" si="2"/>
        <v>1</v>
      </c>
      <c r="E19" s="150">
        <f t="shared" si="3"/>
        <v>0</v>
      </c>
      <c r="F19" s="706">
        <f>E19/D19</f>
        <v>0</v>
      </c>
      <c r="G19" s="151">
        <v>0</v>
      </c>
      <c r="H19" s="706">
        <f t="shared" si="1"/>
        <v>0</v>
      </c>
    </row>
    <row r="20" spans="1:8" ht="15.75" thickBot="1">
      <c r="A20" s="156">
        <f t="shared" si="0"/>
        <v>15</v>
      </c>
      <c r="B20" s="154" t="s">
        <v>1210</v>
      </c>
      <c r="C20" s="148" t="str">
        <f>"(sum lines "&amp;A7&amp;"-"&amp;A19&amp;") /13"</f>
        <v>(sum lines 2-14) /13</v>
      </c>
      <c r="D20" s="155"/>
      <c r="E20" s="155"/>
      <c r="F20" s="707">
        <f>SUM(F7:F19)</f>
        <v>0</v>
      </c>
      <c r="G20" s="151"/>
      <c r="H20" s="707">
        <f>SUM(H7:H19)/13</f>
        <v>0</v>
      </c>
    </row>
    <row r="21" spans="1:8" ht="15.75" thickTop="1">
      <c r="A21" s="156"/>
      <c r="B21" s="397"/>
      <c r="C21" s="398"/>
      <c r="D21" s="399"/>
      <c r="E21" s="399"/>
      <c r="F21" s="400" t="s">
        <v>1158</v>
      </c>
      <c r="G21" s="151"/>
      <c r="H21" s="163" t="s">
        <v>806</v>
      </c>
    </row>
    <row r="23" spans="1:9" ht="34.5" customHeight="1">
      <c r="A23" s="717"/>
      <c r="B23" s="1226"/>
      <c r="C23" s="1226"/>
      <c r="D23" s="1226"/>
      <c r="E23" s="1226"/>
      <c r="F23" s="1226"/>
      <c r="G23" s="1226"/>
      <c r="H23" s="1226"/>
      <c r="I23" s="1226"/>
    </row>
    <row r="24" spans="1:9" ht="15">
      <c r="A24" s="401"/>
      <c r="B24" s="1243"/>
      <c r="C24" s="1243"/>
      <c r="D24" s="1243"/>
      <c r="E24" s="1243"/>
      <c r="F24" s="1243"/>
      <c r="G24" s="1243"/>
      <c r="H24" s="1243"/>
      <c r="I24" s="1243"/>
    </row>
  </sheetData>
  <customSheetViews>
    <customSheetView guid="{33e6ffdf-cb42-4a87-b460-a01a45f9a9a1}" printArea="1" scale="60" showPageBreaks="1" topLeftCell="A1" view="pageBreakPreview">
      <selection pane="topLeft" activeCell="C13" sqref="C13"/>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C13" sqref="C13"/>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24"/>
  <sheetViews>
    <sheetView view="pageBreakPreview" zoomScale="80" zoomScaleNormal="100" zoomScaleSheetLayoutView="80" workbookViewId="0" topLeftCell="A1"/>
  </sheetViews>
  <sheetFormatPr defaultColWidth="9.21555555555556" defaultRowHeight="15"/>
  <cols>
    <col min="2" max="2" width="27.6666666666667" customWidth="1"/>
    <col min="3" max="3" width="26.5555555555556" customWidth="1"/>
    <col min="4" max="4" width="11.1111111111111" customWidth="1"/>
    <col min="5" max="5" width="12.8888888888889" bestFit="1" customWidth="1"/>
    <col min="6" max="6" width="23.6666666666667" bestFit="1" customWidth="1"/>
    <col min="7" max="7" width="9.55555555555556" customWidth="1"/>
    <col min="8" max="8" width="23.2222222222222" bestFit="1" customWidth="1"/>
    <col min="10" max="10" width="12.2222222222222" bestFit="1" customWidth="1"/>
  </cols>
  <sheetData>
    <row r="1" spans="9:9" ht="15.75">
      <c r="I1" s="458" t="s">
        <v>871</v>
      </c>
    </row>
    <row r="2" spans="9:9" ht="15.75">
      <c r="I2" s="458" t="s">
        <v>220</v>
      </c>
    </row>
    <row r="3" spans="9:9" ht="15.75">
      <c r="I3" s="459" t="str">
        <f>'Attachment 1 - Sched 1A'!$J$3</f>
        <v>For the 12 months ended 12/31/2026</v>
      </c>
    </row>
    <row r="4" spans="5:5" ht="15">
      <c r="E4" t="s">
        <v>872</v>
      </c>
    </row>
    <row r="5" spans="1:8" ht="15.75">
      <c r="A5" s="31"/>
      <c r="B5" s="355" t="s">
        <v>707</v>
      </c>
      <c r="C5" s="355" t="s">
        <v>708</v>
      </c>
      <c r="D5" s="355" t="s">
        <v>709</v>
      </c>
      <c r="E5" s="355" t="s">
        <v>710</v>
      </c>
      <c r="F5" s="461" t="s">
        <v>711</v>
      </c>
      <c r="G5" s="461" t="s">
        <v>712</v>
      </c>
      <c r="H5" s="461" t="s">
        <v>713</v>
      </c>
    </row>
    <row r="6" spans="1:8" ht="51">
      <c r="A6" s="156">
        <v>1</v>
      </c>
      <c r="B6" s="1073" t="s">
        <v>412</v>
      </c>
      <c r="C6" s="1074" t="s">
        <v>369</v>
      </c>
      <c r="D6" s="1075" t="s">
        <v>413</v>
      </c>
      <c r="E6" s="1076" t="s">
        <v>414</v>
      </c>
      <c r="F6" s="160" t="s">
        <v>511</v>
      </c>
      <c r="G6" s="160" t="s">
        <v>416</v>
      </c>
      <c r="H6" s="161" t="s">
        <v>417</v>
      </c>
    </row>
    <row r="7" spans="1:8" ht="15">
      <c r="A7" s="156">
        <f t="shared" si="0" ref="A7:A20">A6+1</f>
        <v>2</v>
      </c>
      <c r="B7" s="1077" t="s">
        <v>1437</v>
      </c>
      <c r="C7" s="1074" t="s">
        <v>510</v>
      </c>
      <c r="D7" s="1078">
        <v>13</v>
      </c>
      <c r="E7" s="1079">
        <v>0</v>
      </c>
      <c r="F7" s="1079">
        <v>0</v>
      </c>
      <c r="G7" s="396">
        <v>0</v>
      </c>
      <c r="H7" s="704">
        <v>0</v>
      </c>
    </row>
    <row r="8" spans="1:8" ht="15">
      <c r="A8" s="156">
        <f t="shared" si="0"/>
        <v>3</v>
      </c>
      <c r="B8" s="1080" t="s">
        <v>419</v>
      </c>
      <c r="C8" s="1074" t="s">
        <v>994</v>
      </c>
      <c r="D8" s="1081">
        <f>D7-1</f>
        <v>12</v>
      </c>
      <c r="E8" s="1082">
        <f>H7</f>
        <v>0</v>
      </c>
      <c r="F8" s="705">
        <f>E8/D8</f>
        <v>0</v>
      </c>
      <c r="G8" s="151">
        <v>0</v>
      </c>
      <c r="H8" s="705">
        <f t="shared" si="1" ref="H8:H19">E8-F8+G8</f>
        <v>0</v>
      </c>
    </row>
    <row r="9" spans="1:8" ht="15">
      <c r="A9" s="156">
        <f t="shared" si="0"/>
        <v>4</v>
      </c>
      <c r="B9" s="1080" t="s">
        <v>235</v>
      </c>
      <c r="C9" s="1074" t="s">
        <v>994</v>
      </c>
      <c r="D9" s="1081">
        <f t="shared" si="2" ref="D9:D19">D8-1</f>
        <v>11</v>
      </c>
      <c r="E9" s="1082">
        <f t="shared" si="3" ref="E9:E19">H8</f>
        <v>0</v>
      </c>
      <c r="F9" s="705">
        <f t="shared" si="4" ref="F9:F19">E9/D9</f>
        <v>0</v>
      </c>
      <c r="G9" s="151">
        <v>0</v>
      </c>
      <c r="H9" s="705">
        <f t="shared" si="1"/>
        <v>0</v>
      </c>
    </row>
    <row r="10" spans="1:8" ht="15">
      <c r="A10" s="156">
        <f t="shared" si="0"/>
        <v>5</v>
      </c>
      <c r="B10" s="1080" t="s">
        <v>236</v>
      </c>
      <c r="C10" s="1074" t="s">
        <v>994</v>
      </c>
      <c r="D10" s="1081">
        <f t="shared" si="2"/>
        <v>10</v>
      </c>
      <c r="E10" s="1082">
        <f t="shared" si="3"/>
        <v>0</v>
      </c>
      <c r="F10" s="705">
        <f t="shared" si="4"/>
        <v>0</v>
      </c>
      <c r="G10" s="151">
        <v>0</v>
      </c>
      <c r="H10" s="705">
        <f t="shared" si="1"/>
        <v>0</v>
      </c>
    </row>
    <row r="11" spans="1:8" ht="15">
      <c r="A11" s="156">
        <f t="shared" si="0"/>
        <v>6</v>
      </c>
      <c r="B11" s="1080" t="s">
        <v>237</v>
      </c>
      <c r="C11" s="1074" t="s">
        <v>994</v>
      </c>
      <c r="D11" s="1081">
        <f t="shared" si="2"/>
        <v>9</v>
      </c>
      <c r="E11" s="1082">
        <f t="shared" si="3"/>
        <v>0</v>
      </c>
      <c r="F11" s="705">
        <f t="shared" si="4"/>
        <v>0</v>
      </c>
      <c r="G11" s="151">
        <v>0</v>
      </c>
      <c r="H11" s="705">
        <f t="shared" si="1"/>
        <v>0</v>
      </c>
    </row>
    <row r="12" spans="1:8" ht="15">
      <c r="A12" s="156">
        <f t="shared" si="0"/>
        <v>7</v>
      </c>
      <c r="B12" s="1080" t="s">
        <v>238</v>
      </c>
      <c r="C12" s="1074" t="s">
        <v>994</v>
      </c>
      <c r="D12" s="1081">
        <f t="shared" si="2"/>
        <v>8</v>
      </c>
      <c r="E12" s="1082">
        <f t="shared" si="3"/>
        <v>0</v>
      </c>
      <c r="F12" s="705">
        <f t="shared" si="4"/>
        <v>0</v>
      </c>
      <c r="G12" s="151">
        <v>0</v>
      </c>
      <c r="H12" s="705">
        <f t="shared" si="1"/>
        <v>0</v>
      </c>
    </row>
    <row r="13" spans="1:8" ht="15">
      <c r="A13" s="156">
        <f t="shared" si="0"/>
        <v>8</v>
      </c>
      <c r="B13" s="1080" t="s">
        <v>421</v>
      </c>
      <c r="C13" s="1074" t="s">
        <v>994</v>
      </c>
      <c r="D13" s="1081">
        <f t="shared" si="2"/>
        <v>7</v>
      </c>
      <c r="E13" s="1082">
        <f t="shared" si="3"/>
        <v>0</v>
      </c>
      <c r="F13" s="705">
        <f t="shared" si="4"/>
        <v>0</v>
      </c>
      <c r="G13" s="151">
        <v>0</v>
      </c>
      <c r="H13" s="705">
        <f t="shared" si="1"/>
        <v>0</v>
      </c>
    </row>
    <row r="14" spans="1:8" ht="15">
      <c r="A14" s="156">
        <f t="shared" si="0"/>
        <v>9</v>
      </c>
      <c r="B14" s="1080" t="s">
        <v>239</v>
      </c>
      <c r="C14" s="1074" t="s">
        <v>994</v>
      </c>
      <c r="D14" s="1081">
        <f t="shared" si="2"/>
        <v>6</v>
      </c>
      <c r="E14" s="1082">
        <f t="shared" si="3"/>
        <v>0</v>
      </c>
      <c r="F14" s="705">
        <f t="shared" si="4"/>
        <v>0</v>
      </c>
      <c r="G14" s="151">
        <v>0</v>
      </c>
      <c r="H14" s="705">
        <f t="shared" si="1"/>
        <v>0</v>
      </c>
    </row>
    <row r="15" spans="1:8" ht="15">
      <c r="A15" s="156">
        <f t="shared" si="0"/>
        <v>10</v>
      </c>
      <c r="B15" s="1080" t="s">
        <v>240</v>
      </c>
      <c r="C15" s="1074" t="s">
        <v>994</v>
      </c>
      <c r="D15" s="1081">
        <f t="shared" si="2"/>
        <v>5</v>
      </c>
      <c r="E15" s="1082">
        <f t="shared" si="3"/>
        <v>0</v>
      </c>
      <c r="F15" s="705">
        <f t="shared" si="4"/>
        <v>0</v>
      </c>
      <c r="G15" s="151">
        <v>0</v>
      </c>
      <c r="H15" s="705">
        <f t="shared" si="1"/>
        <v>0</v>
      </c>
    </row>
    <row r="16" spans="1:8" ht="15">
      <c r="A16" s="156">
        <f t="shared" si="0"/>
        <v>11</v>
      </c>
      <c r="B16" s="1080" t="s">
        <v>241</v>
      </c>
      <c r="C16" s="1074" t="s">
        <v>994</v>
      </c>
      <c r="D16" s="1081">
        <f t="shared" si="2"/>
        <v>4</v>
      </c>
      <c r="E16" s="1082">
        <f t="shared" si="3"/>
        <v>0</v>
      </c>
      <c r="F16" s="705">
        <f t="shared" si="4"/>
        <v>0</v>
      </c>
      <c r="G16" s="151">
        <v>0</v>
      </c>
      <c r="H16" s="705">
        <f t="shared" si="1"/>
        <v>0</v>
      </c>
    </row>
    <row r="17" spans="1:8" ht="15">
      <c r="A17" s="156">
        <f t="shared" si="0"/>
        <v>12</v>
      </c>
      <c r="B17" s="1080" t="s">
        <v>422</v>
      </c>
      <c r="C17" s="1074" t="s">
        <v>994</v>
      </c>
      <c r="D17" s="1081">
        <f t="shared" si="2"/>
        <v>3</v>
      </c>
      <c r="E17" s="1082">
        <f t="shared" si="3"/>
        <v>0</v>
      </c>
      <c r="F17" s="705">
        <f t="shared" si="4"/>
        <v>0</v>
      </c>
      <c r="G17" s="151">
        <v>0</v>
      </c>
      <c r="H17" s="705">
        <f t="shared" si="1"/>
        <v>0</v>
      </c>
    </row>
    <row r="18" spans="1:8" ht="15">
      <c r="A18" s="156">
        <f t="shared" si="0"/>
        <v>13</v>
      </c>
      <c r="B18" s="1080" t="s">
        <v>242</v>
      </c>
      <c r="C18" s="1074" t="s">
        <v>994</v>
      </c>
      <c r="D18" s="1081">
        <f t="shared" si="2"/>
        <v>2</v>
      </c>
      <c r="E18" s="1082">
        <f t="shared" si="3"/>
        <v>0</v>
      </c>
      <c r="F18" s="705">
        <f t="shared" si="4"/>
        <v>0</v>
      </c>
      <c r="G18" s="151">
        <v>0</v>
      </c>
      <c r="H18" s="705">
        <f t="shared" si="1"/>
        <v>0</v>
      </c>
    </row>
    <row r="19" spans="1:8" ht="17.25">
      <c r="A19" s="156">
        <f t="shared" si="0"/>
        <v>14</v>
      </c>
      <c r="B19" s="1077" t="s">
        <v>1460</v>
      </c>
      <c r="C19" s="1083" t="s">
        <v>510</v>
      </c>
      <c r="D19" s="1081">
        <f t="shared" si="2"/>
        <v>1</v>
      </c>
      <c r="E19" s="1082">
        <f t="shared" si="3"/>
        <v>0</v>
      </c>
      <c r="F19" s="1084">
        <f t="shared" si="4"/>
        <v>0</v>
      </c>
      <c r="G19" s="151">
        <v>0</v>
      </c>
      <c r="H19" s="706">
        <f t="shared" si="1"/>
        <v>0</v>
      </c>
    </row>
    <row r="20" spans="1:8" ht="15.75" thickBot="1">
      <c r="A20" s="156">
        <f t="shared" si="0"/>
        <v>15</v>
      </c>
      <c r="B20" s="1085" t="s">
        <v>1210</v>
      </c>
      <c r="C20" s="1074" t="str">
        <f>"(sum lines "&amp;A7&amp;"-"&amp;A19&amp;") /13"</f>
        <v>(sum lines 2-14) /13</v>
      </c>
      <c r="D20" s="155"/>
      <c r="E20" s="155"/>
      <c r="F20" s="1086">
        <v>0</v>
      </c>
      <c r="G20" s="151"/>
      <c r="H20" s="707">
        <f>SUM(H7:H19)/13</f>
        <v>0</v>
      </c>
    </row>
    <row r="21" spans="1:8" ht="15.75" thickTop="1">
      <c r="A21" s="156"/>
      <c r="B21" s="1087"/>
      <c r="C21" s="1088"/>
      <c r="D21" s="399"/>
      <c r="E21" s="399"/>
      <c r="F21" s="400" t="s">
        <v>1158</v>
      </c>
      <c r="G21" s="151"/>
      <c r="H21" s="163" t="s">
        <v>806</v>
      </c>
    </row>
    <row r="23" spans="1:9" ht="30" customHeight="1">
      <c r="A23" s="717"/>
      <c r="B23" s="1226"/>
      <c r="C23" s="1226"/>
      <c r="D23" s="1226"/>
      <c r="E23" s="1226"/>
      <c r="F23" s="1226"/>
      <c r="G23" s="1226"/>
      <c r="H23" s="1226"/>
      <c r="I23" s="1226"/>
    </row>
    <row r="24" spans="1:9" ht="15.75">
      <c r="A24" s="86"/>
      <c r="B24" s="1243"/>
      <c r="C24" s="1243"/>
      <c r="D24" s="1243"/>
      <c r="E24" s="1243"/>
      <c r="F24" s="1243"/>
      <c r="G24" s="1243"/>
      <c r="H24" s="1243"/>
      <c r="I24" s="1243"/>
    </row>
  </sheetData>
  <customSheetViews>
    <customSheetView guid="{33e6ffdf-cb42-4a87-b460-a01a45f9a9a1}" printArea="1" scale="60" showPageBreaks="1" topLeftCell="A1" view="pageBreakPreview">
      <selection pane="topLeft" activeCell="D8" sqref="D8"/>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D8" sqref="D8"/>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I24"/>
  <sheetViews>
    <sheetView view="pageBreakPreview" zoomScale="80" zoomScaleNormal="100" zoomScaleSheetLayoutView="80" workbookViewId="0" topLeftCell="A1"/>
  </sheetViews>
  <sheetFormatPr defaultRowHeight="15"/>
  <cols>
    <col min="2" max="2" width="27.8888888888889" customWidth="1"/>
    <col min="3" max="3" width="26.1111111111111" customWidth="1"/>
    <col min="4" max="4" width="9.88888888888889" customWidth="1"/>
    <col min="5" max="5" width="12.8888888888889" bestFit="1" customWidth="1"/>
    <col min="6" max="6" width="23.8888888888889" bestFit="1" customWidth="1"/>
    <col min="7" max="7" width="9.66666666666667" customWidth="1"/>
    <col min="8" max="8" width="23.2222222222222" bestFit="1" customWidth="1"/>
  </cols>
  <sheetData>
    <row r="1" spans="9:9" ht="15.75">
      <c r="I1" s="458" t="s">
        <v>873</v>
      </c>
    </row>
    <row r="2" spans="9:9" ht="15.75">
      <c r="I2" s="458" t="s">
        <v>220</v>
      </c>
    </row>
    <row r="3" spans="9:9" ht="15.75">
      <c r="I3" s="459" t="str">
        <f>'Attachment 1 - Sched 1A'!$J$3</f>
        <v>For the 12 months ended 12/31/2026</v>
      </c>
    </row>
    <row r="4" spans="5:5" ht="15">
      <c r="E4" t="s">
        <v>965</v>
      </c>
    </row>
    <row r="5" spans="1:8" ht="15.75">
      <c r="A5" s="31"/>
      <c r="B5" s="355" t="s">
        <v>707</v>
      </c>
      <c r="C5" s="355" t="s">
        <v>708</v>
      </c>
      <c r="D5" s="355" t="s">
        <v>709</v>
      </c>
      <c r="E5" s="355" t="s">
        <v>710</v>
      </c>
      <c r="F5" s="461" t="s">
        <v>711</v>
      </c>
      <c r="G5" s="461" t="s">
        <v>712</v>
      </c>
      <c r="H5" s="461" t="s">
        <v>713</v>
      </c>
    </row>
    <row r="6" spans="1:8" ht="51">
      <c r="A6" s="156">
        <v>1</v>
      </c>
      <c r="B6" s="157" t="s">
        <v>412</v>
      </c>
      <c r="C6" s="148" t="s">
        <v>369</v>
      </c>
      <c r="D6" s="158" t="s">
        <v>413</v>
      </c>
      <c r="E6" s="159" t="s">
        <v>414</v>
      </c>
      <c r="F6" s="160" t="s">
        <v>511</v>
      </c>
      <c r="G6" s="160" t="s">
        <v>416</v>
      </c>
      <c r="H6" s="161" t="s">
        <v>417</v>
      </c>
    </row>
    <row r="7" spans="1:8" ht="15">
      <c r="A7" s="156">
        <f t="shared" si="0" ref="A7:A20">A6+1</f>
        <v>2</v>
      </c>
      <c r="B7" s="488" t="s">
        <v>1437</v>
      </c>
      <c r="C7" s="148" t="s">
        <v>509</v>
      </c>
      <c r="D7" s="394">
        <v>13</v>
      </c>
      <c r="E7" s="395"/>
      <c r="F7" s="396"/>
      <c r="G7" s="396"/>
      <c r="H7" s="704">
        <v>0</v>
      </c>
    </row>
    <row r="8" spans="1:8" ht="15">
      <c r="A8" s="156">
        <f t="shared" si="0"/>
        <v>3</v>
      </c>
      <c r="B8" s="152" t="s">
        <v>419</v>
      </c>
      <c r="C8" s="148" t="s">
        <v>994</v>
      </c>
      <c r="D8" s="149">
        <f>D7-1</f>
        <v>12</v>
      </c>
      <c r="E8" s="150">
        <f>H7</f>
        <v>0</v>
      </c>
      <c r="F8" s="151">
        <f>E8/D8</f>
        <v>0</v>
      </c>
      <c r="G8" s="151">
        <v>0</v>
      </c>
      <c r="H8" s="705">
        <f t="shared" si="1" ref="H8:H18">E8-F8+G8</f>
        <v>0</v>
      </c>
    </row>
    <row r="9" spans="1:8" ht="15">
      <c r="A9" s="156">
        <f t="shared" si="0"/>
        <v>4</v>
      </c>
      <c r="B9" s="152" t="s">
        <v>235</v>
      </c>
      <c r="C9" s="148" t="s">
        <v>994</v>
      </c>
      <c r="D9" s="149">
        <f t="shared" si="2" ref="D9:D19">D8-1</f>
        <v>11</v>
      </c>
      <c r="E9" s="150">
        <f t="shared" si="3" ref="E9:E19">H8</f>
        <v>0</v>
      </c>
      <c r="F9" s="151">
        <f t="shared" si="4" ref="F9:F18">E9/D9</f>
        <v>0</v>
      </c>
      <c r="G9" s="151">
        <v>0</v>
      </c>
      <c r="H9" s="705">
        <f t="shared" si="1"/>
        <v>0</v>
      </c>
    </row>
    <row r="10" spans="1:8" ht="15">
      <c r="A10" s="156">
        <f t="shared" si="0"/>
        <v>5</v>
      </c>
      <c r="B10" s="152" t="s">
        <v>236</v>
      </c>
      <c r="C10" s="148" t="s">
        <v>994</v>
      </c>
      <c r="D10" s="149">
        <f t="shared" si="2"/>
        <v>10</v>
      </c>
      <c r="E10" s="150">
        <f t="shared" si="3"/>
        <v>0</v>
      </c>
      <c r="F10" s="151">
        <f t="shared" si="4"/>
        <v>0</v>
      </c>
      <c r="G10" s="151">
        <v>0</v>
      </c>
      <c r="H10" s="705">
        <f t="shared" si="1"/>
        <v>0</v>
      </c>
    </row>
    <row r="11" spans="1:8" ht="15">
      <c r="A11" s="156">
        <f t="shared" si="0"/>
        <v>6</v>
      </c>
      <c r="B11" s="152" t="s">
        <v>237</v>
      </c>
      <c r="C11" s="148" t="s">
        <v>994</v>
      </c>
      <c r="D11" s="149">
        <f t="shared" si="2"/>
        <v>9</v>
      </c>
      <c r="E11" s="150">
        <f t="shared" si="3"/>
        <v>0</v>
      </c>
      <c r="F11" s="151">
        <f t="shared" si="4"/>
        <v>0</v>
      </c>
      <c r="G11" s="151">
        <v>0</v>
      </c>
      <c r="H11" s="705">
        <f t="shared" si="1"/>
        <v>0</v>
      </c>
    </row>
    <row r="12" spans="1:8" ht="15">
      <c r="A12" s="156">
        <f t="shared" si="0"/>
        <v>7</v>
      </c>
      <c r="B12" s="152" t="s">
        <v>238</v>
      </c>
      <c r="C12" s="148" t="s">
        <v>994</v>
      </c>
      <c r="D12" s="149">
        <f t="shared" si="2"/>
        <v>8</v>
      </c>
      <c r="E12" s="150">
        <f t="shared" si="3"/>
        <v>0</v>
      </c>
      <c r="F12" s="151">
        <f t="shared" si="4"/>
        <v>0</v>
      </c>
      <c r="G12" s="151">
        <v>0</v>
      </c>
      <c r="H12" s="705">
        <f t="shared" si="1"/>
        <v>0</v>
      </c>
    </row>
    <row r="13" spans="1:8" ht="15">
      <c r="A13" s="156">
        <f t="shared" si="0"/>
        <v>8</v>
      </c>
      <c r="B13" s="152" t="s">
        <v>421</v>
      </c>
      <c r="C13" s="148" t="s">
        <v>994</v>
      </c>
      <c r="D13" s="149">
        <f t="shared" si="2"/>
        <v>7</v>
      </c>
      <c r="E13" s="150">
        <f t="shared" si="3"/>
        <v>0</v>
      </c>
      <c r="F13" s="151">
        <f t="shared" si="4"/>
        <v>0</v>
      </c>
      <c r="G13" s="151">
        <v>0</v>
      </c>
      <c r="H13" s="705">
        <f t="shared" si="1"/>
        <v>0</v>
      </c>
    </row>
    <row r="14" spans="1:8" ht="15">
      <c r="A14" s="156">
        <f t="shared" si="0"/>
        <v>9</v>
      </c>
      <c r="B14" s="152" t="s">
        <v>239</v>
      </c>
      <c r="C14" s="148" t="s">
        <v>994</v>
      </c>
      <c r="D14" s="149">
        <f t="shared" si="2"/>
        <v>6</v>
      </c>
      <c r="E14" s="150">
        <f t="shared" si="3"/>
        <v>0</v>
      </c>
      <c r="F14" s="151">
        <f t="shared" si="4"/>
        <v>0</v>
      </c>
      <c r="G14" s="151">
        <v>0</v>
      </c>
      <c r="H14" s="705">
        <f t="shared" si="1"/>
        <v>0</v>
      </c>
    </row>
    <row r="15" spans="1:8" ht="15">
      <c r="A15" s="156">
        <f t="shared" si="0"/>
        <v>10</v>
      </c>
      <c r="B15" s="152" t="s">
        <v>240</v>
      </c>
      <c r="C15" s="148" t="s">
        <v>994</v>
      </c>
      <c r="D15" s="149">
        <f t="shared" si="2"/>
        <v>5</v>
      </c>
      <c r="E15" s="150">
        <f t="shared" si="3"/>
        <v>0</v>
      </c>
      <c r="F15" s="151">
        <f t="shared" si="4"/>
        <v>0</v>
      </c>
      <c r="G15" s="151">
        <v>0</v>
      </c>
      <c r="H15" s="705">
        <f t="shared" si="1"/>
        <v>0</v>
      </c>
    </row>
    <row r="16" spans="1:8" ht="15">
      <c r="A16" s="156">
        <f t="shared" si="0"/>
        <v>11</v>
      </c>
      <c r="B16" s="152" t="s">
        <v>241</v>
      </c>
      <c r="C16" s="148" t="s">
        <v>994</v>
      </c>
      <c r="D16" s="149">
        <f t="shared" si="2"/>
        <v>4</v>
      </c>
      <c r="E16" s="150">
        <f t="shared" si="3"/>
        <v>0</v>
      </c>
      <c r="F16" s="151">
        <f t="shared" si="4"/>
        <v>0</v>
      </c>
      <c r="G16" s="151">
        <v>0</v>
      </c>
      <c r="H16" s="705">
        <f t="shared" si="1"/>
        <v>0</v>
      </c>
    </row>
    <row r="17" spans="1:8" ht="15">
      <c r="A17" s="156">
        <f t="shared" si="0"/>
        <v>12</v>
      </c>
      <c r="B17" s="152" t="s">
        <v>422</v>
      </c>
      <c r="C17" s="148" t="s">
        <v>994</v>
      </c>
      <c r="D17" s="149">
        <f t="shared" si="2"/>
        <v>3</v>
      </c>
      <c r="E17" s="150">
        <f t="shared" si="3"/>
        <v>0</v>
      </c>
      <c r="F17" s="151">
        <f t="shared" si="4"/>
        <v>0</v>
      </c>
      <c r="G17" s="151">
        <v>0</v>
      </c>
      <c r="H17" s="705">
        <f t="shared" si="1"/>
        <v>0</v>
      </c>
    </row>
    <row r="18" spans="1:8" ht="15">
      <c r="A18" s="156">
        <f t="shared" si="0"/>
        <v>13</v>
      </c>
      <c r="B18" s="152" t="s">
        <v>242</v>
      </c>
      <c r="C18" s="148" t="s">
        <v>994</v>
      </c>
      <c r="D18" s="149">
        <f t="shared" si="2"/>
        <v>2</v>
      </c>
      <c r="E18" s="150">
        <f t="shared" si="3"/>
        <v>0</v>
      </c>
      <c r="F18" s="151">
        <f t="shared" si="4"/>
        <v>0</v>
      </c>
      <c r="G18" s="151">
        <v>0</v>
      </c>
      <c r="H18" s="705">
        <f t="shared" si="1"/>
        <v>0</v>
      </c>
    </row>
    <row r="19" spans="1:8" ht="17.25">
      <c r="A19" s="156">
        <f t="shared" si="0"/>
        <v>14</v>
      </c>
      <c r="B19" s="488" t="s">
        <v>1460</v>
      </c>
      <c r="C19" s="153" t="s">
        <v>510</v>
      </c>
      <c r="D19" s="149">
        <f t="shared" si="2"/>
        <v>1</v>
      </c>
      <c r="E19" s="150">
        <f t="shared" si="3"/>
        <v>0</v>
      </c>
      <c r="F19" s="479">
        <f>E19/D19</f>
        <v>0</v>
      </c>
      <c r="G19" s="151">
        <v>0</v>
      </c>
      <c r="H19" s="706">
        <f>E19-F19+G19</f>
        <v>0</v>
      </c>
    </row>
    <row r="20" spans="1:8" ht="15.75" thickBot="1">
      <c r="A20" s="156">
        <f t="shared" si="0"/>
        <v>15</v>
      </c>
      <c r="B20" s="154" t="s">
        <v>1210</v>
      </c>
      <c r="C20" s="148" t="str">
        <f>"(sum lines "&amp;A7&amp;"-"&amp;A19&amp;") /13"</f>
        <v>(sum lines 2-14) /13</v>
      </c>
      <c r="D20" s="155"/>
      <c r="E20" s="155"/>
      <c r="F20" s="480">
        <f>SUM(F7:F19)</f>
        <v>0</v>
      </c>
      <c r="G20" s="151"/>
      <c r="H20" s="720">
        <f>SUM(H7:H19)/13</f>
        <v>0</v>
      </c>
    </row>
    <row r="21" spans="1:8" ht="15.75" thickTop="1">
      <c r="A21" s="156"/>
      <c r="B21" s="397"/>
      <c r="C21" s="398"/>
      <c r="D21" s="399"/>
      <c r="E21" s="399"/>
      <c r="F21" s="400" t="s">
        <v>1158</v>
      </c>
      <c r="G21" s="151"/>
      <c r="H21" s="163" t="s">
        <v>806</v>
      </c>
    </row>
    <row r="23" spans="1:9" ht="31.5" customHeight="1">
      <c r="A23" s="717"/>
      <c r="B23" s="1226"/>
      <c r="C23" s="1226"/>
      <c r="D23" s="1226"/>
      <c r="E23" s="1226"/>
      <c r="F23" s="1226"/>
      <c r="G23" s="1226"/>
      <c r="H23" s="1226"/>
      <c r="I23" s="1226"/>
    </row>
    <row r="24" spans="1:9" ht="15.75">
      <c r="A24" s="86"/>
      <c r="B24" s="1243"/>
      <c r="C24" s="1243"/>
      <c r="D24" s="1243"/>
      <c r="E24" s="1243"/>
      <c r="F24" s="1243"/>
      <c r="G24" s="1243"/>
      <c r="H24" s="1243"/>
      <c r="I24" s="1243"/>
    </row>
  </sheetData>
  <customSheetViews>
    <customSheetView guid="{33e6ffdf-cb42-4a87-b460-a01a45f9a9a1}" printArea="1" scale="60" showPageBreaks="1" topLeftCell="A1" view="pageBreakPreview">
      <selection pane="topLeft" activeCell="E10" sqref="E10"/>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E10" sqref="E10"/>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I24"/>
  <sheetViews>
    <sheetView view="pageBreakPreview" zoomScale="70" zoomScaleNormal="100" zoomScaleSheetLayoutView="70" workbookViewId="0" topLeftCell="A1"/>
  </sheetViews>
  <sheetFormatPr defaultRowHeight="15"/>
  <cols>
    <col min="1" max="1" width="4.88888888888889" customWidth="1"/>
    <col min="2" max="2" width="25.2222222222222" customWidth="1"/>
    <col min="3" max="3" width="28.1111111111111" customWidth="1"/>
    <col min="5" max="5" width="12.8888888888889" bestFit="1" customWidth="1"/>
    <col min="6" max="6" width="16.8888888888889" bestFit="1" customWidth="1"/>
    <col min="8" max="8" width="16.2222222222222" bestFit="1" customWidth="1"/>
    <col min="9" max="9" width="13.6666666666667" customWidth="1"/>
    <col min="10" max="10" width="2.11111111111111" customWidth="1"/>
  </cols>
  <sheetData>
    <row r="1" spans="9:9" ht="15.75">
      <c r="I1" s="458" t="s">
        <v>874</v>
      </c>
    </row>
    <row r="2" spans="9:9" ht="15.75">
      <c r="I2" s="458" t="s">
        <v>220</v>
      </c>
    </row>
    <row r="3" spans="9:9" ht="15.75">
      <c r="I3" s="459" t="str">
        <f>'Attachment 1 - Sched 1A'!$J$3</f>
        <v>For the 12 months ended 12/31/2026</v>
      </c>
    </row>
    <row r="4" spans="4:4" ht="15">
      <c r="D4" t="s">
        <v>875</v>
      </c>
    </row>
    <row r="5" spans="1:8" ht="15.75">
      <c r="A5" s="31"/>
      <c r="B5" s="355" t="s">
        <v>707</v>
      </c>
      <c r="C5" s="355" t="s">
        <v>708</v>
      </c>
      <c r="D5" s="355" t="s">
        <v>709</v>
      </c>
      <c r="E5" s="355" t="s">
        <v>710</v>
      </c>
      <c r="F5" s="461" t="s">
        <v>711</v>
      </c>
      <c r="G5" s="461" t="s">
        <v>712</v>
      </c>
      <c r="H5" s="461" t="s">
        <v>713</v>
      </c>
    </row>
    <row r="6" spans="1:8" ht="63.75">
      <c r="A6" s="156">
        <v>1</v>
      </c>
      <c r="B6" s="157" t="s">
        <v>412</v>
      </c>
      <c r="C6" s="148" t="s">
        <v>369</v>
      </c>
      <c r="D6" s="158" t="s">
        <v>413</v>
      </c>
      <c r="E6" s="159" t="s">
        <v>414</v>
      </c>
      <c r="F6" s="160" t="s">
        <v>415</v>
      </c>
      <c r="G6" s="160" t="s">
        <v>416</v>
      </c>
      <c r="H6" s="161" t="s">
        <v>417</v>
      </c>
    </row>
    <row r="7" spans="1:8" ht="15">
      <c r="A7" s="156">
        <f t="shared" si="0" ref="A7:A20">A6+1</f>
        <v>2</v>
      </c>
      <c r="B7" s="488" t="s">
        <v>1437</v>
      </c>
      <c r="C7" s="148" t="s">
        <v>418</v>
      </c>
      <c r="D7" s="394">
        <v>13</v>
      </c>
      <c r="E7" s="395"/>
      <c r="F7" s="396"/>
      <c r="G7" s="396"/>
      <c r="H7" s="396">
        <v>0</v>
      </c>
    </row>
    <row r="8" spans="1:8" ht="15">
      <c r="A8" s="156">
        <f t="shared" si="0"/>
        <v>3</v>
      </c>
      <c r="B8" s="152" t="s">
        <v>419</v>
      </c>
      <c r="C8" s="148" t="s">
        <v>995</v>
      </c>
      <c r="D8" s="149">
        <f>D7-1</f>
        <v>12</v>
      </c>
      <c r="E8" s="150">
        <f>H7</f>
        <v>0</v>
      </c>
      <c r="F8" s="151">
        <f>E8/D8</f>
        <v>0</v>
      </c>
      <c r="G8" s="151">
        <v>0</v>
      </c>
      <c r="H8" s="151">
        <f t="shared" si="1" ref="H8:H19">E8-F8+G8</f>
        <v>0</v>
      </c>
    </row>
    <row r="9" spans="1:8" ht="15">
      <c r="A9" s="156">
        <f t="shared" si="0"/>
        <v>4</v>
      </c>
      <c r="B9" s="152" t="s">
        <v>235</v>
      </c>
      <c r="C9" s="148" t="s">
        <v>995</v>
      </c>
      <c r="D9" s="149">
        <f t="shared" si="2" ref="D9:D19">D8-1</f>
        <v>11</v>
      </c>
      <c r="E9" s="150">
        <f t="shared" si="3" ref="E9:E19">H8</f>
        <v>0</v>
      </c>
      <c r="F9" s="151">
        <f t="shared" si="4" ref="F9:F19">E9/D9</f>
        <v>0</v>
      </c>
      <c r="G9" s="151">
        <v>0</v>
      </c>
      <c r="H9" s="151">
        <f t="shared" si="1"/>
        <v>0</v>
      </c>
    </row>
    <row r="10" spans="1:8" ht="15">
      <c r="A10" s="156">
        <f t="shared" si="0"/>
        <v>5</v>
      </c>
      <c r="B10" s="152" t="s">
        <v>236</v>
      </c>
      <c r="C10" s="148" t="s">
        <v>995</v>
      </c>
      <c r="D10" s="149">
        <f t="shared" si="2"/>
        <v>10</v>
      </c>
      <c r="E10" s="150">
        <f t="shared" si="3"/>
        <v>0</v>
      </c>
      <c r="F10" s="151">
        <f t="shared" si="4"/>
        <v>0</v>
      </c>
      <c r="G10" s="151">
        <v>0</v>
      </c>
      <c r="H10" s="151">
        <f t="shared" si="1"/>
        <v>0</v>
      </c>
    </row>
    <row r="11" spans="1:8" ht="15">
      <c r="A11" s="156">
        <f t="shared" si="0"/>
        <v>6</v>
      </c>
      <c r="B11" s="152" t="s">
        <v>237</v>
      </c>
      <c r="C11" s="148" t="s">
        <v>995</v>
      </c>
      <c r="D11" s="149">
        <f t="shared" si="2"/>
        <v>9</v>
      </c>
      <c r="E11" s="150">
        <f t="shared" si="3"/>
        <v>0</v>
      </c>
      <c r="F11" s="151">
        <f t="shared" si="4"/>
        <v>0</v>
      </c>
      <c r="G11" s="151">
        <v>0</v>
      </c>
      <c r="H11" s="151">
        <f t="shared" si="1"/>
        <v>0</v>
      </c>
    </row>
    <row r="12" spans="1:8" ht="15">
      <c r="A12" s="156">
        <f t="shared" si="0"/>
        <v>7</v>
      </c>
      <c r="B12" s="152" t="s">
        <v>238</v>
      </c>
      <c r="C12" s="148" t="s">
        <v>995</v>
      </c>
      <c r="D12" s="149">
        <f t="shared" si="2"/>
        <v>8</v>
      </c>
      <c r="E12" s="150">
        <f t="shared" si="3"/>
        <v>0</v>
      </c>
      <c r="F12" s="151">
        <f t="shared" si="4"/>
        <v>0</v>
      </c>
      <c r="G12" s="151">
        <v>0</v>
      </c>
      <c r="H12" s="151">
        <f t="shared" si="1"/>
        <v>0</v>
      </c>
    </row>
    <row r="13" spans="1:8" ht="15">
      <c r="A13" s="156">
        <f t="shared" si="0"/>
        <v>8</v>
      </c>
      <c r="B13" s="152" t="s">
        <v>421</v>
      </c>
      <c r="C13" s="148" t="s">
        <v>995</v>
      </c>
      <c r="D13" s="149">
        <f t="shared" si="2"/>
        <v>7</v>
      </c>
      <c r="E13" s="150">
        <f t="shared" si="3"/>
        <v>0</v>
      </c>
      <c r="F13" s="151">
        <f t="shared" si="4"/>
        <v>0</v>
      </c>
      <c r="G13" s="151">
        <v>0</v>
      </c>
      <c r="H13" s="151">
        <f t="shared" si="1"/>
        <v>0</v>
      </c>
    </row>
    <row r="14" spans="1:8" ht="15">
      <c r="A14" s="156">
        <f t="shared" si="0"/>
        <v>9</v>
      </c>
      <c r="B14" s="152" t="s">
        <v>239</v>
      </c>
      <c r="C14" s="148" t="s">
        <v>995</v>
      </c>
      <c r="D14" s="149">
        <f t="shared" si="2"/>
        <v>6</v>
      </c>
      <c r="E14" s="150">
        <f t="shared" si="3"/>
        <v>0</v>
      </c>
      <c r="F14" s="151">
        <f t="shared" si="4"/>
        <v>0</v>
      </c>
      <c r="G14" s="151">
        <v>0</v>
      </c>
      <c r="H14" s="151">
        <f t="shared" si="1"/>
        <v>0</v>
      </c>
    </row>
    <row r="15" spans="1:8" ht="15">
      <c r="A15" s="156">
        <f t="shared" si="0"/>
        <v>10</v>
      </c>
      <c r="B15" s="152" t="s">
        <v>240</v>
      </c>
      <c r="C15" s="148" t="s">
        <v>995</v>
      </c>
      <c r="D15" s="149">
        <f t="shared" si="2"/>
        <v>5</v>
      </c>
      <c r="E15" s="150">
        <f t="shared" si="3"/>
        <v>0</v>
      </c>
      <c r="F15" s="151">
        <f t="shared" si="4"/>
        <v>0</v>
      </c>
      <c r="G15" s="151">
        <v>0</v>
      </c>
      <c r="H15" s="151">
        <f t="shared" si="1"/>
        <v>0</v>
      </c>
    </row>
    <row r="16" spans="1:8" ht="15">
      <c r="A16" s="156">
        <f t="shared" si="0"/>
        <v>11</v>
      </c>
      <c r="B16" s="152" t="s">
        <v>241</v>
      </c>
      <c r="C16" s="148" t="s">
        <v>995</v>
      </c>
      <c r="D16" s="149">
        <f t="shared" si="2"/>
        <v>4</v>
      </c>
      <c r="E16" s="150">
        <f t="shared" si="3"/>
        <v>0</v>
      </c>
      <c r="F16" s="151">
        <f t="shared" si="4"/>
        <v>0</v>
      </c>
      <c r="G16" s="151">
        <v>0</v>
      </c>
      <c r="H16" s="151">
        <f t="shared" si="1"/>
        <v>0</v>
      </c>
    </row>
    <row r="17" spans="1:8" ht="15">
      <c r="A17" s="156">
        <f t="shared" si="0"/>
        <v>12</v>
      </c>
      <c r="B17" s="152" t="s">
        <v>422</v>
      </c>
      <c r="C17" s="148" t="s">
        <v>995</v>
      </c>
      <c r="D17" s="149">
        <f t="shared" si="2"/>
        <v>3</v>
      </c>
      <c r="E17" s="150">
        <f t="shared" si="3"/>
        <v>0</v>
      </c>
      <c r="F17" s="151">
        <f t="shared" si="4"/>
        <v>0</v>
      </c>
      <c r="G17" s="151">
        <v>0</v>
      </c>
      <c r="H17" s="151">
        <f t="shared" si="1"/>
        <v>0</v>
      </c>
    </row>
    <row r="18" spans="1:8" ht="15">
      <c r="A18" s="156">
        <f t="shared" si="0"/>
        <v>13</v>
      </c>
      <c r="B18" s="152" t="s">
        <v>242</v>
      </c>
      <c r="C18" s="148" t="s">
        <v>995</v>
      </c>
      <c r="D18" s="149">
        <f t="shared" si="2"/>
        <v>2</v>
      </c>
      <c r="E18" s="150">
        <f t="shared" si="3"/>
        <v>0</v>
      </c>
      <c r="F18" s="151">
        <f t="shared" si="4"/>
        <v>0</v>
      </c>
      <c r="G18" s="151">
        <v>0</v>
      </c>
      <c r="H18" s="151">
        <f t="shared" si="1"/>
        <v>0</v>
      </c>
    </row>
    <row r="19" spans="1:8" ht="17.25">
      <c r="A19" s="156">
        <f t="shared" si="0"/>
        <v>14</v>
      </c>
      <c r="B19" s="488" t="s">
        <v>1460</v>
      </c>
      <c r="C19" s="153" t="s">
        <v>423</v>
      </c>
      <c r="D19" s="149">
        <f t="shared" si="2"/>
        <v>1</v>
      </c>
      <c r="E19" s="150">
        <f t="shared" si="3"/>
        <v>0</v>
      </c>
      <c r="F19" s="479">
        <f t="shared" si="4"/>
        <v>0</v>
      </c>
      <c r="G19" s="151">
        <v>0</v>
      </c>
      <c r="H19" s="479">
        <f t="shared" si="1"/>
        <v>0</v>
      </c>
    </row>
    <row r="20" spans="1:8" ht="15.75" thickBot="1">
      <c r="A20" s="156">
        <f t="shared" si="0"/>
        <v>15</v>
      </c>
      <c r="B20" s="154" t="s">
        <v>856</v>
      </c>
      <c r="C20" s="148" t="str">
        <f>"(sum lines "&amp;A7&amp;"-"&amp;A19&amp;") /13"</f>
        <v>(sum lines 2-14) /13</v>
      </c>
      <c r="D20" s="155"/>
      <c r="E20" s="155"/>
      <c r="F20" s="480">
        <f>SUM(F7:F19)</f>
        <v>0</v>
      </c>
      <c r="G20" s="151"/>
      <c r="H20" s="480">
        <f>SUM(H7:H19)/13</f>
        <v>0</v>
      </c>
    </row>
    <row r="21" spans="1:8" ht="15.75" thickTop="1">
      <c r="A21" s="156"/>
      <c r="B21" s="154"/>
      <c r="C21" s="148"/>
      <c r="D21" s="155"/>
      <c r="E21" s="155"/>
      <c r="F21" s="162" t="s">
        <v>853</v>
      </c>
      <c r="G21" s="151"/>
      <c r="H21" s="163" t="s">
        <v>807</v>
      </c>
    </row>
    <row r="23" spans="1:1" ht="15">
      <c r="A23" s="139" t="s">
        <v>189</v>
      </c>
    </row>
    <row r="24" spans="1:9" ht="29.25" customHeight="1">
      <c r="A24" s="86"/>
      <c r="B24" s="1244" t="s">
        <v>397</v>
      </c>
      <c r="C24" s="1244"/>
      <c r="D24" s="1244"/>
      <c r="E24" s="1244"/>
      <c r="F24" s="1244"/>
      <c r="G24" s="1244"/>
      <c r="H24" s="1244"/>
      <c r="I24" s="1244"/>
    </row>
  </sheetData>
  <customSheetViews>
    <customSheetView guid="{33e6ffdf-cb42-4a87-b460-a01a45f9a9a1}" printArea="1" scale="60" showPageBreaks="1" topLeftCell="A1" view="pageBreakPreview">
      <selection pane="topLeft" activeCell="B20" sqref="B20"/>
      <pageMargins left="0.7" right="0.7" top="0.75" bottom="0.75" header="0.3" footer="0.3"/>
      <pageSetup orientation="landscape" paperSize="1" scale="62" r:id="rId2"/>
    </customSheetView>
    <customSheetView guid="{394295c0-a883-44ec-b980-c2facd4b6eba}" printArea="1" scale="60" showPageBreaks="1" topLeftCell="A1" view="pageBreakPreview">
      <selection pane="topLeft" activeCell="B20" sqref="B20"/>
      <pageMargins left="0.7" right="0.7" top="0.75" bottom="0.75" header="0.3" footer="0.3"/>
      <pageSetup orientation="landscape" paperSize="1" scale="62" r:id="rId3"/>
    </customSheetView>
  </customSheetViews>
  <mergeCells count="1">
    <mergeCell ref="B24:I24"/>
  </mergeCells>
  <pageMargins left="0.7" right="0.7" top="0.75" bottom="0.75" header="0.3" footer="0.3"/>
  <pageSetup orientation="landscape" paperSize="1" scale="62"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L79"/>
  <sheetViews>
    <sheetView view="pageBreakPreview" zoomScale="60" zoomScaleNormal="80" workbookViewId="0" topLeftCell="A1"/>
  </sheetViews>
  <sheetFormatPr defaultRowHeight="12.75"/>
  <cols>
    <col min="1" max="1" width="7.11111111111111" style="89" customWidth="1"/>
    <col min="2" max="2" width="2.22222222222222" style="89" customWidth="1"/>
    <col min="3" max="3" width="6.22222222222222" style="89" customWidth="1"/>
    <col min="4" max="4" width="33.4444444444444" style="89" customWidth="1"/>
    <col min="5" max="5" width="18" style="89" customWidth="1"/>
    <col min="6" max="6" width="27.6666666666667" style="89" customWidth="1"/>
    <col min="7" max="7" width="31.8888888888889" style="89" customWidth="1"/>
    <col min="8" max="8" width="3" style="89" customWidth="1"/>
    <col min="9" max="9" width="23.4444444444444" style="89" customWidth="1"/>
    <col min="10" max="10" width="13.5555555555556" style="89" bestFit="1" customWidth="1"/>
    <col min="11" max="11" width="17.8888888888889" style="89" bestFit="1" customWidth="1"/>
    <col min="12" max="256" width="9.22222222222222" style="89"/>
    <col min="257" max="257" width="7.11111111111111" style="89" customWidth="1"/>
    <col min="258" max="258" width="2.22222222222222" style="89" customWidth="1"/>
    <col min="259" max="259" width="6.22222222222222" style="89" customWidth="1"/>
    <col min="260" max="260" width="33.4444444444444" style="89" customWidth="1"/>
    <col min="261" max="261" width="18" style="89" customWidth="1"/>
    <col min="262" max="262" width="27.6666666666667" style="89" customWidth="1"/>
    <col min="263" max="263" width="28.8888888888889" style="89" bestFit="1" customWidth="1"/>
    <col min="264" max="264" width="3" style="89" customWidth="1"/>
    <col min="265" max="265" width="23.4444444444444" style="89" customWidth="1"/>
    <col min="266" max="266" width="9.22222222222222" style="89"/>
    <col min="267" max="267" width="17.8888888888889" style="89" bestFit="1" customWidth="1"/>
    <col min="268" max="512" width="9.22222222222222" style="89"/>
    <col min="513" max="513" width="7.11111111111111" style="89" customWidth="1"/>
    <col min="514" max="514" width="2.22222222222222" style="89" customWidth="1"/>
    <col min="515" max="515" width="6.22222222222222" style="89" customWidth="1"/>
    <col min="516" max="516" width="33.4444444444444" style="89" customWidth="1"/>
    <col min="517" max="517" width="18" style="89" customWidth="1"/>
    <col min="518" max="518" width="27.6666666666667" style="89" customWidth="1"/>
    <col min="519" max="519" width="28.8888888888889" style="89" bestFit="1" customWidth="1"/>
    <col min="520" max="520" width="3" style="89" customWidth="1"/>
    <col min="521" max="521" width="23.4444444444444" style="89" customWidth="1"/>
    <col min="522" max="522" width="9.22222222222222" style="89"/>
    <col min="523" max="523" width="17.8888888888889" style="89" bestFit="1" customWidth="1"/>
    <col min="524" max="768" width="9.22222222222222" style="89"/>
    <col min="769" max="769" width="7.11111111111111" style="89" customWidth="1"/>
    <col min="770" max="770" width="2.22222222222222" style="89" customWidth="1"/>
    <col min="771" max="771" width="6.22222222222222" style="89" customWidth="1"/>
    <col min="772" max="772" width="33.4444444444444" style="89" customWidth="1"/>
    <col min="773" max="773" width="18" style="89" customWidth="1"/>
    <col min="774" max="774" width="27.6666666666667" style="89" customWidth="1"/>
    <col min="775" max="775" width="28.8888888888889" style="89" bestFit="1" customWidth="1"/>
    <col min="776" max="776" width="3" style="89" customWidth="1"/>
    <col min="777" max="777" width="23.4444444444444" style="89" customWidth="1"/>
    <col min="778" max="778" width="9.22222222222222" style="89"/>
    <col min="779" max="779" width="17.8888888888889" style="89" bestFit="1" customWidth="1"/>
    <col min="780" max="1024" width="9.22222222222222" style="89"/>
    <col min="1025" max="1025" width="7.11111111111111" style="89" customWidth="1"/>
    <col min="1026" max="1026" width="2.22222222222222" style="89" customWidth="1"/>
    <col min="1027" max="1027" width="6.22222222222222" style="89" customWidth="1"/>
    <col min="1028" max="1028" width="33.4444444444444" style="89" customWidth="1"/>
    <col min="1029" max="1029" width="18" style="89" customWidth="1"/>
    <col min="1030" max="1030" width="27.6666666666667" style="89" customWidth="1"/>
    <col min="1031" max="1031" width="28.8888888888889" style="89" bestFit="1" customWidth="1"/>
    <col min="1032" max="1032" width="3" style="89" customWidth="1"/>
    <col min="1033" max="1033" width="23.4444444444444" style="89" customWidth="1"/>
    <col min="1034" max="1034" width="9.22222222222222" style="89"/>
    <col min="1035" max="1035" width="17.8888888888889" style="89" bestFit="1" customWidth="1"/>
    <col min="1036" max="1280" width="9.22222222222222" style="89"/>
    <col min="1281" max="1281" width="7.11111111111111" style="89" customWidth="1"/>
    <col min="1282" max="1282" width="2.22222222222222" style="89" customWidth="1"/>
    <col min="1283" max="1283" width="6.22222222222222" style="89" customWidth="1"/>
    <col min="1284" max="1284" width="33.4444444444444" style="89" customWidth="1"/>
    <col min="1285" max="1285" width="18" style="89" customWidth="1"/>
    <col min="1286" max="1286" width="27.6666666666667" style="89" customWidth="1"/>
    <col min="1287" max="1287" width="28.8888888888889" style="89" bestFit="1" customWidth="1"/>
    <col min="1288" max="1288" width="3" style="89" customWidth="1"/>
    <col min="1289" max="1289" width="23.4444444444444" style="89" customWidth="1"/>
    <col min="1290" max="1290" width="9.22222222222222" style="89"/>
    <col min="1291" max="1291" width="17.8888888888889" style="89" bestFit="1" customWidth="1"/>
    <col min="1292" max="1536" width="9.22222222222222" style="89"/>
    <col min="1537" max="1537" width="7.11111111111111" style="89" customWidth="1"/>
    <col min="1538" max="1538" width="2.22222222222222" style="89" customWidth="1"/>
    <col min="1539" max="1539" width="6.22222222222222" style="89" customWidth="1"/>
    <col min="1540" max="1540" width="33.4444444444444" style="89" customWidth="1"/>
    <col min="1541" max="1541" width="18" style="89" customWidth="1"/>
    <col min="1542" max="1542" width="27.6666666666667" style="89" customWidth="1"/>
    <col min="1543" max="1543" width="28.8888888888889" style="89" bestFit="1" customWidth="1"/>
    <col min="1544" max="1544" width="3" style="89" customWidth="1"/>
    <col min="1545" max="1545" width="23.4444444444444" style="89" customWidth="1"/>
    <col min="1546" max="1546" width="9.22222222222222" style="89"/>
    <col min="1547" max="1547" width="17.8888888888889" style="89" bestFit="1" customWidth="1"/>
    <col min="1548" max="1792" width="9.22222222222222" style="89"/>
    <col min="1793" max="1793" width="7.11111111111111" style="89" customWidth="1"/>
    <col min="1794" max="1794" width="2.22222222222222" style="89" customWidth="1"/>
    <col min="1795" max="1795" width="6.22222222222222" style="89" customWidth="1"/>
    <col min="1796" max="1796" width="33.4444444444444" style="89" customWidth="1"/>
    <col min="1797" max="1797" width="18" style="89" customWidth="1"/>
    <col min="1798" max="1798" width="27.6666666666667" style="89" customWidth="1"/>
    <col min="1799" max="1799" width="28.8888888888889" style="89" bestFit="1" customWidth="1"/>
    <col min="1800" max="1800" width="3" style="89" customWidth="1"/>
    <col min="1801" max="1801" width="23.4444444444444" style="89" customWidth="1"/>
    <col min="1802" max="1802" width="9.22222222222222" style="89"/>
    <col min="1803" max="1803" width="17.8888888888889" style="89" bestFit="1" customWidth="1"/>
    <col min="1804" max="2048" width="9.22222222222222" style="89"/>
    <col min="2049" max="2049" width="7.11111111111111" style="89" customWidth="1"/>
    <col min="2050" max="2050" width="2.22222222222222" style="89" customWidth="1"/>
    <col min="2051" max="2051" width="6.22222222222222" style="89" customWidth="1"/>
    <col min="2052" max="2052" width="33.4444444444444" style="89" customWidth="1"/>
    <col min="2053" max="2053" width="18" style="89" customWidth="1"/>
    <col min="2054" max="2054" width="27.6666666666667" style="89" customWidth="1"/>
    <col min="2055" max="2055" width="28.8888888888889" style="89" bestFit="1" customWidth="1"/>
    <col min="2056" max="2056" width="3" style="89" customWidth="1"/>
    <col min="2057" max="2057" width="23.4444444444444" style="89" customWidth="1"/>
    <col min="2058" max="2058" width="9.22222222222222" style="89"/>
    <col min="2059" max="2059" width="17.8888888888889" style="89" bestFit="1" customWidth="1"/>
    <col min="2060" max="2304" width="9.22222222222222" style="89"/>
    <col min="2305" max="2305" width="7.11111111111111" style="89" customWidth="1"/>
    <col min="2306" max="2306" width="2.22222222222222" style="89" customWidth="1"/>
    <col min="2307" max="2307" width="6.22222222222222" style="89" customWidth="1"/>
    <col min="2308" max="2308" width="33.4444444444444" style="89" customWidth="1"/>
    <col min="2309" max="2309" width="18" style="89" customWidth="1"/>
    <col min="2310" max="2310" width="27.6666666666667" style="89" customWidth="1"/>
    <col min="2311" max="2311" width="28.8888888888889" style="89" bestFit="1" customWidth="1"/>
    <col min="2312" max="2312" width="3" style="89" customWidth="1"/>
    <col min="2313" max="2313" width="23.4444444444444" style="89" customWidth="1"/>
    <col min="2314" max="2314" width="9.22222222222222" style="89"/>
    <col min="2315" max="2315" width="17.8888888888889" style="89" bestFit="1" customWidth="1"/>
    <col min="2316" max="2560" width="9.22222222222222" style="89"/>
    <col min="2561" max="2561" width="7.11111111111111" style="89" customWidth="1"/>
    <col min="2562" max="2562" width="2.22222222222222" style="89" customWidth="1"/>
    <col min="2563" max="2563" width="6.22222222222222" style="89" customWidth="1"/>
    <col min="2564" max="2564" width="33.4444444444444" style="89" customWidth="1"/>
    <col min="2565" max="2565" width="18" style="89" customWidth="1"/>
    <col min="2566" max="2566" width="27.6666666666667" style="89" customWidth="1"/>
    <col min="2567" max="2567" width="28.8888888888889" style="89" bestFit="1" customWidth="1"/>
    <col min="2568" max="2568" width="3" style="89" customWidth="1"/>
    <col min="2569" max="2569" width="23.4444444444444" style="89" customWidth="1"/>
    <col min="2570" max="2570" width="9.22222222222222" style="89"/>
    <col min="2571" max="2571" width="17.8888888888889" style="89" bestFit="1" customWidth="1"/>
    <col min="2572" max="2816" width="9.22222222222222" style="89"/>
    <col min="2817" max="2817" width="7.11111111111111" style="89" customWidth="1"/>
    <col min="2818" max="2818" width="2.22222222222222" style="89" customWidth="1"/>
    <col min="2819" max="2819" width="6.22222222222222" style="89" customWidth="1"/>
    <col min="2820" max="2820" width="33.4444444444444" style="89" customWidth="1"/>
    <col min="2821" max="2821" width="18" style="89" customWidth="1"/>
    <col min="2822" max="2822" width="27.6666666666667" style="89" customWidth="1"/>
    <col min="2823" max="2823" width="28.8888888888889" style="89" bestFit="1" customWidth="1"/>
    <col min="2824" max="2824" width="3" style="89" customWidth="1"/>
    <col min="2825" max="2825" width="23.4444444444444" style="89" customWidth="1"/>
    <col min="2826" max="2826" width="9.22222222222222" style="89"/>
    <col min="2827" max="2827" width="17.8888888888889" style="89" bestFit="1" customWidth="1"/>
    <col min="2828" max="3072" width="9.22222222222222" style="89"/>
    <col min="3073" max="3073" width="7.11111111111111" style="89" customWidth="1"/>
    <col min="3074" max="3074" width="2.22222222222222" style="89" customWidth="1"/>
    <col min="3075" max="3075" width="6.22222222222222" style="89" customWidth="1"/>
    <col min="3076" max="3076" width="33.4444444444444" style="89" customWidth="1"/>
    <col min="3077" max="3077" width="18" style="89" customWidth="1"/>
    <col min="3078" max="3078" width="27.6666666666667" style="89" customWidth="1"/>
    <col min="3079" max="3079" width="28.8888888888889" style="89" bestFit="1" customWidth="1"/>
    <col min="3080" max="3080" width="3" style="89" customWidth="1"/>
    <col min="3081" max="3081" width="23.4444444444444" style="89" customWidth="1"/>
    <col min="3082" max="3082" width="9.22222222222222" style="89"/>
    <col min="3083" max="3083" width="17.8888888888889" style="89" bestFit="1" customWidth="1"/>
    <col min="3084" max="3328" width="9.22222222222222" style="89"/>
    <col min="3329" max="3329" width="7.11111111111111" style="89" customWidth="1"/>
    <col min="3330" max="3330" width="2.22222222222222" style="89" customWidth="1"/>
    <col min="3331" max="3331" width="6.22222222222222" style="89" customWidth="1"/>
    <col min="3332" max="3332" width="33.4444444444444" style="89" customWidth="1"/>
    <col min="3333" max="3333" width="18" style="89" customWidth="1"/>
    <col min="3334" max="3334" width="27.6666666666667" style="89" customWidth="1"/>
    <col min="3335" max="3335" width="28.8888888888889" style="89" bestFit="1" customWidth="1"/>
    <col min="3336" max="3336" width="3" style="89" customWidth="1"/>
    <col min="3337" max="3337" width="23.4444444444444" style="89" customWidth="1"/>
    <col min="3338" max="3338" width="9.22222222222222" style="89"/>
    <col min="3339" max="3339" width="17.8888888888889" style="89" bestFit="1" customWidth="1"/>
    <col min="3340" max="3584" width="9.22222222222222" style="89"/>
    <col min="3585" max="3585" width="7.11111111111111" style="89" customWidth="1"/>
    <col min="3586" max="3586" width="2.22222222222222" style="89" customWidth="1"/>
    <col min="3587" max="3587" width="6.22222222222222" style="89" customWidth="1"/>
    <col min="3588" max="3588" width="33.4444444444444" style="89" customWidth="1"/>
    <col min="3589" max="3589" width="18" style="89" customWidth="1"/>
    <col min="3590" max="3590" width="27.6666666666667" style="89" customWidth="1"/>
    <col min="3591" max="3591" width="28.8888888888889" style="89" bestFit="1" customWidth="1"/>
    <col min="3592" max="3592" width="3" style="89" customWidth="1"/>
    <col min="3593" max="3593" width="23.4444444444444" style="89" customWidth="1"/>
    <col min="3594" max="3594" width="9.22222222222222" style="89"/>
    <col min="3595" max="3595" width="17.8888888888889" style="89" bestFit="1" customWidth="1"/>
    <col min="3596" max="3840" width="9.22222222222222" style="89"/>
    <col min="3841" max="3841" width="7.11111111111111" style="89" customWidth="1"/>
    <col min="3842" max="3842" width="2.22222222222222" style="89" customWidth="1"/>
    <col min="3843" max="3843" width="6.22222222222222" style="89" customWidth="1"/>
    <col min="3844" max="3844" width="33.4444444444444" style="89" customWidth="1"/>
    <col min="3845" max="3845" width="18" style="89" customWidth="1"/>
    <col min="3846" max="3846" width="27.6666666666667" style="89" customWidth="1"/>
    <col min="3847" max="3847" width="28.8888888888889" style="89" bestFit="1" customWidth="1"/>
    <col min="3848" max="3848" width="3" style="89" customWidth="1"/>
    <col min="3849" max="3849" width="23.4444444444444" style="89" customWidth="1"/>
    <col min="3850" max="3850" width="9.22222222222222" style="89"/>
    <col min="3851" max="3851" width="17.8888888888889" style="89" bestFit="1" customWidth="1"/>
    <col min="3852" max="4096" width="9.22222222222222" style="89"/>
    <col min="4097" max="4097" width="7.11111111111111" style="89" customWidth="1"/>
    <col min="4098" max="4098" width="2.22222222222222" style="89" customWidth="1"/>
    <col min="4099" max="4099" width="6.22222222222222" style="89" customWidth="1"/>
    <col min="4100" max="4100" width="33.4444444444444" style="89" customWidth="1"/>
    <col min="4101" max="4101" width="18" style="89" customWidth="1"/>
    <col min="4102" max="4102" width="27.6666666666667" style="89" customWidth="1"/>
    <col min="4103" max="4103" width="28.8888888888889" style="89" bestFit="1" customWidth="1"/>
    <col min="4104" max="4104" width="3" style="89" customWidth="1"/>
    <col min="4105" max="4105" width="23.4444444444444" style="89" customWidth="1"/>
    <col min="4106" max="4106" width="9.22222222222222" style="89"/>
    <col min="4107" max="4107" width="17.8888888888889" style="89" bestFit="1" customWidth="1"/>
    <col min="4108" max="4352" width="9.22222222222222" style="89"/>
    <col min="4353" max="4353" width="7.11111111111111" style="89" customWidth="1"/>
    <col min="4354" max="4354" width="2.22222222222222" style="89" customWidth="1"/>
    <col min="4355" max="4355" width="6.22222222222222" style="89" customWidth="1"/>
    <col min="4356" max="4356" width="33.4444444444444" style="89" customWidth="1"/>
    <col min="4357" max="4357" width="18" style="89" customWidth="1"/>
    <col min="4358" max="4358" width="27.6666666666667" style="89" customWidth="1"/>
    <col min="4359" max="4359" width="28.8888888888889" style="89" bestFit="1" customWidth="1"/>
    <col min="4360" max="4360" width="3" style="89" customWidth="1"/>
    <col min="4361" max="4361" width="23.4444444444444" style="89" customWidth="1"/>
    <col min="4362" max="4362" width="9.22222222222222" style="89"/>
    <col min="4363" max="4363" width="17.8888888888889" style="89" bestFit="1" customWidth="1"/>
    <col min="4364" max="4608" width="9.22222222222222" style="89"/>
    <col min="4609" max="4609" width="7.11111111111111" style="89" customWidth="1"/>
    <col min="4610" max="4610" width="2.22222222222222" style="89" customWidth="1"/>
    <col min="4611" max="4611" width="6.22222222222222" style="89" customWidth="1"/>
    <col min="4612" max="4612" width="33.4444444444444" style="89" customWidth="1"/>
    <col min="4613" max="4613" width="18" style="89" customWidth="1"/>
    <col min="4614" max="4614" width="27.6666666666667" style="89" customWidth="1"/>
    <col min="4615" max="4615" width="28.8888888888889" style="89" bestFit="1" customWidth="1"/>
    <col min="4616" max="4616" width="3" style="89" customWidth="1"/>
    <col min="4617" max="4617" width="23.4444444444444" style="89" customWidth="1"/>
    <col min="4618" max="4618" width="9.22222222222222" style="89"/>
    <col min="4619" max="4619" width="17.8888888888889" style="89" bestFit="1" customWidth="1"/>
    <col min="4620" max="4864" width="9.22222222222222" style="89"/>
    <col min="4865" max="4865" width="7.11111111111111" style="89" customWidth="1"/>
    <col min="4866" max="4866" width="2.22222222222222" style="89" customWidth="1"/>
    <col min="4867" max="4867" width="6.22222222222222" style="89" customWidth="1"/>
    <col min="4868" max="4868" width="33.4444444444444" style="89" customWidth="1"/>
    <col min="4869" max="4869" width="18" style="89" customWidth="1"/>
    <col min="4870" max="4870" width="27.6666666666667" style="89" customWidth="1"/>
    <col min="4871" max="4871" width="28.8888888888889" style="89" bestFit="1" customWidth="1"/>
    <col min="4872" max="4872" width="3" style="89" customWidth="1"/>
    <col min="4873" max="4873" width="23.4444444444444" style="89" customWidth="1"/>
    <col min="4874" max="4874" width="9.22222222222222" style="89"/>
    <col min="4875" max="4875" width="17.8888888888889" style="89" bestFit="1" customWidth="1"/>
    <col min="4876" max="5120" width="9.22222222222222" style="89"/>
    <col min="5121" max="5121" width="7.11111111111111" style="89" customWidth="1"/>
    <col min="5122" max="5122" width="2.22222222222222" style="89" customWidth="1"/>
    <col min="5123" max="5123" width="6.22222222222222" style="89" customWidth="1"/>
    <col min="5124" max="5124" width="33.4444444444444" style="89" customWidth="1"/>
    <col min="5125" max="5125" width="18" style="89" customWidth="1"/>
    <col min="5126" max="5126" width="27.6666666666667" style="89" customWidth="1"/>
    <col min="5127" max="5127" width="28.8888888888889" style="89" bestFit="1" customWidth="1"/>
    <col min="5128" max="5128" width="3" style="89" customWidth="1"/>
    <col min="5129" max="5129" width="23.4444444444444" style="89" customWidth="1"/>
    <col min="5130" max="5130" width="9.22222222222222" style="89"/>
    <col min="5131" max="5131" width="17.8888888888889" style="89" bestFit="1" customWidth="1"/>
    <col min="5132" max="5376" width="9.22222222222222" style="89"/>
    <col min="5377" max="5377" width="7.11111111111111" style="89" customWidth="1"/>
    <col min="5378" max="5378" width="2.22222222222222" style="89" customWidth="1"/>
    <col min="5379" max="5379" width="6.22222222222222" style="89" customWidth="1"/>
    <col min="5380" max="5380" width="33.4444444444444" style="89" customWidth="1"/>
    <col min="5381" max="5381" width="18" style="89" customWidth="1"/>
    <col min="5382" max="5382" width="27.6666666666667" style="89" customWidth="1"/>
    <col min="5383" max="5383" width="28.8888888888889" style="89" bestFit="1" customWidth="1"/>
    <col min="5384" max="5384" width="3" style="89" customWidth="1"/>
    <col min="5385" max="5385" width="23.4444444444444" style="89" customWidth="1"/>
    <col min="5386" max="5386" width="9.22222222222222" style="89"/>
    <col min="5387" max="5387" width="17.8888888888889" style="89" bestFit="1" customWidth="1"/>
    <col min="5388" max="5632" width="9.22222222222222" style="89"/>
    <col min="5633" max="5633" width="7.11111111111111" style="89" customWidth="1"/>
    <col min="5634" max="5634" width="2.22222222222222" style="89" customWidth="1"/>
    <col min="5635" max="5635" width="6.22222222222222" style="89" customWidth="1"/>
    <col min="5636" max="5636" width="33.4444444444444" style="89" customWidth="1"/>
    <col min="5637" max="5637" width="18" style="89" customWidth="1"/>
    <col min="5638" max="5638" width="27.6666666666667" style="89" customWidth="1"/>
    <col min="5639" max="5639" width="28.8888888888889" style="89" bestFit="1" customWidth="1"/>
    <col min="5640" max="5640" width="3" style="89" customWidth="1"/>
    <col min="5641" max="5641" width="23.4444444444444" style="89" customWidth="1"/>
    <col min="5642" max="5642" width="9.22222222222222" style="89"/>
    <col min="5643" max="5643" width="17.8888888888889" style="89" bestFit="1" customWidth="1"/>
    <col min="5644" max="5888" width="9.22222222222222" style="89"/>
    <col min="5889" max="5889" width="7.11111111111111" style="89" customWidth="1"/>
    <col min="5890" max="5890" width="2.22222222222222" style="89" customWidth="1"/>
    <col min="5891" max="5891" width="6.22222222222222" style="89" customWidth="1"/>
    <col min="5892" max="5892" width="33.4444444444444" style="89" customWidth="1"/>
    <col min="5893" max="5893" width="18" style="89" customWidth="1"/>
    <col min="5894" max="5894" width="27.6666666666667" style="89" customWidth="1"/>
    <col min="5895" max="5895" width="28.8888888888889" style="89" bestFit="1" customWidth="1"/>
    <col min="5896" max="5896" width="3" style="89" customWidth="1"/>
    <col min="5897" max="5897" width="23.4444444444444" style="89" customWidth="1"/>
    <col min="5898" max="5898" width="9.22222222222222" style="89"/>
    <col min="5899" max="5899" width="17.8888888888889" style="89" bestFit="1" customWidth="1"/>
    <col min="5900" max="6144" width="9.22222222222222" style="89"/>
    <col min="6145" max="6145" width="7.11111111111111" style="89" customWidth="1"/>
    <col min="6146" max="6146" width="2.22222222222222" style="89" customWidth="1"/>
    <col min="6147" max="6147" width="6.22222222222222" style="89" customWidth="1"/>
    <col min="6148" max="6148" width="33.4444444444444" style="89" customWidth="1"/>
    <col min="6149" max="6149" width="18" style="89" customWidth="1"/>
    <col min="6150" max="6150" width="27.6666666666667" style="89" customWidth="1"/>
    <col min="6151" max="6151" width="28.8888888888889" style="89" bestFit="1" customWidth="1"/>
    <col min="6152" max="6152" width="3" style="89" customWidth="1"/>
    <col min="6153" max="6153" width="23.4444444444444" style="89" customWidth="1"/>
    <col min="6154" max="6154" width="9.22222222222222" style="89"/>
    <col min="6155" max="6155" width="17.8888888888889" style="89" bestFit="1" customWidth="1"/>
    <col min="6156" max="6400" width="9.22222222222222" style="89"/>
    <col min="6401" max="6401" width="7.11111111111111" style="89" customWidth="1"/>
    <col min="6402" max="6402" width="2.22222222222222" style="89" customWidth="1"/>
    <col min="6403" max="6403" width="6.22222222222222" style="89" customWidth="1"/>
    <col min="6404" max="6404" width="33.4444444444444" style="89" customWidth="1"/>
    <col min="6405" max="6405" width="18" style="89" customWidth="1"/>
    <col min="6406" max="6406" width="27.6666666666667" style="89" customWidth="1"/>
    <col min="6407" max="6407" width="28.8888888888889" style="89" bestFit="1" customWidth="1"/>
    <col min="6408" max="6408" width="3" style="89" customWidth="1"/>
    <col min="6409" max="6409" width="23.4444444444444" style="89" customWidth="1"/>
    <col min="6410" max="6410" width="9.22222222222222" style="89"/>
    <col min="6411" max="6411" width="17.8888888888889" style="89" bestFit="1" customWidth="1"/>
    <col min="6412" max="6656" width="9.22222222222222" style="89"/>
    <col min="6657" max="6657" width="7.11111111111111" style="89" customWidth="1"/>
    <col min="6658" max="6658" width="2.22222222222222" style="89" customWidth="1"/>
    <col min="6659" max="6659" width="6.22222222222222" style="89" customWidth="1"/>
    <col min="6660" max="6660" width="33.4444444444444" style="89" customWidth="1"/>
    <col min="6661" max="6661" width="18" style="89" customWidth="1"/>
    <col min="6662" max="6662" width="27.6666666666667" style="89" customWidth="1"/>
    <col min="6663" max="6663" width="28.8888888888889" style="89" bestFit="1" customWidth="1"/>
    <col min="6664" max="6664" width="3" style="89" customWidth="1"/>
    <col min="6665" max="6665" width="23.4444444444444" style="89" customWidth="1"/>
    <col min="6666" max="6666" width="9.22222222222222" style="89"/>
    <col min="6667" max="6667" width="17.8888888888889" style="89" bestFit="1" customWidth="1"/>
    <col min="6668" max="6912" width="9.22222222222222" style="89"/>
    <col min="6913" max="6913" width="7.11111111111111" style="89" customWidth="1"/>
    <col min="6914" max="6914" width="2.22222222222222" style="89" customWidth="1"/>
    <col min="6915" max="6915" width="6.22222222222222" style="89" customWidth="1"/>
    <col min="6916" max="6916" width="33.4444444444444" style="89" customWidth="1"/>
    <col min="6917" max="6917" width="18" style="89" customWidth="1"/>
    <col min="6918" max="6918" width="27.6666666666667" style="89" customWidth="1"/>
    <col min="6919" max="6919" width="28.8888888888889" style="89" bestFit="1" customWidth="1"/>
    <col min="6920" max="6920" width="3" style="89" customWidth="1"/>
    <col min="6921" max="6921" width="23.4444444444444" style="89" customWidth="1"/>
    <col min="6922" max="6922" width="9.22222222222222" style="89"/>
    <col min="6923" max="6923" width="17.8888888888889" style="89" bestFit="1" customWidth="1"/>
    <col min="6924" max="7168" width="9.22222222222222" style="89"/>
    <col min="7169" max="7169" width="7.11111111111111" style="89" customWidth="1"/>
    <col min="7170" max="7170" width="2.22222222222222" style="89" customWidth="1"/>
    <col min="7171" max="7171" width="6.22222222222222" style="89" customWidth="1"/>
    <col min="7172" max="7172" width="33.4444444444444" style="89" customWidth="1"/>
    <col min="7173" max="7173" width="18" style="89" customWidth="1"/>
    <col min="7174" max="7174" width="27.6666666666667" style="89" customWidth="1"/>
    <col min="7175" max="7175" width="28.8888888888889" style="89" bestFit="1" customWidth="1"/>
    <col min="7176" max="7176" width="3" style="89" customWidth="1"/>
    <col min="7177" max="7177" width="23.4444444444444" style="89" customWidth="1"/>
    <col min="7178" max="7178" width="9.22222222222222" style="89"/>
    <col min="7179" max="7179" width="17.8888888888889" style="89" bestFit="1" customWidth="1"/>
    <col min="7180" max="7424" width="9.22222222222222" style="89"/>
    <col min="7425" max="7425" width="7.11111111111111" style="89" customWidth="1"/>
    <col min="7426" max="7426" width="2.22222222222222" style="89" customWidth="1"/>
    <col min="7427" max="7427" width="6.22222222222222" style="89" customWidth="1"/>
    <col min="7428" max="7428" width="33.4444444444444" style="89" customWidth="1"/>
    <col min="7429" max="7429" width="18" style="89" customWidth="1"/>
    <col min="7430" max="7430" width="27.6666666666667" style="89" customWidth="1"/>
    <col min="7431" max="7431" width="28.8888888888889" style="89" bestFit="1" customWidth="1"/>
    <col min="7432" max="7432" width="3" style="89" customWidth="1"/>
    <col min="7433" max="7433" width="23.4444444444444" style="89" customWidth="1"/>
    <col min="7434" max="7434" width="9.22222222222222" style="89"/>
    <col min="7435" max="7435" width="17.8888888888889" style="89" bestFit="1" customWidth="1"/>
    <col min="7436" max="7680" width="9.22222222222222" style="89"/>
    <col min="7681" max="7681" width="7.11111111111111" style="89" customWidth="1"/>
    <col min="7682" max="7682" width="2.22222222222222" style="89" customWidth="1"/>
    <col min="7683" max="7683" width="6.22222222222222" style="89" customWidth="1"/>
    <col min="7684" max="7684" width="33.4444444444444" style="89" customWidth="1"/>
    <col min="7685" max="7685" width="18" style="89" customWidth="1"/>
    <col min="7686" max="7686" width="27.6666666666667" style="89" customWidth="1"/>
    <col min="7687" max="7687" width="28.8888888888889" style="89" bestFit="1" customWidth="1"/>
    <col min="7688" max="7688" width="3" style="89" customWidth="1"/>
    <col min="7689" max="7689" width="23.4444444444444" style="89" customWidth="1"/>
    <col min="7690" max="7690" width="9.22222222222222" style="89"/>
    <col min="7691" max="7691" width="17.8888888888889" style="89" bestFit="1" customWidth="1"/>
    <col min="7692" max="7936" width="9.22222222222222" style="89"/>
    <col min="7937" max="7937" width="7.11111111111111" style="89" customWidth="1"/>
    <col min="7938" max="7938" width="2.22222222222222" style="89" customWidth="1"/>
    <col min="7939" max="7939" width="6.22222222222222" style="89" customWidth="1"/>
    <col min="7940" max="7940" width="33.4444444444444" style="89" customWidth="1"/>
    <col min="7941" max="7941" width="18" style="89" customWidth="1"/>
    <col min="7942" max="7942" width="27.6666666666667" style="89" customWidth="1"/>
    <col min="7943" max="7943" width="28.8888888888889" style="89" bestFit="1" customWidth="1"/>
    <col min="7944" max="7944" width="3" style="89" customWidth="1"/>
    <col min="7945" max="7945" width="23.4444444444444" style="89" customWidth="1"/>
    <col min="7946" max="7946" width="9.22222222222222" style="89"/>
    <col min="7947" max="7947" width="17.8888888888889" style="89" bestFit="1" customWidth="1"/>
    <col min="7948" max="8192" width="9.22222222222222" style="89"/>
    <col min="8193" max="8193" width="7.11111111111111" style="89" customWidth="1"/>
    <col min="8194" max="8194" width="2.22222222222222" style="89" customWidth="1"/>
    <col min="8195" max="8195" width="6.22222222222222" style="89" customWidth="1"/>
    <col min="8196" max="8196" width="33.4444444444444" style="89" customWidth="1"/>
    <col min="8197" max="8197" width="18" style="89" customWidth="1"/>
    <col min="8198" max="8198" width="27.6666666666667" style="89" customWidth="1"/>
    <col min="8199" max="8199" width="28.8888888888889" style="89" bestFit="1" customWidth="1"/>
    <col min="8200" max="8200" width="3" style="89" customWidth="1"/>
    <col min="8201" max="8201" width="23.4444444444444" style="89" customWidth="1"/>
    <col min="8202" max="8202" width="9.22222222222222" style="89"/>
    <col min="8203" max="8203" width="17.8888888888889" style="89" bestFit="1" customWidth="1"/>
    <col min="8204" max="8448" width="9.22222222222222" style="89"/>
    <col min="8449" max="8449" width="7.11111111111111" style="89" customWidth="1"/>
    <col min="8450" max="8450" width="2.22222222222222" style="89" customWidth="1"/>
    <col min="8451" max="8451" width="6.22222222222222" style="89" customWidth="1"/>
    <col min="8452" max="8452" width="33.4444444444444" style="89" customWidth="1"/>
    <col min="8453" max="8453" width="18" style="89" customWidth="1"/>
    <col min="8454" max="8454" width="27.6666666666667" style="89" customWidth="1"/>
    <col min="8455" max="8455" width="28.8888888888889" style="89" bestFit="1" customWidth="1"/>
    <col min="8456" max="8456" width="3" style="89" customWidth="1"/>
    <col min="8457" max="8457" width="23.4444444444444" style="89" customWidth="1"/>
    <col min="8458" max="8458" width="9.22222222222222" style="89"/>
    <col min="8459" max="8459" width="17.8888888888889" style="89" bestFit="1" customWidth="1"/>
    <col min="8460" max="8704" width="9.22222222222222" style="89"/>
    <col min="8705" max="8705" width="7.11111111111111" style="89" customWidth="1"/>
    <col min="8706" max="8706" width="2.22222222222222" style="89" customWidth="1"/>
    <col min="8707" max="8707" width="6.22222222222222" style="89" customWidth="1"/>
    <col min="8708" max="8708" width="33.4444444444444" style="89" customWidth="1"/>
    <col min="8709" max="8709" width="18" style="89" customWidth="1"/>
    <col min="8710" max="8710" width="27.6666666666667" style="89" customWidth="1"/>
    <col min="8711" max="8711" width="28.8888888888889" style="89" bestFit="1" customWidth="1"/>
    <col min="8712" max="8712" width="3" style="89" customWidth="1"/>
    <col min="8713" max="8713" width="23.4444444444444" style="89" customWidth="1"/>
    <col min="8714" max="8714" width="9.22222222222222" style="89"/>
    <col min="8715" max="8715" width="17.8888888888889" style="89" bestFit="1" customWidth="1"/>
    <col min="8716" max="8960" width="9.22222222222222" style="89"/>
    <col min="8961" max="8961" width="7.11111111111111" style="89" customWidth="1"/>
    <col min="8962" max="8962" width="2.22222222222222" style="89" customWidth="1"/>
    <col min="8963" max="8963" width="6.22222222222222" style="89" customWidth="1"/>
    <col min="8964" max="8964" width="33.4444444444444" style="89" customWidth="1"/>
    <col min="8965" max="8965" width="18" style="89" customWidth="1"/>
    <col min="8966" max="8966" width="27.6666666666667" style="89" customWidth="1"/>
    <col min="8967" max="8967" width="28.8888888888889" style="89" bestFit="1" customWidth="1"/>
    <col min="8968" max="8968" width="3" style="89" customWidth="1"/>
    <col min="8969" max="8969" width="23.4444444444444" style="89" customWidth="1"/>
    <col min="8970" max="8970" width="9.22222222222222" style="89"/>
    <col min="8971" max="8971" width="17.8888888888889" style="89" bestFit="1" customWidth="1"/>
    <col min="8972" max="9216" width="9.22222222222222" style="89"/>
    <col min="9217" max="9217" width="7.11111111111111" style="89" customWidth="1"/>
    <col min="9218" max="9218" width="2.22222222222222" style="89" customWidth="1"/>
    <col min="9219" max="9219" width="6.22222222222222" style="89" customWidth="1"/>
    <col min="9220" max="9220" width="33.4444444444444" style="89" customWidth="1"/>
    <col min="9221" max="9221" width="18" style="89" customWidth="1"/>
    <col min="9222" max="9222" width="27.6666666666667" style="89" customWidth="1"/>
    <col min="9223" max="9223" width="28.8888888888889" style="89" bestFit="1" customWidth="1"/>
    <col min="9224" max="9224" width="3" style="89" customWidth="1"/>
    <col min="9225" max="9225" width="23.4444444444444" style="89" customWidth="1"/>
    <col min="9226" max="9226" width="9.22222222222222" style="89"/>
    <col min="9227" max="9227" width="17.8888888888889" style="89" bestFit="1" customWidth="1"/>
    <col min="9228" max="9472" width="9.22222222222222" style="89"/>
    <col min="9473" max="9473" width="7.11111111111111" style="89" customWidth="1"/>
    <col min="9474" max="9474" width="2.22222222222222" style="89" customWidth="1"/>
    <col min="9475" max="9475" width="6.22222222222222" style="89" customWidth="1"/>
    <col min="9476" max="9476" width="33.4444444444444" style="89" customWidth="1"/>
    <col min="9477" max="9477" width="18" style="89" customWidth="1"/>
    <col min="9478" max="9478" width="27.6666666666667" style="89" customWidth="1"/>
    <col min="9479" max="9479" width="28.8888888888889" style="89" bestFit="1" customWidth="1"/>
    <col min="9480" max="9480" width="3" style="89" customWidth="1"/>
    <col min="9481" max="9481" width="23.4444444444444" style="89" customWidth="1"/>
    <col min="9482" max="9482" width="9.22222222222222" style="89"/>
    <col min="9483" max="9483" width="17.8888888888889" style="89" bestFit="1" customWidth="1"/>
    <col min="9484" max="9728" width="9.22222222222222" style="89"/>
    <col min="9729" max="9729" width="7.11111111111111" style="89" customWidth="1"/>
    <col min="9730" max="9730" width="2.22222222222222" style="89" customWidth="1"/>
    <col min="9731" max="9731" width="6.22222222222222" style="89" customWidth="1"/>
    <col min="9732" max="9732" width="33.4444444444444" style="89" customWidth="1"/>
    <col min="9733" max="9733" width="18" style="89" customWidth="1"/>
    <col min="9734" max="9734" width="27.6666666666667" style="89" customWidth="1"/>
    <col min="9735" max="9735" width="28.8888888888889" style="89" bestFit="1" customWidth="1"/>
    <col min="9736" max="9736" width="3" style="89" customWidth="1"/>
    <col min="9737" max="9737" width="23.4444444444444" style="89" customWidth="1"/>
    <col min="9738" max="9738" width="9.22222222222222" style="89"/>
    <col min="9739" max="9739" width="17.8888888888889" style="89" bestFit="1" customWidth="1"/>
    <col min="9740" max="9984" width="9.22222222222222" style="89"/>
    <col min="9985" max="9985" width="7.11111111111111" style="89" customWidth="1"/>
    <col min="9986" max="9986" width="2.22222222222222" style="89" customWidth="1"/>
    <col min="9987" max="9987" width="6.22222222222222" style="89" customWidth="1"/>
    <col min="9988" max="9988" width="33.4444444444444" style="89" customWidth="1"/>
    <col min="9989" max="9989" width="18" style="89" customWidth="1"/>
    <col min="9990" max="9990" width="27.6666666666667" style="89" customWidth="1"/>
    <col min="9991" max="9991" width="28.8888888888889" style="89" bestFit="1" customWidth="1"/>
    <col min="9992" max="9992" width="3" style="89" customWidth="1"/>
    <col min="9993" max="9993" width="23.4444444444444" style="89" customWidth="1"/>
    <col min="9994" max="9994" width="9.22222222222222" style="89"/>
    <col min="9995" max="9995" width="17.8888888888889" style="89" bestFit="1" customWidth="1"/>
    <col min="9996" max="10240" width="9.22222222222222" style="89"/>
    <col min="10241" max="10241" width="7.11111111111111" style="89" customWidth="1"/>
    <col min="10242" max="10242" width="2.22222222222222" style="89" customWidth="1"/>
    <col min="10243" max="10243" width="6.22222222222222" style="89" customWidth="1"/>
    <col min="10244" max="10244" width="33.4444444444444" style="89" customWidth="1"/>
    <col min="10245" max="10245" width="18" style="89" customWidth="1"/>
    <col min="10246" max="10246" width="27.6666666666667" style="89" customWidth="1"/>
    <col min="10247" max="10247" width="28.8888888888889" style="89" bestFit="1" customWidth="1"/>
    <col min="10248" max="10248" width="3" style="89" customWidth="1"/>
    <col min="10249" max="10249" width="23.4444444444444" style="89" customWidth="1"/>
    <col min="10250" max="10250" width="9.22222222222222" style="89"/>
    <col min="10251" max="10251" width="17.8888888888889" style="89" bestFit="1" customWidth="1"/>
    <col min="10252" max="10496" width="9.22222222222222" style="89"/>
    <col min="10497" max="10497" width="7.11111111111111" style="89" customWidth="1"/>
    <col min="10498" max="10498" width="2.22222222222222" style="89" customWidth="1"/>
    <col min="10499" max="10499" width="6.22222222222222" style="89" customWidth="1"/>
    <col min="10500" max="10500" width="33.4444444444444" style="89" customWidth="1"/>
    <col min="10501" max="10501" width="18" style="89" customWidth="1"/>
    <col min="10502" max="10502" width="27.6666666666667" style="89" customWidth="1"/>
    <col min="10503" max="10503" width="28.8888888888889" style="89" bestFit="1" customWidth="1"/>
    <col min="10504" max="10504" width="3" style="89" customWidth="1"/>
    <col min="10505" max="10505" width="23.4444444444444" style="89" customWidth="1"/>
    <col min="10506" max="10506" width="9.22222222222222" style="89"/>
    <col min="10507" max="10507" width="17.8888888888889" style="89" bestFit="1" customWidth="1"/>
    <col min="10508" max="10752" width="9.22222222222222" style="89"/>
    <col min="10753" max="10753" width="7.11111111111111" style="89" customWidth="1"/>
    <col min="10754" max="10754" width="2.22222222222222" style="89" customWidth="1"/>
    <col min="10755" max="10755" width="6.22222222222222" style="89" customWidth="1"/>
    <col min="10756" max="10756" width="33.4444444444444" style="89" customWidth="1"/>
    <col min="10757" max="10757" width="18" style="89" customWidth="1"/>
    <col min="10758" max="10758" width="27.6666666666667" style="89" customWidth="1"/>
    <col min="10759" max="10759" width="28.8888888888889" style="89" bestFit="1" customWidth="1"/>
    <col min="10760" max="10760" width="3" style="89" customWidth="1"/>
    <col min="10761" max="10761" width="23.4444444444444" style="89" customWidth="1"/>
    <col min="10762" max="10762" width="9.22222222222222" style="89"/>
    <col min="10763" max="10763" width="17.8888888888889" style="89" bestFit="1" customWidth="1"/>
    <col min="10764" max="11008" width="9.22222222222222" style="89"/>
    <col min="11009" max="11009" width="7.11111111111111" style="89" customWidth="1"/>
    <col min="11010" max="11010" width="2.22222222222222" style="89" customWidth="1"/>
    <col min="11011" max="11011" width="6.22222222222222" style="89" customWidth="1"/>
    <col min="11012" max="11012" width="33.4444444444444" style="89" customWidth="1"/>
    <col min="11013" max="11013" width="18" style="89" customWidth="1"/>
    <col min="11014" max="11014" width="27.6666666666667" style="89" customWidth="1"/>
    <col min="11015" max="11015" width="28.8888888888889" style="89" bestFit="1" customWidth="1"/>
    <col min="11016" max="11016" width="3" style="89" customWidth="1"/>
    <col min="11017" max="11017" width="23.4444444444444" style="89" customWidth="1"/>
    <col min="11018" max="11018" width="9.22222222222222" style="89"/>
    <col min="11019" max="11019" width="17.8888888888889" style="89" bestFit="1" customWidth="1"/>
    <col min="11020" max="11264" width="9.22222222222222" style="89"/>
    <col min="11265" max="11265" width="7.11111111111111" style="89" customWidth="1"/>
    <col min="11266" max="11266" width="2.22222222222222" style="89" customWidth="1"/>
    <col min="11267" max="11267" width="6.22222222222222" style="89" customWidth="1"/>
    <col min="11268" max="11268" width="33.4444444444444" style="89" customWidth="1"/>
    <col min="11269" max="11269" width="18" style="89" customWidth="1"/>
    <col min="11270" max="11270" width="27.6666666666667" style="89" customWidth="1"/>
    <col min="11271" max="11271" width="28.8888888888889" style="89" bestFit="1" customWidth="1"/>
    <col min="11272" max="11272" width="3" style="89" customWidth="1"/>
    <col min="11273" max="11273" width="23.4444444444444" style="89" customWidth="1"/>
    <col min="11274" max="11274" width="9.22222222222222" style="89"/>
    <col min="11275" max="11275" width="17.8888888888889" style="89" bestFit="1" customWidth="1"/>
    <col min="11276" max="11520" width="9.22222222222222" style="89"/>
    <col min="11521" max="11521" width="7.11111111111111" style="89" customWidth="1"/>
    <col min="11522" max="11522" width="2.22222222222222" style="89" customWidth="1"/>
    <col min="11523" max="11523" width="6.22222222222222" style="89" customWidth="1"/>
    <col min="11524" max="11524" width="33.4444444444444" style="89" customWidth="1"/>
    <col min="11525" max="11525" width="18" style="89" customWidth="1"/>
    <col min="11526" max="11526" width="27.6666666666667" style="89" customWidth="1"/>
    <col min="11527" max="11527" width="28.8888888888889" style="89" bestFit="1" customWidth="1"/>
    <col min="11528" max="11528" width="3" style="89" customWidth="1"/>
    <col min="11529" max="11529" width="23.4444444444444" style="89" customWidth="1"/>
    <col min="11530" max="11530" width="9.22222222222222" style="89"/>
    <col min="11531" max="11531" width="17.8888888888889" style="89" bestFit="1" customWidth="1"/>
    <col min="11532" max="11776" width="9.22222222222222" style="89"/>
    <col min="11777" max="11777" width="7.11111111111111" style="89" customWidth="1"/>
    <col min="11778" max="11778" width="2.22222222222222" style="89" customWidth="1"/>
    <col min="11779" max="11779" width="6.22222222222222" style="89" customWidth="1"/>
    <col min="11780" max="11780" width="33.4444444444444" style="89" customWidth="1"/>
    <col min="11781" max="11781" width="18" style="89" customWidth="1"/>
    <col min="11782" max="11782" width="27.6666666666667" style="89" customWidth="1"/>
    <col min="11783" max="11783" width="28.8888888888889" style="89" bestFit="1" customWidth="1"/>
    <col min="11784" max="11784" width="3" style="89" customWidth="1"/>
    <col min="11785" max="11785" width="23.4444444444444" style="89" customWidth="1"/>
    <col min="11786" max="11786" width="9.22222222222222" style="89"/>
    <col min="11787" max="11787" width="17.8888888888889" style="89" bestFit="1" customWidth="1"/>
    <col min="11788" max="12032" width="9.22222222222222" style="89"/>
    <col min="12033" max="12033" width="7.11111111111111" style="89" customWidth="1"/>
    <col min="12034" max="12034" width="2.22222222222222" style="89" customWidth="1"/>
    <col min="12035" max="12035" width="6.22222222222222" style="89" customWidth="1"/>
    <col min="12036" max="12036" width="33.4444444444444" style="89" customWidth="1"/>
    <col min="12037" max="12037" width="18" style="89" customWidth="1"/>
    <col min="12038" max="12038" width="27.6666666666667" style="89" customWidth="1"/>
    <col min="12039" max="12039" width="28.8888888888889" style="89" bestFit="1" customWidth="1"/>
    <col min="12040" max="12040" width="3" style="89" customWidth="1"/>
    <col min="12041" max="12041" width="23.4444444444444" style="89" customWidth="1"/>
    <col min="12042" max="12042" width="9.22222222222222" style="89"/>
    <col min="12043" max="12043" width="17.8888888888889" style="89" bestFit="1" customWidth="1"/>
    <col min="12044" max="12288" width="9.22222222222222" style="89"/>
    <col min="12289" max="12289" width="7.11111111111111" style="89" customWidth="1"/>
    <col min="12290" max="12290" width="2.22222222222222" style="89" customWidth="1"/>
    <col min="12291" max="12291" width="6.22222222222222" style="89" customWidth="1"/>
    <col min="12292" max="12292" width="33.4444444444444" style="89" customWidth="1"/>
    <col min="12293" max="12293" width="18" style="89" customWidth="1"/>
    <col min="12294" max="12294" width="27.6666666666667" style="89" customWidth="1"/>
    <col min="12295" max="12295" width="28.8888888888889" style="89" bestFit="1" customWidth="1"/>
    <col min="12296" max="12296" width="3" style="89" customWidth="1"/>
    <col min="12297" max="12297" width="23.4444444444444" style="89" customWidth="1"/>
    <col min="12298" max="12298" width="9.22222222222222" style="89"/>
    <col min="12299" max="12299" width="17.8888888888889" style="89" bestFit="1" customWidth="1"/>
    <col min="12300" max="12544" width="9.22222222222222" style="89"/>
    <col min="12545" max="12545" width="7.11111111111111" style="89" customWidth="1"/>
    <col min="12546" max="12546" width="2.22222222222222" style="89" customWidth="1"/>
    <col min="12547" max="12547" width="6.22222222222222" style="89" customWidth="1"/>
    <col min="12548" max="12548" width="33.4444444444444" style="89" customWidth="1"/>
    <col min="12549" max="12549" width="18" style="89" customWidth="1"/>
    <col min="12550" max="12550" width="27.6666666666667" style="89" customWidth="1"/>
    <col min="12551" max="12551" width="28.8888888888889" style="89" bestFit="1" customWidth="1"/>
    <col min="12552" max="12552" width="3" style="89" customWidth="1"/>
    <col min="12553" max="12553" width="23.4444444444444" style="89" customWidth="1"/>
    <col min="12554" max="12554" width="9.22222222222222" style="89"/>
    <col min="12555" max="12555" width="17.8888888888889" style="89" bestFit="1" customWidth="1"/>
    <col min="12556" max="12800" width="9.22222222222222" style="89"/>
    <col min="12801" max="12801" width="7.11111111111111" style="89" customWidth="1"/>
    <col min="12802" max="12802" width="2.22222222222222" style="89" customWidth="1"/>
    <col min="12803" max="12803" width="6.22222222222222" style="89" customWidth="1"/>
    <col min="12804" max="12804" width="33.4444444444444" style="89" customWidth="1"/>
    <col min="12805" max="12805" width="18" style="89" customWidth="1"/>
    <col min="12806" max="12806" width="27.6666666666667" style="89" customWidth="1"/>
    <col min="12807" max="12807" width="28.8888888888889" style="89" bestFit="1" customWidth="1"/>
    <col min="12808" max="12808" width="3" style="89" customWidth="1"/>
    <col min="12809" max="12809" width="23.4444444444444" style="89" customWidth="1"/>
    <col min="12810" max="12810" width="9.22222222222222" style="89"/>
    <col min="12811" max="12811" width="17.8888888888889" style="89" bestFit="1" customWidth="1"/>
    <col min="12812" max="13056" width="9.22222222222222" style="89"/>
    <col min="13057" max="13057" width="7.11111111111111" style="89" customWidth="1"/>
    <col min="13058" max="13058" width="2.22222222222222" style="89" customWidth="1"/>
    <col min="13059" max="13059" width="6.22222222222222" style="89" customWidth="1"/>
    <col min="13060" max="13060" width="33.4444444444444" style="89" customWidth="1"/>
    <col min="13061" max="13061" width="18" style="89" customWidth="1"/>
    <col min="13062" max="13062" width="27.6666666666667" style="89" customWidth="1"/>
    <col min="13063" max="13063" width="28.8888888888889" style="89" bestFit="1" customWidth="1"/>
    <col min="13064" max="13064" width="3" style="89" customWidth="1"/>
    <col min="13065" max="13065" width="23.4444444444444" style="89" customWidth="1"/>
    <col min="13066" max="13066" width="9.22222222222222" style="89"/>
    <col min="13067" max="13067" width="17.8888888888889" style="89" bestFit="1" customWidth="1"/>
    <col min="13068" max="13312" width="9.22222222222222" style="89"/>
    <col min="13313" max="13313" width="7.11111111111111" style="89" customWidth="1"/>
    <col min="13314" max="13314" width="2.22222222222222" style="89" customWidth="1"/>
    <col min="13315" max="13315" width="6.22222222222222" style="89" customWidth="1"/>
    <col min="13316" max="13316" width="33.4444444444444" style="89" customWidth="1"/>
    <col min="13317" max="13317" width="18" style="89" customWidth="1"/>
    <col min="13318" max="13318" width="27.6666666666667" style="89" customWidth="1"/>
    <col min="13319" max="13319" width="28.8888888888889" style="89" bestFit="1" customWidth="1"/>
    <col min="13320" max="13320" width="3" style="89" customWidth="1"/>
    <col min="13321" max="13321" width="23.4444444444444" style="89" customWidth="1"/>
    <col min="13322" max="13322" width="9.22222222222222" style="89"/>
    <col min="13323" max="13323" width="17.8888888888889" style="89" bestFit="1" customWidth="1"/>
    <col min="13324" max="13568" width="9.22222222222222" style="89"/>
    <col min="13569" max="13569" width="7.11111111111111" style="89" customWidth="1"/>
    <col min="13570" max="13570" width="2.22222222222222" style="89" customWidth="1"/>
    <col min="13571" max="13571" width="6.22222222222222" style="89" customWidth="1"/>
    <col min="13572" max="13572" width="33.4444444444444" style="89" customWidth="1"/>
    <col min="13573" max="13573" width="18" style="89" customWidth="1"/>
    <col min="13574" max="13574" width="27.6666666666667" style="89" customWidth="1"/>
    <col min="13575" max="13575" width="28.8888888888889" style="89" bestFit="1" customWidth="1"/>
    <col min="13576" max="13576" width="3" style="89" customWidth="1"/>
    <col min="13577" max="13577" width="23.4444444444444" style="89" customWidth="1"/>
    <col min="13578" max="13578" width="9.22222222222222" style="89"/>
    <col min="13579" max="13579" width="17.8888888888889" style="89" bestFit="1" customWidth="1"/>
    <col min="13580" max="13824" width="9.22222222222222" style="89"/>
    <col min="13825" max="13825" width="7.11111111111111" style="89" customWidth="1"/>
    <col min="13826" max="13826" width="2.22222222222222" style="89" customWidth="1"/>
    <col min="13827" max="13827" width="6.22222222222222" style="89" customWidth="1"/>
    <col min="13828" max="13828" width="33.4444444444444" style="89" customWidth="1"/>
    <col min="13829" max="13829" width="18" style="89" customWidth="1"/>
    <col min="13830" max="13830" width="27.6666666666667" style="89" customWidth="1"/>
    <col min="13831" max="13831" width="28.8888888888889" style="89" bestFit="1" customWidth="1"/>
    <col min="13832" max="13832" width="3" style="89" customWidth="1"/>
    <col min="13833" max="13833" width="23.4444444444444" style="89" customWidth="1"/>
    <col min="13834" max="13834" width="9.22222222222222" style="89"/>
    <col min="13835" max="13835" width="17.8888888888889" style="89" bestFit="1" customWidth="1"/>
    <col min="13836" max="14080" width="9.22222222222222" style="89"/>
    <col min="14081" max="14081" width="7.11111111111111" style="89" customWidth="1"/>
    <col min="14082" max="14082" width="2.22222222222222" style="89" customWidth="1"/>
    <col min="14083" max="14083" width="6.22222222222222" style="89" customWidth="1"/>
    <col min="14084" max="14084" width="33.4444444444444" style="89" customWidth="1"/>
    <col min="14085" max="14085" width="18" style="89" customWidth="1"/>
    <col min="14086" max="14086" width="27.6666666666667" style="89" customWidth="1"/>
    <col min="14087" max="14087" width="28.8888888888889" style="89" bestFit="1" customWidth="1"/>
    <col min="14088" max="14088" width="3" style="89" customWidth="1"/>
    <col min="14089" max="14089" width="23.4444444444444" style="89" customWidth="1"/>
    <col min="14090" max="14090" width="9.22222222222222" style="89"/>
    <col min="14091" max="14091" width="17.8888888888889" style="89" bestFit="1" customWidth="1"/>
    <col min="14092" max="14336" width="9.22222222222222" style="89"/>
    <col min="14337" max="14337" width="7.11111111111111" style="89" customWidth="1"/>
    <col min="14338" max="14338" width="2.22222222222222" style="89" customWidth="1"/>
    <col min="14339" max="14339" width="6.22222222222222" style="89" customWidth="1"/>
    <col min="14340" max="14340" width="33.4444444444444" style="89" customWidth="1"/>
    <col min="14341" max="14341" width="18" style="89" customWidth="1"/>
    <col min="14342" max="14342" width="27.6666666666667" style="89" customWidth="1"/>
    <col min="14343" max="14343" width="28.8888888888889" style="89" bestFit="1" customWidth="1"/>
    <col min="14344" max="14344" width="3" style="89" customWidth="1"/>
    <col min="14345" max="14345" width="23.4444444444444" style="89" customWidth="1"/>
    <col min="14346" max="14346" width="9.22222222222222" style="89"/>
    <col min="14347" max="14347" width="17.8888888888889" style="89" bestFit="1" customWidth="1"/>
    <col min="14348" max="14592" width="9.22222222222222" style="89"/>
    <col min="14593" max="14593" width="7.11111111111111" style="89" customWidth="1"/>
    <col min="14594" max="14594" width="2.22222222222222" style="89" customWidth="1"/>
    <col min="14595" max="14595" width="6.22222222222222" style="89" customWidth="1"/>
    <col min="14596" max="14596" width="33.4444444444444" style="89" customWidth="1"/>
    <col min="14597" max="14597" width="18" style="89" customWidth="1"/>
    <col min="14598" max="14598" width="27.6666666666667" style="89" customWidth="1"/>
    <col min="14599" max="14599" width="28.8888888888889" style="89" bestFit="1" customWidth="1"/>
    <col min="14600" max="14600" width="3" style="89" customWidth="1"/>
    <col min="14601" max="14601" width="23.4444444444444" style="89" customWidth="1"/>
    <col min="14602" max="14602" width="9.22222222222222" style="89"/>
    <col min="14603" max="14603" width="17.8888888888889" style="89" bestFit="1" customWidth="1"/>
    <col min="14604" max="14848" width="9.22222222222222" style="89"/>
    <col min="14849" max="14849" width="7.11111111111111" style="89" customWidth="1"/>
    <col min="14850" max="14850" width="2.22222222222222" style="89" customWidth="1"/>
    <col min="14851" max="14851" width="6.22222222222222" style="89" customWidth="1"/>
    <col min="14852" max="14852" width="33.4444444444444" style="89" customWidth="1"/>
    <col min="14853" max="14853" width="18" style="89" customWidth="1"/>
    <col min="14854" max="14854" width="27.6666666666667" style="89" customWidth="1"/>
    <col min="14855" max="14855" width="28.8888888888889" style="89" bestFit="1" customWidth="1"/>
    <col min="14856" max="14856" width="3" style="89" customWidth="1"/>
    <col min="14857" max="14857" width="23.4444444444444" style="89" customWidth="1"/>
    <col min="14858" max="14858" width="9.22222222222222" style="89"/>
    <col min="14859" max="14859" width="17.8888888888889" style="89" bestFit="1" customWidth="1"/>
    <col min="14860" max="15104" width="9.22222222222222" style="89"/>
    <col min="15105" max="15105" width="7.11111111111111" style="89" customWidth="1"/>
    <col min="15106" max="15106" width="2.22222222222222" style="89" customWidth="1"/>
    <col min="15107" max="15107" width="6.22222222222222" style="89" customWidth="1"/>
    <col min="15108" max="15108" width="33.4444444444444" style="89" customWidth="1"/>
    <col min="15109" max="15109" width="18" style="89" customWidth="1"/>
    <col min="15110" max="15110" width="27.6666666666667" style="89" customWidth="1"/>
    <col min="15111" max="15111" width="28.8888888888889" style="89" bestFit="1" customWidth="1"/>
    <col min="15112" max="15112" width="3" style="89" customWidth="1"/>
    <col min="15113" max="15113" width="23.4444444444444" style="89" customWidth="1"/>
    <col min="15114" max="15114" width="9.22222222222222" style="89"/>
    <col min="15115" max="15115" width="17.8888888888889" style="89" bestFit="1" customWidth="1"/>
    <col min="15116" max="15360" width="9.22222222222222" style="89"/>
    <col min="15361" max="15361" width="7.11111111111111" style="89" customWidth="1"/>
    <col min="15362" max="15362" width="2.22222222222222" style="89" customWidth="1"/>
    <col min="15363" max="15363" width="6.22222222222222" style="89" customWidth="1"/>
    <col min="15364" max="15364" width="33.4444444444444" style="89" customWidth="1"/>
    <col min="15365" max="15365" width="18" style="89" customWidth="1"/>
    <col min="15366" max="15366" width="27.6666666666667" style="89" customWidth="1"/>
    <col min="15367" max="15367" width="28.8888888888889" style="89" bestFit="1" customWidth="1"/>
    <col min="15368" max="15368" width="3" style="89" customWidth="1"/>
    <col min="15369" max="15369" width="23.4444444444444" style="89" customWidth="1"/>
    <col min="15370" max="15370" width="9.22222222222222" style="89"/>
    <col min="15371" max="15371" width="17.8888888888889" style="89" bestFit="1" customWidth="1"/>
    <col min="15372" max="15616" width="9.22222222222222" style="89"/>
    <col min="15617" max="15617" width="7.11111111111111" style="89" customWidth="1"/>
    <col min="15618" max="15618" width="2.22222222222222" style="89" customWidth="1"/>
    <col min="15619" max="15619" width="6.22222222222222" style="89" customWidth="1"/>
    <col min="15620" max="15620" width="33.4444444444444" style="89" customWidth="1"/>
    <col min="15621" max="15621" width="18" style="89" customWidth="1"/>
    <col min="15622" max="15622" width="27.6666666666667" style="89" customWidth="1"/>
    <col min="15623" max="15623" width="28.8888888888889" style="89" bestFit="1" customWidth="1"/>
    <col min="15624" max="15624" width="3" style="89" customWidth="1"/>
    <col min="15625" max="15625" width="23.4444444444444" style="89" customWidth="1"/>
    <col min="15626" max="15626" width="9.22222222222222" style="89"/>
    <col min="15627" max="15627" width="17.8888888888889" style="89" bestFit="1" customWidth="1"/>
    <col min="15628" max="15872" width="9.22222222222222" style="89"/>
    <col min="15873" max="15873" width="7.11111111111111" style="89" customWidth="1"/>
    <col min="15874" max="15874" width="2.22222222222222" style="89" customWidth="1"/>
    <col min="15875" max="15875" width="6.22222222222222" style="89" customWidth="1"/>
    <col min="15876" max="15876" width="33.4444444444444" style="89" customWidth="1"/>
    <col min="15877" max="15877" width="18" style="89" customWidth="1"/>
    <col min="15878" max="15878" width="27.6666666666667" style="89" customWidth="1"/>
    <col min="15879" max="15879" width="28.8888888888889" style="89" bestFit="1" customWidth="1"/>
    <col min="15880" max="15880" width="3" style="89" customWidth="1"/>
    <col min="15881" max="15881" width="23.4444444444444" style="89" customWidth="1"/>
    <col min="15882" max="15882" width="9.22222222222222" style="89"/>
    <col min="15883" max="15883" width="17.8888888888889" style="89" bestFit="1" customWidth="1"/>
    <col min="15884" max="16128" width="9.22222222222222" style="89"/>
    <col min="16129" max="16129" width="7.11111111111111" style="89" customWidth="1"/>
    <col min="16130" max="16130" width="2.22222222222222" style="89" customWidth="1"/>
    <col min="16131" max="16131" width="6.22222222222222" style="89" customWidth="1"/>
    <col min="16132" max="16132" width="33.4444444444444" style="89" customWidth="1"/>
    <col min="16133" max="16133" width="18" style="89" customWidth="1"/>
    <col min="16134" max="16134" width="27.6666666666667" style="89" customWidth="1"/>
    <col min="16135" max="16135" width="28.8888888888889" style="89" bestFit="1" customWidth="1"/>
    <col min="16136" max="16136" width="3" style="89" customWidth="1"/>
    <col min="16137" max="16137" width="23.4444444444444" style="89" customWidth="1"/>
    <col min="16138" max="16138" width="9.22222222222222" style="89"/>
    <col min="16139" max="16139" width="17.8888888888889" style="89" bestFit="1" customWidth="1"/>
    <col min="16140" max="16384" width="9.22222222222222" style="89"/>
  </cols>
  <sheetData>
    <row r="1" spans="1:11" ht="18">
      <c r="A1" s="1177"/>
      <c r="B1" s="1178"/>
      <c r="C1" s="1178"/>
      <c r="D1" s="1178"/>
      <c r="E1" s="1178"/>
      <c r="F1" s="1178"/>
      <c r="G1" s="1178"/>
      <c r="H1" s="1178"/>
      <c r="I1" s="1178"/>
      <c r="K1" s="4" t="s">
        <v>774</v>
      </c>
    </row>
    <row r="2" spans="1:11" ht="18">
      <c r="A2" s="1179" t="s">
        <v>776</v>
      </c>
      <c r="B2" s="1179"/>
      <c r="C2" s="1179"/>
      <c r="D2" s="1179"/>
      <c r="E2" s="1179"/>
      <c r="F2" s="1179"/>
      <c r="G2" s="1179"/>
      <c r="H2" s="1179"/>
      <c r="I2" s="1179"/>
      <c r="J2" s="90"/>
      <c r="K2" s="4" t="s">
        <v>220</v>
      </c>
    </row>
    <row r="3" spans="1:11" ht="18">
      <c r="A3" s="882"/>
      <c r="B3" s="882"/>
      <c r="C3" s="882"/>
      <c r="D3" s="882"/>
      <c r="E3" s="882"/>
      <c r="F3" s="882"/>
      <c r="G3" s="882"/>
      <c r="H3" s="882"/>
      <c r="I3" s="882"/>
      <c r="K3" s="4" t="str">
        <f>'Attachment 1 - Sched 1A'!J3</f>
        <v>For the 12 months ended 12/31/2026</v>
      </c>
    </row>
    <row r="5" spans="1:2" s="91" customFormat="1" ht="15">
      <c r="A5" s="92"/>
      <c r="B5" s="92"/>
    </row>
    <row r="6" spans="1:7" s="91" customFormat="1" ht="15">
      <c r="A6" s="92"/>
      <c r="B6" s="92"/>
      <c r="G6" s="467"/>
    </row>
    <row r="7" spans="1:2" s="91" customFormat="1" ht="15">
      <c r="A7" s="92"/>
      <c r="B7" s="92"/>
    </row>
    <row r="8" spans="1:9" s="91" customFormat="1" ht="15.75">
      <c r="A8" s="93" t="s">
        <v>366</v>
      </c>
      <c r="B8" s="94"/>
      <c r="C8" s="94"/>
      <c r="D8" s="94"/>
      <c r="E8" s="94"/>
      <c r="F8" s="94"/>
      <c r="G8" s="94"/>
      <c r="H8" s="94"/>
      <c r="I8" s="94"/>
    </row>
    <row r="9" spans="1:7" s="91" customFormat="1" ht="15.75">
      <c r="A9" s="883"/>
      <c r="G9" s="179" t="s">
        <v>367</v>
      </c>
    </row>
    <row r="10" spans="9:9" s="91" customFormat="1" ht="15">
      <c r="I10" s="96"/>
    </row>
    <row r="11" spans="1:9" s="91" customFormat="1" ht="15">
      <c r="A11" s="92">
        <v>1</v>
      </c>
      <c r="C11" s="95" t="s">
        <v>755</v>
      </c>
      <c r="D11" s="95"/>
      <c r="F11" s="95"/>
      <c r="G11" s="98" t="s">
        <v>827</v>
      </c>
      <c r="H11" s="95"/>
      <c r="I11" s="1118">
        <f>'Attachment H-28A MAIT '!I100</f>
        <v>3457593469.8300562</v>
      </c>
    </row>
    <row r="12" spans="7:9" s="91" customFormat="1" ht="15">
      <c r="G12" s="95"/>
      <c r="I12" s="96"/>
    </row>
    <row r="13" spans="1:9" s="91" customFormat="1" ht="15">
      <c r="A13" s="92"/>
      <c r="B13" s="95"/>
      <c r="C13" s="95"/>
      <c r="D13" s="95"/>
      <c r="F13" s="112"/>
      <c r="G13" s="95"/>
      <c r="H13" s="112"/>
      <c r="I13" s="112"/>
    </row>
    <row r="14" spans="1:9" s="91" customFormat="1" ht="15.75">
      <c r="A14" s="92">
        <f>A11+1</f>
        <v>2</v>
      </c>
      <c r="B14" s="95"/>
      <c r="C14" s="95" t="s">
        <v>756</v>
      </c>
      <c r="D14" s="97"/>
      <c r="F14" s="91" t="s">
        <v>757</v>
      </c>
      <c r="G14" s="98" t="s">
        <v>828</v>
      </c>
      <c r="H14" s="112"/>
      <c r="I14" s="112">
        <f>'Attachment H-28A MAIT '!I244</f>
        <v>0</v>
      </c>
    </row>
    <row r="15" spans="1:9" s="91" customFormat="1" ht="15">
      <c r="A15" s="92"/>
      <c r="B15" s="95"/>
      <c r="C15" s="95"/>
      <c r="D15" s="95"/>
      <c r="G15" s="98"/>
      <c r="H15" s="112"/>
      <c r="I15" s="112"/>
    </row>
    <row r="16" spans="1:9" s="91" customFormat="1" ht="15.75">
      <c r="A16" s="92"/>
      <c r="B16" s="95"/>
      <c r="C16" s="95" t="s">
        <v>107</v>
      </c>
      <c r="D16" s="193"/>
      <c r="G16" s="98"/>
      <c r="H16" s="112"/>
      <c r="I16" s="112"/>
    </row>
    <row r="17" spans="1:9" s="91" customFormat="1" ht="15">
      <c r="A17" s="92">
        <f>A14+1</f>
        <v>3</v>
      </c>
      <c r="B17" s="95"/>
      <c r="C17" s="95"/>
      <c r="D17" s="95" t="s">
        <v>758</v>
      </c>
      <c r="E17" s="112"/>
      <c r="F17" s="112"/>
      <c r="G17" s="98" t="s">
        <v>811</v>
      </c>
      <c r="H17" s="112"/>
      <c r="I17" s="112">
        <f>'Attachment 8 - Cap Structure'!E23</f>
        <v>2698654991.5329714</v>
      </c>
    </row>
    <row r="18" spans="1:9" s="91" customFormat="1" ht="15">
      <c r="A18" s="92">
        <f>A17+1</f>
        <v>4</v>
      </c>
      <c r="B18" s="95"/>
      <c r="C18" s="95"/>
      <c r="D18" s="95" t="s">
        <v>378</v>
      </c>
      <c r="E18" s="112"/>
      <c r="F18" s="112"/>
      <c r="G18" s="98" t="s">
        <v>812</v>
      </c>
      <c r="H18" s="112"/>
      <c r="I18" s="112">
        <f>'Attachment 8 - Cap Structure'!F23</f>
        <v>0</v>
      </c>
    </row>
    <row r="19" spans="1:9" s="91" customFormat="1" ht="15">
      <c r="A19" s="92">
        <f>A18+1</f>
        <v>5</v>
      </c>
      <c r="B19" s="95"/>
      <c r="C19" s="95"/>
      <c r="D19" s="95" t="s">
        <v>379</v>
      </c>
      <c r="E19" s="112"/>
      <c r="F19" s="112"/>
      <c r="G19" s="98" t="s">
        <v>815</v>
      </c>
      <c r="H19" s="112"/>
      <c r="I19" s="112">
        <f>'Attachment 8 - Cap Structure'!H23</f>
        <v>0</v>
      </c>
    </row>
    <row r="20" spans="1:9" s="91" customFormat="1" ht="15">
      <c r="A20" s="92">
        <f>+A19+1</f>
        <v>6</v>
      </c>
      <c r="B20" s="95"/>
      <c r="C20" s="95"/>
      <c r="D20" s="95" t="s">
        <v>810</v>
      </c>
      <c r="E20" s="884"/>
      <c r="F20" s="884"/>
      <c r="G20" s="99" t="s">
        <v>814</v>
      </c>
      <c r="H20" s="884"/>
      <c r="I20" s="884">
        <f>'Attachment 8 - Cap Structure'!G23+'Attachment 8 - Cap Structure'!I23</f>
        <v>223591970</v>
      </c>
    </row>
    <row r="21" spans="1:9" s="91" customFormat="1" ht="15">
      <c r="A21" s="92">
        <f>A20+1</f>
        <v>7</v>
      </c>
      <c r="B21" s="95"/>
      <c r="C21" s="95"/>
      <c r="D21" s="95" t="s">
        <v>107</v>
      </c>
      <c r="E21" s="112"/>
      <c r="F21" s="112"/>
      <c r="G21" s="98" t="s">
        <v>813</v>
      </c>
      <c r="H21" s="112"/>
      <c r="I21" s="112">
        <f>'Attachment 8 - Cap Structure'!J23</f>
        <v>2475063021.5329714</v>
      </c>
    </row>
    <row r="22" spans="1:9" s="91" customFormat="1" ht="15">
      <c r="A22" s="92"/>
      <c r="B22" s="95"/>
      <c r="C22" s="95"/>
      <c r="D22" s="95"/>
      <c r="E22" s="112"/>
      <c r="F22" s="112"/>
      <c r="G22" s="98"/>
      <c r="H22" s="112"/>
      <c r="I22" s="112"/>
    </row>
    <row r="23" spans="1:9" s="91" customFormat="1" ht="15">
      <c r="A23" s="92"/>
      <c r="B23" s="95"/>
      <c r="C23" s="95"/>
      <c r="D23" s="95"/>
      <c r="E23" s="112"/>
      <c r="F23" s="112"/>
      <c r="G23" s="98"/>
      <c r="H23" s="112"/>
      <c r="I23" s="112"/>
    </row>
    <row r="24" spans="1:9" s="91" customFormat="1" ht="15.75">
      <c r="A24" s="92"/>
      <c r="B24" s="95"/>
      <c r="C24" s="95" t="s">
        <v>759</v>
      </c>
      <c r="D24" s="193"/>
      <c r="G24" s="98"/>
      <c r="I24" s="112"/>
    </row>
    <row r="25" spans="1:9" s="91" customFormat="1" ht="15">
      <c r="A25" s="92">
        <f>+A21+1</f>
        <v>8</v>
      </c>
      <c r="B25" s="95"/>
      <c r="C25" s="95"/>
      <c r="D25" s="95" t="s">
        <v>283</v>
      </c>
      <c r="G25" s="98" t="s">
        <v>816</v>
      </c>
      <c r="I25" s="112">
        <f>'Attachment H-28A MAIT '!D249</f>
        <v>1613444219.3684454</v>
      </c>
    </row>
    <row r="26" spans="1:9" s="91" customFormat="1" ht="15">
      <c r="A26" s="92">
        <f>A25+1</f>
        <v>9</v>
      </c>
      <c r="B26" s="95"/>
      <c r="C26" s="95"/>
      <c r="D26" s="95" t="s">
        <v>281</v>
      </c>
      <c r="G26" s="98" t="s">
        <v>817</v>
      </c>
      <c r="I26" s="112">
        <f>'Attachment H-28A MAIT '!D250</f>
        <v>0</v>
      </c>
    </row>
    <row r="27" spans="1:9" s="91" customFormat="1" ht="15">
      <c r="A27" s="92">
        <f>A26+1</f>
        <v>10</v>
      </c>
      <c r="B27" s="95"/>
      <c r="C27" s="95"/>
      <c r="D27" s="95" t="s">
        <v>107</v>
      </c>
      <c r="G27" s="99" t="s">
        <v>818</v>
      </c>
      <c r="I27" s="112">
        <f>'Attachment H-28A MAIT '!D251</f>
        <v>2475063021.5329714</v>
      </c>
    </row>
    <row r="28" spans="1:9" s="91" customFormat="1" ht="15.75">
      <c r="A28" s="92">
        <f>A27+1</f>
        <v>11</v>
      </c>
      <c r="B28" s="95"/>
      <c r="C28" s="95"/>
      <c r="D28" s="95" t="s">
        <v>760</v>
      </c>
      <c r="E28" s="885"/>
      <c r="F28" s="886"/>
      <c r="G28" s="98" t="s">
        <v>819</v>
      </c>
      <c r="H28" s="887"/>
      <c r="I28" s="887">
        <f>'Attachment H-28A MAIT '!D252</f>
        <v>4088507240.9014168</v>
      </c>
    </row>
    <row r="29" spans="1:9" s="91" customFormat="1" ht="15">
      <c r="A29" s="92"/>
      <c r="B29" s="95"/>
      <c r="C29" s="95"/>
      <c r="D29" s="95"/>
      <c r="G29" s="95"/>
      <c r="H29" s="112"/>
      <c r="I29" s="110"/>
    </row>
    <row r="30" spans="1:9" s="91" customFormat="1" ht="15">
      <c r="A30" s="92">
        <f>A28+1</f>
        <v>12</v>
      </c>
      <c r="B30" s="95"/>
      <c r="C30" s="95"/>
      <c r="D30" s="95" t="s">
        <v>761</v>
      </c>
      <c r="F30" s="95" t="s">
        <v>762</v>
      </c>
      <c r="G30" s="98" t="s">
        <v>820</v>
      </c>
      <c r="H30" s="112"/>
      <c r="I30" s="100">
        <f>'Attachment H-28A MAIT '!E249</f>
        <v>0.40</v>
      </c>
    </row>
    <row r="31" spans="1:9" s="91" customFormat="1" ht="15">
      <c r="A31" s="92">
        <f>A30+1</f>
        <v>13</v>
      </c>
      <c r="B31" s="95"/>
      <c r="C31" s="95"/>
      <c r="D31" s="95" t="s">
        <v>763</v>
      </c>
      <c r="F31" s="95" t="s">
        <v>281</v>
      </c>
      <c r="G31" s="98" t="s">
        <v>821</v>
      </c>
      <c r="H31" s="112"/>
      <c r="I31" s="100">
        <f>'Attachment H-28A MAIT '!E250</f>
        <v>0</v>
      </c>
    </row>
    <row r="32" spans="1:9" s="91" customFormat="1" ht="15">
      <c r="A32" s="92">
        <f>A31+1</f>
        <v>14</v>
      </c>
      <c r="B32" s="95"/>
      <c r="C32" s="95"/>
      <c r="D32" s="95" t="s">
        <v>764</v>
      </c>
      <c r="F32" s="95" t="s">
        <v>107</v>
      </c>
      <c r="G32" s="98" t="s">
        <v>822</v>
      </c>
      <c r="H32" s="112"/>
      <c r="I32" s="100">
        <f>'Attachment H-28A MAIT '!E251</f>
        <v>0.60</v>
      </c>
    </row>
    <row r="33" spans="1:9" s="91" customFormat="1" ht="15">
      <c r="A33" s="92"/>
      <c r="B33" s="95"/>
      <c r="C33" s="95"/>
      <c r="D33" s="95"/>
      <c r="F33" s="98"/>
      <c r="G33" s="95"/>
      <c r="H33" s="112"/>
      <c r="I33" s="110"/>
    </row>
    <row r="34" spans="1:11" s="91" customFormat="1" ht="15">
      <c r="A34" s="92">
        <f>A32+1</f>
        <v>15</v>
      </c>
      <c r="B34" s="95"/>
      <c r="C34" s="95"/>
      <c r="D34" s="95" t="s">
        <v>520</v>
      </c>
      <c r="F34" s="98" t="s">
        <v>762</v>
      </c>
      <c r="G34" s="98" t="s">
        <v>888</v>
      </c>
      <c r="H34" s="112"/>
      <c r="I34" s="888">
        <f>'Attachment H-28A MAIT '!G249</f>
        <v>0.0465</v>
      </c>
      <c r="K34" s="888"/>
    </row>
    <row r="35" spans="1:9" s="91" customFormat="1" ht="15">
      <c r="A35" s="92">
        <f>A34+1</f>
        <v>16</v>
      </c>
      <c r="B35" s="95"/>
      <c r="C35" s="95"/>
      <c r="D35" s="95" t="s">
        <v>765</v>
      </c>
      <c r="F35" s="98" t="s">
        <v>281</v>
      </c>
      <c r="G35" s="98" t="s">
        <v>889</v>
      </c>
      <c r="H35" s="112"/>
      <c r="I35" s="888">
        <f>'Attachment H-28A MAIT '!G250</f>
        <v>0</v>
      </c>
    </row>
    <row r="36" spans="1:11" s="91" customFormat="1" ht="15">
      <c r="A36" s="92">
        <f>A35+1</f>
        <v>17</v>
      </c>
      <c r="B36" s="95"/>
      <c r="C36" s="95"/>
      <c r="D36" s="95" t="s">
        <v>766</v>
      </c>
      <c r="F36" s="98" t="s">
        <v>107</v>
      </c>
      <c r="G36" s="889">
        <v>0.10299999999999999</v>
      </c>
      <c r="H36" s="112"/>
      <c r="I36" s="101">
        <v>0.10299999999999999</v>
      </c>
      <c r="K36" s="888"/>
    </row>
    <row r="37" spans="1:8" s="91" customFormat="1" ht="15">
      <c r="A37" s="92"/>
      <c r="B37" s="95"/>
      <c r="C37" s="95"/>
      <c r="D37" s="95"/>
      <c r="F37" s="98"/>
      <c r="G37" s="95"/>
      <c r="H37" s="112"/>
    </row>
    <row r="38" spans="1:9" s="91" customFormat="1" ht="15">
      <c r="A38" s="92">
        <f>A36+1</f>
        <v>18</v>
      </c>
      <c r="B38" s="95"/>
      <c r="C38" s="95"/>
      <c r="D38" s="95" t="s">
        <v>767</v>
      </c>
      <c r="F38" s="95" t="s">
        <v>768</v>
      </c>
      <c r="G38" s="95" t="s">
        <v>424</v>
      </c>
      <c r="H38" s="102"/>
      <c r="I38" s="888">
        <f>(I34*I30)</f>
        <v>0.018600000000000002</v>
      </c>
    </row>
    <row r="39" spans="1:9" s="91" customFormat="1" ht="15">
      <c r="A39" s="92">
        <f>A38+1</f>
        <v>19</v>
      </c>
      <c r="B39" s="95"/>
      <c r="C39" s="95"/>
      <c r="D39" s="95" t="s">
        <v>769</v>
      </c>
      <c r="F39" s="95" t="s">
        <v>281</v>
      </c>
      <c r="G39" s="95" t="s">
        <v>425</v>
      </c>
      <c r="H39" s="103"/>
      <c r="I39" s="888">
        <f>I35*I31</f>
        <v>0</v>
      </c>
    </row>
    <row r="40" spans="1:9" s="91" customFormat="1" ht="15">
      <c r="A40" s="92">
        <f>A39+1</f>
        <v>20</v>
      </c>
      <c r="B40" s="95"/>
      <c r="C40" s="95"/>
      <c r="D40" s="104" t="s">
        <v>770</v>
      </c>
      <c r="E40" s="890"/>
      <c r="F40" s="104" t="s">
        <v>107</v>
      </c>
      <c r="G40" s="104" t="s">
        <v>426</v>
      </c>
      <c r="H40" s="105"/>
      <c r="I40" s="891">
        <f>(I36*I32)</f>
        <v>0.061799999999999994</v>
      </c>
    </row>
    <row r="41" spans="1:9" s="91" customFormat="1" ht="15.75">
      <c r="A41" s="92">
        <f>A40+1</f>
        <v>21</v>
      </c>
      <c r="B41" s="95"/>
      <c r="C41" s="95" t="s">
        <v>771</v>
      </c>
      <c r="D41" s="95"/>
      <c r="E41" s="892"/>
      <c r="F41" s="892"/>
      <c r="G41" s="95" t="str">
        <f>"(Sum Lines "&amp;A38&amp;" to "&amp;A40&amp;")"</f>
        <v>(Sum Lines 18 to 20)</v>
      </c>
      <c r="H41" s="893"/>
      <c r="I41" s="894">
        <f>SUM(I38:I40)</f>
        <v>0.080399999999999999</v>
      </c>
    </row>
    <row r="42" spans="1:9" s="91" customFormat="1" ht="15.75">
      <c r="A42" s="179"/>
      <c r="B42" s="95"/>
      <c r="C42" s="95"/>
      <c r="D42" s="95"/>
      <c r="E42" s="892"/>
      <c r="F42" s="892"/>
      <c r="G42" s="193"/>
      <c r="H42" s="893"/>
      <c r="I42" s="894"/>
    </row>
    <row r="43" spans="1:9" s="91" customFormat="1" ht="16.5" thickBot="1">
      <c r="A43" s="92">
        <f>A41+1</f>
        <v>22</v>
      </c>
      <c r="B43" s="95"/>
      <c r="C43" s="95" t="s">
        <v>772</v>
      </c>
      <c r="D43" s="95"/>
      <c r="E43" s="895"/>
      <c r="F43" s="106"/>
      <c r="G43" s="107" t="str">
        <f>"(Line "&amp;A11&amp;" * Line "&amp;A41&amp;")"</f>
        <v>(Line 1 * Line 21)</v>
      </c>
      <c r="H43" s="108"/>
      <c r="I43" s="896">
        <f>+I41*I11</f>
        <v>277990514.9743365</v>
      </c>
    </row>
    <row r="44" spans="1:9" s="91" customFormat="1" ht="15.75" thickTop="1">
      <c r="A44" s="92"/>
      <c r="B44" s="92"/>
      <c r="C44" s="92"/>
      <c r="F44" s="92"/>
      <c r="G44" s="112"/>
      <c r="H44" s="112"/>
      <c r="I44" s="888"/>
    </row>
    <row r="45" spans="1:9" s="91" customFormat="1" ht="15.75">
      <c r="A45" s="109" t="s">
        <v>380</v>
      </c>
      <c r="B45" s="109"/>
      <c r="C45" s="897"/>
      <c r="D45" s="898"/>
      <c r="E45" s="94"/>
      <c r="F45" s="899"/>
      <c r="G45" s="94"/>
      <c r="H45" s="94"/>
      <c r="I45" s="900"/>
    </row>
    <row r="46" spans="1:11" s="91" customFormat="1" ht="15.75">
      <c r="A46" s="95"/>
      <c r="B46" s="95"/>
      <c r="C46" s="92"/>
      <c r="D46" s="892"/>
      <c r="F46" s="110"/>
      <c r="I46" s="111"/>
      <c r="K46" s="112"/>
    </row>
    <row r="47" spans="1:8" s="91" customFormat="1" ht="15.75">
      <c r="A47" s="92" t="s">
        <v>3</v>
      </c>
      <c r="B47" s="92"/>
      <c r="C47" s="901" t="s">
        <v>368</v>
      </c>
      <c r="F47" s="110"/>
      <c r="G47" s="112"/>
      <c r="H47" s="113"/>
    </row>
    <row r="48" spans="1:9" s="91" customFormat="1" ht="15">
      <c r="A48" s="92">
        <f>+A43+1</f>
        <v>23</v>
      </c>
      <c r="B48" s="92"/>
      <c r="C48" s="92"/>
      <c r="D48" s="165" t="s">
        <v>75</v>
      </c>
      <c r="F48" s="92"/>
      <c r="G48" s="98" t="s">
        <v>845</v>
      </c>
      <c r="H48" s="902"/>
      <c r="I48" s="903">
        <f>'Attachment H-28A MAIT '!D165</f>
        <v>0.26917099999999994</v>
      </c>
    </row>
    <row r="49" spans="1:9" s="91" customFormat="1" ht="15">
      <c r="A49" s="92">
        <f>+A48+1</f>
        <v>24</v>
      </c>
      <c r="B49" s="92"/>
      <c r="C49" s="92"/>
      <c r="D49" s="904" t="s">
        <v>76</v>
      </c>
      <c r="E49" s="905"/>
      <c r="F49" s="92"/>
      <c r="G49" s="98" t="s">
        <v>386</v>
      </c>
      <c r="H49" s="902"/>
      <c r="I49" s="120">
        <f>(I48/(1-I48)*(1-I38/I41))</f>
        <v>0.28310329367735176</v>
      </c>
    </row>
    <row r="50" spans="1:9" s="91" customFormat="1" ht="15">
      <c r="A50" s="92"/>
      <c r="B50" s="92"/>
      <c r="C50" s="92"/>
      <c r="D50" s="906"/>
      <c r="E50" s="902"/>
      <c r="F50" s="92"/>
      <c r="G50" s="98"/>
      <c r="H50" s="902"/>
      <c r="I50" s="907"/>
    </row>
    <row r="51" spans="1:9" s="91" customFormat="1" ht="15">
      <c r="A51" s="92"/>
      <c r="B51" s="92"/>
      <c r="C51" s="92"/>
      <c r="D51" s="906"/>
      <c r="E51" s="116"/>
      <c r="F51" s="92"/>
      <c r="G51" s="98"/>
      <c r="H51" s="902"/>
      <c r="I51" s="903"/>
    </row>
    <row r="52" spans="1:11" s="91" customFormat="1" ht="30.75">
      <c r="A52" s="92">
        <v>25</v>
      </c>
      <c r="B52" s="92"/>
      <c r="C52" s="92"/>
      <c r="D52" s="165" t="s">
        <v>387</v>
      </c>
      <c r="E52" s="905"/>
      <c r="F52" s="92"/>
      <c r="G52" s="908" t="s">
        <v>990</v>
      </c>
      <c r="H52" s="902"/>
      <c r="I52" s="68">
        <f>'Attachment H-28A MAIT '!D169</f>
        <v>1.3683091393472344</v>
      </c>
      <c r="K52" s="114"/>
    </row>
    <row r="53" spans="1:9" s="91" customFormat="1" ht="15">
      <c r="A53" s="92">
        <v>26</v>
      </c>
      <c r="B53" s="92"/>
      <c r="C53" s="92"/>
      <c r="D53" s="906" t="s">
        <v>307</v>
      </c>
      <c r="F53" s="115"/>
      <c r="G53" s="98" t="s">
        <v>846</v>
      </c>
      <c r="H53" s="113"/>
      <c r="I53" s="118">
        <f>'Attachment H-28A MAIT '!D170</f>
        <v>-99685.01</v>
      </c>
    </row>
    <row r="54" spans="1:9" s="91" customFormat="1" ht="15">
      <c r="A54" s="92">
        <v>27</v>
      </c>
      <c r="B54" s="92"/>
      <c r="C54" s="92"/>
      <c r="D54" s="906" t="s">
        <v>377</v>
      </c>
      <c r="F54" s="115"/>
      <c r="G54" s="98" t="s">
        <v>823</v>
      </c>
      <c r="H54" s="113"/>
      <c r="I54" s="118">
        <f>'Attachment H-28A MAIT '!D171</f>
        <v>579023.93999999994</v>
      </c>
    </row>
    <row r="55" spans="1:9" s="91" customFormat="1" ht="15">
      <c r="A55" s="92">
        <v>28</v>
      </c>
      <c r="B55" s="92"/>
      <c r="C55" s="92"/>
      <c r="D55" s="906" t="s">
        <v>384</v>
      </c>
      <c r="F55" s="115"/>
      <c r="G55" s="98" t="s">
        <v>824</v>
      </c>
      <c r="H55" s="113"/>
      <c r="I55" s="118">
        <f>'Attachment H-28A MAIT '!D172</f>
        <v>-231399.38426516627</v>
      </c>
    </row>
    <row r="56" spans="1:9" s="91" customFormat="1" ht="15">
      <c r="A56" s="92">
        <v>29</v>
      </c>
      <c r="B56" s="92"/>
      <c r="C56" s="92"/>
      <c r="D56" s="165" t="s">
        <v>381</v>
      </c>
      <c r="F56" s="115"/>
      <c r="G56" s="116" t="s">
        <v>428</v>
      </c>
      <c r="H56" s="113"/>
      <c r="I56" s="118">
        <f>I49*I43</f>
        <v>78700030.400297835</v>
      </c>
    </row>
    <row r="57" spans="1:9" s="91" customFormat="1" ht="15">
      <c r="A57" s="92">
        <v>30</v>
      </c>
      <c r="B57" s="92"/>
      <c r="C57" s="92"/>
      <c r="D57" s="904" t="s">
        <v>382</v>
      </c>
      <c r="F57" s="115"/>
      <c r="G57" s="116" t="s">
        <v>388</v>
      </c>
      <c r="H57" s="113"/>
      <c r="I57" s="118">
        <f>I52*I53</f>
        <v>-136399.91023892045</v>
      </c>
    </row>
    <row r="58" spans="1:9" s="91" customFormat="1" ht="15">
      <c r="A58" s="92">
        <v>31</v>
      </c>
      <c r="B58" s="92"/>
      <c r="C58" s="92"/>
      <c r="D58" s="904" t="s">
        <v>383</v>
      </c>
      <c r="F58" s="115"/>
      <c r="G58" s="98" t="s">
        <v>847</v>
      </c>
      <c r="H58" s="113"/>
      <c r="I58" s="118">
        <f>'Attachment H-28A MAIT '!D175</f>
        <v>792283.74900284468</v>
      </c>
    </row>
    <row r="59" spans="1:9" s="91" customFormat="1" ht="15.75" thickBot="1">
      <c r="A59" s="92">
        <v>32</v>
      </c>
      <c r="B59" s="92"/>
      <c r="C59" s="92"/>
      <c r="D59" s="904" t="s">
        <v>385</v>
      </c>
      <c r="F59" s="115"/>
      <c r="G59" s="98" t="s">
        <v>825</v>
      </c>
      <c r="H59" s="113"/>
      <c r="I59" s="119">
        <f>'Attachment H-28A MAIT '!D176</f>
        <v>-316625.89232934965</v>
      </c>
    </row>
    <row r="60" spans="1:9" s="91" customFormat="1" ht="15">
      <c r="A60" s="92">
        <v>33</v>
      </c>
      <c r="B60" s="92"/>
      <c r="C60" s="92"/>
      <c r="D60" s="165" t="s">
        <v>78</v>
      </c>
      <c r="F60" s="115"/>
      <c r="G60" s="116" t="s">
        <v>427</v>
      </c>
      <c r="H60" s="113"/>
      <c r="I60" s="909">
        <f>SUM(I56:I59)</f>
        <v>79039288.346732408</v>
      </c>
    </row>
    <row r="61" spans="1:9" s="91" customFormat="1" ht="15">
      <c r="A61" s="92"/>
      <c r="B61" s="92"/>
      <c r="C61" s="92"/>
      <c r="F61" s="115"/>
      <c r="G61" s="116"/>
      <c r="H61" s="113"/>
      <c r="I61" s="910"/>
    </row>
    <row r="62" spans="1:9" s="91" customFormat="1" ht="15.75">
      <c r="A62" s="109" t="s">
        <v>399</v>
      </c>
      <c r="B62" s="109"/>
      <c r="C62" s="897"/>
      <c r="D62" s="898"/>
      <c r="E62" s="94"/>
      <c r="F62" s="899"/>
      <c r="G62" s="94"/>
      <c r="H62" s="94"/>
      <c r="I62" s="900"/>
    </row>
    <row r="63" spans="1:9" s="91" customFormat="1" ht="15.75">
      <c r="A63" s="911"/>
      <c r="B63" s="911"/>
      <c r="C63" s="912"/>
      <c r="D63" s="913"/>
      <c r="F63" s="914"/>
      <c r="I63" s="915"/>
    </row>
    <row r="64" spans="1:9" s="91" customFormat="1" ht="15">
      <c r="A64" s="92">
        <v>34</v>
      </c>
      <c r="B64" s="92"/>
      <c r="C64" s="92"/>
      <c r="D64" s="91" t="s">
        <v>945</v>
      </c>
      <c r="F64" s="115"/>
      <c r="G64" s="116" t="s">
        <v>429</v>
      </c>
      <c r="H64" s="113"/>
      <c r="I64" s="118">
        <f>I43+I60</f>
        <v>357029803.32106888</v>
      </c>
    </row>
    <row r="65" spans="1:9" s="91" customFormat="1" ht="15">
      <c r="A65" s="92"/>
      <c r="B65" s="92"/>
      <c r="C65" s="92"/>
      <c r="F65" s="115"/>
      <c r="G65" s="116"/>
      <c r="H65" s="113"/>
      <c r="I65" s="118"/>
    </row>
    <row r="66" spans="1:9" s="91" customFormat="1" ht="15">
      <c r="A66" s="92">
        <v>35</v>
      </c>
      <c r="B66" s="92"/>
      <c r="C66" s="92"/>
      <c r="D66" s="91" t="s">
        <v>431</v>
      </c>
      <c r="F66" s="115"/>
      <c r="G66" s="116" t="s">
        <v>826</v>
      </c>
      <c r="H66" s="113"/>
      <c r="I66" s="118">
        <f>'Attachment H-28A MAIT '!I179</f>
        <v>277990514.9743365</v>
      </c>
    </row>
    <row r="67" spans="1:9" s="91" customFormat="1" ht="15">
      <c r="A67" s="92">
        <v>36</v>
      </c>
      <c r="B67" s="92"/>
      <c r="C67" s="92"/>
      <c r="D67" s="91" t="s">
        <v>432</v>
      </c>
      <c r="F67" s="115"/>
      <c r="G67" s="116" t="s">
        <v>848</v>
      </c>
      <c r="H67" s="113"/>
      <c r="I67" s="118">
        <f>'Attachment H-28A MAIT '!I177</f>
        <v>79039288.346732408</v>
      </c>
    </row>
    <row r="68" spans="1:9" s="91" customFormat="1" ht="15">
      <c r="A68" s="92">
        <v>37</v>
      </c>
      <c r="B68" s="92"/>
      <c r="C68" s="92"/>
      <c r="D68" s="91" t="s">
        <v>946</v>
      </c>
      <c r="F68" s="115"/>
      <c r="G68" s="116" t="s">
        <v>499</v>
      </c>
      <c r="H68" s="113"/>
      <c r="I68" s="118">
        <f>I66+I67</f>
        <v>357029803.32106888</v>
      </c>
    </row>
    <row r="69" spans="1:9" s="91" customFormat="1" ht="15">
      <c r="A69" s="92">
        <v>38</v>
      </c>
      <c r="B69" s="92"/>
      <c r="C69" s="92"/>
      <c r="D69" s="91" t="s">
        <v>945</v>
      </c>
      <c r="F69" s="115"/>
      <c r="G69" s="116" t="s">
        <v>430</v>
      </c>
      <c r="H69" s="113"/>
      <c r="I69" s="118">
        <f>I64</f>
        <v>357029803.32106888</v>
      </c>
    </row>
    <row r="70" spans="1:10" s="91" customFormat="1" ht="15">
      <c r="A70" s="92">
        <v>39</v>
      </c>
      <c r="B70" s="92"/>
      <c r="C70" s="92"/>
      <c r="D70" s="91" t="s">
        <v>947</v>
      </c>
      <c r="F70" s="115"/>
      <c r="G70" s="116" t="s">
        <v>500</v>
      </c>
      <c r="H70" s="113"/>
      <c r="I70" s="118">
        <f>I69-I68</f>
        <v>0</v>
      </c>
      <c r="J70" s="203"/>
    </row>
    <row r="71" spans="1:9" s="91" customFormat="1" ht="15">
      <c r="A71" s="92">
        <v>40</v>
      </c>
      <c r="B71" s="92"/>
      <c r="C71" s="92"/>
      <c r="D71" s="91" t="s">
        <v>434</v>
      </c>
      <c r="F71" s="115"/>
      <c r="G71" s="116" t="s">
        <v>433</v>
      </c>
      <c r="H71" s="113"/>
      <c r="I71" s="118">
        <f>I11</f>
        <v>3457593469.8300562</v>
      </c>
    </row>
    <row r="72" spans="1:10" s="91" customFormat="1" ht="15">
      <c r="A72" s="92">
        <v>41</v>
      </c>
      <c r="B72" s="92"/>
      <c r="C72" s="92"/>
      <c r="D72" s="91" t="s">
        <v>948</v>
      </c>
      <c r="F72" s="115"/>
      <c r="G72" s="116" t="s">
        <v>501</v>
      </c>
      <c r="H72" s="113"/>
      <c r="I72" s="144">
        <f>I70/I71</f>
        <v>0</v>
      </c>
      <c r="J72" s="203"/>
    </row>
    <row r="73" spans="1:9" s="91" customFormat="1" ht="15">
      <c r="A73" s="92"/>
      <c r="B73" s="92"/>
      <c r="C73" s="92"/>
      <c r="F73" s="115"/>
      <c r="G73" s="116"/>
      <c r="H73" s="113"/>
      <c r="I73" s="118"/>
    </row>
    <row r="74" spans="1:9" s="91" customFormat="1" ht="15">
      <c r="A74" s="92"/>
      <c r="B74" s="92"/>
      <c r="C74" s="92"/>
      <c r="F74" s="115"/>
      <c r="G74" s="116"/>
      <c r="H74" s="113"/>
      <c r="I74" s="910"/>
    </row>
    <row r="75" spans="1:9" s="91" customFormat="1" ht="15.75">
      <c r="A75" s="92" t="s">
        <v>257</v>
      </c>
      <c r="B75" s="92"/>
      <c r="C75" s="92"/>
      <c r="F75" s="115"/>
      <c r="G75" s="116"/>
      <c r="H75" s="113"/>
      <c r="I75" s="916"/>
    </row>
    <row r="76" spans="1:11" s="91" customFormat="1" ht="31.5" customHeight="1">
      <c r="A76" s="92"/>
      <c r="B76" s="1180" t="s">
        <v>949</v>
      </c>
      <c r="C76" s="1180"/>
      <c r="D76" s="1180"/>
      <c r="E76" s="1180"/>
      <c r="F76" s="1180"/>
      <c r="G76" s="1180"/>
      <c r="H76" s="1180"/>
      <c r="I76" s="1180"/>
      <c r="J76" s="1180"/>
      <c r="K76" s="1180"/>
    </row>
    <row r="77" spans="1:9" s="91" customFormat="1" ht="15.75">
      <c r="A77" s="92"/>
      <c r="B77" s="92"/>
      <c r="C77" s="92"/>
      <c r="D77" s="95"/>
      <c r="F77" s="92"/>
      <c r="G77" s="112"/>
      <c r="H77" s="917"/>
      <c r="I77" s="918"/>
    </row>
    <row r="78" spans="1:12" s="91" customFormat="1" ht="36" customHeight="1">
      <c r="A78" s="92"/>
      <c r="B78" s="715"/>
      <c r="C78" s="1181"/>
      <c r="D78" s="1181"/>
      <c r="E78" s="1181"/>
      <c r="F78" s="1181"/>
      <c r="G78" s="1181"/>
      <c r="H78" s="1181"/>
      <c r="I78" s="1181"/>
      <c r="J78" s="1181"/>
      <c r="K78" s="1181"/>
      <c r="L78" s="919"/>
    </row>
    <row r="79" spans="1:9" s="91" customFormat="1" ht="15">
      <c r="A79" s="92"/>
      <c r="B79" s="92"/>
      <c r="C79" s="92"/>
      <c r="D79" s="116"/>
      <c r="F79" s="92"/>
      <c r="G79" s="920"/>
      <c r="H79" s="921"/>
      <c r="I79" s="117"/>
    </row>
    <row r="80" s="91" customFormat="1" ht="15"/>
  </sheetData>
  <customSheetViews>
    <customSheetView guid="{33e6ffdf-cb42-4a87-b460-a01a45f9a9a1}" fitToPage="1" printArea="1" scale="60" showPageBreaks="1" topLeftCell="A1" view="pageBreakPreview">
      <selection pane="topLeft" activeCell="O33" sqref="O33"/>
      <pageMargins left="0.5" right="0.33" top="0.5" bottom="0.5" header="0.5" footer="0.5"/>
      <printOptions horizontalCentered="1"/>
      <pageSetup orientation="portrait" paperSize="1" scale="44" r:id="rId2"/>
      <headerFooter alignWithMargins="0"/>
    </customSheetView>
    <customSheetView guid="{394295c0-a883-44ec-b980-c2facd4b6eba}" fitToPage="1" printArea="1" scale="60" showPageBreaks="1" topLeftCell="A1" view="pageBreakPreview">
      <selection pane="topLeft" activeCell="O33" sqref="O33"/>
      <pageMargins left="0.5" right="0.33" top="0.5" bottom="0.5" header="0.5" footer="0.5"/>
      <printOptions horizontalCentered="1"/>
      <pageSetup orientation="portrait" paperSize="1" scale="44" r:id="rId3"/>
      <headerFooter alignWithMargins="0"/>
    </customSheetView>
  </customSheetViews>
  <mergeCells count="4">
    <mergeCell ref="A1:I1"/>
    <mergeCell ref="A2:I2"/>
    <mergeCell ref="B76:K76"/>
    <mergeCell ref="C78:K78"/>
  </mergeCells>
  <printOptions horizontalCentered="1"/>
  <pageMargins left="0.5" right="0.33" top="0.5" bottom="0.5" header="0.5" footer="0.5"/>
  <pageSetup orientation="portrait" paperSize="1" scale="44"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pageSetUpPr fitToPage="1"/>
  </sheetPr>
  <dimension ref="A1:I28"/>
  <sheetViews>
    <sheetView view="pageBreakPreview" zoomScale="60" zoomScaleNormal="100" workbookViewId="0" topLeftCell="A1"/>
  </sheetViews>
  <sheetFormatPr defaultRowHeight="15"/>
  <cols>
    <col min="5" max="7" width="20.8888888888889" customWidth="1"/>
  </cols>
  <sheetData>
    <row r="1" spans="9:9" ht="15.75">
      <c r="I1" s="458" t="s">
        <v>876</v>
      </c>
    </row>
    <row r="2" spans="9:9" ht="15.75">
      <c r="I2" s="458" t="s">
        <v>220</v>
      </c>
    </row>
    <row r="3" spans="9:9" ht="15.75">
      <c r="I3" s="459" t="str">
        <f>'Attachment 1 - Sched 1A'!$J$3</f>
        <v>For the 12 months ended 12/31/2026</v>
      </c>
    </row>
    <row r="4" spans="1:7" ht="15.75">
      <c r="A4" s="31"/>
      <c r="B4" s="22"/>
      <c r="C4" s="22"/>
      <c r="D4" s="22"/>
      <c r="E4" s="28"/>
      <c r="F4" s="28"/>
      <c r="G4" s="28"/>
    </row>
    <row r="5" spans="1:7" ht="16.5" customHeight="1">
      <c r="A5" s="28"/>
      <c r="B5" s="22"/>
      <c r="C5" s="22"/>
      <c r="D5" s="22"/>
      <c r="E5" s="30" t="s">
        <v>394</v>
      </c>
      <c r="F5" s="164"/>
      <c r="G5" s="164"/>
    </row>
    <row r="6" spans="1:7" ht="15.75">
      <c r="A6" s="28"/>
      <c r="B6" s="22"/>
      <c r="C6" s="22"/>
      <c r="D6" s="22"/>
      <c r="E6" s="29" t="s">
        <v>256</v>
      </c>
      <c r="F6" s="29"/>
      <c r="G6" s="29"/>
    </row>
    <row r="7" spans="1:7" ht="15.75">
      <c r="A7" s="28"/>
      <c r="B7" s="22"/>
      <c r="C7" s="22"/>
      <c r="D7" s="26"/>
      <c r="E7" s="29" t="s">
        <v>396</v>
      </c>
      <c r="F7" s="29"/>
      <c r="G7" s="29"/>
    </row>
    <row r="8" spans="1:7" ht="15.75">
      <c r="A8" s="32">
        <v>1</v>
      </c>
      <c r="B8" s="22" t="s">
        <v>233</v>
      </c>
      <c r="C8" s="25">
        <v>2025</v>
      </c>
      <c r="D8" s="22"/>
      <c r="E8" s="61"/>
      <c r="F8" s="67"/>
      <c r="G8" s="67"/>
    </row>
    <row r="9" spans="1:7" ht="15.75">
      <c r="A9" s="32">
        <v>2</v>
      </c>
      <c r="B9" s="22" t="s">
        <v>234</v>
      </c>
      <c r="C9" s="24">
        <f>C8+1</f>
        <v>2026</v>
      </c>
      <c r="D9" s="22"/>
      <c r="E9" s="61"/>
      <c r="F9" s="67"/>
      <c r="G9" s="67"/>
    </row>
    <row r="10" spans="1:7" ht="15.75">
      <c r="A10" s="32">
        <v>3</v>
      </c>
      <c r="B10" s="22" t="s">
        <v>235</v>
      </c>
      <c r="C10" s="24">
        <f>C9</f>
        <v>2026</v>
      </c>
      <c r="D10" s="22"/>
      <c r="E10" s="61"/>
      <c r="F10" s="67"/>
      <c r="G10" s="67"/>
    </row>
    <row r="11" spans="1:7" ht="15.75">
      <c r="A11" s="32">
        <v>4</v>
      </c>
      <c r="B11" s="22" t="s">
        <v>236</v>
      </c>
      <c r="C11" s="24">
        <f t="shared" si="0" ref="C11:C20">C10</f>
        <v>2026</v>
      </c>
      <c r="D11" s="22"/>
      <c r="E11" s="61"/>
      <c r="F11" s="67"/>
      <c r="G11" s="67"/>
    </row>
    <row r="12" spans="1:7" ht="15.75">
      <c r="A12" s="32">
        <v>5</v>
      </c>
      <c r="B12" s="22" t="s">
        <v>237</v>
      </c>
      <c r="C12" s="24">
        <f t="shared" si="0"/>
        <v>2026</v>
      </c>
      <c r="D12" s="22"/>
      <c r="E12" s="61"/>
      <c r="F12" s="67"/>
      <c r="G12" s="67"/>
    </row>
    <row r="13" spans="1:7" ht="15.75">
      <c r="A13" s="32">
        <v>6</v>
      </c>
      <c r="B13" s="22" t="s">
        <v>238</v>
      </c>
      <c r="C13" s="24">
        <f t="shared" si="0"/>
        <v>2026</v>
      </c>
      <c r="D13" s="22"/>
      <c r="E13" s="61"/>
      <c r="F13" s="67"/>
      <c r="G13" s="67"/>
    </row>
    <row r="14" spans="1:7" ht="15.75">
      <c r="A14" s="32">
        <v>7</v>
      </c>
      <c r="B14" s="22" t="s">
        <v>249</v>
      </c>
      <c r="C14" s="24">
        <f t="shared" si="0"/>
        <v>2026</v>
      </c>
      <c r="D14" s="22"/>
      <c r="E14" s="61"/>
      <c r="F14" s="67"/>
      <c r="G14" s="67"/>
    </row>
    <row r="15" spans="1:7" ht="15.75">
      <c r="A15" s="32">
        <v>8</v>
      </c>
      <c r="B15" s="22" t="s">
        <v>239</v>
      </c>
      <c r="C15" s="24">
        <f t="shared" si="0"/>
        <v>2026</v>
      </c>
      <c r="D15" s="22"/>
      <c r="E15" s="61"/>
      <c r="F15" s="67"/>
      <c r="G15" s="67"/>
    </row>
    <row r="16" spans="1:7" ht="15.75">
      <c r="A16" s="32">
        <v>9</v>
      </c>
      <c r="B16" s="22" t="s">
        <v>240</v>
      </c>
      <c r="C16" s="24">
        <f t="shared" si="0"/>
        <v>2026</v>
      </c>
      <c r="D16" s="22"/>
      <c r="E16" s="61"/>
      <c r="F16" s="67"/>
      <c r="G16" s="67"/>
    </row>
    <row r="17" spans="1:7" ht="15.75">
      <c r="A17" s="32">
        <v>10</v>
      </c>
      <c r="B17" s="22" t="s">
        <v>241</v>
      </c>
      <c r="C17" s="24">
        <f t="shared" si="0"/>
        <v>2026</v>
      </c>
      <c r="D17" s="22"/>
      <c r="E17" s="61"/>
      <c r="F17" s="67"/>
      <c r="G17" s="67"/>
    </row>
    <row r="18" spans="1:7" ht="15.75">
      <c r="A18" s="32">
        <v>11</v>
      </c>
      <c r="B18" s="22" t="s">
        <v>243</v>
      </c>
      <c r="C18" s="24">
        <f t="shared" si="0"/>
        <v>2026</v>
      </c>
      <c r="D18" s="22"/>
      <c r="E18" s="61"/>
      <c r="F18" s="67"/>
      <c r="G18" s="67"/>
    </row>
    <row r="19" spans="1:7" ht="15.75">
      <c r="A19" s="32">
        <v>12</v>
      </c>
      <c r="B19" s="22" t="s">
        <v>242</v>
      </c>
      <c r="C19" s="24">
        <f t="shared" si="0"/>
        <v>2026</v>
      </c>
      <c r="D19" s="22"/>
      <c r="E19" s="61"/>
      <c r="F19" s="67"/>
      <c r="G19" s="67"/>
    </row>
    <row r="20" spans="1:7" ht="15.75">
      <c r="A20" s="32">
        <v>13</v>
      </c>
      <c r="B20" s="22" t="s">
        <v>233</v>
      </c>
      <c r="C20" s="24">
        <f t="shared" si="0"/>
        <v>2026</v>
      </c>
      <c r="D20" s="22"/>
      <c r="E20" s="61"/>
      <c r="F20" s="67"/>
      <c r="G20" s="67"/>
    </row>
    <row r="21" spans="1:7" ht="15.75">
      <c r="A21" s="28"/>
      <c r="B21" s="22"/>
      <c r="C21" s="22"/>
      <c r="D21" s="22"/>
      <c r="E21" s="63"/>
      <c r="F21" s="67"/>
      <c r="G21" s="67"/>
    </row>
    <row r="22" spans="1:7" ht="15.75">
      <c r="A22" s="32">
        <v>14</v>
      </c>
      <c r="B22" s="22" t="s">
        <v>255</v>
      </c>
      <c r="C22" s="22"/>
      <c r="D22" s="22"/>
      <c r="E22" s="63">
        <f>SUM(E8:E20)/13</f>
        <v>0</v>
      </c>
      <c r="F22" s="67"/>
      <c r="G22" s="67"/>
    </row>
    <row r="25" spans="1:1" ht="15.75">
      <c r="A25" s="22" t="s">
        <v>257</v>
      </c>
    </row>
    <row r="26" spans="1:2" ht="15.75">
      <c r="A26" s="28" t="s">
        <v>256</v>
      </c>
      <c r="B26" s="22" t="s">
        <v>395</v>
      </c>
    </row>
    <row r="27" spans="1:9" ht="15.75">
      <c r="A27" s="28"/>
      <c r="B27" s="22"/>
      <c r="C27" s="22"/>
      <c r="D27" s="22"/>
      <c r="E27" s="22"/>
      <c r="F27" s="22"/>
      <c r="G27" s="22"/>
      <c r="H27" s="22"/>
      <c r="I27" s="22"/>
    </row>
    <row r="28" spans="1:9" ht="33" customHeight="1">
      <c r="A28" s="28"/>
      <c r="B28" s="1207"/>
      <c r="C28" s="1207"/>
      <c r="D28" s="1207"/>
      <c r="E28" s="1207"/>
      <c r="F28" s="1207"/>
      <c r="G28" s="1207"/>
      <c r="H28" s="1207"/>
      <c r="I28" s="1207"/>
    </row>
  </sheetData>
  <customSheetViews>
    <customSheetView guid="{33e6ffdf-cb42-4a87-b460-a01a45f9a9a1}" fitToPage="1" scale="60" showPageBreaks="1" topLeftCell="A1" view="pageBreakPreview">
      <selection pane="topLeft" activeCell="I3" sqref="I3"/>
      <pageMargins left="0.7" right="0.7" top="0.75" bottom="0.75" header="0.3" footer="0.3"/>
      <pageSetup fitToHeight="0" orientation="portrait" paperSize="1" scale="65" r:id="rId2"/>
    </customSheetView>
    <customSheetView guid="{394295c0-a883-44ec-b980-c2facd4b6eba}" fitToPage="1" scale="60" showPageBreaks="1" topLeftCell="A1" view="pageBreakPreview">
      <selection pane="topLeft" activeCell="I3" sqref="I3"/>
      <pageMargins left="0.7" right="0.7" top="0.75" bottom="0.75" header="0.3" footer="0.3"/>
      <pageSetup fitToHeight="0" orientation="portrait" paperSize="1" scale="65" r:id="rId3"/>
    </customSheetView>
  </customSheetViews>
  <mergeCells count="1">
    <mergeCell ref="B28:I28"/>
  </mergeCells>
  <pageMargins left="0.7" right="0.7" top="0.75" bottom="0.75" header="0.3" footer="0.3"/>
  <pageSetup fitToHeight="0" orientation="portrait" paperSize="1" scale="65"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C00-000000000000}">
  <sheetPr codeName="Sheet18"/>
  <dimension ref="A1:I17"/>
  <sheetViews>
    <sheetView view="pageBreakPreview" zoomScale="70" zoomScaleNormal="100" zoomScaleSheetLayoutView="70" workbookViewId="0" topLeftCell="A1"/>
  </sheetViews>
  <sheetFormatPr defaultColWidth="8.88555555555556" defaultRowHeight="12.75"/>
  <cols>
    <col min="1" max="1" width="8.88888888888889" style="69"/>
    <col min="2" max="2" width="2.88888888888889" style="69" customWidth="1"/>
    <col min="3" max="3" width="22.5555555555556" style="69" bestFit="1" customWidth="1"/>
    <col min="4" max="4" width="18.8888888888889" style="69" customWidth="1"/>
    <col min="5" max="5" width="22.8888888888889" style="69" customWidth="1"/>
    <col min="6" max="7" width="15.8888888888889" style="69" customWidth="1"/>
    <col min="8" max="16384" width="8.88888888888889" style="69"/>
  </cols>
  <sheetData>
    <row r="1" spans="9:9" ht="15.75">
      <c r="I1" s="458" t="s">
        <v>877</v>
      </c>
    </row>
    <row r="2" spans="9:9" ht="15.75">
      <c r="I2" s="458" t="s">
        <v>220</v>
      </c>
    </row>
    <row r="3" spans="9:9" ht="15.75">
      <c r="I3" s="459" t="str">
        <f>'Attachment 1 - Sched 1A'!$J$3</f>
        <v>For the 12 months ended 12/31/2026</v>
      </c>
    </row>
    <row r="4" spans="1:2" ht="15.75">
      <c r="A4" s="31"/>
      <c r="B4" s="31"/>
    </row>
    <row r="5" spans="2:7" ht="13.5" thickBot="1">
      <c r="B5" s="82" t="s">
        <v>364</v>
      </c>
      <c r="C5" s="82"/>
      <c r="D5" s="82"/>
      <c r="E5" s="82"/>
      <c r="F5" s="82"/>
      <c r="G5" s="82"/>
    </row>
    <row r="7" spans="3:4" ht="12.75">
      <c r="C7" s="69" t="s">
        <v>358</v>
      </c>
      <c r="D7" s="83">
        <v>0.21</v>
      </c>
    </row>
    <row r="8" spans="3:3" ht="25.5">
      <c r="C8" s="84" t="s">
        <v>966</v>
      </c>
    </row>
    <row r="9" spans="3:3" ht="12.75">
      <c r="C9" s="84"/>
    </row>
    <row r="10" spans="3:3" ht="12.75">
      <c r="C10" s="84"/>
    </row>
    <row r="11" spans="2:7" ht="13.5" thickBot="1">
      <c r="B11" s="82" t="s">
        <v>363</v>
      </c>
      <c r="C11" s="82"/>
      <c r="D11" s="82"/>
      <c r="E11" s="82"/>
      <c r="F11" s="82"/>
      <c r="G11" s="82"/>
    </row>
    <row r="12" spans="2:7" ht="12.75">
      <c r="B12" s="70"/>
      <c r="C12" s="70"/>
      <c r="D12" s="70"/>
      <c r="E12" s="70"/>
      <c r="F12" s="70"/>
      <c r="G12" s="70"/>
    </row>
    <row r="13" spans="4:5" ht="12.75">
      <c r="D13" s="80" t="s">
        <v>362</v>
      </c>
      <c r="E13" s="80" t="s">
        <v>365</v>
      </c>
    </row>
    <row r="14" spans="4:5" ht="29.25" customHeight="1">
      <c r="D14" s="80"/>
      <c r="E14" s="81" t="s">
        <v>966</v>
      </c>
    </row>
    <row r="15" spans="3:4" ht="12.75">
      <c r="C15" s="69" t="s">
        <v>359</v>
      </c>
      <c r="D15" s="83">
        <v>0.074899999999999994</v>
      </c>
    </row>
    <row r="16" spans="3:4" ht="12.75">
      <c r="C16" s="69" t="s">
        <v>360</v>
      </c>
      <c r="D16" s="83">
        <v>1</v>
      </c>
    </row>
    <row r="17" spans="3:5" ht="13.5" thickBot="1">
      <c r="C17" s="69" t="s">
        <v>361</v>
      </c>
      <c r="D17" s="85">
        <f>D15*D16</f>
        <v>0.074899999999999994</v>
      </c>
      <c r="E17" s="85">
        <f>SUM(D17:D17)</f>
        <v>0.074899999999999994</v>
      </c>
    </row>
    <row r="18" ht="13.5" thickTop="1"/>
  </sheetData>
  <customSheetViews>
    <customSheetView guid="{33e6ffdf-cb42-4a87-b460-a01a45f9a9a1}" printArea="1" scale="60" showPageBreaks="1" topLeftCell="A1" view="pageBreakPreview">
      <selection pane="topLeft" activeCell="G3" sqref="G3"/>
      <pageMargins left="0.7" right="0.7" top="0.75" bottom="0.75" header="0.3" footer="0.3"/>
      <pageSetup orientation="portrait" paperSize="1" scale="60" r:id="rId2"/>
      <headerFooter alignWithMargins="0"/>
    </customSheetView>
    <customSheetView guid="{394295c0-a883-44ec-b980-c2facd4b6eba}" printArea="1" scale="60" showPageBreaks="1" topLeftCell="A1" view="pageBreakPreview">
      <selection pane="topLeft" activeCell="G3" sqref="G3"/>
      <pageMargins left="0.7" right="0.7" top="0.75" bottom="0.75" header="0.3" footer="0.3"/>
      <pageSetup orientation="portrait" paperSize="1" scale="60" r:id="rId3"/>
      <headerFooter alignWithMargins="0"/>
    </customSheetView>
  </customSheetViews>
  <pageMargins left="0.7" right="0.7" top="0.75" bottom="0.75" header="0.3" footer="0.3"/>
  <pageSetup orientation="portrait" paperSize="1" scale="60"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dimension ref="A1:H77"/>
  <sheetViews>
    <sheetView view="pageBreakPreview" zoomScale="90" zoomScaleNormal="80" zoomScaleSheetLayoutView="90" workbookViewId="0" topLeftCell="A1"/>
  </sheetViews>
  <sheetFormatPr defaultColWidth="8.88555555555556" defaultRowHeight="15.75"/>
  <cols>
    <col min="1" max="1" width="8.55555555555556" style="2" customWidth="1"/>
    <col min="2" max="2" width="9" style="2" customWidth="1"/>
    <col min="3" max="3" width="1.11111111111111" style="2" customWidth="1"/>
    <col min="4" max="4" width="65.8888888888889" style="2" customWidth="1"/>
    <col min="5" max="5" width="1.44444444444444" style="2" customWidth="1"/>
    <col min="6" max="6" width="22.6666666666667" style="2" customWidth="1"/>
    <col min="7" max="7" width="3.66666666666667" style="2" customWidth="1"/>
    <col min="8" max="8" width="12.8888888888889" style="2" bestFit="1" customWidth="1"/>
    <col min="9" max="9" width="9.66666666666667" style="2" bestFit="1" customWidth="1"/>
    <col min="10" max="10" width="11.8888888888889" style="2" bestFit="1" customWidth="1"/>
    <col min="11" max="16384" width="8.88888888888889" style="2"/>
  </cols>
  <sheetData>
    <row r="1" spans="6:6" ht="15.75">
      <c r="F1" s="458" t="s">
        <v>998</v>
      </c>
    </row>
    <row r="2" spans="6:6" ht="15.75">
      <c r="F2" s="458" t="s">
        <v>223</v>
      </c>
    </row>
    <row r="3" spans="6:6" ht="15.75">
      <c r="F3" s="459" t="str">
        <f>'Attachment 1 - Sched 1A'!$J$3</f>
        <v>For the 12 months ended 12/31/2026</v>
      </c>
    </row>
    <row r="4" spans="6:6" ht="15.75">
      <c r="F4" s="458"/>
    </row>
    <row r="5" spans="2:6" ht="15.75">
      <c r="B5" s="493" t="s">
        <v>999</v>
      </c>
      <c r="C5" s="494"/>
      <c r="D5" s="494"/>
      <c r="F5" s="459"/>
    </row>
    <row r="7" spans="1:6" ht="31.5">
      <c r="A7" s="495" t="s">
        <v>1000</v>
      </c>
      <c r="B7" s="496" t="s">
        <v>1001</v>
      </c>
      <c r="D7" s="497" t="s">
        <v>1002</v>
      </c>
      <c r="F7" s="498" t="s">
        <v>1003</v>
      </c>
    </row>
    <row r="8" spans="2:6" ht="15.75">
      <c r="B8" s="497"/>
      <c r="D8" s="497"/>
      <c r="F8" s="499"/>
    </row>
    <row r="9" spans="1:6" ht="15.75">
      <c r="A9" s="1">
        <v>82</v>
      </c>
      <c r="B9" s="1"/>
      <c r="D9" s="500" t="s">
        <v>1004</v>
      </c>
      <c r="F9" s="499"/>
    </row>
    <row r="10" spans="1:6" ht="15.75">
      <c r="A10" s="1">
        <v>83</v>
      </c>
      <c r="B10" s="1">
        <v>560</v>
      </c>
      <c r="D10" s="2" t="s">
        <v>1005</v>
      </c>
      <c r="F10" s="724">
        <v>1430072.8099999926</v>
      </c>
    </row>
    <row r="11" spans="1:6" ht="31.5" customHeight="1">
      <c r="A11" s="1">
        <v>84</v>
      </c>
      <c r="B11" s="1"/>
      <c r="F11" s="501"/>
    </row>
    <row r="12" spans="1:6" ht="15.75">
      <c r="A12" s="1">
        <v>85</v>
      </c>
      <c r="B12" s="1">
        <v>561.10</v>
      </c>
      <c r="D12" s="2" t="s">
        <v>1006</v>
      </c>
      <c r="F12" s="724">
        <v>953299.48000000173</v>
      </c>
    </row>
    <row r="13" spans="1:8" ht="15.75">
      <c r="A13" s="1">
        <v>86</v>
      </c>
      <c r="B13" s="1">
        <v>561.20000000000005</v>
      </c>
      <c r="D13" s="2" t="s">
        <v>1007</v>
      </c>
      <c r="F13" s="1114">
        <v>2193963.9299999978</v>
      </c>
      <c r="H13" s="21"/>
    </row>
    <row r="14" spans="1:6" ht="15.75">
      <c r="A14" s="1">
        <v>87</v>
      </c>
      <c r="B14" s="1">
        <v>561.29999999999995</v>
      </c>
      <c r="D14" s="2" t="s">
        <v>1008</v>
      </c>
      <c r="F14" s="1114">
        <v>0</v>
      </c>
    </row>
    <row r="15" spans="1:6" ht="15.75">
      <c r="A15" s="1">
        <v>88</v>
      </c>
      <c r="B15" s="1">
        <v>561.40</v>
      </c>
      <c r="D15" s="2" t="s">
        <v>1009</v>
      </c>
      <c r="F15" s="724">
        <v>0</v>
      </c>
    </row>
    <row r="16" spans="1:6" ht="15.75">
      <c r="A16" s="1">
        <v>89</v>
      </c>
      <c r="B16" s="1">
        <v>561.50</v>
      </c>
      <c r="D16" s="2" t="s">
        <v>1010</v>
      </c>
      <c r="F16" s="724">
        <v>462124.83000000054</v>
      </c>
    </row>
    <row r="17" spans="1:6" ht="15.75">
      <c r="A17" s="1">
        <v>90</v>
      </c>
      <c r="B17" s="1">
        <v>561.60</v>
      </c>
      <c r="D17" s="2" t="s">
        <v>1011</v>
      </c>
      <c r="F17" s="724">
        <v>0</v>
      </c>
    </row>
    <row r="18" spans="1:6" ht="15.75">
      <c r="A18" s="1">
        <v>91</v>
      </c>
      <c r="B18" s="1">
        <v>561.70000000000005</v>
      </c>
      <c r="D18" s="2" t="s">
        <v>1012</v>
      </c>
      <c r="F18" s="724">
        <v>0</v>
      </c>
    </row>
    <row r="19" spans="1:6" ht="15.75">
      <c r="A19" s="1">
        <v>92</v>
      </c>
      <c r="B19" s="1">
        <v>561.79999999999995</v>
      </c>
      <c r="D19" s="2" t="s">
        <v>1013</v>
      </c>
      <c r="F19" s="1114">
        <v>0</v>
      </c>
    </row>
    <row r="20" spans="1:6" ht="15.75">
      <c r="A20" s="1">
        <v>93</v>
      </c>
      <c r="B20" s="5">
        <v>562</v>
      </c>
      <c r="D20" s="2" t="s">
        <v>1014</v>
      </c>
      <c r="F20" s="724">
        <v>8595777.5799999908</v>
      </c>
    </row>
    <row r="21" spans="1:6" ht="15.75">
      <c r="A21" s="1">
        <v>94</v>
      </c>
      <c r="B21" s="5">
        <v>563</v>
      </c>
      <c r="D21" s="2" t="s">
        <v>1015</v>
      </c>
      <c r="F21" s="724">
        <v>12702424.589999937</v>
      </c>
    </row>
    <row r="22" spans="1:6" ht="15.75">
      <c r="A22" s="1">
        <v>95</v>
      </c>
      <c r="B22" s="5">
        <v>564</v>
      </c>
      <c r="D22" s="2" t="s">
        <v>1016</v>
      </c>
      <c r="F22" s="1114">
        <v>0</v>
      </c>
    </row>
    <row r="23" spans="1:6" ht="15.75">
      <c r="A23" s="1">
        <v>96</v>
      </c>
      <c r="B23" s="5">
        <v>565</v>
      </c>
      <c r="D23" s="2" t="s">
        <v>1196</v>
      </c>
      <c r="F23" s="724">
        <v>0</v>
      </c>
    </row>
    <row r="24" spans="1:6" ht="15.75">
      <c r="A24" s="1">
        <v>97</v>
      </c>
      <c r="B24" s="5">
        <v>566</v>
      </c>
      <c r="D24" s="2" t="s">
        <v>1017</v>
      </c>
      <c r="F24" s="724">
        <v>8989765.58999997</v>
      </c>
    </row>
    <row r="25" spans="1:6" ht="15.75">
      <c r="A25" s="1">
        <v>98</v>
      </c>
      <c r="B25" s="5">
        <v>567</v>
      </c>
      <c r="D25" s="2" t="s">
        <v>1018</v>
      </c>
      <c r="F25" s="724">
        <v>14131878.16</v>
      </c>
    </row>
    <row r="26" spans="1:6" ht="15.75">
      <c r="A26" s="1">
        <v>99</v>
      </c>
      <c r="B26" s="5"/>
      <c r="D26" s="2" t="s">
        <v>1019</v>
      </c>
      <c r="F26" s="502">
        <f>SUM(F10,F12:F25)</f>
        <v>49459306.969999894</v>
      </c>
    </row>
    <row r="27" spans="1:6" ht="15.75">
      <c r="A27" s="1">
        <v>100</v>
      </c>
      <c r="B27" s="5"/>
      <c r="D27" s="500" t="s">
        <v>1020</v>
      </c>
      <c r="F27" s="501"/>
    </row>
    <row r="28" spans="1:6" ht="15.75">
      <c r="A28" s="1">
        <v>101</v>
      </c>
      <c r="B28" s="5">
        <v>568</v>
      </c>
      <c r="D28" s="2" t="s">
        <v>1021</v>
      </c>
      <c r="F28" s="724">
        <v>5879333.320000058</v>
      </c>
    </row>
    <row r="29" spans="1:6" ht="15.75">
      <c r="A29" s="1">
        <v>102</v>
      </c>
      <c r="B29" s="5">
        <v>569</v>
      </c>
      <c r="D29" s="2" t="s">
        <v>1022</v>
      </c>
      <c r="F29" s="724">
        <v>0</v>
      </c>
    </row>
    <row r="30" spans="1:6" ht="15.75">
      <c r="A30" s="1">
        <v>103</v>
      </c>
      <c r="B30" s="503">
        <v>569.10</v>
      </c>
      <c r="D30" s="2" t="s">
        <v>1023</v>
      </c>
      <c r="F30" s="1114">
        <v>58136.820000000102</v>
      </c>
    </row>
    <row r="31" spans="1:6" ht="15.75">
      <c r="A31" s="1">
        <v>104</v>
      </c>
      <c r="B31" s="503">
        <v>569.20000000000005</v>
      </c>
      <c r="D31" s="2" t="s">
        <v>1024</v>
      </c>
      <c r="F31" s="724">
        <v>154576.73999999993</v>
      </c>
    </row>
    <row r="32" spans="1:6" ht="15.75">
      <c r="A32" s="1">
        <v>105</v>
      </c>
      <c r="B32" s="503">
        <v>569.29999999999995</v>
      </c>
      <c r="D32" s="2" t="s">
        <v>1025</v>
      </c>
      <c r="F32" s="724">
        <v>0</v>
      </c>
    </row>
    <row r="33" spans="1:6" ht="15.75">
      <c r="A33" s="1">
        <v>106</v>
      </c>
      <c r="B33" s="503">
        <v>569.40</v>
      </c>
      <c r="D33" s="2" t="s">
        <v>1026</v>
      </c>
      <c r="F33" s="1114">
        <v>0</v>
      </c>
    </row>
    <row r="34" spans="1:6" ht="15.75">
      <c r="A34" s="1">
        <v>107</v>
      </c>
      <c r="B34" s="1">
        <v>570</v>
      </c>
      <c r="D34" s="2" t="s">
        <v>1027</v>
      </c>
      <c r="F34" s="724">
        <v>9722070.0800000131</v>
      </c>
    </row>
    <row r="35" spans="1:6" ht="15.75">
      <c r="A35" s="1">
        <v>108</v>
      </c>
      <c r="B35" s="1">
        <v>571</v>
      </c>
      <c r="D35" s="2" t="s">
        <v>1028</v>
      </c>
      <c r="F35" s="724">
        <v>42764302.990000099</v>
      </c>
    </row>
    <row r="36" spans="1:6" ht="15.75">
      <c r="A36" s="1">
        <v>109</v>
      </c>
      <c r="B36" s="1">
        <v>572</v>
      </c>
      <c r="D36" s="2" t="s">
        <v>1029</v>
      </c>
      <c r="F36" s="1114">
        <v>0</v>
      </c>
    </row>
    <row r="37" spans="1:6" ht="15.75">
      <c r="A37" s="1">
        <v>110</v>
      </c>
      <c r="B37" s="1">
        <v>573</v>
      </c>
      <c r="D37" s="2" t="s">
        <v>1030</v>
      </c>
      <c r="F37" s="725">
        <v>352661.5499999976</v>
      </c>
    </row>
    <row r="38" spans="1:6" ht="15.75">
      <c r="A38" s="1">
        <v>111</v>
      </c>
      <c r="B38" s="1"/>
      <c r="D38" s="2" t="s">
        <v>1031</v>
      </c>
      <c r="F38" s="504">
        <f>SUM(F28:F37)</f>
        <v>58931081.500000164</v>
      </c>
    </row>
    <row r="39" spans="1:6" ht="16.5" thickBot="1">
      <c r="A39" s="1">
        <v>112</v>
      </c>
      <c r="B39" s="503"/>
      <c r="D39" s="497" t="s">
        <v>1032</v>
      </c>
      <c r="F39" s="505">
        <f>F26+F38</f>
        <v>108390388.47000006</v>
      </c>
    </row>
    <row r="40" spans="1:6" ht="16.5" thickTop="1">
      <c r="A40" s="3"/>
      <c r="B40" s="506"/>
      <c r="D40" s="497"/>
      <c r="F40" s="497"/>
    </row>
    <row r="41" spans="1:6" ht="15.75">
      <c r="A41" s="3" t="s">
        <v>257</v>
      </c>
      <c r="B41" s="506"/>
      <c r="D41" s="497"/>
      <c r="F41" s="497"/>
    </row>
    <row r="42" spans="1:6" ht="15.75">
      <c r="A42" s="1" t="s">
        <v>1033</v>
      </c>
      <c r="B42" s="506" t="s">
        <v>1034</v>
      </c>
      <c r="D42" s="497"/>
      <c r="F42" s="497"/>
    </row>
    <row r="43" spans="1:6" ht="15.75">
      <c r="A43" s="1" t="s">
        <v>1035</v>
      </c>
      <c r="B43" s="506" t="s">
        <v>1036</v>
      </c>
      <c r="D43" s="497"/>
      <c r="F43" s="497"/>
    </row>
    <row r="44" spans="1:6" ht="15.75">
      <c r="A44" s="1" t="s">
        <v>1037</v>
      </c>
      <c r="B44" s="506" t="s">
        <v>1038</v>
      </c>
      <c r="D44" s="497"/>
      <c r="F44" s="458"/>
    </row>
    <row r="45" spans="1:6" ht="15.75">
      <c r="A45" s="1"/>
      <c r="B45" s="506" t="s">
        <v>1181</v>
      </c>
      <c r="D45" s="497"/>
      <c r="F45" s="458"/>
    </row>
    <row r="46" spans="1:6" ht="15.75">
      <c r="A46" s="3"/>
      <c r="B46" s="506"/>
      <c r="D46" s="497"/>
      <c r="F46" s="458" t="s">
        <v>998</v>
      </c>
    </row>
    <row r="47" spans="1:6" ht="15.75">
      <c r="A47" s="3"/>
      <c r="B47" s="506"/>
      <c r="D47" s="497"/>
      <c r="F47" s="458" t="s">
        <v>226</v>
      </c>
    </row>
    <row r="48" spans="2:6" ht="15.75">
      <c r="B48" s="506"/>
      <c r="F48" s="459" t="str">
        <f>F3</f>
        <v>For the 12 months ended 12/31/2026</v>
      </c>
    </row>
    <row r="50" spans="2:5" ht="15.75">
      <c r="B50" s="493" t="s">
        <v>1039</v>
      </c>
      <c r="C50" s="494"/>
      <c r="D50" s="494"/>
      <c r="E50" s="494"/>
    </row>
    <row r="52" spans="1:6" ht="31.5">
      <c r="A52" s="495" t="s">
        <v>1040</v>
      </c>
      <c r="B52" s="496" t="s">
        <v>1001</v>
      </c>
      <c r="D52" s="497" t="s">
        <v>1002</v>
      </c>
      <c r="F52" s="498" t="s">
        <v>1041</v>
      </c>
    </row>
    <row r="53" spans="2:6" ht="15.75">
      <c r="B53" s="497"/>
      <c r="D53" s="497"/>
      <c r="F53" s="507"/>
    </row>
    <row r="54" spans="1:6" ht="15.75">
      <c r="A54" s="1">
        <v>180</v>
      </c>
      <c r="B54" s="19"/>
      <c r="D54" s="500" t="s">
        <v>1004</v>
      </c>
      <c r="F54" s="507"/>
    </row>
    <row r="55" spans="1:6" ht="15.75">
      <c r="A55" s="1">
        <v>181</v>
      </c>
      <c r="B55" s="5">
        <v>920</v>
      </c>
      <c r="D55" s="2" t="s">
        <v>1042</v>
      </c>
      <c r="F55" s="724">
        <v>0</v>
      </c>
    </row>
    <row r="56" spans="1:6" ht="15.75">
      <c r="A56" s="1">
        <v>182</v>
      </c>
      <c r="B56" s="5">
        <v>921</v>
      </c>
      <c r="D56" s="2" t="s">
        <v>1043</v>
      </c>
      <c r="F56" s="724">
        <v>26539.390000000021</v>
      </c>
    </row>
    <row r="57" spans="1:6" ht="15.75">
      <c r="A57" s="1">
        <v>183</v>
      </c>
      <c r="B57" s="735" t="s">
        <v>1044</v>
      </c>
      <c r="D57" s="2" t="s">
        <v>1045</v>
      </c>
      <c r="F57" s="724">
        <v>0</v>
      </c>
    </row>
    <row r="58" spans="1:8" ht="15.75">
      <c r="A58" s="1">
        <v>184</v>
      </c>
      <c r="B58" s="5">
        <v>923</v>
      </c>
      <c r="D58" s="2" t="s">
        <v>1046</v>
      </c>
      <c r="F58" s="724">
        <v>19005781.709999699</v>
      </c>
      <c r="H58" s="504"/>
    </row>
    <row r="59" spans="1:6" ht="15.75">
      <c r="A59" s="1">
        <v>185</v>
      </c>
      <c r="B59" s="5">
        <v>924</v>
      </c>
      <c r="D59" s="2" t="s">
        <v>1047</v>
      </c>
      <c r="F59" s="724">
        <v>791824.81</v>
      </c>
    </row>
    <row r="60" spans="1:6" ht="15.75">
      <c r="A60" s="1">
        <v>186</v>
      </c>
      <c r="B60" s="5">
        <v>925</v>
      </c>
      <c r="D60" s="2" t="s">
        <v>1048</v>
      </c>
      <c r="F60" s="724">
        <v>1489333.34</v>
      </c>
    </row>
    <row r="61" spans="1:6" ht="15.75">
      <c r="A61" s="1">
        <v>187</v>
      </c>
      <c r="B61" s="5">
        <v>926</v>
      </c>
      <c r="D61" s="2" t="s">
        <v>1049</v>
      </c>
      <c r="F61" s="724">
        <v>1601570.5899999989</v>
      </c>
    </row>
    <row r="62" spans="1:6" ht="15.75">
      <c r="A62" s="1">
        <v>188</v>
      </c>
      <c r="B62" s="5">
        <v>927</v>
      </c>
      <c r="D62" s="2" t="s">
        <v>1050</v>
      </c>
      <c r="F62" s="1114">
        <v>0</v>
      </c>
    </row>
    <row r="63" spans="1:6" ht="15.75">
      <c r="A63" s="1">
        <v>189</v>
      </c>
      <c r="B63" s="5">
        <v>928</v>
      </c>
      <c r="D63" s="2" t="s">
        <v>1051</v>
      </c>
      <c r="F63" s="1114">
        <v>0</v>
      </c>
    </row>
    <row r="64" spans="1:6" ht="15.75">
      <c r="A64" s="1">
        <v>190</v>
      </c>
      <c r="B64" s="5" t="s">
        <v>1052</v>
      </c>
      <c r="D64" s="2" t="s">
        <v>1053</v>
      </c>
      <c r="F64" s="1114">
        <v>0</v>
      </c>
    </row>
    <row r="65" spans="1:6" ht="15.75">
      <c r="A65" s="1">
        <v>191</v>
      </c>
      <c r="B65" s="503">
        <v>930.10</v>
      </c>
      <c r="D65" s="2" t="s">
        <v>1054</v>
      </c>
      <c r="F65" s="1114">
        <v>0</v>
      </c>
    </row>
    <row r="66" spans="1:6" ht="15.75">
      <c r="A66" s="1">
        <v>192</v>
      </c>
      <c r="B66" s="503">
        <v>930.20</v>
      </c>
      <c r="D66" s="2" t="s">
        <v>1055</v>
      </c>
      <c r="F66" s="724">
        <v>182140.78999999899</v>
      </c>
    </row>
    <row r="67" spans="1:6" ht="15.75">
      <c r="A67" s="1">
        <v>193</v>
      </c>
      <c r="B67" s="5">
        <v>931</v>
      </c>
      <c r="D67" s="2" t="s">
        <v>1018</v>
      </c>
      <c r="F67" s="724">
        <v>496873</v>
      </c>
    </row>
    <row r="68" spans="1:6" ht="15.75">
      <c r="A68" s="1">
        <v>194</v>
      </c>
      <c r="B68" s="503"/>
      <c r="D68" s="497" t="s">
        <v>1056</v>
      </c>
      <c r="F68" s="502">
        <f>SUM(F55:F67)</f>
        <v>23594063.629999697</v>
      </c>
    </row>
    <row r="69" spans="1:6" ht="15.75">
      <c r="A69" s="1">
        <v>195</v>
      </c>
      <c r="B69" s="19"/>
      <c r="D69" s="500" t="s">
        <v>1020</v>
      </c>
      <c r="F69" s="508"/>
    </row>
    <row r="70" spans="1:6" ht="15.75">
      <c r="A70" s="1">
        <v>196</v>
      </c>
      <c r="B70" s="5">
        <v>935</v>
      </c>
      <c r="D70" s="2" t="s">
        <v>1197</v>
      </c>
      <c r="F70" s="725">
        <v>6576032.5999999922</v>
      </c>
    </row>
    <row r="71" spans="1:6" ht="16.5" thickBot="1">
      <c r="A71" s="1">
        <v>197</v>
      </c>
      <c r="B71" s="19"/>
      <c r="D71" s="497" t="s">
        <v>1057</v>
      </c>
      <c r="F71" s="505">
        <f>F68+F70</f>
        <v>30170096.229999691</v>
      </c>
    </row>
    <row r="72" ht="16.5" thickTop="1"/>
    <row r="73" spans="1:2" ht="15.75">
      <c r="A73" s="3" t="s">
        <v>257</v>
      </c>
      <c r="B73" s="506"/>
    </row>
    <row r="74" spans="1:2" ht="15.75">
      <c r="A74" s="1" t="s">
        <v>1058</v>
      </c>
      <c r="B74" s="506" t="s">
        <v>1059</v>
      </c>
    </row>
    <row r="75" spans="1:2" ht="15.75">
      <c r="A75" s="1" t="s">
        <v>1060</v>
      </c>
      <c r="B75" s="506" t="s">
        <v>1036</v>
      </c>
    </row>
    <row r="76" spans="1:2" ht="15.75">
      <c r="A76" s="1" t="s">
        <v>1061</v>
      </c>
      <c r="B76" s="506" t="s">
        <v>1062</v>
      </c>
    </row>
    <row r="77" spans="2:2" ht="15.75">
      <c r="B77" s="506" t="s">
        <v>1181</v>
      </c>
    </row>
  </sheetData>
  <customSheetViews>
    <customSheetView guid="{33e6ffdf-cb42-4a87-b460-a01a45f9a9a1}" printArea="1" scale="60" showPageBreaks="1" topLeftCell="B1" view="pageBreakPreview">
      <selection pane="topLeft" activeCell="B1" sqref="A1:B1"/>
      <rowBreaks count="1" manualBreakCount="1">
        <brk id="45" max="6" man="1"/>
      </rowBreaks>
      <pageMargins left="0.7" right="0.7" top="0.75" bottom="0.75" header="0.3" footer="0.3"/>
      <pageSetup orientation="portrait" paperSize="1" scale="68" r:id="rId2"/>
    </customSheetView>
    <customSheetView guid="{394295c0-a883-44ec-b980-c2facd4b6eba}" printArea="1" scale="60" showPageBreaks="1" topLeftCell="B1" view="pageBreakPreview">
      <selection pane="topLeft" activeCell="B1" sqref="A1:B1"/>
      <rowBreaks count="1" manualBreakCount="1">
        <brk id="45" max="6" man="1"/>
      </rowBreaks>
      <pageMargins left="0.7" right="0.7" top="0.75" bottom="0.75" header="0.3" footer="0.3"/>
      <pageSetup orientation="portrait" paperSize="1" scale="68" r:id="rId3"/>
    </customSheetView>
  </customSheetViews>
  <pageMargins left="0.7" right="0.7" top="0.75" bottom="0.75" header="0.3" footer="0.3"/>
  <pageSetup orientation="portrait" paperSize="1" scale="67" r:id="rId1"/>
  <rowBreaks count="1" manualBreakCount="1">
    <brk id="45" max="5" man="1"/>
  </row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dimension ref="A1:M30"/>
  <sheetViews>
    <sheetView view="pageBreakPreview" zoomScale="60" zoomScaleNormal="100" workbookViewId="0" topLeftCell="A1"/>
  </sheetViews>
  <sheetFormatPr defaultColWidth="8.66555555555555" defaultRowHeight="15.75"/>
  <cols>
    <col min="1" max="1" width="3.11111111111111" style="2" customWidth="1"/>
    <col min="2" max="4" width="8.66666666666667" style="2"/>
    <col min="5" max="5" width="11.2222222222222" style="2" customWidth="1"/>
    <col min="6" max="7" width="8.66666666666667" style="2"/>
    <col min="8" max="8" width="16.1111111111111" style="2" customWidth="1"/>
    <col min="9" max="9" width="15" style="2" customWidth="1"/>
    <col min="10" max="10" width="3.66666666666667" style="2" customWidth="1"/>
    <col min="11" max="11" width="15.6666666666667" style="2" customWidth="1"/>
    <col min="12" max="12" width="8.66666666666667" style="2"/>
    <col min="13" max="13" width="10.1111111111111" style="2" bestFit="1" customWidth="1"/>
    <col min="14" max="16384" width="8.66666666666667" style="2"/>
  </cols>
  <sheetData>
    <row r="1" spans="11:12" ht="15.75">
      <c r="K1" s="4" t="s">
        <v>1170</v>
      </c>
      <c r="L1" s="4"/>
    </row>
    <row r="2" spans="11:12" ht="15.75">
      <c r="K2" s="4" t="s">
        <v>220</v>
      </c>
      <c r="L2" s="4"/>
    </row>
    <row r="3" spans="2:12" ht="15.75">
      <c r="B3" s="493"/>
      <c r="C3" s="493"/>
      <c r="D3" s="493"/>
      <c r="K3" s="4" t="str">
        <f>'Attachment 1 - Sched 1A'!$J$3</f>
        <v>For the 12 months ended 12/31/2026</v>
      </c>
      <c r="L3" s="4"/>
    </row>
    <row r="4" spans="2:12" ht="15.75">
      <c r="B4" s="493"/>
      <c r="C4" s="493"/>
      <c r="D4" s="493"/>
      <c r="F4" s="493" t="s">
        <v>1161</v>
      </c>
      <c r="G4" s="493"/>
      <c r="H4" s="493"/>
      <c r="L4" s="4"/>
    </row>
    <row r="5" spans="2:12" ht="15.75">
      <c r="B5" s="493"/>
      <c r="C5" s="493"/>
      <c r="D5" s="493"/>
      <c r="F5" s="2" t="s">
        <v>1198</v>
      </c>
      <c r="L5" s="4"/>
    </row>
    <row r="6" spans="2:12" ht="15.75">
      <c r="B6" s="493"/>
      <c r="C6" s="493"/>
      <c r="D6" s="493"/>
      <c r="L6" s="4"/>
    </row>
    <row r="7" spans="1:10" ht="34.5" customHeight="1">
      <c r="A7" s="542"/>
      <c r="B7" s="542"/>
      <c r="C7" s="542"/>
      <c r="D7" s="542"/>
      <c r="E7" s="542"/>
      <c r="F7" s="542"/>
      <c r="G7" s="542"/>
      <c r="H7" s="542"/>
      <c r="I7" s="544" t="s">
        <v>1482</v>
      </c>
      <c r="J7" s="542"/>
    </row>
    <row r="8" spans="1:11" ht="15.75">
      <c r="A8" s="543" t="s">
        <v>1176</v>
      </c>
      <c r="B8" s="2" t="s">
        <v>1162</v>
      </c>
      <c r="F8" s="2" t="s">
        <v>1194</v>
      </c>
      <c r="I8" s="545" t="s">
        <v>1177</v>
      </c>
      <c r="K8" s="2" t="s">
        <v>1163</v>
      </c>
    </row>
    <row r="10" spans="1:13" ht="15.75">
      <c r="A10" s="2" t="s">
        <v>725</v>
      </c>
      <c r="C10" s="21" t="s">
        <v>1381</v>
      </c>
      <c r="D10" s="21"/>
      <c r="E10" s="21"/>
      <c r="F10" s="21"/>
      <c r="G10" s="21"/>
      <c r="H10" s="21"/>
      <c r="I10" s="1157">
        <v>450924.96</v>
      </c>
      <c r="L10" s="1142"/>
      <c r="M10" s="1142"/>
    </row>
    <row r="11" spans="1:9" ht="15.75">
      <c r="A11" s="2" t="s">
        <v>734</v>
      </c>
      <c r="C11" s="2" t="s">
        <v>1178</v>
      </c>
      <c r="I11" s="504">
        <f>SUM(I10:I10)</f>
        <v>450924.96</v>
      </c>
    </row>
    <row r="13" spans="1:11" ht="15.75">
      <c r="A13" s="543" t="s">
        <v>728</v>
      </c>
      <c r="B13" s="2" t="s">
        <v>1164</v>
      </c>
      <c r="F13" s="2" t="s">
        <v>1165</v>
      </c>
      <c r="K13" s="2" t="s">
        <v>1166</v>
      </c>
    </row>
    <row r="15" spans="1:9" ht="15.75">
      <c r="A15" s="2" t="s">
        <v>631</v>
      </c>
      <c r="C15" s="552" t="s">
        <v>1382</v>
      </c>
      <c r="D15" s="552"/>
      <c r="E15" s="552"/>
      <c r="F15" s="552"/>
      <c r="G15" s="552"/>
      <c r="H15" s="552"/>
      <c r="I15" s="708">
        <v>1998563</v>
      </c>
    </row>
    <row r="16" spans="1:9" ht="15.75">
      <c r="A16" s="2" t="s">
        <v>632</v>
      </c>
      <c r="C16" s="552" t="s">
        <v>1383</v>
      </c>
      <c r="D16" s="552"/>
      <c r="E16" s="552"/>
      <c r="F16" s="552"/>
      <c r="G16" s="552"/>
      <c r="H16" s="552"/>
      <c r="I16" s="1157">
        <v>1762525</v>
      </c>
    </row>
    <row r="17" spans="1:9" ht="15.75">
      <c r="A17" s="2" t="s">
        <v>735</v>
      </c>
      <c r="C17" s="2" t="s">
        <v>1179</v>
      </c>
      <c r="I17" s="504">
        <f>SUM(I15:I16)</f>
        <v>3761088</v>
      </c>
    </row>
    <row r="19" spans="1:11" ht="15.75">
      <c r="A19" s="543" t="s">
        <v>244</v>
      </c>
      <c r="B19" s="2" t="s">
        <v>1167</v>
      </c>
      <c r="F19" s="2" t="s">
        <v>1195</v>
      </c>
      <c r="K19" s="2" t="s">
        <v>1168</v>
      </c>
    </row>
    <row r="21" spans="1:9" ht="15.75">
      <c r="A21" s="2" t="s">
        <v>829</v>
      </c>
      <c r="C21" s="552" t="s">
        <v>1384</v>
      </c>
      <c r="D21" s="552"/>
      <c r="E21" s="552"/>
      <c r="F21" s="552"/>
      <c r="G21" s="552"/>
      <c r="H21" s="552"/>
      <c r="I21" s="708">
        <v>6143900</v>
      </c>
    </row>
    <row r="22" spans="1:9" ht="15.75">
      <c r="A22" s="2" t="s">
        <v>729</v>
      </c>
      <c r="C22" s="552" t="s">
        <v>1385</v>
      </c>
      <c r="D22" s="552"/>
      <c r="E22" s="552"/>
      <c r="F22" s="552"/>
      <c r="G22" s="552"/>
      <c r="H22" s="552"/>
      <c r="I22" s="708">
        <v>266000</v>
      </c>
    </row>
    <row r="23" spans="1:9" ht="15.75">
      <c r="A23" s="2" t="s">
        <v>730</v>
      </c>
      <c r="C23" s="552" t="s">
        <v>1381</v>
      </c>
      <c r="D23" s="552"/>
      <c r="E23" s="552"/>
      <c r="F23" s="552"/>
      <c r="G23" s="552"/>
      <c r="H23" s="552"/>
      <c r="I23" s="708">
        <v>0</v>
      </c>
    </row>
    <row r="24" spans="1:9" ht="30.75" customHeight="1">
      <c r="A24" s="2" t="s">
        <v>736</v>
      </c>
      <c r="C24" s="2" t="s">
        <v>1180</v>
      </c>
      <c r="I24" s="504">
        <f>SUM(I21:I23)</f>
        <v>6409900</v>
      </c>
    </row>
    <row r="30" spans="2:2" ht="15.75">
      <c r="B30" s="2" t="s">
        <v>1169</v>
      </c>
    </row>
  </sheetData>
  <customSheetViews>
    <customSheetView guid="{33e6ffdf-cb42-4a87-b460-a01a45f9a9a1}" printArea="1" scale="60" showPageBreaks="1" topLeftCell="A1" view="pageBreakPreview">
      <selection pane="topLeft" activeCell="I23" sqref="I23"/>
      <pageMargins left="0.7" right="0.7" top="0.75" bottom="0.75" header="0.3" footer="0.3"/>
      <pageSetup orientation="portrait" paperSize="1" scale="66" r:id="rId2"/>
    </customSheetView>
    <customSheetView guid="{394295c0-a883-44ec-b980-c2facd4b6eba}" printArea="1" scale="60" showPageBreaks="1" topLeftCell="A1" view="pageBreakPreview">
      <selection pane="topLeft" activeCell="I23" sqref="I23"/>
      <pageMargins left="0.7" right="0.7" top="0.75" bottom="0.75" header="0.3" footer="0.3"/>
      <pageSetup orientation="portrait" paperSize="1" scale="66" r:id="rId3"/>
    </customSheetView>
  </customSheetViews>
  <pageMargins left="0.7" right="0.7" top="0.75" bottom="0.75" header="0.3" footer="0.3"/>
  <pageSetup orientation="portrait" paperSize="1" scale="66" r:id="rId1"/>
  <ignoredErrors>
    <ignoredError sqref="A8 A13 A19"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L69"/>
  <sheetViews>
    <sheetView view="pageBreakPreview" zoomScale="70" zoomScaleNormal="80" zoomScaleSheetLayoutView="70" workbookViewId="0" topLeftCell="A1"/>
  </sheetViews>
  <sheetFormatPr defaultColWidth="8.88555555555556" defaultRowHeight="20.1" customHeight="1"/>
  <cols>
    <col min="1" max="1" width="3.88888888888889" style="28" customWidth="1"/>
    <col min="2" max="2" width="10.6666666666667" style="22" customWidth="1"/>
    <col min="3" max="3" width="10.5555555555556" style="22" customWidth="1"/>
    <col min="4" max="4" width="2.66666666666667" style="22" customWidth="1"/>
    <col min="5" max="5" width="12.6666666666667" style="28" customWidth="1"/>
    <col min="6" max="6" width="18.2222222222222" style="855" bestFit="1" customWidth="1"/>
    <col min="7" max="7" width="12.6666666666667" style="855" customWidth="1"/>
    <col min="8" max="8" width="15.6666666666667" style="855" bestFit="1" customWidth="1"/>
    <col min="9" max="9" width="16" style="855" bestFit="1" customWidth="1"/>
    <col min="10" max="10" width="15" style="28" bestFit="1" customWidth="1"/>
    <col min="11" max="11" width="5.66666666666667" style="28" customWidth="1"/>
    <col min="12" max="12" width="31.2222222222222" style="22" customWidth="1"/>
    <col min="13" max="13" width="15.4444444444444" style="22" customWidth="1"/>
    <col min="14" max="14" width="13.5555555555556" style="22" bestFit="1" customWidth="1"/>
    <col min="15" max="16384" width="8.88888888888889" style="22"/>
  </cols>
  <sheetData>
    <row r="1" spans="12:12" ht="20.1" customHeight="1">
      <c r="L1" s="4" t="s">
        <v>775</v>
      </c>
    </row>
    <row r="2" spans="12:12" ht="20.1" customHeight="1">
      <c r="L2" s="4" t="s">
        <v>220</v>
      </c>
    </row>
    <row r="3" spans="7:12" ht="20.1" customHeight="1">
      <c r="G3" s="1097" t="s">
        <v>777</v>
      </c>
      <c r="L3" s="4" t="str">
        <f>'Attachment 1 - Sched 1A'!$J$3</f>
        <v>For the 12 months ended 12/31/2026</v>
      </c>
    </row>
    <row r="4" spans="1:1" ht="20.1" customHeight="1">
      <c r="A4" s="31"/>
    </row>
    <row r="5" spans="5:12" ht="20.1" customHeight="1">
      <c r="E5" s="853" t="s">
        <v>707</v>
      </c>
      <c r="F5" s="855" t="s">
        <v>708</v>
      </c>
      <c r="G5" s="855" t="s">
        <v>709</v>
      </c>
      <c r="H5" s="855" t="s">
        <v>710</v>
      </c>
      <c r="I5" s="855" t="s">
        <v>711</v>
      </c>
      <c r="J5" s="853" t="s">
        <v>712</v>
      </c>
      <c r="K5" s="922"/>
      <c r="L5" s="853" t="s">
        <v>713</v>
      </c>
    </row>
    <row r="6" spans="5:12" ht="20.1" customHeight="1">
      <c r="E6" s="30" t="s">
        <v>250</v>
      </c>
      <c r="F6" s="1097" t="s">
        <v>28</v>
      </c>
      <c r="G6" s="1097" t="s">
        <v>251</v>
      </c>
      <c r="H6" s="1097" t="s">
        <v>253</v>
      </c>
      <c r="I6" s="1097" t="s">
        <v>252</v>
      </c>
      <c r="J6" s="30" t="s">
        <v>254</v>
      </c>
      <c r="K6" s="22"/>
      <c r="L6" s="30" t="s">
        <v>10</v>
      </c>
    </row>
    <row r="7" spans="4:11" ht="20.1" customHeight="1">
      <c r="D7" s="26"/>
      <c r="E7" s="29"/>
      <c r="F7" s="1098"/>
      <c r="G7" s="1098"/>
      <c r="H7" s="1098"/>
      <c r="I7" s="1098"/>
      <c r="J7" s="32"/>
      <c r="K7" s="22"/>
    </row>
    <row r="8" spans="1:12" ht="20.1" customHeight="1">
      <c r="A8" s="32">
        <v>1</v>
      </c>
      <c r="B8" s="22" t="s">
        <v>233</v>
      </c>
      <c r="C8" s="25">
        <v>2025</v>
      </c>
      <c r="E8" s="67">
        <f t="shared" si="0" ref="E8:J20">E27-E48</f>
        <v>0</v>
      </c>
      <c r="F8" s="1099">
        <f>F27-F48</f>
        <v>4072951695.2893648</v>
      </c>
      <c r="G8" s="1099">
        <f t="shared" si="0"/>
        <v>0</v>
      </c>
      <c r="H8" s="1099">
        <f t="shared" si="0"/>
        <v>9083996.3100000005</v>
      </c>
      <c r="I8" s="1099">
        <f t="shared" si="0"/>
        <v>131295715.00899746</v>
      </c>
      <c r="J8" s="67">
        <f t="shared" si="0"/>
        <v>0</v>
      </c>
      <c r="K8" s="474"/>
      <c r="L8" s="474">
        <f>SUM(E8:J8)</f>
        <v>4213331406.6083622</v>
      </c>
    </row>
    <row r="9" spans="1:12" ht="20.1" customHeight="1">
      <c r="A9" s="32">
        <v>2</v>
      </c>
      <c r="B9" s="22" t="s">
        <v>234</v>
      </c>
      <c r="C9" s="24">
        <f>C8+1</f>
        <v>2026</v>
      </c>
      <c r="E9" s="67">
        <f t="shared" si="0"/>
        <v>0</v>
      </c>
      <c r="F9" s="1099">
        <f t="shared" si="0"/>
        <v>4090107338.7745318</v>
      </c>
      <c r="G9" s="1099">
        <f t="shared" si="0"/>
        <v>0</v>
      </c>
      <c r="H9" s="1099">
        <f t="shared" si="0"/>
        <v>9083996.3100000005</v>
      </c>
      <c r="I9" s="1099">
        <f t="shared" si="0"/>
        <v>131356433.57076924</v>
      </c>
      <c r="J9" s="67">
        <f t="shared" si="0"/>
        <v>0</v>
      </c>
      <c r="K9" s="474"/>
      <c r="L9" s="474">
        <f t="shared" si="1" ref="L9:L20">SUM(E9:J9)</f>
        <v>4230547768.6553011</v>
      </c>
    </row>
    <row r="10" spans="1:12" ht="20.1" customHeight="1">
      <c r="A10" s="32">
        <v>3</v>
      </c>
      <c r="B10" s="22" t="s">
        <v>235</v>
      </c>
      <c r="C10" s="24">
        <f>C9</f>
        <v>2026</v>
      </c>
      <c r="E10" s="67">
        <f t="shared" si="0"/>
        <v>0</v>
      </c>
      <c r="F10" s="1099">
        <f t="shared" si="0"/>
        <v>4112125794.0187898</v>
      </c>
      <c r="G10" s="1099">
        <f t="shared" si="0"/>
        <v>0</v>
      </c>
      <c r="H10" s="1099">
        <f t="shared" si="0"/>
        <v>9083996.3100000005</v>
      </c>
      <c r="I10" s="1099">
        <f t="shared" si="0"/>
        <v>131395889.40314145</v>
      </c>
      <c r="J10" s="67">
        <f t="shared" si="0"/>
        <v>0</v>
      </c>
      <c r="K10" s="474"/>
      <c r="L10" s="474">
        <f t="shared" si="1"/>
        <v>4252605679.7319312</v>
      </c>
    </row>
    <row r="11" spans="1:12" ht="20.1" customHeight="1">
      <c r="A11" s="32">
        <v>4</v>
      </c>
      <c r="B11" s="22" t="s">
        <v>236</v>
      </c>
      <c r="C11" s="24">
        <f t="shared" si="2" ref="C11:C20">C10</f>
        <v>2026</v>
      </c>
      <c r="E11" s="67">
        <f t="shared" si="0"/>
        <v>0</v>
      </c>
      <c r="F11" s="1099">
        <f t="shared" si="0"/>
        <v>4152843693.535727</v>
      </c>
      <c r="G11" s="1099">
        <f t="shared" si="0"/>
        <v>0</v>
      </c>
      <c r="H11" s="1099">
        <f t="shared" si="0"/>
        <v>9083996.3100000005</v>
      </c>
      <c r="I11" s="1099">
        <f t="shared" si="0"/>
        <v>131429432.81631725</v>
      </c>
      <c r="J11" s="67">
        <f t="shared" si="0"/>
        <v>0</v>
      </c>
      <c r="K11" s="474"/>
      <c r="L11" s="474">
        <f t="shared" si="1"/>
        <v>4293357122.662044</v>
      </c>
    </row>
    <row r="12" spans="1:12" ht="20.1" customHeight="1">
      <c r="A12" s="32">
        <v>5</v>
      </c>
      <c r="B12" s="22" t="s">
        <v>237</v>
      </c>
      <c r="C12" s="24">
        <f t="shared" si="2"/>
        <v>2026</v>
      </c>
      <c r="E12" s="67">
        <f t="shared" si="0"/>
        <v>0</v>
      </c>
      <c r="F12" s="1099">
        <f t="shared" si="0"/>
        <v>4177605863.4515729</v>
      </c>
      <c r="G12" s="1099">
        <f t="shared" si="0"/>
        <v>0</v>
      </c>
      <c r="H12" s="1099">
        <f t="shared" si="0"/>
        <v>9083996.3100000005</v>
      </c>
      <c r="I12" s="1099">
        <f t="shared" si="0"/>
        <v>141232678.45749557</v>
      </c>
      <c r="J12" s="67">
        <f t="shared" si="0"/>
        <v>0</v>
      </c>
      <c r="K12" s="474"/>
      <c r="L12" s="474">
        <f t="shared" si="1"/>
        <v>4327922538.2190685</v>
      </c>
    </row>
    <row r="13" spans="1:12" ht="20.1" customHeight="1">
      <c r="A13" s="32">
        <v>6</v>
      </c>
      <c r="B13" s="22" t="s">
        <v>238</v>
      </c>
      <c r="C13" s="24">
        <f t="shared" si="2"/>
        <v>2026</v>
      </c>
      <c r="E13" s="67">
        <f t="shared" si="0"/>
        <v>0</v>
      </c>
      <c r="F13" s="1099">
        <f t="shared" si="0"/>
        <v>4219412870.2345572</v>
      </c>
      <c r="G13" s="1099">
        <f t="shared" si="0"/>
        <v>0</v>
      </c>
      <c r="H13" s="1099">
        <f t="shared" si="0"/>
        <v>9083996.3100000005</v>
      </c>
      <c r="I13" s="1099">
        <f t="shared" si="0"/>
        <v>166798148.3498826</v>
      </c>
      <c r="J13" s="67">
        <f t="shared" si="0"/>
        <v>0</v>
      </c>
      <c r="K13" s="474"/>
      <c r="L13" s="474">
        <f t="shared" si="1"/>
        <v>4395295014.8944397</v>
      </c>
    </row>
    <row r="14" spans="1:12" ht="20.1" customHeight="1">
      <c r="A14" s="32">
        <v>7</v>
      </c>
      <c r="B14" s="22" t="s">
        <v>249</v>
      </c>
      <c r="C14" s="24">
        <f t="shared" si="2"/>
        <v>2026</v>
      </c>
      <c r="E14" s="67">
        <f t="shared" si="0"/>
        <v>0</v>
      </c>
      <c r="F14" s="1099">
        <f t="shared" si="0"/>
        <v>4330904536.837944</v>
      </c>
      <c r="G14" s="1099">
        <f t="shared" si="0"/>
        <v>0</v>
      </c>
      <c r="H14" s="1099">
        <f t="shared" si="0"/>
        <v>9083996.3100000005</v>
      </c>
      <c r="I14" s="1099">
        <f t="shared" si="0"/>
        <v>166695935.41101369</v>
      </c>
      <c r="J14" s="67">
        <f t="shared" si="0"/>
        <v>0</v>
      </c>
      <c r="K14" s="474"/>
      <c r="L14" s="474">
        <f t="shared" si="1"/>
        <v>4506684468.5589581</v>
      </c>
    </row>
    <row r="15" spans="1:12" ht="20.1" customHeight="1">
      <c r="A15" s="32">
        <v>8</v>
      </c>
      <c r="B15" s="22" t="s">
        <v>239</v>
      </c>
      <c r="C15" s="24">
        <f t="shared" si="2"/>
        <v>2026</v>
      </c>
      <c r="E15" s="67">
        <f t="shared" si="0"/>
        <v>0</v>
      </c>
      <c r="F15" s="1099">
        <f t="shared" si="0"/>
        <v>4343298775.8470402</v>
      </c>
      <c r="G15" s="1099">
        <f t="shared" si="0"/>
        <v>0</v>
      </c>
      <c r="H15" s="1099">
        <f t="shared" si="0"/>
        <v>9083996.3100000005</v>
      </c>
      <c r="I15" s="1099">
        <f t="shared" si="0"/>
        <v>166711464.65970159</v>
      </c>
      <c r="J15" s="67">
        <f t="shared" si="0"/>
        <v>0</v>
      </c>
      <c r="K15" s="474"/>
      <c r="L15" s="474">
        <f t="shared" si="1"/>
        <v>4519094236.8167419</v>
      </c>
    </row>
    <row r="16" spans="1:12" ht="20.1" customHeight="1">
      <c r="A16" s="32">
        <v>9</v>
      </c>
      <c r="B16" s="22" t="s">
        <v>240</v>
      </c>
      <c r="C16" s="24">
        <f t="shared" si="2"/>
        <v>2026</v>
      </c>
      <c r="E16" s="67">
        <f t="shared" si="0"/>
        <v>0</v>
      </c>
      <c r="F16" s="1099">
        <f t="shared" si="0"/>
        <v>4347612429.1663208</v>
      </c>
      <c r="G16" s="1099">
        <f t="shared" si="0"/>
        <v>0</v>
      </c>
      <c r="H16" s="1099">
        <f t="shared" si="0"/>
        <v>9083996.3100000005</v>
      </c>
      <c r="I16" s="1099">
        <f t="shared" si="0"/>
        <v>166741612.49469057</v>
      </c>
      <c r="J16" s="67">
        <f t="shared" si="0"/>
        <v>0</v>
      </c>
      <c r="K16" s="474"/>
      <c r="L16" s="474">
        <f t="shared" si="1"/>
        <v>4523438037.9710121</v>
      </c>
    </row>
    <row r="17" spans="1:12" ht="20.1" customHeight="1">
      <c r="A17" s="32">
        <v>10</v>
      </c>
      <c r="B17" s="22" t="s">
        <v>241</v>
      </c>
      <c r="C17" s="24">
        <f t="shared" si="2"/>
        <v>2026</v>
      </c>
      <c r="E17" s="67">
        <f t="shared" si="0"/>
        <v>0</v>
      </c>
      <c r="F17" s="1099">
        <f t="shared" si="0"/>
        <v>4386469983.456192</v>
      </c>
      <c r="G17" s="1099">
        <f t="shared" si="0"/>
        <v>0</v>
      </c>
      <c r="H17" s="1099">
        <f t="shared" si="0"/>
        <v>9083996.3100000005</v>
      </c>
      <c r="I17" s="1099">
        <f t="shared" si="0"/>
        <v>166774058.24077025</v>
      </c>
      <c r="J17" s="67">
        <f t="shared" si="0"/>
        <v>0</v>
      </c>
      <c r="K17" s="474"/>
      <c r="L17" s="474">
        <f t="shared" si="1"/>
        <v>4562328038.0069628</v>
      </c>
    </row>
    <row r="18" spans="1:12" ht="20.1" customHeight="1">
      <c r="A18" s="32">
        <v>11</v>
      </c>
      <c r="B18" s="22" t="s">
        <v>243</v>
      </c>
      <c r="C18" s="24">
        <f t="shared" si="2"/>
        <v>2026</v>
      </c>
      <c r="E18" s="67">
        <f t="shared" si="0"/>
        <v>0</v>
      </c>
      <c r="F18" s="1099">
        <f t="shared" si="0"/>
        <v>4423600732.7284279</v>
      </c>
      <c r="G18" s="1099">
        <f t="shared" si="0"/>
        <v>0</v>
      </c>
      <c r="H18" s="1099">
        <f t="shared" si="0"/>
        <v>9083996.3100000005</v>
      </c>
      <c r="I18" s="1099">
        <f t="shared" si="0"/>
        <v>166786924.43997669</v>
      </c>
      <c r="J18" s="67">
        <f t="shared" si="0"/>
        <v>0</v>
      </c>
      <c r="K18" s="474"/>
      <c r="L18" s="474">
        <f t="shared" si="1"/>
        <v>4599471653.478405</v>
      </c>
    </row>
    <row r="19" spans="1:12" ht="20.1" customHeight="1">
      <c r="A19" s="32">
        <v>12</v>
      </c>
      <c r="B19" s="22" t="s">
        <v>242</v>
      </c>
      <c r="C19" s="24">
        <f t="shared" si="2"/>
        <v>2026</v>
      </c>
      <c r="E19" s="67">
        <f t="shared" si="0"/>
        <v>0</v>
      </c>
      <c r="F19" s="1099">
        <f t="shared" si="0"/>
        <v>4450615169.1862612</v>
      </c>
      <c r="G19" s="1099">
        <f t="shared" si="0"/>
        <v>0</v>
      </c>
      <c r="H19" s="1099">
        <f t="shared" si="0"/>
        <v>9083996.3100000005</v>
      </c>
      <c r="I19" s="1099">
        <f t="shared" si="0"/>
        <v>166798586.96994469</v>
      </c>
      <c r="J19" s="67">
        <f t="shared" si="0"/>
        <v>0</v>
      </c>
      <c r="K19" s="474"/>
      <c r="L19" s="474">
        <f t="shared" si="1"/>
        <v>4626497752.4662066</v>
      </c>
    </row>
    <row r="20" spans="1:12" ht="20.1" customHeight="1">
      <c r="A20" s="32">
        <v>13</v>
      </c>
      <c r="B20" s="22" t="s">
        <v>233</v>
      </c>
      <c r="C20" s="24">
        <f t="shared" si="2"/>
        <v>2026</v>
      </c>
      <c r="E20" s="67">
        <f t="shared" si="0"/>
        <v>0</v>
      </c>
      <c r="F20" s="1099">
        <f t="shared" si="0"/>
        <v>4602389979.7363987</v>
      </c>
      <c r="G20" s="1099">
        <f t="shared" si="0"/>
        <v>0</v>
      </c>
      <c r="H20" s="1099">
        <f t="shared" si="0"/>
        <v>9083996.3100000005</v>
      </c>
      <c r="I20" s="1099">
        <f t="shared" si="0"/>
        <v>166811907.91713354</v>
      </c>
      <c r="J20" s="67">
        <f t="shared" si="0"/>
        <v>0</v>
      </c>
      <c r="K20" s="474"/>
      <c r="L20" s="474">
        <f t="shared" si="1"/>
        <v>4778285883.9635324</v>
      </c>
    </row>
    <row r="21" spans="5:12" ht="20.1" customHeight="1">
      <c r="E21" s="67"/>
      <c r="F21" s="1100"/>
      <c r="G21" s="1100"/>
      <c r="H21" s="1100"/>
      <c r="I21" s="1100"/>
      <c r="J21" s="67"/>
      <c r="K21" s="474"/>
      <c r="L21" s="474"/>
    </row>
    <row r="22" spans="1:12" s="33" customFormat="1" ht="20.1" customHeight="1">
      <c r="A22" s="133">
        <v>14</v>
      </c>
      <c r="B22" s="33" t="s">
        <v>255</v>
      </c>
      <c r="D22" s="39" t="s">
        <v>885</v>
      </c>
      <c r="E22" s="475">
        <f t="shared" si="3" ref="E22:J22">SUM(E8:E20)/13</f>
        <v>0</v>
      </c>
      <c r="F22" s="1101">
        <f t="shared" si="3"/>
        <v>4285379912.4817791</v>
      </c>
      <c r="G22" s="1101">
        <f t="shared" si="3"/>
        <v>0</v>
      </c>
      <c r="H22" s="1101">
        <f t="shared" si="3"/>
        <v>9083996.3100000005</v>
      </c>
      <c r="I22" s="1101">
        <f t="shared" si="3"/>
        <v>153909906.74921808</v>
      </c>
      <c r="J22" s="475">
        <f t="shared" si="3"/>
        <v>0</v>
      </c>
      <c r="K22" s="475"/>
      <c r="L22" s="923">
        <f>SUM(L8:L20)/13</f>
        <v>4448373815.5409975</v>
      </c>
    </row>
    <row r="24" spans="5:12" ht="20.1" customHeight="1">
      <c r="E24" s="30" t="s">
        <v>250</v>
      </c>
      <c r="F24" s="1097" t="s">
        <v>28</v>
      </c>
      <c r="G24" s="1097" t="s">
        <v>251</v>
      </c>
      <c r="H24" s="1097" t="s">
        <v>253</v>
      </c>
      <c r="I24" s="1097" t="s">
        <v>252</v>
      </c>
      <c r="J24" s="30" t="s">
        <v>254</v>
      </c>
      <c r="K24" s="22"/>
      <c r="L24" s="30" t="s">
        <v>10</v>
      </c>
    </row>
    <row r="25" spans="5:11" ht="20.1" customHeight="1">
      <c r="E25" s="30"/>
      <c r="F25" s="1097"/>
      <c r="G25" s="1097"/>
      <c r="H25" s="1097"/>
      <c r="I25" s="1097"/>
      <c r="J25" s="30"/>
      <c r="K25" s="22"/>
    </row>
    <row r="26" spans="4:11" ht="20.1" customHeight="1">
      <c r="D26" s="26" t="s">
        <v>270</v>
      </c>
      <c r="E26" s="29" t="s">
        <v>152</v>
      </c>
      <c r="F26" s="1098" t="s">
        <v>1307</v>
      </c>
      <c r="G26" s="1098" t="s">
        <v>1308</v>
      </c>
      <c r="H26" s="1098" t="s">
        <v>1309</v>
      </c>
      <c r="I26" s="1098" t="s">
        <v>1310</v>
      </c>
      <c r="J26" s="32">
        <v>356.10</v>
      </c>
      <c r="K26" s="22"/>
    </row>
    <row r="27" spans="1:12" ht="20.1" customHeight="1">
      <c r="A27" s="32">
        <v>15</v>
      </c>
      <c r="B27" s="22" t="s">
        <v>233</v>
      </c>
      <c r="C27" s="24">
        <f>C8</f>
        <v>2025</v>
      </c>
      <c r="E27" s="61"/>
      <c r="F27" s="1102">
        <v>4072963349.7493649</v>
      </c>
      <c r="G27" s="1102"/>
      <c r="H27" s="1102">
        <v>9083996.3100000005</v>
      </c>
      <c r="I27" s="1102">
        <v>131295715.00899746</v>
      </c>
      <c r="J27" s="61"/>
      <c r="K27" s="62"/>
      <c r="L27" s="62">
        <f>SUM(E27:J27)</f>
        <v>4213343061.0683622</v>
      </c>
    </row>
    <row r="28" spans="1:12" ht="20.1" customHeight="1">
      <c r="A28" s="32">
        <v>16</v>
      </c>
      <c r="B28" s="22" t="s">
        <v>234</v>
      </c>
      <c r="C28" s="24">
        <f>C27+1</f>
        <v>2026</v>
      </c>
      <c r="E28" s="61"/>
      <c r="F28" s="1102">
        <v>4090118993.2345319</v>
      </c>
      <c r="G28" s="1102"/>
      <c r="H28" s="1102">
        <v>9083996.3100000005</v>
      </c>
      <c r="I28" s="1102">
        <v>131356433.57076924</v>
      </c>
      <c r="J28" s="61"/>
      <c r="K28" s="62"/>
      <c r="L28" s="62">
        <f t="shared" si="4" ref="L28:L39">SUM(E28:J28)</f>
        <v>4230559423.1153011</v>
      </c>
    </row>
    <row r="29" spans="1:12" ht="20.1" customHeight="1">
      <c r="A29" s="32">
        <v>17</v>
      </c>
      <c r="B29" s="22" t="s">
        <v>235</v>
      </c>
      <c r="C29" s="24">
        <f>C28</f>
        <v>2026</v>
      </c>
      <c r="E29" s="61"/>
      <c r="F29" s="1102">
        <v>4112137448.4787898</v>
      </c>
      <c r="G29" s="1102"/>
      <c r="H29" s="1102">
        <v>9083996.3100000005</v>
      </c>
      <c r="I29" s="1102">
        <v>131395889.40314145</v>
      </c>
      <c r="J29" s="61"/>
      <c r="K29" s="62"/>
      <c r="L29" s="62">
        <f t="shared" si="4"/>
        <v>4252617334.1919312</v>
      </c>
    </row>
    <row r="30" spans="1:12" ht="20.1" customHeight="1">
      <c r="A30" s="32">
        <v>18</v>
      </c>
      <c r="B30" s="22" t="s">
        <v>236</v>
      </c>
      <c r="C30" s="24">
        <f t="shared" si="5" ref="C30:C39">C29</f>
        <v>2026</v>
      </c>
      <c r="E30" s="61"/>
      <c r="F30" s="1102">
        <v>4152855347.9957271</v>
      </c>
      <c r="G30" s="1102"/>
      <c r="H30" s="1102">
        <v>9083996.3100000005</v>
      </c>
      <c r="I30" s="1102">
        <v>131429432.81631725</v>
      </c>
      <c r="J30" s="61"/>
      <c r="K30" s="62"/>
      <c r="L30" s="62">
        <f t="shared" si="4"/>
        <v>4293368777.1220441</v>
      </c>
    </row>
    <row r="31" spans="1:12" ht="20.1" customHeight="1">
      <c r="A31" s="32">
        <v>19</v>
      </c>
      <c r="B31" s="22" t="s">
        <v>237</v>
      </c>
      <c r="C31" s="24">
        <f t="shared" si="5"/>
        <v>2026</v>
      </c>
      <c r="E31" s="61"/>
      <c r="F31" s="1102">
        <v>4177617517.9115729</v>
      </c>
      <c r="G31" s="1102"/>
      <c r="H31" s="1102">
        <v>9083996.3100000005</v>
      </c>
      <c r="I31" s="1102">
        <v>141232678.45749557</v>
      </c>
      <c r="J31" s="61"/>
      <c r="K31" s="62"/>
      <c r="L31" s="62">
        <f t="shared" si="4"/>
        <v>4327934192.6790686</v>
      </c>
    </row>
    <row r="32" spans="1:12" ht="20.1" customHeight="1">
      <c r="A32" s="32">
        <v>20</v>
      </c>
      <c r="B32" s="22" t="s">
        <v>238</v>
      </c>
      <c r="C32" s="24">
        <f t="shared" si="5"/>
        <v>2026</v>
      </c>
      <c r="E32" s="61"/>
      <c r="F32" s="1102">
        <v>4219424524.6945572</v>
      </c>
      <c r="G32" s="1102"/>
      <c r="H32" s="1102">
        <v>9083996.3100000005</v>
      </c>
      <c r="I32" s="1102">
        <v>166798148.3498826</v>
      </c>
      <c r="J32" s="61"/>
      <c r="K32" s="62"/>
      <c r="L32" s="62">
        <f t="shared" si="4"/>
        <v>4395306669.3544397</v>
      </c>
    </row>
    <row r="33" spans="1:12" ht="20.1" customHeight="1">
      <c r="A33" s="32">
        <v>21</v>
      </c>
      <c r="B33" s="22" t="s">
        <v>249</v>
      </c>
      <c r="C33" s="24">
        <f t="shared" si="5"/>
        <v>2026</v>
      </c>
      <c r="E33" s="61"/>
      <c r="F33" s="1102">
        <v>4330916191.2979441</v>
      </c>
      <c r="G33" s="1102"/>
      <c r="H33" s="1102">
        <v>9083996.3100000005</v>
      </c>
      <c r="I33" s="1102">
        <v>166695935.41101369</v>
      </c>
      <c r="J33" s="61"/>
      <c r="K33" s="62"/>
      <c r="L33" s="62">
        <f t="shared" si="4"/>
        <v>4506696123.0189581</v>
      </c>
    </row>
    <row r="34" spans="1:12" ht="20.1" customHeight="1">
      <c r="A34" s="32">
        <v>22</v>
      </c>
      <c r="B34" s="22" t="s">
        <v>239</v>
      </c>
      <c r="C34" s="24">
        <f t="shared" si="5"/>
        <v>2026</v>
      </c>
      <c r="E34" s="61"/>
      <c r="F34" s="1102">
        <v>4343310430.3070402</v>
      </c>
      <c r="G34" s="1102"/>
      <c r="H34" s="1102">
        <v>9083996.3100000005</v>
      </c>
      <c r="I34" s="1102">
        <v>166711464.65970159</v>
      </c>
      <c r="J34" s="61"/>
      <c r="K34" s="62"/>
      <c r="L34" s="62">
        <f t="shared" si="4"/>
        <v>4519105891.276742</v>
      </c>
    </row>
    <row r="35" spans="1:12" ht="20.1" customHeight="1">
      <c r="A35" s="32">
        <v>23</v>
      </c>
      <c r="B35" s="22" t="s">
        <v>240</v>
      </c>
      <c r="C35" s="24">
        <f t="shared" si="5"/>
        <v>2026</v>
      </c>
      <c r="E35" s="61"/>
      <c r="F35" s="1102">
        <v>4347624083.6263208</v>
      </c>
      <c r="G35" s="1102"/>
      <c r="H35" s="1102">
        <v>9083996.3100000005</v>
      </c>
      <c r="I35" s="1102">
        <v>166741612.49469057</v>
      </c>
      <c r="J35" s="61"/>
      <c r="K35" s="62"/>
      <c r="L35" s="62">
        <f t="shared" si="4"/>
        <v>4523449692.4310122</v>
      </c>
    </row>
    <row r="36" spans="1:12" ht="20.1" customHeight="1">
      <c r="A36" s="32">
        <v>24</v>
      </c>
      <c r="B36" s="22" t="s">
        <v>241</v>
      </c>
      <c r="C36" s="24">
        <f t="shared" si="5"/>
        <v>2026</v>
      </c>
      <c r="E36" s="61"/>
      <c r="F36" s="1102">
        <v>4386481637.9161921</v>
      </c>
      <c r="G36" s="1102"/>
      <c r="H36" s="1102">
        <v>9083996.3100000005</v>
      </c>
      <c r="I36" s="1102">
        <v>166774058.24077025</v>
      </c>
      <c r="J36" s="61"/>
      <c r="K36" s="62"/>
      <c r="L36" s="62">
        <f t="shared" si="4"/>
        <v>4562339692.4669628</v>
      </c>
    </row>
    <row r="37" spans="1:12" ht="20.1" customHeight="1">
      <c r="A37" s="32">
        <v>25</v>
      </c>
      <c r="B37" s="22" t="s">
        <v>243</v>
      </c>
      <c r="C37" s="24">
        <f t="shared" si="5"/>
        <v>2026</v>
      </c>
      <c r="E37" s="61"/>
      <c r="F37" s="1102">
        <v>4423612387.1884279</v>
      </c>
      <c r="G37" s="1102"/>
      <c r="H37" s="1102">
        <v>9083996.3100000005</v>
      </c>
      <c r="I37" s="1102">
        <v>166786924.43997669</v>
      </c>
      <c r="J37" s="61"/>
      <c r="K37" s="62"/>
      <c r="L37" s="62">
        <f t="shared" si="4"/>
        <v>4599483307.938405</v>
      </c>
    </row>
    <row r="38" spans="1:12" ht="20.1" customHeight="1">
      <c r="A38" s="32">
        <v>26</v>
      </c>
      <c r="B38" s="22" t="s">
        <v>242</v>
      </c>
      <c r="C38" s="24">
        <f t="shared" si="5"/>
        <v>2026</v>
      </c>
      <c r="E38" s="61"/>
      <c r="F38" s="1102">
        <v>4450626823.6462612</v>
      </c>
      <c r="G38" s="1102"/>
      <c r="H38" s="1102">
        <v>9083996.3100000005</v>
      </c>
      <c r="I38" s="1102">
        <v>166798586.96994469</v>
      </c>
      <c r="J38" s="61"/>
      <c r="K38" s="62"/>
      <c r="L38" s="62">
        <f t="shared" si="4"/>
        <v>4626509406.9262066</v>
      </c>
    </row>
    <row r="39" spans="1:12" ht="20.1" customHeight="1">
      <c r="A39" s="32">
        <v>27</v>
      </c>
      <c r="B39" s="22" t="s">
        <v>233</v>
      </c>
      <c r="C39" s="24">
        <f t="shared" si="5"/>
        <v>2026</v>
      </c>
      <c r="E39" s="61"/>
      <c r="F39" s="1102">
        <v>4602401634.1963987</v>
      </c>
      <c r="G39" s="1102"/>
      <c r="H39" s="1102">
        <v>9083996.3100000005</v>
      </c>
      <c r="I39" s="1102">
        <v>166811907.91713354</v>
      </c>
      <c r="J39" s="61"/>
      <c r="K39" s="62"/>
      <c r="L39" s="62">
        <f t="shared" si="4"/>
        <v>4778297538.4235325</v>
      </c>
    </row>
    <row r="40" spans="5:12" ht="20.1" customHeight="1">
      <c r="E40" s="63"/>
      <c r="F40" s="1103"/>
      <c r="G40" s="1103"/>
      <c r="H40" s="1103"/>
      <c r="I40" s="1103"/>
      <c r="J40" s="63"/>
      <c r="K40" s="62"/>
      <c r="L40" s="62"/>
    </row>
    <row r="41" spans="1:12" ht="20.1" customHeight="1">
      <c r="A41" s="32">
        <v>28</v>
      </c>
      <c r="B41" s="22" t="s">
        <v>255</v>
      </c>
      <c r="E41" s="63">
        <f t="shared" si="6" ref="E41:J41">SUM(E27:E39)/13</f>
        <v>0</v>
      </c>
      <c r="F41" s="1103">
        <f t="shared" si="6"/>
        <v>4285391566.9417796</v>
      </c>
      <c r="G41" s="1103">
        <f t="shared" si="6"/>
        <v>0</v>
      </c>
      <c r="H41" s="1103">
        <f t="shared" si="6"/>
        <v>9083996.3100000005</v>
      </c>
      <c r="I41" s="1103">
        <f t="shared" si="6"/>
        <v>153909906.74921808</v>
      </c>
      <c r="J41" s="63">
        <f t="shared" si="6"/>
        <v>0</v>
      </c>
      <c r="K41" s="63"/>
      <c r="L41" s="924">
        <f>SUM(L27:L39)/13</f>
        <v>4448385470.0009985</v>
      </c>
    </row>
    <row r="44" spans="2:11" ht="20.1" customHeight="1">
      <c r="B44" s="43" t="s">
        <v>886</v>
      </c>
      <c r="C44" s="44"/>
      <c r="D44" s="44"/>
      <c r="E44" s="45"/>
      <c r="F44" s="1104"/>
      <c r="G44" s="1105"/>
      <c r="H44" s="1106"/>
      <c r="I44" s="1106"/>
      <c r="J44" s="468"/>
      <c r="K44" s="22"/>
    </row>
    <row r="45" spans="2:11" ht="20.1" customHeight="1">
      <c r="B45" s="46"/>
      <c r="E45" s="30" t="s">
        <v>250</v>
      </c>
      <c r="F45" s="1097" t="s">
        <v>28</v>
      </c>
      <c r="G45" s="1097" t="s">
        <v>251</v>
      </c>
      <c r="H45" s="1097" t="s">
        <v>253</v>
      </c>
      <c r="I45" s="1097" t="s">
        <v>252</v>
      </c>
      <c r="J45" s="464" t="s">
        <v>254</v>
      </c>
      <c r="K45" s="22"/>
    </row>
    <row r="46" spans="2:11" ht="20.1" customHeight="1">
      <c r="B46" s="46"/>
      <c r="E46" s="22"/>
      <c r="F46" s="1097"/>
      <c r="G46" s="1107"/>
      <c r="H46" s="1107"/>
      <c r="I46" s="1107"/>
      <c r="J46" s="47"/>
      <c r="K46" s="22"/>
    </row>
    <row r="47" spans="2:11" ht="20.1" customHeight="1">
      <c r="B47" s="46"/>
      <c r="D47" s="26" t="s">
        <v>270</v>
      </c>
      <c r="E47" s="29" t="s">
        <v>979</v>
      </c>
      <c r="F47" s="1098" t="s">
        <v>287</v>
      </c>
      <c r="G47" s="1098" t="s">
        <v>978</v>
      </c>
      <c r="H47" s="1098" t="s">
        <v>420</v>
      </c>
      <c r="I47" s="1098" t="s">
        <v>980</v>
      </c>
      <c r="J47" s="491" t="s">
        <v>420</v>
      </c>
      <c r="K47" s="22"/>
    </row>
    <row r="48" spans="1:11" ht="20.1" customHeight="1">
      <c r="A48" s="32">
        <v>29</v>
      </c>
      <c r="B48" s="46" t="s">
        <v>233</v>
      </c>
      <c r="C48" s="24">
        <f>C8</f>
        <v>2025</v>
      </c>
      <c r="E48" s="463"/>
      <c r="F48" s="1102">
        <v>11654.46</v>
      </c>
      <c r="G48" s="1108"/>
      <c r="H48" s="1108"/>
      <c r="I48" s="1108"/>
      <c r="J48" s="465"/>
      <c r="K48" s="22"/>
    </row>
    <row r="49" spans="1:11" ht="20.1" customHeight="1">
      <c r="A49" s="32">
        <v>30</v>
      </c>
      <c r="B49" s="46" t="s">
        <v>234</v>
      </c>
      <c r="C49" s="24">
        <f>C48+1</f>
        <v>2026</v>
      </c>
      <c r="E49" s="463"/>
      <c r="F49" s="1102">
        <v>11654.46</v>
      </c>
      <c r="G49" s="1108"/>
      <c r="H49" s="1108"/>
      <c r="I49" s="1108"/>
      <c r="J49" s="465"/>
      <c r="K49" s="22"/>
    </row>
    <row r="50" spans="1:11" ht="20.1" customHeight="1">
      <c r="A50" s="32">
        <v>31</v>
      </c>
      <c r="B50" s="46" t="s">
        <v>235</v>
      </c>
      <c r="C50" s="24">
        <f>C49</f>
        <v>2026</v>
      </c>
      <c r="E50" s="463"/>
      <c r="F50" s="1102">
        <v>11654.46</v>
      </c>
      <c r="G50" s="1108"/>
      <c r="H50" s="1108"/>
      <c r="I50" s="1108"/>
      <c r="J50" s="465"/>
      <c r="K50" s="22"/>
    </row>
    <row r="51" spans="1:11" ht="20.1" customHeight="1">
      <c r="A51" s="32">
        <v>32</v>
      </c>
      <c r="B51" s="46" t="s">
        <v>236</v>
      </c>
      <c r="C51" s="24">
        <f t="shared" si="7" ref="C51:C60">C50</f>
        <v>2026</v>
      </c>
      <c r="E51" s="463"/>
      <c r="F51" s="1102">
        <v>11654.46</v>
      </c>
      <c r="G51" s="1108"/>
      <c r="H51" s="1108"/>
      <c r="I51" s="1108"/>
      <c r="J51" s="465"/>
      <c r="K51" s="22"/>
    </row>
    <row r="52" spans="1:11" ht="20.1" customHeight="1">
      <c r="A52" s="32">
        <v>33</v>
      </c>
      <c r="B52" s="46" t="s">
        <v>237</v>
      </c>
      <c r="C52" s="24">
        <f t="shared" si="7"/>
        <v>2026</v>
      </c>
      <c r="E52" s="463"/>
      <c r="F52" s="1102">
        <v>11654.46</v>
      </c>
      <c r="G52" s="1108"/>
      <c r="H52" s="1108"/>
      <c r="I52" s="1108"/>
      <c r="J52" s="465"/>
      <c r="K52" s="22"/>
    </row>
    <row r="53" spans="1:11" ht="20.1" customHeight="1">
      <c r="A53" s="32">
        <v>34</v>
      </c>
      <c r="B53" s="46" t="s">
        <v>238</v>
      </c>
      <c r="C53" s="24">
        <f t="shared" si="7"/>
        <v>2026</v>
      </c>
      <c r="E53" s="463"/>
      <c r="F53" s="1102">
        <v>11654.46</v>
      </c>
      <c r="G53" s="1108"/>
      <c r="H53" s="1108"/>
      <c r="I53" s="1108"/>
      <c r="J53" s="465"/>
      <c r="K53" s="22"/>
    </row>
    <row r="54" spans="1:11" ht="20.1" customHeight="1">
      <c r="A54" s="32">
        <v>35</v>
      </c>
      <c r="B54" s="46" t="s">
        <v>249</v>
      </c>
      <c r="C54" s="24">
        <f t="shared" si="7"/>
        <v>2026</v>
      </c>
      <c r="E54" s="463"/>
      <c r="F54" s="1102">
        <v>11654.46</v>
      </c>
      <c r="G54" s="1108"/>
      <c r="H54" s="1108"/>
      <c r="I54" s="1108"/>
      <c r="J54" s="465"/>
      <c r="K54" s="22"/>
    </row>
    <row r="55" spans="1:11" ht="20.1" customHeight="1">
      <c r="A55" s="32">
        <v>36</v>
      </c>
      <c r="B55" s="46" t="s">
        <v>239</v>
      </c>
      <c r="C55" s="24">
        <f t="shared" si="7"/>
        <v>2026</v>
      </c>
      <c r="E55" s="463"/>
      <c r="F55" s="1102">
        <v>11654.46</v>
      </c>
      <c r="G55" s="1108"/>
      <c r="H55" s="1108"/>
      <c r="I55" s="1108"/>
      <c r="J55" s="465"/>
      <c r="K55" s="22"/>
    </row>
    <row r="56" spans="1:11" ht="20.1" customHeight="1">
      <c r="A56" s="32">
        <v>37</v>
      </c>
      <c r="B56" s="46" t="s">
        <v>240</v>
      </c>
      <c r="C56" s="24">
        <f t="shared" si="7"/>
        <v>2026</v>
      </c>
      <c r="E56" s="463"/>
      <c r="F56" s="1102">
        <v>11654.46</v>
      </c>
      <c r="G56" s="1108"/>
      <c r="H56" s="1108"/>
      <c r="I56" s="1108"/>
      <c r="J56" s="465"/>
      <c r="K56" s="22"/>
    </row>
    <row r="57" spans="1:11" ht="20.1" customHeight="1">
      <c r="A57" s="32">
        <v>38</v>
      </c>
      <c r="B57" s="46" t="s">
        <v>241</v>
      </c>
      <c r="C57" s="24">
        <f t="shared" si="7"/>
        <v>2026</v>
      </c>
      <c r="E57" s="463"/>
      <c r="F57" s="1102">
        <v>11654.46</v>
      </c>
      <c r="G57" s="1108"/>
      <c r="H57" s="1108"/>
      <c r="I57" s="1108"/>
      <c r="J57" s="465"/>
      <c r="K57" s="22"/>
    </row>
    <row r="58" spans="1:11" ht="20.1" customHeight="1">
      <c r="A58" s="32">
        <v>39</v>
      </c>
      <c r="B58" s="46" t="s">
        <v>243</v>
      </c>
      <c r="C58" s="24">
        <f t="shared" si="7"/>
        <v>2026</v>
      </c>
      <c r="E58" s="463"/>
      <c r="F58" s="1102">
        <v>11654.46</v>
      </c>
      <c r="G58" s="1108"/>
      <c r="H58" s="1108"/>
      <c r="I58" s="1108"/>
      <c r="J58" s="465"/>
      <c r="K58" s="22"/>
    </row>
    <row r="59" spans="1:11" ht="20.1" customHeight="1">
      <c r="A59" s="32">
        <v>40</v>
      </c>
      <c r="B59" s="46" t="s">
        <v>242</v>
      </c>
      <c r="C59" s="24">
        <f t="shared" si="7"/>
        <v>2026</v>
      </c>
      <c r="E59" s="463"/>
      <c r="F59" s="1102">
        <v>11654.46</v>
      </c>
      <c r="G59" s="1108"/>
      <c r="H59" s="1108"/>
      <c r="I59" s="1108"/>
      <c r="J59" s="465"/>
      <c r="K59" s="22"/>
    </row>
    <row r="60" spans="1:11" ht="20.1" customHeight="1">
      <c r="A60" s="32">
        <v>41</v>
      </c>
      <c r="B60" s="46" t="s">
        <v>233</v>
      </c>
      <c r="C60" s="24">
        <f t="shared" si="7"/>
        <v>2026</v>
      </c>
      <c r="E60" s="463"/>
      <c r="F60" s="1102">
        <v>11654.46</v>
      </c>
      <c r="G60" s="1108"/>
      <c r="H60" s="1108"/>
      <c r="I60" s="1108"/>
      <c r="J60" s="465"/>
      <c r="K60" s="22"/>
    </row>
    <row r="61" spans="2:11" ht="20.1" customHeight="1">
      <c r="B61" s="46"/>
      <c r="E61" s="22"/>
      <c r="F61" s="1109"/>
      <c r="G61" s="1107"/>
      <c r="H61" s="1107"/>
      <c r="I61" s="1107"/>
      <c r="J61" s="47"/>
      <c r="K61" s="22"/>
    </row>
    <row r="62" spans="1:11" ht="20.1" customHeight="1">
      <c r="A62" s="32">
        <v>42</v>
      </c>
      <c r="B62" s="48" t="s">
        <v>255</v>
      </c>
      <c r="C62" s="49"/>
      <c r="D62" s="49"/>
      <c r="E62" s="49"/>
      <c r="F62" s="1110">
        <f>SUM(F48:F60)/13</f>
        <v>11654.459999999995</v>
      </c>
      <c r="G62" s="1110">
        <f>SUM(G48:G60)/13</f>
        <v>0</v>
      </c>
      <c r="H62" s="1110">
        <f>SUM(H48:H60)/13</f>
        <v>0</v>
      </c>
      <c r="I62" s="1110">
        <f>SUM(I48:I60)/13</f>
        <v>0</v>
      </c>
      <c r="J62" s="466">
        <f>SUM(J48:J60)/13</f>
        <v>0</v>
      </c>
      <c r="K62" s="22"/>
    </row>
    <row r="64" spans="1:1" ht="20.1" customHeight="1">
      <c r="A64" s="22" t="s">
        <v>257</v>
      </c>
    </row>
    <row r="65" spans="1:2" ht="20.1" customHeight="1">
      <c r="A65" s="28" t="s">
        <v>256</v>
      </c>
      <c r="B65" s="22" t="s">
        <v>883</v>
      </c>
    </row>
    <row r="66" spans="1:2" ht="20.1" customHeight="1">
      <c r="A66" s="28" t="s">
        <v>270</v>
      </c>
      <c r="B66" s="22" t="s">
        <v>258</v>
      </c>
    </row>
    <row r="67" spans="1:2" ht="20.1" customHeight="1">
      <c r="A67" s="28" t="s">
        <v>339</v>
      </c>
      <c r="B67" s="22" t="s">
        <v>969</v>
      </c>
    </row>
    <row r="68" spans="1:2" ht="20.1" customHeight="1">
      <c r="A68" s="28" t="s">
        <v>353</v>
      </c>
      <c r="B68" s="22" t="s">
        <v>1191</v>
      </c>
    </row>
    <row r="69" spans="1:12" ht="35.25" customHeight="1">
      <c r="A69" s="714"/>
      <c r="B69" s="1182"/>
      <c r="C69" s="1182"/>
      <c r="D69" s="1182"/>
      <c r="E69" s="1182"/>
      <c r="F69" s="1182"/>
      <c r="G69" s="1182"/>
      <c r="H69" s="1182"/>
      <c r="I69" s="1182"/>
      <c r="J69" s="1182"/>
      <c r="K69" s="1182"/>
      <c r="L69" s="1182"/>
    </row>
  </sheetData>
  <customSheetViews>
    <customSheetView guid="{33e6ffdf-cb42-4a87-b460-a01a45f9a9a1}" printArea="1" scale="60" showPageBreaks="1" topLeftCell="A1" view="pageBreakPreview">
      <colBreaks count="1" manualBreakCount="1">
        <brk id="12" max="1048575" man="1"/>
      </colBreaks>
      <pageMargins left="0.7" right="0.7" top="0.75" bottom="0.75" header="0.3" footer="0.3"/>
      <pageSetup fitToHeight="0" fitToWidth="0" orientation="portrait" paperSize="1" scale="49"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printArea="1" scale="60" showPageBreaks="1" topLeftCell="A1" view="pageBreakPreview">
      <colBreaks count="1" manualBreakCount="1">
        <brk id="12" max="1048575" man="1"/>
      </colBreaks>
      <pageMargins left="0.7" right="0.7" top="0.75" bottom="0.75" header="0.3" footer="0.3"/>
      <pageSetup fitToHeight="0" fitToWidth="0" orientation="portrait" paperSize="1" scale="49" r:id="rId4"/>
      <headerFooter alignWithMargins="0"/>
    </customSheetView>
  </customSheetViews>
  <mergeCells count="1">
    <mergeCell ref="B69:L69"/>
  </mergeCells>
  <pageMargins left="0.7" right="0.7" top="0.75" bottom="0.75" header="0.3" footer="0.3"/>
  <pageSetup fitToHeight="0" fitToWidth="0" orientation="portrait" paperSize="1" scale="47"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L69"/>
  <sheetViews>
    <sheetView view="pageBreakPreview" zoomScale="80" zoomScaleNormal="70" zoomScaleSheetLayoutView="80" workbookViewId="0" topLeftCell="A1"/>
  </sheetViews>
  <sheetFormatPr defaultColWidth="10.9955555555556" defaultRowHeight="20.1" customHeight="1"/>
  <cols>
    <col min="1" max="1" width="11" style="28"/>
    <col min="2" max="4" width="11" style="22"/>
    <col min="5" max="5" width="11" style="28"/>
    <col min="6" max="6" width="14.2222222222222" style="28" customWidth="1"/>
    <col min="7" max="7" width="11" style="28"/>
    <col min="8" max="8" width="12.8888888888889" style="28" customWidth="1"/>
    <col min="9" max="9" width="16.2222222222222" style="28" customWidth="1"/>
    <col min="10" max="11" width="11" style="28"/>
    <col min="12" max="12" width="15.2222222222222" style="22" customWidth="1"/>
    <col min="13" max="16384" width="11" style="22"/>
  </cols>
  <sheetData>
    <row r="1" spans="12:12" ht="20.1" customHeight="1">
      <c r="L1" s="4" t="s">
        <v>778</v>
      </c>
    </row>
    <row r="2" spans="12:12" ht="20.1" customHeight="1">
      <c r="L2" s="4" t="s">
        <v>220</v>
      </c>
    </row>
    <row r="3" spans="7:12" ht="20.1" customHeight="1">
      <c r="G3" s="30" t="s">
        <v>779</v>
      </c>
      <c r="L3" s="4" t="str">
        <f>'Attachment 1 - Sched 1A'!$J$3</f>
        <v>For the 12 months ended 12/31/2026</v>
      </c>
    </row>
    <row r="4" spans="1:1" ht="20.1" customHeight="1">
      <c r="A4" s="31"/>
    </row>
    <row r="5" spans="5:12" ht="20.1" customHeight="1">
      <c r="E5" s="853" t="s">
        <v>707</v>
      </c>
      <c r="F5" s="853" t="s">
        <v>708</v>
      </c>
      <c r="G5" s="853" t="s">
        <v>709</v>
      </c>
      <c r="H5" s="853" t="s">
        <v>710</v>
      </c>
      <c r="I5" s="853" t="s">
        <v>711</v>
      </c>
      <c r="J5" s="853" t="s">
        <v>712</v>
      </c>
      <c r="K5" s="922"/>
      <c r="L5" s="853" t="s">
        <v>713</v>
      </c>
    </row>
    <row r="6" spans="5:12" ht="20.1" customHeight="1">
      <c r="E6" s="30" t="s">
        <v>250</v>
      </c>
      <c r="F6" s="30" t="s">
        <v>28</v>
      </c>
      <c r="G6" s="30" t="s">
        <v>251</v>
      </c>
      <c r="H6" s="30" t="s">
        <v>253</v>
      </c>
      <c r="I6" s="30" t="s">
        <v>252</v>
      </c>
      <c r="J6" s="30" t="s">
        <v>254</v>
      </c>
      <c r="K6" s="22"/>
      <c r="L6" s="30" t="s">
        <v>10</v>
      </c>
    </row>
    <row r="7" spans="4:11" ht="20.1" customHeight="1">
      <c r="D7" s="26"/>
      <c r="E7" s="29"/>
      <c r="F7" s="29"/>
      <c r="G7" s="29"/>
      <c r="H7" s="29"/>
      <c r="I7" s="29"/>
      <c r="J7" s="32"/>
      <c r="K7" s="22"/>
    </row>
    <row r="8" spans="1:12" ht="20.1" customHeight="1">
      <c r="A8" s="32">
        <v>1</v>
      </c>
      <c r="B8" s="22" t="s">
        <v>233</v>
      </c>
      <c r="C8" s="25">
        <v>2025</v>
      </c>
      <c r="E8" s="67">
        <f t="shared" si="0" ref="E8:J20">E27-E48</f>
        <v>0</v>
      </c>
      <c r="F8" s="67">
        <f t="shared" si="0"/>
        <v>408452678.6141597</v>
      </c>
      <c r="G8" s="67">
        <f t="shared" si="0"/>
        <v>0</v>
      </c>
      <c r="H8" s="67">
        <f t="shared" si="0"/>
        <v>2693849.36</v>
      </c>
      <c r="I8" s="67">
        <f t="shared" si="0"/>
        <v>34652409.118662231</v>
      </c>
      <c r="J8" s="67">
        <f t="shared" si="0"/>
        <v>0</v>
      </c>
      <c r="K8" s="474"/>
      <c r="L8" s="474">
        <f t="shared" si="1" ref="L8:L20">SUM(E8:J8)</f>
        <v>445798937.09282196</v>
      </c>
    </row>
    <row r="9" spans="1:12" ht="20.1" customHeight="1">
      <c r="A9" s="32">
        <v>2</v>
      </c>
      <c r="B9" s="22" t="s">
        <v>234</v>
      </c>
      <c r="C9" s="24">
        <f>C8+1</f>
        <v>2026</v>
      </c>
      <c r="E9" s="67">
        <f t="shared" si="0"/>
        <v>0</v>
      </c>
      <c r="F9" s="67">
        <f t="shared" si="0"/>
        <v>413536139.86916244</v>
      </c>
      <c r="G9" s="67">
        <f t="shared" si="0"/>
        <v>0</v>
      </c>
      <c r="H9" s="67">
        <f t="shared" si="0"/>
        <v>2693849.36</v>
      </c>
      <c r="I9" s="67">
        <f t="shared" si="0"/>
        <v>35264667.047626287</v>
      </c>
      <c r="J9" s="67">
        <f t="shared" si="0"/>
        <v>0</v>
      </c>
      <c r="K9" s="474"/>
      <c r="L9" s="474">
        <f t="shared" si="1"/>
        <v>451494656.27678871</v>
      </c>
    </row>
    <row r="10" spans="1:12" ht="20.1" customHeight="1">
      <c r="A10" s="32">
        <v>3</v>
      </c>
      <c r="B10" s="22" t="s">
        <v>235</v>
      </c>
      <c r="C10" s="24">
        <f>C9</f>
        <v>2026</v>
      </c>
      <c r="E10" s="67">
        <f t="shared" si="0"/>
        <v>0</v>
      </c>
      <c r="F10" s="67">
        <f t="shared" si="0"/>
        <v>417604079.19913399</v>
      </c>
      <c r="G10" s="67">
        <f t="shared" si="0"/>
        <v>0</v>
      </c>
      <c r="H10" s="67">
        <f t="shared" si="0"/>
        <v>2693849.36</v>
      </c>
      <c r="I10" s="67">
        <f t="shared" si="0"/>
        <v>35900457.018204749</v>
      </c>
      <c r="J10" s="67">
        <f t="shared" si="0"/>
        <v>0</v>
      </c>
      <c r="K10" s="474"/>
      <c r="L10" s="474">
        <f t="shared" si="1"/>
        <v>456198385.57733876</v>
      </c>
    </row>
    <row r="11" spans="1:12" ht="20.1" customHeight="1">
      <c r="A11" s="32">
        <v>4</v>
      </c>
      <c r="B11" s="22" t="s">
        <v>236</v>
      </c>
      <c r="C11" s="24">
        <f t="shared" si="2" ref="C11:C20">C10</f>
        <v>2026</v>
      </c>
      <c r="E11" s="67">
        <f t="shared" si="0"/>
        <v>0</v>
      </c>
      <c r="F11" s="67">
        <f t="shared" si="0"/>
        <v>420017399.03943282</v>
      </c>
      <c r="G11" s="67">
        <f t="shared" si="0"/>
        <v>0</v>
      </c>
      <c r="H11" s="67">
        <f t="shared" si="0"/>
        <v>2693849.36</v>
      </c>
      <c r="I11" s="67">
        <f t="shared" si="0"/>
        <v>36547896.953128614</v>
      </c>
      <c r="J11" s="67">
        <f t="shared" si="0"/>
        <v>0</v>
      </c>
      <c r="K11" s="474"/>
      <c r="L11" s="474">
        <f t="shared" si="1"/>
        <v>459259145.35256147</v>
      </c>
    </row>
    <row r="12" spans="1:12" ht="20.1" customHeight="1">
      <c r="A12" s="32">
        <v>5</v>
      </c>
      <c r="B12" s="22" t="s">
        <v>237</v>
      </c>
      <c r="C12" s="24">
        <f t="shared" si="2"/>
        <v>2026</v>
      </c>
      <c r="E12" s="67">
        <f t="shared" si="0"/>
        <v>0</v>
      </c>
      <c r="F12" s="67">
        <f t="shared" si="0"/>
        <v>423343026.71285522</v>
      </c>
      <c r="G12" s="67">
        <f t="shared" si="0"/>
        <v>0</v>
      </c>
      <c r="H12" s="67">
        <f t="shared" si="0"/>
        <v>2693849.36</v>
      </c>
      <c r="I12" s="67">
        <f t="shared" si="0"/>
        <v>36626271.109076038</v>
      </c>
      <c r="J12" s="67">
        <f t="shared" si="0"/>
        <v>0</v>
      </c>
      <c r="K12" s="474"/>
      <c r="L12" s="474">
        <f t="shared" si="1"/>
        <v>462663147.18193126</v>
      </c>
    </row>
    <row r="13" spans="1:12" ht="20.1" customHeight="1">
      <c r="A13" s="32">
        <v>6</v>
      </c>
      <c r="B13" s="22" t="s">
        <v>238</v>
      </c>
      <c r="C13" s="24">
        <f t="shared" si="2"/>
        <v>2026</v>
      </c>
      <c r="E13" s="67">
        <f t="shared" si="0"/>
        <v>0</v>
      </c>
      <c r="F13" s="67">
        <f t="shared" si="0"/>
        <v>425794312.14720714</v>
      </c>
      <c r="G13" s="67">
        <f t="shared" si="0"/>
        <v>0</v>
      </c>
      <c r="H13" s="67">
        <f t="shared" si="0"/>
        <v>2693849.36</v>
      </c>
      <c r="I13" s="67">
        <f t="shared" si="0"/>
        <v>35734325.054358669</v>
      </c>
      <c r="J13" s="67">
        <f t="shared" si="0"/>
        <v>0</v>
      </c>
      <c r="K13" s="474"/>
      <c r="L13" s="474">
        <f t="shared" si="1"/>
        <v>464222486.56156582</v>
      </c>
    </row>
    <row r="14" spans="1:12" ht="20.1" customHeight="1">
      <c r="A14" s="32">
        <v>7</v>
      </c>
      <c r="B14" s="22" t="s">
        <v>249</v>
      </c>
      <c r="C14" s="24">
        <f t="shared" si="2"/>
        <v>2026</v>
      </c>
      <c r="E14" s="67">
        <f t="shared" si="0"/>
        <v>0</v>
      </c>
      <c r="F14" s="67">
        <f t="shared" si="0"/>
        <v>423724419.0357061</v>
      </c>
      <c r="G14" s="67">
        <f t="shared" si="0"/>
        <v>0</v>
      </c>
      <c r="H14" s="67">
        <f t="shared" si="0"/>
        <v>2693849.36</v>
      </c>
      <c r="I14" s="67">
        <f t="shared" si="0"/>
        <v>36325915.095301583</v>
      </c>
      <c r="J14" s="67">
        <f t="shared" si="0"/>
        <v>0</v>
      </c>
      <c r="K14" s="474"/>
      <c r="L14" s="474">
        <f t="shared" si="1"/>
        <v>462744183.49100769</v>
      </c>
    </row>
    <row r="15" spans="1:12" ht="20.1" customHeight="1">
      <c r="A15" s="32">
        <v>8</v>
      </c>
      <c r="B15" s="22" t="s">
        <v>239</v>
      </c>
      <c r="C15" s="24">
        <f t="shared" si="2"/>
        <v>2026</v>
      </c>
      <c r="E15" s="67">
        <f t="shared" si="0"/>
        <v>0</v>
      </c>
      <c r="F15" s="67">
        <f t="shared" si="0"/>
        <v>427874302.84767354</v>
      </c>
      <c r="G15" s="67">
        <f t="shared" si="0"/>
        <v>0</v>
      </c>
      <c r="H15" s="67">
        <f t="shared" si="0"/>
        <v>2693849.36</v>
      </c>
      <c r="I15" s="67">
        <f t="shared" si="0"/>
        <v>37041065.521447472</v>
      </c>
      <c r="J15" s="67">
        <f t="shared" si="0"/>
        <v>0</v>
      </c>
      <c r="K15" s="474"/>
      <c r="L15" s="474">
        <f t="shared" si="1"/>
        <v>467609217.72912103</v>
      </c>
    </row>
    <row r="16" spans="1:12" ht="20.1" customHeight="1">
      <c r="A16" s="32">
        <v>9</v>
      </c>
      <c r="B16" s="22" t="s">
        <v>240</v>
      </c>
      <c r="C16" s="24">
        <f t="shared" si="2"/>
        <v>2026</v>
      </c>
      <c r="E16" s="67">
        <f t="shared" si="0"/>
        <v>0</v>
      </c>
      <c r="F16" s="67">
        <f t="shared" si="0"/>
        <v>432352553.8349635</v>
      </c>
      <c r="G16" s="67">
        <f t="shared" si="0"/>
        <v>0</v>
      </c>
      <c r="H16" s="67">
        <f t="shared" si="0"/>
        <v>2693849.36</v>
      </c>
      <c r="I16" s="67">
        <f t="shared" si="0"/>
        <v>37770369.688173875</v>
      </c>
      <c r="J16" s="67">
        <f t="shared" si="0"/>
        <v>0</v>
      </c>
      <c r="K16" s="474"/>
      <c r="L16" s="474">
        <f t="shared" si="1"/>
        <v>472816772.8831374</v>
      </c>
    </row>
    <row r="17" spans="1:12" ht="20.1" customHeight="1">
      <c r="A17" s="32">
        <v>10</v>
      </c>
      <c r="B17" s="22" t="s">
        <v>241</v>
      </c>
      <c r="C17" s="24">
        <f t="shared" si="2"/>
        <v>2026</v>
      </c>
      <c r="E17" s="67">
        <f t="shared" si="0"/>
        <v>0</v>
      </c>
      <c r="F17" s="67">
        <f t="shared" si="0"/>
        <v>433834030.4097597</v>
      </c>
      <c r="G17" s="67">
        <f t="shared" si="0"/>
        <v>0</v>
      </c>
      <c r="H17" s="67">
        <f t="shared" si="0"/>
        <v>2693849.36</v>
      </c>
      <c r="I17" s="67">
        <f t="shared" si="0"/>
        <v>38501477.002915904</v>
      </c>
      <c r="J17" s="67">
        <f t="shared" si="0"/>
        <v>0</v>
      </c>
      <c r="K17" s="474"/>
      <c r="L17" s="474">
        <f t="shared" si="1"/>
        <v>475029356.77267563</v>
      </c>
    </row>
    <row r="18" spans="1:12" ht="20.1" customHeight="1">
      <c r="A18" s="32">
        <v>11</v>
      </c>
      <c r="B18" s="22" t="s">
        <v>243</v>
      </c>
      <c r="C18" s="24">
        <f t="shared" si="2"/>
        <v>2026</v>
      </c>
      <c r="E18" s="67">
        <f t="shared" si="0"/>
        <v>0</v>
      </c>
      <c r="F18" s="67">
        <f t="shared" si="0"/>
        <v>436156956.73275995</v>
      </c>
      <c r="G18" s="67">
        <f t="shared" si="0"/>
        <v>0</v>
      </c>
      <c r="H18" s="67">
        <f t="shared" si="0"/>
        <v>2693849.36</v>
      </c>
      <c r="I18" s="67">
        <f t="shared" si="0"/>
        <v>39215739.858040094</v>
      </c>
      <c r="J18" s="67">
        <f t="shared" si="0"/>
        <v>0</v>
      </c>
      <c r="K18" s="474"/>
      <c r="L18" s="474">
        <f t="shared" si="1"/>
        <v>478066545.95080006</v>
      </c>
    </row>
    <row r="19" spans="1:12" ht="20.1" customHeight="1">
      <c r="A19" s="32">
        <v>12</v>
      </c>
      <c r="B19" s="22" t="s">
        <v>242</v>
      </c>
      <c r="C19" s="24">
        <f t="shared" si="2"/>
        <v>2026</v>
      </c>
      <c r="E19" s="67">
        <f t="shared" si="0"/>
        <v>0</v>
      </c>
      <c r="F19" s="67">
        <f t="shared" si="0"/>
        <v>439710659.7962029</v>
      </c>
      <c r="G19" s="67">
        <f t="shared" si="0"/>
        <v>0</v>
      </c>
      <c r="H19" s="67">
        <f t="shared" si="0"/>
        <v>2693849.36</v>
      </c>
      <c r="I19" s="67">
        <f t="shared" si="0"/>
        <v>39928768.843943037</v>
      </c>
      <c r="J19" s="67">
        <f t="shared" si="0"/>
        <v>0</v>
      </c>
      <c r="K19" s="474"/>
      <c r="L19" s="474">
        <f t="shared" si="1"/>
        <v>482333278.00014597</v>
      </c>
    </row>
    <row r="20" spans="1:12" ht="20.1" customHeight="1">
      <c r="A20" s="32">
        <v>13</v>
      </c>
      <c r="B20" s="22" t="s">
        <v>233</v>
      </c>
      <c r="C20" s="24">
        <f t="shared" si="2"/>
        <v>2026</v>
      </c>
      <c r="E20" s="67">
        <f t="shared" si="0"/>
        <v>0</v>
      </c>
      <c r="F20" s="67">
        <f t="shared" si="0"/>
        <v>432304741.39248812</v>
      </c>
      <c r="G20" s="67">
        <f t="shared" si="0"/>
        <v>0</v>
      </c>
      <c r="H20" s="67">
        <f t="shared" si="0"/>
        <v>2693849.36</v>
      </c>
      <c r="I20" s="67">
        <f t="shared" si="0"/>
        <v>40643516.939242221</v>
      </c>
      <c r="J20" s="67">
        <f t="shared" si="0"/>
        <v>0</v>
      </c>
      <c r="K20" s="474"/>
      <c r="L20" s="474">
        <f t="shared" si="1"/>
        <v>475642107.69173038</v>
      </c>
    </row>
    <row r="21" spans="5:12" ht="20.1" customHeight="1">
      <c r="E21" s="67"/>
      <c r="F21" s="67"/>
      <c r="G21" s="67"/>
      <c r="H21" s="67"/>
      <c r="I21" s="67"/>
      <c r="J21" s="67"/>
      <c r="K21" s="474"/>
      <c r="L21" s="474"/>
    </row>
    <row r="22" spans="1:12" s="33" customFormat="1" ht="20.1" customHeight="1">
      <c r="A22" s="133">
        <v>14</v>
      </c>
      <c r="B22" s="33" t="s">
        <v>255</v>
      </c>
      <c r="D22" s="39" t="s">
        <v>885</v>
      </c>
      <c r="E22" s="475">
        <f t="shared" si="3" ref="E22:J22">SUM(E8:E20)/13</f>
        <v>0</v>
      </c>
      <c r="F22" s="923">
        <f t="shared" si="3"/>
        <v>425746561.51011574</v>
      </c>
      <c r="G22" s="475">
        <f t="shared" si="3"/>
        <v>0</v>
      </c>
      <c r="H22" s="923">
        <f t="shared" si="3"/>
        <v>2693849.36</v>
      </c>
      <c r="I22" s="923">
        <f>SUM(I8:I20)/13</f>
        <v>37242529.173086219</v>
      </c>
      <c r="J22" s="475">
        <f t="shared" si="3"/>
        <v>0</v>
      </c>
      <c r="K22" s="475"/>
      <c r="L22" s="923">
        <f>SUM(L8:L20)/13</f>
        <v>465682940.04320204</v>
      </c>
    </row>
    <row r="23" spans="1:1" ht="20.1" customHeight="1">
      <c r="A23" s="31"/>
    </row>
    <row r="24" spans="5:12" ht="20.1" customHeight="1">
      <c r="E24" s="30" t="s">
        <v>250</v>
      </c>
      <c r="F24" s="30" t="s">
        <v>28</v>
      </c>
      <c r="G24" s="30" t="s">
        <v>251</v>
      </c>
      <c r="H24" s="30" t="s">
        <v>253</v>
      </c>
      <c r="I24" s="30" t="s">
        <v>252</v>
      </c>
      <c r="J24" s="30" t="s">
        <v>254</v>
      </c>
      <c r="K24" s="22"/>
      <c r="L24" s="30" t="s">
        <v>10</v>
      </c>
    </row>
    <row r="25" spans="5:11" ht="20.1" customHeight="1">
      <c r="E25" s="30"/>
      <c r="F25" s="30"/>
      <c r="G25" s="30"/>
      <c r="H25" s="30"/>
      <c r="I25" s="30"/>
      <c r="J25" s="30"/>
      <c r="K25" s="22"/>
    </row>
    <row r="26" spans="4:11" ht="20.1" customHeight="1">
      <c r="D26" s="26" t="s">
        <v>270</v>
      </c>
      <c r="E26" s="29" t="s">
        <v>45</v>
      </c>
      <c r="F26" s="29" t="s">
        <v>259</v>
      </c>
      <c r="G26" s="29" t="s">
        <v>46</v>
      </c>
      <c r="H26" s="29" t="s">
        <v>260</v>
      </c>
      <c r="I26" s="29" t="s">
        <v>261</v>
      </c>
      <c r="J26" s="32">
        <v>356.10</v>
      </c>
      <c r="K26" s="22"/>
    </row>
    <row r="27" spans="1:12" ht="20.1" customHeight="1">
      <c r="A27" s="32">
        <v>15</v>
      </c>
      <c r="B27" s="22" t="s">
        <v>233</v>
      </c>
      <c r="C27" s="24">
        <f>C8</f>
        <v>2025</v>
      </c>
      <c r="E27" s="61"/>
      <c r="F27" s="61">
        <v>408462259.13766712</v>
      </c>
      <c r="G27" s="61"/>
      <c r="H27" s="61">
        <v>2693849.36</v>
      </c>
      <c r="I27" s="61">
        <v>34652409.118662231</v>
      </c>
      <c r="J27" s="61"/>
      <c r="K27" s="62"/>
      <c r="L27" s="62">
        <f t="shared" si="4" ref="L27:L39">SUM(E27:J27)</f>
        <v>445808517.61632937</v>
      </c>
    </row>
    <row r="28" spans="1:12" ht="20.1" customHeight="1">
      <c r="A28" s="32">
        <v>16</v>
      </c>
      <c r="B28" s="22" t="s">
        <v>234</v>
      </c>
      <c r="C28" s="24">
        <f>C27+1</f>
        <v>2026</v>
      </c>
      <c r="E28" s="61"/>
      <c r="F28" s="61">
        <v>413545739.37137133</v>
      </c>
      <c r="G28" s="61"/>
      <c r="H28" s="61">
        <v>2693849.36</v>
      </c>
      <c r="I28" s="61">
        <v>35264667.047626287</v>
      </c>
      <c r="J28" s="61"/>
      <c r="K28" s="62"/>
      <c r="L28" s="62">
        <f t="shared" si="4"/>
        <v>451504255.77899766</v>
      </c>
    </row>
    <row r="29" spans="1:12" ht="20.1" customHeight="1">
      <c r="A29" s="32">
        <v>17</v>
      </c>
      <c r="B29" s="22" t="s">
        <v>235</v>
      </c>
      <c r="C29" s="24">
        <f>C28</f>
        <v>2026</v>
      </c>
      <c r="E29" s="61"/>
      <c r="F29" s="61">
        <v>417613697.68004435</v>
      </c>
      <c r="G29" s="61"/>
      <c r="H29" s="61">
        <v>2693849.36</v>
      </c>
      <c r="I29" s="61">
        <v>35900457.018204749</v>
      </c>
      <c r="J29" s="61"/>
      <c r="K29" s="62"/>
      <c r="L29" s="62">
        <f t="shared" si="4"/>
        <v>456208004.05824912</v>
      </c>
    </row>
    <row r="30" spans="1:12" ht="20.1" customHeight="1">
      <c r="A30" s="32">
        <v>18</v>
      </c>
      <c r="B30" s="22" t="s">
        <v>236</v>
      </c>
      <c r="C30" s="24">
        <f t="shared" si="5" ref="C30:C39">C29</f>
        <v>2026</v>
      </c>
      <c r="E30" s="61"/>
      <c r="F30" s="61">
        <v>420027036.49904466</v>
      </c>
      <c r="G30" s="61"/>
      <c r="H30" s="61">
        <v>2693849.36</v>
      </c>
      <c r="I30" s="61">
        <v>36547896.953128614</v>
      </c>
      <c r="J30" s="61"/>
      <c r="K30" s="62"/>
      <c r="L30" s="62">
        <f t="shared" si="4"/>
        <v>459268782.81217331</v>
      </c>
    </row>
    <row r="31" spans="1:12" ht="20.1" customHeight="1">
      <c r="A31" s="32">
        <v>19</v>
      </c>
      <c r="B31" s="22" t="s">
        <v>237</v>
      </c>
      <c r="C31" s="24">
        <f t="shared" si="5"/>
        <v>2026</v>
      </c>
      <c r="E31" s="61"/>
      <c r="F31" s="61">
        <v>423352683.15116853</v>
      </c>
      <c r="G31" s="61"/>
      <c r="H31" s="61">
        <v>2693849.36</v>
      </c>
      <c r="I31" s="61">
        <v>36626271.109076038</v>
      </c>
      <c r="J31" s="61"/>
      <c r="K31" s="62"/>
      <c r="L31" s="62">
        <f>SUM(E31:J31)</f>
        <v>462672803.62024456</v>
      </c>
    </row>
    <row r="32" spans="1:12" ht="20.1" customHeight="1">
      <c r="A32" s="32">
        <v>20</v>
      </c>
      <c r="B32" s="22" t="s">
        <v>238</v>
      </c>
      <c r="C32" s="24">
        <f t="shared" si="5"/>
        <v>2026</v>
      </c>
      <c r="E32" s="61"/>
      <c r="F32" s="61">
        <v>425803987.56422192</v>
      </c>
      <c r="G32" s="61"/>
      <c r="H32" s="61">
        <v>2693849.36</v>
      </c>
      <c r="I32" s="61">
        <v>35734325.054358669</v>
      </c>
      <c r="J32" s="61"/>
      <c r="K32" s="62"/>
      <c r="L32" s="62">
        <f t="shared" si="4"/>
        <v>464232161.97858059</v>
      </c>
    </row>
    <row r="33" spans="1:12" ht="20.1" customHeight="1">
      <c r="A33" s="32">
        <v>21</v>
      </c>
      <c r="B33" s="22" t="s">
        <v>249</v>
      </c>
      <c r="C33" s="24">
        <f t="shared" si="5"/>
        <v>2026</v>
      </c>
      <c r="E33" s="61"/>
      <c r="F33" s="61">
        <v>423734113.43142235</v>
      </c>
      <c r="G33" s="61"/>
      <c r="H33" s="61">
        <v>2693849.36</v>
      </c>
      <c r="I33" s="61">
        <v>36325915.095301583</v>
      </c>
      <c r="J33" s="61"/>
      <c r="K33" s="62"/>
      <c r="L33" s="62">
        <f t="shared" si="4"/>
        <v>462753877.88672394</v>
      </c>
    </row>
    <row r="34" spans="1:12" ht="20.1" customHeight="1">
      <c r="A34" s="32">
        <v>22</v>
      </c>
      <c r="B34" s="22" t="s">
        <v>239</v>
      </c>
      <c r="C34" s="24">
        <f t="shared" si="5"/>
        <v>2026</v>
      </c>
      <c r="E34" s="61"/>
      <c r="F34" s="61">
        <v>427884016.22209126</v>
      </c>
      <c r="G34" s="61"/>
      <c r="H34" s="61">
        <v>2693849.36</v>
      </c>
      <c r="I34" s="61">
        <v>37041065.521447472</v>
      </c>
      <c r="J34" s="61"/>
      <c r="K34" s="62"/>
      <c r="L34" s="62">
        <f t="shared" si="4"/>
        <v>467618931.10353875</v>
      </c>
    </row>
    <row r="35" spans="1:12" ht="20.1" customHeight="1">
      <c r="A35" s="32">
        <v>23</v>
      </c>
      <c r="B35" s="22" t="s">
        <v>240</v>
      </c>
      <c r="C35" s="24">
        <f t="shared" si="5"/>
        <v>2026</v>
      </c>
      <c r="E35" s="61"/>
      <c r="F35" s="61">
        <v>432362286.1880827</v>
      </c>
      <c r="G35" s="61"/>
      <c r="H35" s="61">
        <v>2693849.36</v>
      </c>
      <c r="I35" s="61">
        <v>37770369.688173875</v>
      </c>
      <c r="J35" s="61"/>
      <c r="K35" s="62"/>
      <c r="L35" s="62">
        <f t="shared" si="4"/>
        <v>472826505.2362566</v>
      </c>
    </row>
    <row r="36" spans="1:12" ht="20.1" customHeight="1">
      <c r="A36" s="32">
        <v>24</v>
      </c>
      <c r="B36" s="22" t="s">
        <v>241</v>
      </c>
      <c r="C36" s="24">
        <f t="shared" si="5"/>
        <v>2026</v>
      </c>
      <c r="E36" s="61"/>
      <c r="F36" s="61">
        <v>433843781.74158037</v>
      </c>
      <c r="G36" s="61"/>
      <c r="H36" s="61">
        <v>2693849.36</v>
      </c>
      <c r="I36" s="61">
        <v>38501477.002915904</v>
      </c>
      <c r="J36" s="61"/>
      <c r="K36" s="62"/>
      <c r="L36" s="62">
        <f t="shared" si="4"/>
        <v>475039108.1044963</v>
      </c>
    </row>
    <row r="37" spans="1:12" ht="20.1" customHeight="1">
      <c r="A37" s="32">
        <v>25</v>
      </c>
      <c r="B37" s="22" t="s">
        <v>243</v>
      </c>
      <c r="C37" s="24">
        <f t="shared" si="5"/>
        <v>2026</v>
      </c>
      <c r="E37" s="61"/>
      <c r="F37" s="61">
        <v>436166727.04328209</v>
      </c>
      <c r="G37" s="61"/>
      <c r="H37" s="61">
        <v>2693849.36</v>
      </c>
      <c r="I37" s="61">
        <v>39215739.858040094</v>
      </c>
      <c r="J37" s="61"/>
      <c r="K37" s="62"/>
      <c r="L37" s="62">
        <f t="shared" si="4"/>
        <v>478076316.2613222</v>
      </c>
    </row>
    <row r="38" spans="1:12" ht="20.1" customHeight="1">
      <c r="A38" s="32">
        <v>26</v>
      </c>
      <c r="B38" s="22" t="s">
        <v>242</v>
      </c>
      <c r="C38" s="24">
        <f t="shared" si="5"/>
        <v>2026</v>
      </c>
      <c r="E38" s="61"/>
      <c r="F38" s="61">
        <v>439720449.08542657</v>
      </c>
      <c r="G38" s="61"/>
      <c r="H38" s="61">
        <v>2693849.36</v>
      </c>
      <c r="I38" s="61">
        <v>39928768.843943037</v>
      </c>
      <c r="J38" s="61"/>
      <c r="K38" s="62"/>
      <c r="L38" s="62">
        <f t="shared" si="4"/>
        <v>482343067.28936964</v>
      </c>
    </row>
    <row r="39" spans="1:12" ht="20.1" customHeight="1">
      <c r="A39" s="32">
        <v>27</v>
      </c>
      <c r="B39" s="22" t="s">
        <v>233</v>
      </c>
      <c r="C39" s="24">
        <f t="shared" si="5"/>
        <v>2026</v>
      </c>
      <c r="E39" s="61"/>
      <c r="F39" s="61">
        <v>432314549.66041327</v>
      </c>
      <c r="G39" s="61"/>
      <c r="H39" s="61">
        <v>2693849.36</v>
      </c>
      <c r="I39" s="61">
        <v>40643516.939242221</v>
      </c>
      <c r="J39" s="61"/>
      <c r="K39" s="62"/>
      <c r="L39" s="62">
        <f t="shared" si="4"/>
        <v>475651915.95965552</v>
      </c>
    </row>
    <row r="40" spans="5:12" ht="20.1" customHeight="1">
      <c r="E40" s="63"/>
      <c r="F40" s="63"/>
      <c r="G40" s="63"/>
      <c r="H40" s="63"/>
      <c r="I40" s="63"/>
      <c r="J40" s="63"/>
      <c r="K40" s="62"/>
      <c r="L40" s="62"/>
    </row>
    <row r="41" spans="1:12" ht="20.1" customHeight="1">
      <c r="A41" s="32">
        <v>28</v>
      </c>
      <c r="B41" s="22" t="s">
        <v>255</v>
      </c>
      <c r="E41" s="63">
        <f t="shared" si="6" ref="E41:J41">SUM(E27:E39)/13</f>
        <v>0</v>
      </c>
      <c r="F41" s="924">
        <f t="shared" si="6"/>
        <v>425756255.90583199</v>
      </c>
      <c r="G41" s="63">
        <f t="shared" si="6"/>
        <v>0</v>
      </c>
      <c r="H41" s="924">
        <f>SUM(H27:H39)/13</f>
        <v>2693849.36</v>
      </c>
      <c r="I41" s="924">
        <f t="shared" si="6"/>
        <v>37242529.173086219</v>
      </c>
      <c r="J41" s="63">
        <f t="shared" si="6"/>
        <v>0</v>
      </c>
      <c r="K41" s="63"/>
      <c r="L41" s="924">
        <f>SUM(L27:L39)/13</f>
        <v>465692634.43891823</v>
      </c>
    </row>
    <row r="44" spans="2:12" ht="20.1" customHeight="1">
      <c r="B44" s="43" t="s">
        <v>289</v>
      </c>
      <c r="C44" s="44"/>
      <c r="D44" s="44"/>
      <c r="E44" s="45"/>
      <c r="F44" s="45"/>
      <c r="G44" s="44"/>
      <c r="H44" s="462"/>
      <c r="I44" s="462"/>
      <c r="J44" s="468"/>
      <c r="K44" s="926"/>
      <c r="L44" s="927"/>
    </row>
    <row r="45" spans="2:11" ht="20.1" customHeight="1">
      <c r="B45" s="46"/>
      <c r="E45" s="30" t="s">
        <v>250</v>
      </c>
      <c r="F45" s="30" t="s">
        <v>28</v>
      </c>
      <c r="G45" s="30" t="s">
        <v>251</v>
      </c>
      <c r="H45" s="30" t="s">
        <v>253</v>
      </c>
      <c r="I45" s="30" t="s">
        <v>252</v>
      </c>
      <c r="J45" s="464" t="s">
        <v>254</v>
      </c>
      <c r="K45" s="22"/>
    </row>
    <row r="46" spans="2:11" ht="20.1" customHeight="1">
      <c r="B46" s="46"/>
      <c r="E46" s="22"/>
      <c r="F46" s="30"/>
      <c r="G46" s="22"/>
      <c r="H46" s="22"/>
      <c r="I46" s="22"/>
      <c r="J46" s="47"/>
      <c r="K46" s="22"/>
    </row>
    <row r="47" spans="2:11" ht="20.1" customHeight="1">
      <c r="B47" s="46"/>
      <c r="D47" s="26" t="s">
        <v>270</v>
      </c>
      <c r="E47" s="22"/>
      <c r="F47" s="29" t="s">
        <v>288</v>
      </c>
      <c r="G47" s="22"/>
      <c r="H47" s="22"/>
      <c r="I47" s="22"/>
      <c r="J47" s="47"/>
      <c r="K47" s="22"/>
    </row>
    <row r="48" spans="1:11" ht="20.1" customHeight="1">
      <c r="A48" s="32">
        <v>29</v>
      </c>
      <c r="B48" s="46" t="s">
        <v>233</v>
      </c>
      <c r="C48" s="24">
        <f>C8</f>
        <v>2025</v>
      </c>
      <c r="E48" s="463"/>
      <c r="F48" s="554">
        <v>9580.5235073891636</v>
      </c>
      <c r="G48" s="463"/>
      <c r="H48" s="463"/>
      <c r="I48" s="463"/>
      <c r="J48" s="465"/>
      <c r="K48" s="22"/>
    </row>
    <row r="49" spans="1:11" ht="20.1" customHeight="1">
      <c r="A49" s="32">
        <v>30</v>
      </c>
      <c r="B49" s="46" t="s">
        <v>234</v>
      </c>
      <c r="C49" s="24">
        <f>C48+1</f>
        <v>2026</v>
      </c>
      <c r="E49" s="463"/>
      <c r="F49" s="554">
        <v>9599.5022088669957</v>
      </c>
      <c r="G49" s="463"/>
      <c r="H49" s="463"/>
      <c r="I49" s="463"/>
      <c r="J49" s="465"/>
      <c r="K49" s="22"/>
    </row>
    <row r="50" spans="1:11" ht="20.1" customHeight="1">
      <c r="A50" s="32">
        <v>31</v>
      </c>
      <c r="B50" s="46" t="s">
        <v>235</v>
      </c>
      <c r="C50" s="24">
        <f>C49</f>
        <v>2026</v>
      </c>
      <c r="E50" s="463"/>
      <c r="F50" s="554">
        <v>9618.4809103448279</v>
      </c>
      <c r="G50" s="463"/>
      <c r="H50" s="463"/>
      <c r="I50" s="463"/>
      <c r="J50" s="465"/>
      <c r="K50" s="22"/>
    </row>
    <row r="51" spans="1:11" ht="20.1" customHeight="1">
      <c r="A51" s="32">
        <v>32</v>
      </c>
      <c r="B51" s="46" t="s">
        <v>236</v>
      </c>
      <c r="C51" s="24">
        <f t="shared" si="7" ref="C51:C60">C50</f>
        <v>2026</v>
      </c>
      <c r="E51" s="463"/>
      <c r="F51" s="554">
        <v>9637.45961182266</v>
      </c>
      <c r="G51" s="463"/>
      <c r="H51" s="463"/>
      <c r="I51" s="463"/>
      <c r="J51" s="465"/>
      <c r="K51" s="22"/>
    </row>
    <row r="52" spans="1:11" ht="20.1" customHeight="1">
      <c r="A52" s="32">
        <v>33</v>
      </c>
      <c r="B52" s="46" t="s">
        <v>237</v>
      </c>
      <c r="C52" s="24">
        <f t="shared" si="7"/>
        <v>2026</v>
      </c>
      <c r="E52" s="463"/>
      <c r="F52" s="554">
        <v>9656.4383133004922</v>
      </c>
      <c r="G52" s="463"/>
      <c r="H52" s="463"/>
      <c r="I52" s="463"/>
      <c r="J52" s="465"/>
      <c r="K52" s="22"/>
    </row>
    <row r="53" spans="1:11" ht="20.1" customHeight="1">
      <c r="A53" s="32">
        <v>34</v>
      </c>
      <c r="B53" s="46" t="s">
        <v>238</v>
      </c>
      <c r="C53" s="24">
        <f t="shared" si="7"/>
        <v>2026</v>
      </c>
      <c r="E53" s="463"/>
      <c r="F53" s="554">
        <v>9675.4170147783243</v>
      </c>
      <c r="G53" s="463"/>
      <c r="H53" s="463"/>
      <c r="I53" s="463"/>
      <c r="J53" s="465"/>
      <c r="K53" s="22"/>
    </row>
    <row r="54" spans="1:11" ht="20.1" customHeight="1">
      <c r="A54" s="32">
        <v>35</v>
      </c>
      <c r="B54" s="46" t="s">
        <v>249</v>
      </c>
      <c r="C54" s="24">
        <f t="shared" si="7"/>
        <v>2026</v>
      </c>
      <c r="E54" s="463"/>
      <c r="F54" s="554">
        <v>9694.3957162561564</v>
      </c>
      <c r="G54" s="463"/>
      <c r="H54" s="463"/>
      <c r="I54" s="463"/>
      <c r="J54" s="465"/>
      <c r="K54" s="22"/>
    </row>
    <row r="55" spans="1:11" ht="20.1" customHeight="1">
      <c r="A55" s="32">
        <v>36</v>
      </c>
      <c r="B55" s="46" t="s">
        <v>239</v>
      </c>
      <c r="C55" s="24">
        <f t="shared" si="7"/>
        <v>2026</v>
      </c>
      <c r="E55" s="463"/>
      <c r="F55" s="554">
        <v>9713.3744177339886</v>
      </c>
      <c r="G55" s="463"/>
      <c r="H55" s="463"/>
      <c r="I55" s="463"/>
      <c r="J55" s="465"/>
      <c r="K55" s="22"/>
    </row>
    <row r="56" spans="1:11" ht="20.1" customHeight="1">
      <c r="A56" s="32">
        <v>37</v>
      </c>
      <c r="B56" s="46" t="s">
        <v>240</v>
      </c>
      <c r="C56" s="24">
        <f t="shared" si="7"/>
        <v>2026</v>
      </c>
      <c r="E56" s="463"/>
      <c r="F56" s="554">
        <v>9732.3531192118207</v>
      </c>
      <c r="G56" s="463"/>
      <c r="H56" s="463"/>
      <c r="I56" s="463"/>
      <c r="J56" s="465"/>
      <c r="K56" s="22"/>
    </row>
    <row r="57" spans="1:11" ht="20.1" customHeight="1">
      <c r="A57" s="32">
        <v>38</v>
      </c>
      <c r="B57" s="46" t="s">
        <v>241</v>
      </c>
      <c r="C57" s="24">
        <f t="shared" si="7"/>
        <v>2026</v>
      </c>
      <c r="E57" s="463"/>
      <c r="F57" s="554">
        <v>9751.3318206896529</v>
      </c>
      <c r="G57" s="463"/>
      <c r="H57" s="463"/>
      <c r="I57" s="463"/>
      <c r="J57" s="465"/>
      <c r="K57" s="22"/>
    </row>
    <row r="58" spans="1:11" ht="20.1" customHeight="1">
      <c r="A58" s="32">
        <v>39</v>
      </c>
      <c r="B58" s="46" t="s">
        <v>243</v>
      </c>
      <c r="C58" s="24">
        <f t="shared" si="7"/>
        <v>2026</v>
      </c>
      <c r="E58" s="463"/>
      <c r="F58" s="554">
        <v>9770.310522167485</v>
      </c>
      <c r="G58" s="463"/>
      <c r="H58" s="463"/>
      <c r="I58" s="463"/>
      <c r="J58" s="465"/>
      <c r="K58" s="22"/>
    </row>
    <row r="59" spans="1:11" ht="20.1" customHeight="1">
      <c r="A59" s="32">
        <v>40</v>
      </c>
      <c r="B59" s="46" t="s">
        <v>242</v>
      </c>
      <c r="C59" s="24">
        <f t="shared" si="7"/>
        <v>2026</v>
      </c>
      <c r="E59" s="463"/>
      <c r="F59" s="554">
        <v>9789.2892236453172</v>
      </c>
      <c r="G59" s="463"/>
      <c r="H59" s="463"/>
      <c r="I59" s="463"/>
      <c r="J59" s="465"/>
      <c r="K59" s="22"/>
    </row>
    <row r="60" spans="1:11" ht="20.1" customHeight="1">
      <c r="A60" s="32">
        <v>41</v>
      </c>
      <c r="B60" s="46" t="s">
        <v>233</v>
      </c>
      <c r="C60" s="24">
        <f t="shared" si="7"/>
        <v>2026</v>
      </c>
      <c r="E60" s="463"/>
      <c r="F60" s="554">
        <v>9808.2679251231493</v>
      </c>
      <c r="G60" s="463"/>
      <c r="H60" s="463"/>
      <c r="I60" s="463"/>
      <c r="J60" s="465"/>
      <c r="K60" s="22"/>
    </row>
    <row r="61" spans="2:11" ht="20.1" customHeight="1">
      <c r="B61" s="46"/>
      <c r="E61" s="22"/>
      <c r="F61" s="64"/>
      <c r="G61" s="22"/>
      <c r="H61" s="22"/>
      <c r="I61" s="22"/>
      <c r="J61" s="47"/>
      <c r="K61" s="22"/>
    </row>
    <row r="62" spans="1:11" ht="20.1" customHeight="1">
      <c r="A62" s="32">
        <v>42</v>
      </c>
      <c r="B62" s="48" t="s">
        <v>255</v>
      </c>
      <c r="C62" s="49"/>
      <c r="D62" s="49"/>
      <c r="E62" s="49"/>
      <c r="F62" s="925">
        <f>SUM(F48:F60)/13</f>
        <v>9694.3957162561564</v>
      </c>
      <c r="G62" s="65">
        <f>SUM(G48:G60)/13</f>
        <v>0</v>
      </c>
      <c r="H62" s="65">
        <f>SUM(H48:H60)/13</f>
        <v>0</v>
      </c>
      <c r="I62" s="65">
        <f>SUM(I48:I60)/13</f>
        <v>0</v>
      </c>
      <c r="J62" s="466">
        <f>SUM(J48:J60)/13</f>
        <v>0</v>
      </c>
      <c r="K62" s="22"/>
    </row>
    <row r="64" spans="1:1" ht="20.1" customHeight="1">
      <c r="A64" s="22" t="s">
        <v>257</v>
      </c>
    </row>
    <row r="65" spans="1:2" ht="20.1" customHeight="1">
      <c r="A65" s="28" t="s">
        <v>256</v>
      </c>
      <c r="B65" s="22" t="s">
        <v>884</v>
      </c>
    </row>
    <row r="66" spans="1:2" ht="20.1" customHeight="1">
      <c r="A66" s="28" t="s">
        <v>270</v>
      </c>
      <c r="B66" s="22" t="s">
        <v>258</v>
      </c>
    </row>
    <row r="67" spans="1:2" ht="20.1" customHeight="1">
      <c r="A67" s="28" t="s">
        <v>339</v>
      </c>
      <c r="B67" s="22" t="s">
        <v>970</v>
      </c>
    </row>
    <row r="68" spans="1:12" ht="51.75" customHeight="1">
      <c r="A68" s="714"/>
      <c r="B68" s="1182"/>
      <c r="C68" s="1182"/>
      <c r="D68" s="1182"/>
      <c r="E68" s="1182"/>
      <c r="F68" s="1182"/>
      <c r="G68" s="1182"/>
      <c r="H68" s="1182"/>
      <c r="I68" s="1182"/>
      <c r="J68" s="1182"/>
      <c r="K68" s="1182"/>
      <c r="L68" s="1182"/>
    </row>
    <row r="69" spans="1:1" ht="20.1" customHeight="1">
      <c r="A69" s="22"/>
    </row>
  </sheetData>
  <customSheetViews>
    <customSheetView guid="{33e6ffdf-cb42-4a87-b460-a01a45f9a9a1}" printArea="1" scale="60" showPageBreaks="1" topLeftCell="A1" view="pageBreakPreview">
      <pageMargins left="0.7" right="0.7" top="0.75" bottom="0.75" header="0.3" footer="0.3"/>
      <pageSetup fitToHeight="0" fitToWidth="0" orientation="portrait" paperSize="1" scale="49" r:id="rId2"/>
      <headerFooter alignWithMargins="0"/>
    </customSheetView>
    <customSheetView guid="{e1861f40-ebd5-44ae-868b-fde0ed504d72}" scale="85" topLeftCell="A1">
      <selection pane="topLeft" activeCell="E9" sqref="E9"/>
      <pageMargins left="0.7" right="0.7" top="0.75" bottom="0.75" header="0.3" footer="0.3"/>
      <pageSetup fitToHeight="0" fitToWidth="0" orientation="portrait" paperSize="1" scale="55" r:id="rId3"/>
    </customSheetView>
    <customSheetView guid="{394295c0-a883-44ec-b980-c2facd4b6eba}" printArea="1" scale="60" showPageBreaks="1" topLeftCell="A1" view="pageBreakPreview">
      <pageMargins left="0.7" right="0.7" top="0.75" bottom="0.75" header="0.3" footer="0.3"/>
      <pageSetup fitToHeight="0" fitToWidth="0" orientation="portrait" paperSize="1" scale="49" r:id="rId4"/>
      <headerFooter alignWithMargins="0"/>
    </customSheetView>
  </customSheetViews>
  <mergeCells count="1">
    <mergeCell ref="B68:L68"/>
  </mergeCells>
  <pageMargins left="0.7" right="0.7" top="0.75" bottom="0.75" header="0.3" footer="0.3"/>
  <pageSetup fitToHeight="0" fitToWidth="0" orientation="portrait" paperSize="1" scale="49"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AE71"/>
  <sheetViews>
    <sheetView view="pageBreakPreview" zoomScale="70" zoomScaleNormal="70" zoomScaleSheetLayoutView="70" workbookViewId="0" topLeftCell="A1"/>
  </sheetViews>
  <sheetFormatPr defaultColWidth="8.88555555555556" defaultRowHeight="20.1" customHeight="1"/>
  <cols>
    <col min="1" max="1" width="3" style="28" customWidth="1"/>
    <col min="2" max="2" width="10.6666666666667" style="22" customWidth="1"/>
    <col min="3" max="3" width="8.88888888888889" style="22"/>
    <col min="4" max="4" width="2.66666666666667" style="22" customWidth="1"/>
    <col min="5" max="5" width="12.6666666666667" style="28" customWidth="1"/>
    <col min="6" max="6" width="16.4444444444444" style="28" bestFit="1" customWidth="1"/>
    <col min="7" max="7" width="19.4444444444444" style="28" bestFit="1" customWidth="1"/>
    <col min="8" max="8" width="12.6666666666667" style="28" customWidth="1"/>
    <col min="9" max="9" width="14.1111111111111" style="28" customWidth="1"/>
    <col min="10" max="10" width="12.6666666666667" style="22" customWidth="1"/>
    <col min="11" max="11" width="14.8888888888889" style="22" bestFit="1" customWidth="1"/>
    <col min="12" max="12" width="14.6666666666667" style="22" customWidth="1"/>
    <col min="13" max="13" width="15.5555555555556" style="22" customWidth="1"/>
    <col min="14" max="14" width="17.1111111111111" style="22" customWidth="1"/>
    <col min="15" max="15" width="14" style="22" bestFit="1" customWidth="1"/>
    <col min="16" max="16" width="18.6666666666667" style="22" customWidth="1"/>
    <col min="17" max="17" width="13.5555555555556" style="22" bestFit="1" customWidth="1"/>
    <col min="18" max="18" width="33" style="22" customWidth="1"/>
    <col min="19" max="30" width="8.88888888888889" style="22"/>
    <col min="31" max="31" width="14.1111111111111" style="22" bestFit="1" customWidth="1"/>
    <col min="32" max="16384" width="8.88888888888889" style="22"/>
  </cols>
  <sheetData>
    <row r="1" spans="12:12" ht="20.1" customHeight="1">
      <c r="L1" s="4" t="s">
        <v>780</v>
      </c>
    </row>
    <row r="2" spans="12:12" ht="20.1" customHeight="1">
      <c r="L2" s="4" t="s">
        <v>220</v>
      </c>
    </row>
    <row r="3" spans="7:12" ht="20.1" customHeight="1">
      <c r="G3" s="30" t="s">
        <v>781</v>
      </c>
      <c r="L3" s="4" t="str">
        <f>'Attachment 1 - Sched 1A'!$J$3</f>
        <v>For the 12 months ended 12/31/2026</v>
      </c>
    </row>
    <row r="4" spans="1:1" ht="20.1" customHeight="1">
      <c r="A4" s="31"/>
    </row>
    <row r="5" spans="5:11" ht="20.1" customHeight="1">
      <c r="E5" s="853" t="s">
        <v>707</v>
      </c>
      <c r="F5" s="853" t="s">
        <v>708</v>
      </c>
      <c r="G5" s="853" t="s">
        <v>709</v>
      </c>
      <c r="H5" s="853" t="s">
        <v>710</v>
      </c>
      <c r="I5" s="853" t="s">
        <v>711</v>
      </c>
      <c r="K5" s="853" t="s">
        <v>712</v>
      </c>
    </row>
    <row r="6" spans="5:11" ht="20.1" customHeight="1">
      <c r="E6" s="854" t="s">
        <v>986</v>
      </c>
      <c r="F6" s="853"/>
      <c r="G6" s="853"/>
      <c r="H6" s="853"/>
      <c r="I6" s="853"/>
      <c r="K6" s="853"/>
    </row>
    <row r="7" spans="5:11" ht="20.1" customHeight="1">
      <c r="E7" s="30" t="s">
        <v>262</v>
      </c>
      <c r="F7" s="30" t="s">
        <v>263</v>
      </c>
      <c r="G7" s="30" t="s">
        <v>264</v>
      </c>
      <c r="H7" s="30" t="s">
        <v>265</v>
      </c>
      <c r="I7" s="30" t="s">
        <v>266</v>
      </c>
      <c r="K7" s="30" t="s">
        <v>10</v>
      </c>
    </row>
    <row r="8" spans="5:9" ht="20.1" customHeight="1">
      <c r="E8" s="36" t="s">
        <v>269</v>
      </c>
      <c r="F8" s="36" t="s">
        <v>269</v>
      </c>
      <c r="G8" s="36" t="s">
        <v>269</v>
      </c>
      <c r="H8" s="30"/>
      <c r="I8" s="36" t="s">
        <v>269</v>
      </c>
    </row>
    <row r="9" spans="4:9" ht="20.1" customHeight="1">
      <c r="D9" s="26"/>
      <c r="E9" s="29"/>
      <c r="F9" s="29" t="s">
        <v>339</v>
      </c>
      <c r="G9" s="29" t="s">
        <v>353</v>
      </c>
      <c r="H9" s="29" t="s">
        <v>355</v>
      </c>
      <c r="I9" s="29" t="s">
        <v>393</v>
      </c>
    </row>
    <row r="10" spans="1:11" ht="20.1" customHeight="1">
      <c r="A10" s="32">
        <v>1</v>
      </c>
      <c r="B10" s="35" t="s">
        <v>268</v>
      </c>
      <c r="C10" s="24">
        <v>2025</v>
      </c>
      <c r="E10" s="67">
        <f>-(E19)</f>
        <v>0</v>
      </c>
      <c r="F10" s="67">
        <f>-(F19-F32-G32-H32-I32-J32-K32-L32)</f>
        <v>-566294291.1500001</v>
      </c>
      <c r="G10" s="67">
        <f>-(G19-F38-G38-H38-I38-J38-K38-L38)</f>
        <v>-2645737.8972407915</v>
      </c>
      <c r="H10" s="67">
        <f>H19-F43-G43-H43-I43-J43-K43-L43</f>
        <v>38946455.062442258</v>
      </c>
      <c r="I10" s="67">
        <f>-(I19)+I19</f>
        <v>0</v>
      </c>
      <c r="J10" s="474"/>
      <c r="K10" s="474">
        <f>SUM(E10:I10)</f>
        <v>-529993573.98479861</v>
      </c>
    </row>
    <row r="11" spans="1:11" ht="20.1" customHeight="1">
      <c r="A11" s="32">
        <v>2</v>
      </c>
      <c r="B11" s="35" t="s">
        <v>268</v>
      </c>
      <c r="C11" s="24">
        <f>C10+1</f>
        <v>2026</v>
      </c>
      <c r="E11" s="67">
        <f>-(E20)</f>
        <v>0</v>
      </c>
      <c r="F11" s="67">
        <f>-(F20-F33-G33-H33-I33-J33-K33-L33)</f>
        <v>-596600403.54419744</v>
      </c>
      <c r="G11" s="67">
        <f>-(G20-F39-G39-H39-I39-J39-K39-L39)</f>
        <v>-2661800.223286055</v>
      </c>
      <c r="H11" s="67">
        <f>H20-F44-G44-H44-I44-J44-K44-L44</f>
        <v>44815989.429184534</v>
      </c>
      <c r="I11" s="67">
        <f>-(I20)+I20</f>
        <v>0</v>
      </c>
      <c r="J11" s="474"/>
      <c r="K11" s="474">
        <f>SUM(E11:I11)</f>
        <v>-554446214.33829892</v>
      </c>
    </row>
    <row r="12" spans="5:11" ht="20.1" customHeight="1">
      <c r="E12" s="67"/>
      <c r="F12" s="67"/>
      <c r="G12" s="67"/>
      <c r="H12" s="67"/>
      <c r="I12" s="67"/>
      <c r="J12" s="474"/>
      <c r="K12" s="474"/>
    </row>
    <row r="13" spans="1:11" ht="20.1" customHeight="1">
      <c r="A13" s="133">
        <v>3</v>
      </c>
      <c r="B13" s="33" t="s">
        <v>267</v>
      </c>
      <c r="C13" s="33"/>
      <c r="D13" s="39" t="s">
        <v>256</v>
      </c>
      <c r="E13" s="475">
        <f>(E10/2)+(E11/2)</f>
        <v>0</v>
      </c>
      <c r="F13" s="475">
        <f>(F10/2)+(F11/2)</f>
        <v>-581447347.34709883</v>
      </c>
      <c r="G13" s="475">
        <f>(G10/2)+(G11/2)</f>
        <v>-2653769.0602634232</v>
      </c>
      <c r="H13" s="475">
        <f>(H10/2)+(H11/2)</f>
        <v>41881222.2458134</v>
      </c>
      <c r="I13" s="475">
        <f>(I10/2)+(I11/2)</f>
        <v>0</v>
      </c>
      <c r="J13" s="475"/>
      <c r="K13" s="475">
        <f>(K10/2)+(K11/2)</f>
        <v>-542219894.16154873</v>
      </c>
    </row>
    <row r="16" spans="5:11" ht="20.1" customHeight="1">
      <c r="E16" s="30" t="s">
        <v>262</v>
      </c>
      <c r="F16" s="30" t="s">
        <v>263</v>
      </c>
      <c r="G16" s="30" t="s">
        <v>264</v>
      </c>
      <c r="H16" s="30" t="s">
        <v>265</v>
      </c>
      <c r="I16" s="30" t="s">
        <v>266</v>
      </c>
      <c r="K16" s="30" t="s">
        <v>10</v>
      </c>
    </row>
    <row r="17" spans="5:9" ht="20.1" customHeight="1">
      <c r="E17" s="489" t="s">
        <v>985</v>
      </c>
      <c r="F17" s="489"/>
      <c r="G17" s="489"/>
      <c r="H17" s="490"/>
      <c r="I17" s="489"/>
    </row>
    <row r="18" spans="4:9" ht="20.1" customHeight="1">
      <c r="D18" s="26" t="s">
        <v>270</v>
      </c>
      <c r="E18" s="29" t="s">
        <v>51</v>
      </c>
      <c r="F18" s="29" t="s">
        <v>389</v>
      </c>
      <c r="G18" s="29" t="s">
        <v>390</v>
      </c>
      <c r="H18" s="29" t="s">
        <v>391</v>
      </c>
      <c r="I18" s="29" t="s">
        <v>392</v>
      </c>
    </row>
    <row r="19" spans="1:11" ht="20.1" customHeight="1">
      <c r="A19" s="32">
        <v>4</v>
      </c>
      <c r="B19" s="35" t="s">
        <v>268</v>
      </c>
      <c r="C19" s="24">
        <f>C10</f>
        <v>2025</v>
      </c>
      <c r="E19" s="61"/>
      <c r="F19" s="61">
        <f>'Attachment 5b - ADIT Detail'!C32</f>
        <v>503192863.76290005</v>
      </c>
      <c r="G19" s="61">
        <f>'Attachment 5b - ADIT Detail'!C52</f>
        <v>-14370789.286638118</v>
      </c>
      <c r="H19" s="61">
        <f>'Attachment 5b - ADIT Detail'!C71</f>
        <v>33669645.527662016</v>
      </c>
      <c r="I19" s="61">
        <f>'Attachment 5b - ADIT Detail'!C12</f>
        <v>1631674.98</v>
      </c>
      <c r="J19" s="62"/>
      <c r="K19" s="62">
        <f>SUM(E19:I19)</f>
        <v>524123394.98392397</v>
      </c>
    </row>
    <row r="20" spans="1:11" ht="20.1" customHeight="1">
      <c r="A20" s="32">
        <v>5</v>
      </c>
      <c r="B20" s="35" t="s">
        <v>268</v>
      </c>
      <c r="C20" s="24">
        <f>C19+1</f>
        <v>2026</v>
      </c>
      <c r="E20" s="61"/>
      <c r="F20" s="61">
        <f>'Attachment 5b - ADIT Detail'!D32</f>
        <v>597824632.6055001</v>
      </c>
      <c r="G20" s="61">
        <f>'Attachment 5b - ADIT Detail'!D52</f>
        <v>-9698542.5273428224</v>
      </c>
      <c r="H20" s="61">
        <f>'Attachment 5b - ADIT Detail'!D71</f>
        <v>50208661.875221476</v>
      </c>
      <c r="I20" s="61">
        <f>'Attachment 5b - ADIT Detail'!D12</f>
        <v>1531989.98</v>
      </c>
      <c r="J20" s="62"/>
      <c r="K20" s="62">
        <f>SUM(E20:I20)</f>
        <v>639866741.93337882</v>
      </c>
    </row>
    <row r="21" spans="5:11" ht="20.1" customHeight="1">
      <c r="E21" s="63"/>
      <c r="F21" s="63"/>
      <c r="G21" s="63"/>
      <c r="H21" s="63"/>
      <c r="I21" s="63"/>
      <c r="J21" s="62"/>
      <c r="K21" s="62"/>
    </row>
    <row r="22" spans="1:11" ht="20.1" customHeight="1">
      <c r="A22" s="133">
        <v>6</v>
      </c>
      <c r="B22" s="22" t="s">
        <v>267</v>
      </c>
      <c r="E22" s="63">
        <f>(E19/2)+(E20/2)</f>
        <v>0</v>
      </c>
      <c r="F22" s="63">
        <f>(F19/2)+(F20/2)</f>
        <v>550508748.18420005</v>
      </c>
      <c r="G22" s="63">
        <f>(G19/2)+(G20/2)</f>
        <v>-12034665.90699047</v>
      </c>
      <c r="H22" s="63">
        <f>(H19/2)+(H20/2)</f>
        <v>41939153.70144175</v>
      </c>
      <c r="I22" s="63">
        <f>(I19/2)+(I20/2)</f>
        <v>1581832.48</v>
      </c>
      <c r="J22" s="63"/>
      <c r="K22" s="63">
        <f>(K19/2)+(K20/2)</f>
        <v>581995068.45865142</v>
      </c>
    </row>
    <row r="24" spans="6:6" ht="20.1" customHeight="1">
      <c r="F24" s="855"/>
    </row>
    <row r="25" spans="1:9" ht="20.1" customHeight="1">
      <c r="A25" s="22" t="s">
        <v>257</v>
      </c>
      <c r="D25" s="28"/>
      <c r="I25" s="22"/>
    </row>
    <row r="26" spans="1:12" ht="33.75" customHeight="1">
      <c r="A26" s="86" t="s">
        <v>256</v>
      </c>
      <c r="B26" s="1183" t="s">
        <v>866</v>
      </c>
      <c r="C26" s="1183"/>
      <c r="D26" s="1183"/>
      <c r="E26" s="1183"/>
      <c r="F26" s="1183"/>
      <c r="G26" s="1183"/>
      <c r="H26" s="1183"/>
      <c r="I26" s="1183"/>
      <c r="J26" s="1183"/>
      <c r="K26" s="1183"/>
      <c r="L26" s="1183"/>
    </row>
    <row r="27" spans="1:11" ht="20.1" customHeight="1">
      <c r="A27" s="28" t="s">
        <v>270</v>
      </c>
      <c r="B27" s="1184" t="s">
        <v>258</v>
      </c>
      <c r="C27" s="1184"/>
      <c r="D27" s="1184"/>
      <c r="E27" s="1184"/>
      <c r="F27" s="1184"/>
      <c r="G27" s="1184"/>
      <c r="H27" s="1184"/>
      <c r="I27" s="1184"/>
      <c r="J27" s="1184"/>
      <c r="K27" s="1184"/>
    </row>
    <row r="28" spans="1:11" ht="20.1" customHeight="1">
      <c r="A28" s="28" t="s">
        <v>339</v>
      </c>
      <c r="B28" s="1184" t="s">
        <v>356</v>
      </c>
      <c r="C28" s="1184"/>
      <c r="D28" s="1184"/>
      <c r="E28" s="1184"/>
      <c r="F28" s="1184"/>
      <c r="G28" s="1184"/>
      <c r="H28" s="1184"/>
      <c r="I28" s="1184"/>
      <c r="J28" s="1184"/>
      <c r="K28" s="1184"/>
    </row>
    <row r="29" spans="2:10" ht="20.1" customHeight="1">
      <c r="B29" s="204"/>
      <c r="C29" s="204"/>
      <c r="D29" s="204"/>
      <c r="E29" s="204"/>
      <c r="F29" s="22"/>
      <c r="H29" s="204"/>
      <c r="I29" s="73"/>
      <c r="J29" s="204"/>
    </row>
    <row r="30" spans="2:10" ht="20.1" customHeight="1">
      <c r="B30" s="204"/>
      <c r="C30" s="204"/>
      <c r="D30" s="204"/>
      <c r="E30" s="204"/>
      <c r="F30" s="204"/>
      <c r="I30" s="204"/>
      <c r="J30" s="204"/>
    </row>
    <row r="31" spans="2:15" ht="54" customHeight="1">
      <c r="B31" s="204"/>
      <c r="C31" s="204"/>
      <c r="D31" s="204"/>
      <c r="E31" s="204"/>
      <c r="F31" s="354" t="s">
        <v>349</v>
      </c>
      <c r="G31" s="75" t="s">
        <v>350</v>
      </c>
      <c r="H31" s="75" t="s">
        <v>351</v>
      </c>
      <c r="I31" s="75" t="s">
        <v>858</v>
      </c>
      <c r="J31" s="856" t="s">
        <v>1202</v>
      </c>
      <c r="K31" s="553" t="s">
        <v>1202</v>
      </c>
      <c r="L31" s="75" t="s">
        <v>855</v>
      </c>
      <c r="N31" s="22" t="s">
        <v>1400</v>
      </c>
      <c r="O31" s="22" t="s">
        <v>1401</v>
      </c>
    </row>
    <row r="32" spans="1:16" s="73" customFormat="1" ht="20.1" customHeight="1">
      <c r="A32" s="28"/>
      <c r="B32" s="204"/>
      <c r="C32" s="204"/>
      <c r="D32" s="204"/>
      <c r="E32" s="76">
        <f>C10</f>
        <v>2025</v>
      </c>
      <c r="F32" s="87">
        <v>0</v>
      </c>
      <c r="G32" s="87">
        <v>-6156771.3399999999</v>
      </c>
      <c r="H32" s="87">
        <v>-56944656.047100008</v>
      </c>
      <c r="I32" s="87"/>
      <c r="J32" s="87"/>
      <c r="K32" s="87">
        <v>0</v>
      </c>
      <c r="L32" s="453">
        <v>0</v>
      </c>
      <c r="P32" s="22"/>
    </row>
    <row r="33" spans="1:15" s="73" customFormat="1" ht="20.1" customHeight="1">
      <c r="A33" s="28"/>
      <c r="B33" s="204"/>
      <c r="C33" s="204"/>
      <c r="D33" s="204"/>
      <c r="E33" s="76">
        <f>C11</f>
        <v>2026</v>
      </c>
      <c r="F33" s="87">
        <v>0</v>
      </c>
      <c r="G33" s="87">
        <v>-6013289.0100000007</v>
      </c>
      <c r="H33" s="87">
        <v>-43349389.944500089</v>
      </c>
      <c r="I33" s="87"/>
      <c r="J33" s="87">
        <v>0</v>
      </c>
      <c r="K33" s="87">
        <v>0</v>
      </c>
      <c r="L33" s="453">
        <f>'Attch 5a - ADIT Normalization'!S19</f>
        <v>50586908.015802749</v>
      </c>
      <c r="M33" s="857"/>
      <c r="N33" s="87">
        <v>-91943369.759999961</v>
      </c>
      <c r="O33" s="87">
        <v>48593979.815499872</v>
      </c>
    </row>
    <row r="34" spans="1:12" s="73" customFormat="1" ht="20.1" customHeight="1">
      <c r="A34" s="28" t="s">
        <v>353</v>
      </c>
      <c r="B34" s="22" t="s">
        <v>352</v>
      </c>
      <c r="C34" s="22"/>
      <c r="D34" s="22"/>
      <c r="E34" s="22"/>
      <c r="F34" s="22"/>
      <c r="G34" s="22"/>
      <c r="H34" s="22"/>
      <c r="I34" s="22"/>
      <c r="J34" s="22"/>
      <c r="K34" s="22"/>
      <c r="L34" s="22"/>
    </row>
    <row r="35" spans="2:12" ht="20.1" customHeight="1">
      <c r="B35" s="204"/>
      <c r="C35" s="204"/>
      <c r="D35" s="204"/>
      <c r="E35" s="204"/>
      <c r="F35" s="22"/>
      <c r="H35" s="204"/>
      <c r="I35" s="204"/>
      <c r="J35" s="204"/>
      <c r="K35" s="204"/>
      <c r="L35" s="204"/>
    </row>
    <row r="36" spans="2:18" ht="20.1" customHeight="1">
      <c r="B36" s="204"/>
      <c r="C36" s="204"/>
      <c r="D36" s="204"/>
      <c r="E36" s="204"/>
      <c r="F36" s="204"/>
      <c r="H36" s="204"/>
      <c r="I36" s="204"/>
      <c r="J36" s="204"/>
      <c r="K36" s="204"/>
      <c r="L36" s="204"/>
      <c r="M36" s="73"/>
      <c r="R36" s="858"/>
    </row>
    <row r="37" spans="2:15" ht="45.75" customHeight="1">
      <c r="B37" s="204"/>
      <c r="C37" s="204"/>
      <c r="D37" s="204"/>
      <c r="E37" s="204"/>
      <c r="F37" s="354" t="s">
        <v>349</v>
      </c>
      <c r="G37" s="75" t="s">
        <v>350</v>
      </c>
      <c r="H37" s="75" t="s">
        <v>351</v>
      </c>
      <c r="I37" s="75" t="s">
        <v>858</v>
      </c>
      <c r="J37" s="553" t="s">
        <v>1202</v>
      </c>
      <c r="K37" s="553" t="s">
        <v>1202</v>
      </c>
      <c r="L37" s="75" t="s">
        <v>855</v>
      </c>
      <c r="N37" s="22" t="s">
        <v>1400</v>
      </c>
      <c r="O37" s="22" t="s">
        <v>1401</v>
      </c>
    </row>
    <row r="38" spans="1:12" s="73" customFormat="1" ht="20.1" customHeight="1">
      <c r="A38" s="28"/>
      <c r="B38" s="204"/>
      <c r="C38" s="204"/>
      <c r="D38" s="204"/>
      <c r="E38" s="76">
        <f>C10</f>
        <v>2025</v>
      </c>
      <c r="F38" s="87">
        <v>0</v>
      </c>
      <c r="G38" s="87"/>
      <c r="H38" s="87">
        <v>-17016527.18387891</v>
      </c>
      <c r="I38" s="87">
        <v>0</v>
      </c>
      <c r="J38" s="87">
        <v>0</v>
      </c>
      <c r="K38" s="87">
        <v>0</v>
      </c>
      <c r="L38" s="453">
        <v>0</v>
      </c>
    </row>
    <row r="39" spans="1:16" s="73" customFormat="1" ht="20.1" customHeight="1">
      <c r="A39" s="28"/>
      <c r="B39" s="204"/>
      <c r="C39" s="204"/>
      <c r="D39" s="204"/>
      <c r="E39" s="76">
        <f>C11</f>
        <v>2026</v>
      </c>
      <c r="F39" s="87"/>
      <c r="G39" s="87"/>
      <c r="H39" s="87">
        <v>-12387153.956223404</v>
      </c>
      <c r="I39" s="87">
        <v>0</v>
      </c>
      <c r="J39" s="87">
        <v>0</v>
      </c>
      <c r="K39" s="87">
        <v>0</v>
      </c>
      <c r="L39" s="453">
        <f>'Attch 5a - ADIT Normalization'!S26</f>
        <v>26811.205594526604</v>
      </c>
      <c r="N39" s="87">
        <v>-34387656.617573701</v>
      </c>
      <c r="O39" s="87">
        <v>22000502.661350295</v>
      </c>
      <c r="P39" s="22"/>
    </row>
    <row r="40" spans="1:16" s="73" customFormat="1" ht="20.1" customHeight="1">
      <c r="A40" s="28" t="s">
        <v>355</v>
      </c>
      <c r="B40" s="22" t="s">
        <v>354</v>
      </c>
      <c r="C40" s="22"/>
      <c r="D40" s="22"/>
      <c r="E40" s="22"/>
      <c r="F40" s="22"/>
      <c r="G40" s="22"/>
      <c r="H40" s="22"/>
      <c r="I40" s="22"/>
      <c r="J40" s="22"/>
      <c r="K40" s="22"/>
      <c r="L40" s="22"/>
      <c r="P40" s="22"/>
    </row>
    <row r="41" spans="1:16" s="73" customFormat="1" ht="20.1" customHeight="1">
      <c r="A41" s="28"/>
      <c r="B41" s="204"/>
      <c r="C41" s="204"/>
      <c r="D41" s="204"/>
      <c r="E41" s="204"/>
      <c r="G41" s="28"/>
      <c r="H41" s="22"/>
      <c r="I41" s="22"/>
      <c r="J41" s="204"/>
      <c r="K41" s="204"/>
      <c r="L41" s="204"/>
      <c r="P41" s="22"/>
    </row>
    <row r="42" spans="1:31" s="73" customFormat="1" ht="53.25" customHeight="1">
      <c r="A42" s="28"/>
      <c r="B42" s="204"/>
      <c r="C42" s="204"/>
      <c r="D42" s="204"/>
      <c r="E42" s="76"/>
      <c r="F42" s="78" t="s">
        <v>349</v>
      </c>
      <c r="G42" s="75" t="s">
        <v>350</v>
      </c>
      <c r="H42" s="75" t="s">
        <v>351</v>
      </c>
      <c r="I42" s="75" t="s">
        <v>858</v>
      </c>
      <c r="J42" s="856" t="s">
        <v>1202</v>
      </c>
      <c r="K42" s="553" t="s">
        <v>1202</v>
      </c>
      <c r="L42" s="75" t="s">
        <v>855</v>
      </c>
      <c r="N42" s="22" t="s">
        <v>1400</v>
      </c>
      <c r="O42" s="22" t="s">
        <v>1401</v>
      </c>
      <c r="P42" s="22"/>
      <c r="AB42" s="22"/>
      <c r="AC42" s="22"/>
      <c r="AD42" s="22"/>
      <c r="AE42" s="22"/>
    </row>
    <row r="43" spans="1:16" s="73" customFormat="1" ht="20.1" customHeight="1">
      <c r="A43" s="28"/>
      <c r="B43" s="204"/>
      <c r="C43" s="204"/>
      <c r="D43" s="204"/>
      <c r="E43" s="76">
        <f>C10</f>
        <v>2025</v>
      </c>
      <c r="F43" s="87">
        <v>0</v>
      </c>
      <c r="G43" s="87">
        <v>0</v>
      </c>
      <c r="H43" s="87">
        <v>-9008590.4047802389</v>
      </c>
      <c r="I43" s="87">
        <v>3731780.8699999996</v>
      </c>
      <c r="J43" s="87">
        <v>0</v>
      </c>
      <c r="K43" s="87">
        <v>0</v>
      </c>
      <c r="L43" s="453">
        <v>0</v>
      </c>
      <c r="P43" s="859"/>
    </row>
    <row r="44" spans="1:15" s="73" customFormat="1" ht="20.1" customHeight="1">
      <c r="A44" s="28"/>
      <c r="B44" s="204"/>
      <c r="C44" s="204"/>
      <c r="D44" s="204"/>
      <c r="E44" s="76">
        <f>C11</f>
        <v>2026</v>
      </c>
      <c r="F44" s="87">
        <v>0</v>
      </c>
      <c r="G44" s="87">
        <v>0</v>
      </c>
      <c r="H44" s="87">
        <v>-8028252.5369776133</v>
      </c>
      <c r="I44" s="87">
        <v>3623508.83</v>
      </c>
      <c r="J44" s="87">
        <v>0</v>
      </c>
      <c r="K44" s="87">
        <v>0</v>
      </c>
      <c r="L44" s="453">
        <f>'Attch 5a - ADIT Normalization'!S12</f>
        <v>9797416.1530145556</v>
      </c>
      <c r="N44" s="87">
        <v>8592498.3143712468</v>
      </c>
      <c r="O44" s="87">
        <v>-16620750.85134886</v>
      </c>
    </row>
    <row r="45" spans="1:15" s="73" customFormat="1" ht="20.1" customHeight="1">
      <c r="A45" s="28"/>
      <c r="B45" s="204"/>
      <c r="C45" s="204"/>
      <c r="D45" s="204"/>
      <c r="E45" s="76"/>
      <c r="F45" s="77"/>
      <c r="G45" s="77"/>
      <c r="H45" s="204"/>
      <c r="I45" s="204"/>
      <c r="J45" s="204"/>
      <c r="K45" s="204"/>
      <c r="N45" s="453"/>
      <c r="O45" s="453"/>
    </row>
    <row r="46" spans="1:11" ht="47.45" customHeight="1">
      <c r="A46" s="74" t="s">
        <v>393</v>
      </c>
      <c r="B46" s="1183" t="s">
        <v>1205</v>
      </c>
      <c r="C46" s="1183"/>
      <c r="D46" s="1183"/>
      <c r="E46" s="1183"/>
      <c r="F46" s="1183"/>
      <c r="G46" s="1183"/>
      <c r="H46" s="1183"/>
      <c r="I46" s="1183"/>
      <c r="J46" s="1183"/>
      <c r="K46" s="1183"/>
    </row>
    <row r="47" spans="1:2" ht="20.1" customHeight="1">
      <c r="A47" s="28" t="s">
        <v>854</v>
      </c>
      <c r="B47" s="22" t="s">
        <v>1206</v>
      </c>
    </row>
    <row r="48" spans="1:2" ht="20.1" customHeight="1">
      <c r="A48" s="28" t="s">
        <v>1200</v>
      </c>
      <c r="B48" s="22" t="s">
        <v>1201</v>
      </c>
    </row>
    <row r="49" spans="1:12" ht="38.25" customHeight="1">
      <c r="A49" s="714" t="s">
        <v>1402</v>
      </c>
      <c r="B49" s="1182" t="s">
        <v>1403</v>
      </c>
      <c r="C49" s="1182"/>
      <c r="D49" s="1182"/>
      <c r="E49" s="1182"/>
      <c r="F49" s="1182"/>
      <c r="G49" s="1182"/>
      <c r="H49" s="1182"/>
      <c r="I49" s="1182"/>
      <c r="J49" s="1182"/>
      <c r="K49" s="1182"/>
      <c r="L49" s="716"/>
    </row>
    <row r="55" spans="12:12" ht="31.5" customHeight="1">
      <c r="L55" s="860"/>
    </row>
    <row r="56" spans="12:12" ht="20.1" customHeight="1">
      <c r="L56" s="27"/>
    </row>
    <row r="57" spans="12:12" ht="20.1" customHeight="1">
      <c r="L57" s="27"/>
    </row>
    <row r="58" spans="12:12" ht="30" customHeight="1">
      <c r="L58" s="860"/>
    </row>
    <row r="59" spans="12:12" ht="20.1" customHeight="1">
      <c r="L59" s="27"/>
    </row>
    <row r="60" spans="12:12" ht="20.1" customHeight="1">
      <c r="L60" s="27"/>
    </row>
    <row r="61" spans="12:12" ht="20.1" customHeight="1">
      <c r="L61" s="27"/>
    </row>
    <row r="62" spans="12:12" ht="28.5" customHeight="1">
      <c r="L62" s="860"/>
    </row>
    <row r="63" spans="12:12" ht="20.1" customHeight="1">
      <c r="L63" s="27"/>
    </row>
    <row r="64" spans="12:12" ht="20.1" customHeight="1">
      <c r="L64" s="27"/>
    </row>
    <row r="65" spans="12:12" ht="20.1" customHeight="1">
      <c r="L65" s="27"/>
    </row>
    <row r="66" spans="12:12" ht="27.6" customHeight="1">
      <c r="L66" s="860"/>
    </row>
    <row r="67" ht="21" customHeight="1"/>
    <row r="70" spans="12:12" ht="27.6" customHeight="1">
      <c r="L70" s="860"/>
    </row>
    <row r="71" spans="12:12" ht="28.5" customHeight="1">
      <c r="L71" s="860"/>
    </row>
    <row r="75" ht="24.75" customHeight="1"/>
    <row r="79" ht="27" customHeight="1"/>
    <row r="80" ht="24" customHeight="1"/>
  </sheetData>
  <customSheetViews>
    <customSheetView guid="{33e6ffdf-cb42-4a87-b460-a01a45f9a9a1}" printArea="1" scale="60" showPageBreaks="1" topLeftCell="A1" view="pageBreakPreview">
      <pageMargins left="0.7" right="0.7" top="0.75" bottom="0.75" header="0.3" footer="0.3"/>
      <pageSetup orientation="portrait" paperSize="1" scale="48"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printArea="1" scale="60" showPageBreaks="1" topLeftCell="A1" view="pageBreakPreview">
      <pageMargins left="0.7" right="0.7" top="0.75" bottom="0.75" header="0.3" footer="0.3"/>
      <pageSetup orientation="portrait" paperSize="1" scale="48" r:id="rId4"/>
      <headerFooter alignWithMargins="0"/>
    </customSheetView>
  </customSheetViews>
  <mergeCells count="5">
    <mergeCell ref="B46:K46"/>
    <mergeCell ref="B27:K27"/>
    <mergeCell ref="B28:K28"/>
    <mergeCell ref="B26:L26"/>
    <mergeCell ref="B49:K49"/>
  </mergeCells>
  <pageMargins left="0.7" right="0.7" top="0.75" bottom="0.75" header="0.3" footer="0.3"/>
  <pageSetup orientation="portrait" paperSize="1" scale="39"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U36"/>
  <sheetViews>
    <sheetView view="pageBreakPreview" zoomScale="80" zoomScaleNormal="70" zoomScaleSheetLayoutView="80" workbookViewId="0" topLeftCell="A1"/>
  </sheetViews>
  <sheetFormatPr defaultColWidth="8.88555555555556" defaultRowHeight="15"/>
  <cols>
    <col min="1" max="1" width="22.1111111111111" style="356" customWidth="1"/>
    <col min="2" max="2" width="3.11111111111111" style="356" customWidth="1"/>
    <col min="3" max="9" width="13.6666666666667" style="356" customWidth="1"/>
    <col min="10" max="10" width="12.4444444444444" style="356" customWidth="1"/>
    <col min="11" max="11" width="3.11111111111111" style="356" customWidth="1"/>
    <col min="12" max="12" width="13.4444444444444" style="356" customWidth="1"/>
    <col min="13" max="13" width="20.6666666666667" style="356" customWidth="1"/>
    <col min="14" max="14" width="1.66666666666667" style="356" customWidth="1"/>
    <col min="15" max="15" width="13.6666666666667" style="356" customWidth="1"/>
    <col min="16" max="16" width="2" style="356" customWidth="1"/>
    <col min="17" max="17" width="11.8888888888889" style="356" bestFit="1" customWidth="1"/>
    <col min="18" max="18" width="12.8888888888889" style="356" customWidth="1"/>
    <col min="19" max="19" width="13.6666666666667" style="356" bestFit="1" customWidth="1"/>
    <col min="20" max="20" width="12.6666666666667" style="356" customWidth="1"/>
    <col min="21" max="21" width="12.5555555555556" style="356" bestFit="1" customWidth="1"/>
    <col min="22" max="16384" width="8.88888888888889" style="356"/>
  </cols>
  <sheetData>
    <row r="1" spans="10:20" ht="15.75">
      <c r="J1" s="4" t="s">
        <v>782</v>
      </c>
      <c r="T1" s="4" t="s">
        <v>782</v>
      </c>
    </row>
    <row r="2" spans="10:20" ht="15.75">
      <c r="J2" s="4" t="s">
        <v>223</v>
      </c>
      <c r="T2" s="4" t="s">
        <v>226</v>
      </c>
    </row>
    <row r="3" spans="10:20" ht="15.75">
      <c r="J3" s="4" t="str">
        <f>'Attachment 1 - Sched 1A'!$J$3</f>
        <v>For the 12 months ended 12/31/2026</v>
      </c>
      <c r="T3" s="4" t="str">
        <f>'Attachment 1 - Sched 1A'!$J$3</f>
        <v>For the 12 months ended 12/31/2026</v>
      </c>
    </row>
    <row r="4" spans="1:15" ht="15.75">
      <c r="A4" s="31"/>
      <c r="F4" s="386" t="s">
        <v>783</v>
      </c>
      <c r="O4" s="386" t="s">
        <v>783</v>
      </c>
    </row>
    <row r="5" spans="1:20" ht="15.75" thickBot="1">
      <c r="A5" s="861" t="s">
        <v>707</v>
      </c>
      <c r="C5" s="861" t="s">
        <v>708</v>
      </c>
      <c r="D5" s="861" t="s">
        <v>709</v>
      </c>
      <c r="E5" s="861" t="s">
        <v>710</v>
      </c>
      <c r="F5" s="861" t="s">
        <v>711</v>
      </c>
      <c r="G5" s="861" t="s">
        <v>712</v>
      </c>
      <c r="H5" s="861" t="s">
        <v>713</v>
      </c>
      <c r="I5" s="861" t="s">
        <v>911</v>
      </c>
      <c r="J5" s="861" t="s">
        <v>912</v>
      </c>
      <c r="O5" s="861" t="s">
        <v>707</v>
      </c>
      <c r="Q5" s="861" t="s">
        <v>708</v>
      </c>
      <c r="R5" s="861" t="s">
        <v>709</v>
      </c>
      <c r="S5" s="861" t="s">
        <v>710</v>
      </c>
      <c r="T5" s="861" t="s">
        <v>711</v>
      </c>
    </row>
    <row r="6" spans="1:20" ht="75.75" thickBot="1">
      <c r="A6" s="484"/>
      <c r="B6" s="357"/>
      <c r="C6" s="1185" t="s">
        <v>1486</v>
      </c>
      <c r="D6" s="1186"/>
      <c r="E6" s="1186"/>
      <c r="F6" s="1186"/>
      <c r="G6" s="1186"/>
      <c r="H6" s="1186"/>
      <c r="I6" s="1186"/>
      <c r="J6" s="1187"/>
      <c r="L6" s="1188" t="s">
        <v>1487</v>
      </c>
      <c r="M6" s="1189"/>
      <c r="O6" s="389" t="s">
        <v>950</v>
      </c>
      <c r="Q6" s="389" t="s">
        <v>625</v>
      </c>
      <c r="R6" s="389" t="s">
        <v>1199</v>
      </c>
      <c r="S6" s="492" t="s">
        <v>991</v>
      </c>
      <c r="T6" s="389" t="s">
        <v>913</v>
      </c>
    </row>
    <row r="7" spans="1:10" ht="15">
      <c r="A7" s="485"/>
      <c r="C7" s="358"/>
      <c r="D7" s="359"/>
      <c r="E7" s="359"/>
      <c r="F7" s="359"/>
      <c r="G7" s="359"/>
      <c r="H7" s="359"/>
      <c r="I7" s="359"/>
      <c r="J7" s="360"/>
    </row>
    <row r="8" spans="1:13" ht="46.5" customHeight="1">
      <c r="A8" s="862" t="s">
        <v>951</v>
      </c>
      <c r="B8" s="362"/>
      <c r="C8" s="863" t="s">
        <v>954</v>
      </c>
      <c r="D8" s="375" t="s">
        <v>955</v>
      </c>
      <c r="E8" s="864" t="s">
        <v>956</v>
      </c>
      <c r="F8" s="375" t="s">
        <v>957</v>
      </c>
      <c r="G8" s="864" t="s">
        <v>958</v>
      </c>
      <c r="H8" s="375" t="s">
        <v>959</v>
      </c>
      <c r="I8" s="864" t="s">
        <v>960</v>
      </c>
      <c r="J8" s="376" t="s">
        <v>961</v>
      </c>
      <c r="K8" s="364"/>
      <c r="L8" s="361"/>
      <c r="M8" s="362"/>
    </row>
    <row r="9" spans="1:15" ht="15.75" thickBot="1">
      <c r="A9" s="486">
        <f>'Attachment 5 - ADIT'!H19-'Attachment 5 - ADIT'!I43-'Attachment 5 - ADIT'!H43-'Attachment 5 - ADIT'!F43-'Attachment 5 - ADIT'!G43-'Attachment 5 - ADIT'!J43-'Attachment 5 - ADIT'!K43</f>
        <v>38946455.062442258</v>
      </c>
      <c r="B9" s="367"/>
      <c r="C9" s="374">
        <v>3761722.7460617605</v>
      </c>
      <c r="D9" s="367">
        <f>SUM(A9:C9)</f>
        <v>42708177.808504015</v>
      </c>
      <c r="E9" s="373">
        <v>3999166.5804619221</v>
      </c>
      <c r="F9" s="367">
        <f>SUM(D9:E9)</f>
        <v>46707344.388965935</v>
      </c>
      <c r="G9" s="373">
        <v>3873833.558360815</v>
      </c>
      <c r="H9" s="367">
        <f>SUM(F9:G9)</f>
        <v>50581177.94732675</v>
      </c>
      <c r="I9" s="373">
        <v>4032227.6348723345</v>
      </c>
      <c r="J9" s="378">
        <f>SUM(H9:I9)</f>
        <v>54613405.582199082</v>
      </c>
      <c r="K9" s="367"/>
      <c r="L9" s="367"/>
      <c r="M9" s="367"/>
      <c r="N9" s="365"/>
      <c r="O9" s="365"/>
    </row>
    <row r="10" spans="1:17" ht="15">
      <c r="A10" s="865"/>
      <c r="B10" s="365"/>
      <c r="C10" s="366"/>
      <c r="D10" s="365"/>
      <c r="E10" s="365"/>
      <c r="F10" s="365"/>
      <c r="G10" s="365"/>
      <c r="H10" s="365"/>
      <c r="I10" s="365"/>
      <c r="J10" s="377"/>
      <c r="K10" s="365"/>
      <c r="L10" s="365"/>
      <c r="M10" s="365"/>
      <c r="N10" s="365"/>
      <c r="O10" s="365"/>
      <c r="Q10" s="866"/>
    </row>
    <row r="11" spans="1:15" ht="42" customHeight="1">
      <c r="A11" s="862" t="str">
        <f>A8</f>
        <v>Beginning  190 (including adjustments)</v>
      </c>
      <c r="B11" s="365"/>
      <c r="C11" s="370" t="s">
        <v>605</v>
      </c>
      <c r="D11" s="365"/>
      <c r="E11" s="369" t="s">
        <v>606</v>
      </c>
      <c r="F11" s="365"/>
      <c r="G11" s="369" t="s">
        <v>607</v>
      </c>
      <c r="H11" s="365"/>
      <c r="I11" s="369" t="s">
        <v>608</v>
      </c>
      <c r="J11" s="377"/>
      <c r="K11" s="365"/>
      <c r="L11" s="867" t="s">
        <v>609</v>
      </c>
      <c r="M11" s="369" t="s">
        <v>962</v>
      </c>
      <c r="N11" s="365"/>
      <c r="O11" s="365"/>
    </row>
    <row r="12" spans="1:21" ht="15">
      <c r="A12" s="868">
        <f>A9</f>
        <v>38946455.062442258</v>
      </c>
      <c r="B12" s="365"/>
      <c r="C12" s="370">
        <f>(276/365)*C9</f>
        <v>2844480.7614056054</v>
      </c>
      <c r="D12" s="365"/>
      <c r="E12" s="369">
        <f>(185/365)*E9</f>
        <v>2026974.8421519331</v>
      </c>
      <c r="F12" s="365"/>
      <c r="G12" s="369">
        <f>(93/365)*G9</f>
        <v>987031.56418508443</v>
      </c>
      <c r="H12" s="365"/>
      <c r="I12" s="369">
        <f>(1/365)*I9</f>
        <v>11047.198999650233</v>
      </c>
      <c r="J12" s="377"/>
      <c r="K12" s="365"/>
      <c r="L12" s="867">
        <f>C12+E12+G12+I12</f>
        <v>5869534.3667422729</v>
      </c>
      <c r="M12" s="369">
        <f>A12+L12</f>
        <v>44815989.429184534</v>
      </c>
      <c r="N12" s="365"/>
      <c r="O12" s="365">
        <f>'Attachment 5 - ADIT'!H20</f>
        <v>50208661.875221476</v>
      </c>
      <c r="Q12" s="365">
        <f>O12-M12</f>
        <v>5392672.4460369423</v>
      </c>
      <c r="R12" s="869">
        <f>SUM('Attachment 5 - ADIT'!F44:K44)</f>
        <v>-4404743.7069776133</v>
      </c>
      <c r="S12" s="369">
        <f>Q12-R12</f>
        <v>9797416.1530145556</v>
      </c>
      <c r="T12" s="866">
        <f>O12-R12-S12</f>
        <v>44815989.429184534</v>
      </c>
      <c r="U12" s="869"/>
    </row>
    <row r="13" spans="1:21" ht="15">
      <c r="A13" s="868"/>
      <c r="B13" s="365"/>
      <c r="C13" s="370"/>
      <c r="D13" s="365"/>
      <c r="E13" s="369"/>
      <c r="F13" s="365"/>
      <c r="G13" s="369"/>
      <c r="H13" s="365"/>
      <c r="I13" s="369"/>
      <c r="J13" s="377"/>
      <c r="K13" s="365"/>
      <c r="L13" s="867"/>
      <c r="M13" s="369"/>
      <c r="N13" s="365"/>
      <c r="O13" s="365"/>
      <c r="Q13" s="365"/>
      <c r="R13" s="869"/>
      <c r="S13" s="369"/>
      <c r="T13" s="866"/>
      <c r="U13" s="869"/>
    </row>
    <row r="14" spans="1:21" ht="15">
      <c r="A14" s="868"/>
      <c r="B14" s="365"/>
      <c r="C14" s="370"/>
      <c r="D14" s="365"/>
      <c r="E14" s="369"/>
      <c r="F14" s="365"/>
      <c r="G14" s="369"/>
      <c r="H14" s="365"/>
      <c r="I14" s="369"/>
      <c r="J14" s="377"/>
      <c r="K14" s="365"/>
      <c r="L14" s="867"/>
      <c r="M14" s="369"/>
      <c r="N14" s="365"/>
      <c r="O14" s="365"/>
      <c r="Q14" s="365"/>
      <c r="R14" s="869"/>
      <c r="S14" s="369"/>
      <c r="T14" s="870"/>
      <c r="U14" s="869"/>
    </row>
    <row r="15" spans="1:21" ht="44.1" customHeight="1">
      <c r="A15" s="862" t="s">
        <v>952</v>
      </c>
      <c r="B15" s="365"/>
      <c r="C15" s="863" t="s">
        <v>954</v>
      </c>
      <c r="D15" s="375" t="s">
        <v>955</v>
      </c>
      <c r="E15" s="864" t="s">
        <v>956</v>
      </c>
      <c r="F15" s="375" t="s">
        <v>957</v>
      </c>
      <c r="G15" s="864" t="s">
        <v>958</v>
      </c>
      <c r="H15" s="375" t="s">
        <v>959</v>
      </c>
      <c r="I15" s="864" t="s">
        <v>960</v>
      </c>
      <c r="J15" s="376" t="s">
        <v>961</v>
      </c>
      <c r="K15" s="365"/>
      <c r="L15" s="867"/>
      <c r="M15" s="362"/>
      <c r="N15" s="365"/>
      <c r="O15" s="365"/>
      <c r="Q15" s="870"/>
      <c r="R15" s="869"/>
      <c r="U15" s="869"/>
    </row>
    <row r="16" spans="1:21" ht="15.75" thickBot="1">
      <c r="A16" s="486">
        <f>'Attachment 5 - ADIT'!F19-'Attachment 5 - ADIT'!H32-'Attachment 5 - ADIT'!G32-'Attachment 5 - ADIT'!F32-'Attachment 5 - ADIT'!J32</f>
        <v>566294291.1500001</v>
      </c>
      <c r="B16" s="367"/>
      <c r="C16" s="374">
        <v>19422868.189326398</v>
      </c>
      <c r="D16" s="367">
        <f>SUM(A16:C16)</f>
        <v>585717159.3393265</v>
      </c>
      <c r="E16" s="373">
        <v>20648859.738743708</v>
      </c>
      <c r="F16" s="367">
        <f>SUM(D16:E16)</f>
        <v>606366019.07807016</v>
      </c>
      <c r="G16" s="373">
        <v>20001728.907374416</v>
      </c>
      <c r="H16" s="367">
        <f>SUM(F16:G16)</f>
        <v>626367747.98544455</v>
      </c>
      <c r="I16" s="373">
        <v>20819563.574555602</v>
      </c>
      <c r="J16" s="378">
        <f>SUM(H16:I16)</f>
        <v>647187311.56000018</v>
      </c>
      <c r="K16" s="367"/>
      <c r="L16" s="871"/>
      <c r="M16" s="367"/>
      <c r="N16" s="365"/>
      <c r="O16" s="365"/>
      <c r="R16" s="869"/>
      <c r="U16" s="869"/>
    </row>
    <row r="17" spans="1:21" ht="15">
      <c r="A17" s="865"/>
      <c r="B17" s="365"/>
      <c r="C17" s="366"/>
      <c r="D17" s="365"/>
      <c r="E17" s="365"/>
      <c r="F17" s="365"/>
      <c r="G17" s="365"/>
      <c r="H17" s="365"/>
      <c r="I17" s="365"/>
      <c r="J17" s="377"/>
      <c r="K17" s="365"/>
      <c r="L17" s="867"/>
      <c r="M17" s="365"/>
      <c r="N17" s="365"/>
      <c r="O17" s="365"/>
      <c r="R17" s="869"/>
      <c r="U17" s="869"/>
    </row>
    <row r="18" spans="1:21" ht="44.1" customHeight="1">
      <c r="A18" s="862" t="str">
        <f>A15</f>
        <v>Beginning  282 (including adjustments)</v>
      </c>
      <c r="B18" s="365"/>
      <c r="C18" s="370" t="s">
        <v>605</v>
      </c>
      <c r="D18" s="365"/>
      <c r="E18" s="369" t="s">
        <v>606</v>
      </c>
      <c r="F18" s="365"/>
      <c r="G18" s="369" t="s">
        <v>607</v>
      </c>
      <c r="H18" s="365"/>
      <c r="I18" s="369" t="s">
        <v>608</v>
      </c>
      <c r="J18" s="377"/>
      <c r="K18" s="365"/>
      <c r="L18" s="867" t="s">
        <v>609</v>
      </c>
      <c r="M18" s="369" t="s">
        <v>963</v>
      </c>
      <c r="N18" s="365"/>
      <c r="O18" s="365"/>
      <c r="R18" s="869"/>
      <c r="U18" s="869"/>
    </row>
    <row r="19" spans="1:21" ht="15">
      <c r="A19" s="868">
        <f>A16</f>
        <v>566294291.1500001</v>
      </c>
      <c r="B19" s="365"/>
      <c r="C19" s="370">
        <f>(276/365)*C16</f>
        <v>14686881.151381057</v>
      </c>
      <c r="D19" s="365"/>
      <c r="E19" s="369">
        <f>(185/365)*E16</f>
        <v>10465860.415527632</v>
      </c>
      <c r="F19" s="365"/>
      <c r="G19" s="369">
        <f>(93/365)*G16</f>
        <v>5096330.9270844404</v>
      </c>
      <c r="H19" s="365"/>
      <c r="I19" s="369">
        <f>(1/365)*I16</f>
        <v>57039.900204261925</v>
      </c>
      <c r="J19" s="377"/>
      <c r="K19" s="365"/>
      <c r="L19" s="867">
        <f>C19+E19+G19+I19</f>
        <v>30306112.394197389</v>
      </c>
      <c r="M19" s="369">
        <f>A19+L19</f>
        <v>596600403.54419744</v>
      </c>
      <c r="N19" s="365"/>
      <c r="O19" s="365">
        <f>'Attachment 5 - ADIT'!F20</f>
        <v>597824632.6055001</v>
      </c>
      <c r="Q19" s="365">
        <f>O19-M19</f>
        <v>1224229.0613026619</v>
      </c>
      <c r="R19" s="869">
        <f>SUM('Attachment 5 - ADIT'!F33:K33)</f>
        <v>-49362678.954500087</v>
      </c>
      <c r="S19" s="369">
        <f>Q19-R19</f>
        <v>50586908.015802749</v>
      </c>
      <c r="T19" s="866">
        <f>O19-R19-S19</f>
        <v>596600403.54419744</v>
      </c>
      <c r="U19" s="869"/>
    </row>
    <row r="20" spans="1:21" ht="15">
      <c r="A20" s="868"/>
      <c r="B20" s="365"/>
      <c r="C20" s="370"/>
      <c r="D20" s="365"/>
      <c r="E20" s="369"/>
      <c r="F20" s="365"/>
      <c r="G20" s="369"/>
      <c r="H20" s="365"/>
      <c r="I20" s="369"/>
      <c r="J20" s="377"/>
      <c r="K20" s="365"/>
      <c r="L20" s="867"/>
      <c r="M20" s="369"/>
      <c r="N20" s="365"/>
      <c r="O20" s="365"/>
      <c r="Q20" s="365"/>
      <c r="R20" s="869"/>
      <c r="S20" s="369"/>
      <c r="T20" s="866"/>
      <c r="U20" s="869"/>
    </row>
    <row r="21" spans="1:21" ht="15">
      <c r="A21" s="868"/>
      <c r="B21" s="365"/>
      <c r="C21" s="370"/>
      <c r="D21" s="365"/>
      <c r="E21" s="369"/>
      <c r="F21" s="365"/>
      <c r="G21" s="369"/>
      <c r="H21" s="365"/>
      <c r="I21" s="369"/>
      <c r="J21" s="377"/>
      <c r="K21" s="365"/>
      <c r="L21" s="867"/>
      <c r="M21" s="369"/>
      <c r="N21" s="365"/>
      <c r="O21" s="365"/>
      <c r="Q21" s="365"/>
      <c r="R21" s="872"/>
      <c r="S21" s="369"/>
      <c r="T21" s="866"/>
      <c r="U21" s="869"/>
    </row>
    <row r="22" spans="1:21" ht="44.45" customHeight="1">
      <c r="A22" s="862" t="s">
        <v>953</v>
      </c>
      <c r="B22" s="365"/>
      <c r="C22" s="863" t="s">
        <v>954</v>
      </c>
      <c r="D22" s="375" t="s">
        <v>955</v>
      </c>
      <c r="E22" s="864" t="s">
        <v>956</v>
      </c>
      <c r="F22" s="375" t="s">
        <v>957</v>
      </c>
      <c r="G22" s="864" t="s">
        <v>958</v>
      </c>
      <c r="H22" s="375" t="s">
        <v>959</v>
      </c>
      <c r="I22" s="864" t="s">
        <v>960</v>
      </c>
      <c r="J22" s="376" t="s">
        <v>961</v>
      </c>
      <c r="K22" s="365"/>
      <c r="L22" s="867"/>
      <c r="M22" s="362"/>
      <c r="N22" s="365"/>
      <c r="O22" s="365"/>
      <c r="Q22" s="365"/>
      <c r="R22" s="869"/>
      <c r="S22" s="369"/>
      <c r="T22" s="866"/>
      <c r="U22" s="869"/>
    </row>
    <row r="23" spans="1:21" ht="15.75" thickBot="1">
      <c r="A23" s="486">
        <f>'Attachment 5 - ADIT'!G19-'Attachment 5 - ADIT'!H38-'Attachment 5 - ADIT'!F38-'Attachment 5 - ADIT'!G38-'Attachment 5 - ADIT'!I38-'Attachment 5 - ADIT'!J38</f>
        <v>2645737.8972407915</v>
      </c>
      <c r="B23" s="367"/>
      <c r="C23" s="374">
        <v>10294.175562117947</v>
      </c>
      <c r="D23" s="367">
        <f>SUM(A23:C23)</f>
        <v>2656032.0728029096</v>
      </c>
      <c r="E23" s="373">
        <v>10943.954581588972</v>
      </c>
      <c r="F23" s="367">
        <f>SUM(D23:E23)</f>
        <v>2666976.0273844986</v>
      </c>
      <c r="G23" s="373">
        <v>10600.973394421395</v>
      </c>
      <c r="H23" s="367">
        <f>SUM(F23:G23)</f>
        <v>2677577.00077892</v>
      </c>
      <c r="I23" s="373">
        <v>11034.428101660684</v>
      </c>
      <c r="J23" s="378">
        <f>SUM(H23:I23)</f>
        <v>2688611.4288805807</v>
      </c>
      <c r="K23" s="368"/>
      <c r="L23" s="871"/>
      <c r="M23" s="367"/>
      <c r="R23" s="869"/>
      <c r="U23" s="869"/>
    </row>
    <row r="24" spans="1:21" ht="15">
      <c r="A24" s="865"/>
      <c r="B24" s="365"/>
      <c r="C24" s="366"/>
      <c r="D24" s="365"/>
      <c r="E24" s="365"/>
      <c r="F24" s="365"/>
      <c r="G24" s="365"/>
      <c r="H24" s="365"/>
      <c r="I24" s="365"/>
      <c r="J24" s="377"/>
      <c r="L24" s="867"/>
      <c r="M24" s="365"/>
      <c r="R24" s="869"/>
      <c r="U24" s="869"/>
    </row>
    <row r="25" spans="1:21" ht="41.1" customHeight="1">
      <c r="A25" s="862" t="str">
        <f>A22</f>
        <v>Beginning  283 (including adjustments)</v>
      </c>
      <c r="B25" s="365"/>
      <c r="C25" s="370" t="s">
        <v>605</v>
      </c>
      <c r="D25" s="365"/>
      <c r="E25" s="369" t="s">
        <v>606</v>
      </c>
      <c r="F25" s="365"/>
      <c r="G25" s="369" t="s">
        <v>607</v>
      </c>
      <c r="H25" s="365"/>
      <c r="I25" s="369" t="s">
        <v>608</v>
      </c>
      <c r="J25" s="377"/>
      <c r="L25" s="867" t="s">
        <v>609</v>
      </c>
      <c r="M25" s="369" t="s">
        <v>964</v>
      </c>
      <c r="R25" s="869"/>
      <c r="U25" s="869"/>
    </row>
    <row r="26" spans="1:21" ht="15.75" thickBot="1">
      <c r="A26" s="873">
        <f>A23</f>
        <v>2645737.8972407915</v>
      </c>
      <c r="B26" s="365"/>
      <c r="C26" s="874">
        <f>(276/365)*C23</f>
        <v>7784.0889182042556</v>
      </c>
      <c r="D26" s="875"/>
      <c r="E26" s="876">
        <f>(185/365)*E23</f>
        <v>5546.9358838190683</v>
      </c>
      <c r="F26" s="875"/>
      <c r="G26" s="876">
        <f>(93/365)*G23</f>
        <v>2701.0699333731227</v>
      </c>
      <c r="H26" s="875"/>
      <c r="I26" s="876">
        <f>(1/365)*I23</f>
        <v>30.231309867563517</v>
      </c>
      <c r="J26" s="877"/>
      <c r="L26" s="867">
        <f>C26+E26+G26+I26</f>
        <v>16062.32604526401</v>
      </c>
      <c r="M26" s="369">
        <f>A26+L26</f>
        <v>2661800.2232860555</v>
      </c>
      <c r="O26" s="878">
        <f>'Attachment 5 - ADIT'!G20</f>
        <v>-9698542.5273428224</v>
      </c>
      <c r="Q26" s="365">
        <f>O26-M26</f>
        <v>-12360342.750628877</v>
      </c>
      <c r="R26" s="869">
        <f>SUM('Attachment 5 - ADIT'!F39:K39)</f>
        <v>-12387153.956223404</v>
      </c>
      <c r="S26" s="369">
        <f>Q26-R26</f>
        <v>26811.205594526604</v>
      </c>
      <c r="T26" s="866">
        <f>O26-R26-S26</f>
        <v>2661800.223286055</v>
      </c>
      <c r="U26" s="869"/>
    </row>
    <row r="27" spans="1:19" ht="15">
      <c r="A27" s="369"/>
      <c r="B27" s="879"/>
      <c r="C27" s="365"/>
      <c r="D27" s="365"/>
      <c r="E27" s="365"/>
      <c r="F27" s="365"/>
      <c r="G27" s="365"/>
      <c r="H27" s="365"/>
      <c r="I27" s="365"/>
      <c r="K27" s="471"/>
      <c r="L27" s="879"/>
      <c r="M27" s="880"/>
      <c r="S27" s="386"/>
    </row>
    <row r="28" spans="15:17" ht="15.75">
      <c r="O28" s="866"/>
      <c r="Q28" s="460"/>
    </row>
    <row r="29" spans="1:13" ht="15">
      <c r="A29" s="382"/>
      <c r="C29" s="385"/>
      <c r="E29" s="385"/>
      <c r="G29" s="385"/>
      <c r="I29" s="385"/>
      <c r="L29" s="386"/>
      <c r="M29" s="386"/>
    </row>
    <row r="30" spans="1:15" ht="15">
      <c r="A30" s="369"/>
      <c r="B30" s="365"/>
      <c r="C30" s="369"/>
      <c r="D30" s="365"/>
      <c r="E30" s="369"/>
      <c r="F30" s="365"/>
      <c r="G30" s="369"/>
      <c r="H30" s="365"/>
      <c r="I30" s="369"/>
      <c r="J30" s="365"/>
      <c r="K30" s="365"/>
      <c r="L30" s="369"/>
      <c r="M30" s="369"/>
      <c r="N30" s="365"/>
      <c r="O30" s="365"/>
    </row>
    <row r="31" spans="1:15" ht="15">
      <c r="A31" s="365"/>
      <c r="B31" s="365"/>
      <c r="C31" s="365"/>
      <c r="D31" s="365"/>
      <c r="E31" s="365"/>
      <c r="F31" s="365"/>
      <c r="G31" s="365"/>
      <c r="H31" s="365"/>
      <c r="I31" s="365"/>
      <c r="J31" s="365"/>
      <c r="K31" s="365"/>
      <c r="L31" s="365"/>
      <c r="M31" s="365"/>
      <c r="N31" s="365"/>
      <c r="O31" s="365"/>
    </row>
    <row r="32" spans="1:15" ht="15">
      <c r="A32" s="365"/>
      <c r="B32" s="365"/>
      <c r="C32" s="365"/>
      <c r="D32" s="365"/>
      <c r="E32" s="365"/>
      <c r="F32" s="365"/>
      <c r="G32" s="365"/>
      <c r="H32" s="365"/>
      <c r="I32" s="365"/>
      <c r="J32" s="365"/>
      <c r="K32" s="365"/>
      <c r="L32" s="365"/>
      <c r="M32" s="369"/>
      <c r="N32" s="365"/>
      <c r="O32" s="365"/>
    </row>
    <row r="33" spans="1:15" ht="15">
      <c r="A33" s="365"/>
      <c r="B33" s="365"/>
      <c r="C33" s="365"/>
      <c r="D33" s="365"/>
      <c r="E33" s="365"/>
      <c r="F33" s="365"/>
      <c r="G33" s="365"/>
      <c r="H33" s="365"/>
      <c r="I33" s="365"/>
      <c r="J33" s="365"/>
      <c r="K33" s="365"/>
      <c r="L33" s="365"/>
      <c r="M33" s="369"/>
      <c r="N33" s="365"/>
      <c r="O33" s="365"/>
    </row>
    <row r="34" spans="1:15" ht="15">
      <c r="A34" s="365"/>
      <c r="B34" s="365"/>
      <c r="C34" s="365"/>
      <c r="D34" s="365"/>
      <c r="E34" s="365"/>
      <c r="F34" s="365"/>
      <c r="G34" s="365"/>
      <c r="H34" s="365"/>
      <c r="I34" s="365"/>
      <c r="J34" s="365"/>
      <c r="K34" s="365"/>
      <c r="L34" s="365"/>
      <c r="M34" s="365"/>
      <c r="N34" s="365"/>
      <c r="O34" s="365"/>
    </row>
    <row r="35" spans="1:15" ht="15">
      <c r="A35" s="365"/>
      <c r="B35" s="365"/>
      <c r="C35" s="365"/>
      <c r="D35" s="365"/>
      <c r="E35" s="365"/>
      <c r="F35" s="365"/>
      <c r="G35" s="365"/>
      <c r="H35" s="365"/>
      <c r="I35" s="365"/>
      <c r="J35" s="365"/>
      <c r="K35" s="365"/>
      <c r="L35" s="365"/>
      <c r="M35" s="369"/>
      <c r="N35" s="365"/>
      <c r="O35" s="365"/>
    </row>
    <row r="36" spans="1:15" ht="15">
      <c r="A36" s="365"/>
      <c r="B36" s="365"/>
      <c r="C36" s="365"/>
      <c r="D36" s="365"/>
      <c r="E36" s="365"/>
      <c r="F36" s="365"/>
      <c r="G36" s="365"/>
      <c r="H36" s="365"/>
      <c r="I36" s="365"/>
      <c r="J36" s="365"/>
      <c r="K36" s="365"/>
      <c r="L36" s="365"/>
      <c r="M36" s="369"/>
      <c r="N36" s="365"/>
      <c r="O36" s="365"/>
    </row>
  </sheetData>
  <customSheetViews>
    <customSheetView guid="{33e6ffdf-cb42-4a87-b460-a01a45f9a9a1}" hiddenRows="1" printArea="1" scale="60" showPageBreaks="1" topLeftCell="A1" view="pageBreakPreview">
      <colBreaks count="1" manualBreakCount="1">
        <brk id="10" max="31" man="1"/>
      </colBreaks>
      <pageMargins left="0.7" right="0.7" top="0.75" bottom="0.75" header="0.3" footer="0.3"/>
      <pageSetup orientation="landscape" paperSize="1" scale="78" r:id="rId2"/>
    </customSheetView>
    <customSheetView guid="{394295c0-a883-44ec-b980-c2facd4b6eba}" hiddenRows="1" printArea="1" scale="60" showPageBreaks="1" topLeftCell="A1" view="pageBreakPreview">
      <colBreaks count="1" manualBreakCount="1">
        <brk id="10" max="31" man="1"/>
      </colBreaks>
      <pageMargins left="0.7" right="0.7" top="0.75" bottom="0.75" header="0.3" footer="0.3"/>
      <pageSetup orientation="landscape" paperSize="1" scale="78" r:id="rId3"/>
    </customSheetView>
  </customSheetViews>
  <mergeCells count="2">
    <mergeCell ref="C6:J6"/>
    <mergeCell ref="L6:M6"/>
  </mergeCells>
  <pageMargins left="0.7" right="0.7" top="0.75" bottom="0.75" header="0.3" footer="0.3"/>
  <pageSetup orientation="landscape" paperSize="1" scale="64" r:id="rId1"/>
  <colBreaks count="1" manualBreakCount="1">
    <brk id="10" max="3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5"/>
  </sheetPr>
  <dimension ref="A1:L43"/>
  <sheetViews>
    <sheetView workbookViewId="0" topLeftCell="A1"/>
  </sheetViews>
  <sheetFormatPr defaultColWidth="8.88555555555556" defaultRowHeight="20.1" customHeight="1"/>
  <cols>
    <col min="1" max="1" width="3" style="28" customWidth="1"/>
    <col min="2" max="2" width="17.2222222222222" style="22" customWidth="1"/>
    <col min="3" max="3" width="8.88888888888889" style="22"/>
    <col min="4" max="4" width="2.88888888888889" style="22" customWidth="1"/>
    <col min="5" max="9" width="12.8888888888889" style="28" customWidth="1"/>
    <col min="10" max="10" width="18.1111111111111" style="22" customWidth="1"/>
    <col min="11" max="11" width="11.8888888888889" style="22" bestFit="1" customWidth="1"/>
    <col min="12" max="16384" width="8.88888888888889" style="22"/>
  </cols>
  <sheetData>
    <row r="1" spans="1:1" ht="20.1" customHeight="1">
      <c r="A1" s="31" t="str">
        <f ca="1">RIGHT(CELL("filename",D2),LEN(CELL("filename",D2))-FIND("]",CELL("filename",D2)))</f>
        <v>WP03-A ADIT Summary</v>
      </c>
    </row>
    <row r="2" spans="5:11" ht="20.1" customHeight="1">
      <c r="E2" s="1190" t="s">
        <v>589</v>
      </c>
      <c r="F2" s="1190"/>
      <c r="G2" s="1190"/>
      <c r="H2" s="1190"/>
      <c r="I2" s="1190"/>
      <c r="J2" s="1190"/>
      <c r="K2" s="1190"/>
    </row>
    <row r="3" spans="1:11" ht="20.1" customHeight="1">
      <c r="A3" s="121"/>
      <c r="B3" s="122"/>
      <c r="C3" s="122"/>
      <c r="D3" s="122"/>
      <c r="E3" s="123" t="s">
        <v>262</v>
      </c>
      <c r="F3" s="123" t="s">
        <v>263</v>
      </c>
      <c r="G3" s="123" t="s">
        <v>264</v>
      </c>
      <c r="H3" s="123" t="s">
        <v>265</v>
      </c>
      <c r="I3" s="123" t="s">
        <v>266</v>
      </c>
      <c r="J3" s="122"/>
      <c r="K3" s="123" t="s">
        <v>10</v>
      </c>
    </row>
    <row r="4" spans="1:11" ht="20.1" customHeight="1">
      <c r="A4" s="121"/>
      <c r="B4" s="122"/>
      <c r="C4" s="122"/>
      <c r="D4" s="122"/>
      <c r="E4" s="124" t="s">
        <v>269</v>
      </c>
      <c r="F4" s="124" t="s">
        <v>269</v>
      </c>
      <c r="G4" s="124" t="s">
        <v>269</v>
      </c>
      <c r="H4" s="123"/>
      <c r="I4" s="124" t="s">
        <v>269</v>
      </c>
      <c r="J4" s="122"/>
      <c r="K4" s="122"/>
    </row>
    <row r="5" spans="1:11" ht="20.1" customHeight="1">
      <c r="A5" s="121"/>
      <c r="B5" s="122"/>
      <c r="C5" s="122"/>
      <c r="D5" s="125"/>
      <c r="E5" s="126"/>
      <c r="F5" s="126" t="s">
        <v>270</v>
      </c>
      <c r="G5" s="126" t="s">
        <v>339</v>
      </c>
      <c r="H5" s="126" t="s">
        <v>353</v>
      </c>
      <c r="I5" s="126" t="s">
        <v>355</v>
      </c>
      <c r="J5" s="122"/>
      <c r="K5" s="122"/>
    </row>
    <row r="6" spans="1:11" ht="20.1" customHeight="1">
      <c r="A6" s="129">
        <v>1</v>
      </c>
      <c r="B6" s="127" t="s">
        <v>268</v>
      </c>
      <c r="C6" s="25">
        <v>2016</v>
      </c>
      <c r="D6" s="125"/>
      <c r="E6" s="132">
        <f>-(E13)</f>
        <v>0</v>
      </c>
      <c r="F6" s="132">
        <f>-(F13+J26-F26-G26-H26-I26)</f>
        <v>0</v>
      </c>
      <c r="G6" s="132">
        <f>-(G13+J33-F33-G33-H33-I33)</f>
        <v>0</v>
      </c>
      <c r="H6" s="132">
        <f>H13+J39-F39-G39-H39-I39</f>
        <v>0</v>
      </c>
      <c r="I6" s="132">
        <f>-(I13)</f>
        <v>0</v>
      </c>
      <c r="J6" s="122"/>
      <c r="K6" s="132">
        <f>SUM(E6:I6)</f>
        <v>0</v>
      </c>
    </row>
    <row r="7" spans="1:11" ht="20.1" customHeight="1">
      <c r="A7" s="129">
        <v>2</v>
      </c>
      <c r="B7" s="127" t="s">
        <v>268</v>
      </c>
      <c r="C7" s="128">
        <f>C6+1</f>
        <v>2017</v>
      </c>
      <c r="D7" s="125"/>
      <c r="E7" s="132">
        <f>-(E14)</f>
        <v>0</v>
      </c>
      <c r="F7" s="132">
        <f>-(F14+J27-F27-G27-H27-I27)</f>
        <v>0</v>
      </c>
      <c r="G7" s="132">
        <f>-(G14+J34-F34-G34-H34-I34)</f>
        <v>26811.205594526604</v>
      </c>
      <c r="H7" s="132">
        <f>H14+J40-F40-G40-H40-I40</f>
        <v>-9797416.1530145556</v>
      </c>
      <c r="I7" s="132">
        <f>-(I14)</f>
        <v>0</v>
      </c>
      <c r="J7" s="122"/>
      <c r="K7" s="132">
        <f>SUM(E7:I7)</f>
        <v>-9770604.947420029</v>
      </c>
    </row>
    <row r="8" spans="1:11" ht="20.1" customHeight="1">
      <c r="A8" s="121"/>
      <c r="B8" s="122"/>
      <c r="C8" s="122"/>
      <c r="D8" s="125"/>
      <c r="E8" s="126"/>
      <c r="F8" s="126"/>
      <c r="G8" s="126"/>
      <c r="H8" s="126"/>
      <c r="I8" s="126"/>
      <c r="J8" s="122"/>
      <c r="K8" s="122"/>
    </row>
    <row r="9" spans="1:11" ht="20.1" customHeight="1">
      <c r="A9" s="129">
        <v>3</v>
      </c>
      <c r="B9" s="130" t="s">
        <v>267</v>
      </c>
      <c r="C9" s="130"/>
      <c r="D9" s="131" t="s">
        <v>256</v>
      </c>
      <c r="E9" s="132">
        <f>-(E16)</f>
        <v>0</v>
      </c>
      <c r="F9" s="132">
        <f>-(F16+J28-F28-G28-H28-I28)</f>
        <v>0</v>
      </c>
      <c r="G9" s="132">
        <f>-(G16+J35-F35-G35-H35-I35)</f>
        <v>13405.602797263302</v>
      </c>
      <c r="H9" s="132">
        <f>H16+J41-F41-G41-H41-I41</f>
        <v>-4898708.0765072778</v>
      </c>
      <c r="I9" s="132">
        <f>-(I16)</f>
        <v>0</v>
      </c>
      <c r="J9" s="132"/>
      <c r="K9" s="132">
        <f>SUM(E9:I9)</f>
        <v>-4885302.4737100145</v>
      </c>
    </row>
    <row r="11" spans="5:11" ht="20.1" customHeight="1">
      <c r="E11" s="1190" t="s">
        <v>700</v>
      </c>
      <c r="F11" s="1190"/>
      <c r="G11" s="1190"/>
      <c r="H11" s="1190"/>
      <c r="I11" s="1190"/>
      <c r="J11" s="1190"/>
      <c r="K11" s="1190"/>
    </row>
    <row r="12" spans="5:11" ht="20.1" customHeight="1">
      <c r="E12" s="30" t="s">
        <v>262</v>
      </c>
      <c r="F12" s="30" t="s">
        <v>263</v>
      </c>
      <c r="G12" s="30" t="s">
        <v>264</v>
      </c>
      <c r="H12" s="30" t="s">
        <v>265</v>
      </c>
      <c r="I12" s="30" t="s">
        <v>266</v>
      </c>
      <c r="K12" s="30" t="s">
        <v>10</v>
      </c>
    </row>
    <row r="13" spans="1:11" ht="20.1" customHeight="1">
      <c r="A13" s="133">
        <v>4</v>
      </c>
      <c r="B13" s="35" t="s">
        <v>268</v>
      </c>
      <c r="C13" s="24">
        <f>C6</f>
        <v>2016</v>
      </c>
      <c r="E13" s="63">
        <f>'WP03-B ADIT Detail'!H248</f>
        <v>0</v>
      </c>
      <c r="F13" s="30">
        <f>'WP03-B ADIT Detail'!H108</f>
        <v>0</v>
      </c>
      <c r="G13" s="30">
        <f>'WP03-B ADIT Detail'!H178</f>
        <v>0</v>
      </c>
      <c r="H13" s="30">
        <f>'WP03-B ADIT Detail'!H47</f>
        <v>0</v>
      </c>
      <c r="I13" s="30">
        <f>'WP03-B ADIT Detail'!H314</f>
        <v>0</v>
      </c>
      <c r="K13" s="63">
        <f>SUM(E13:I13)</f>
        <v>0</v>
      </c>
    </row>
    <row r="14" spans="1:11" ht="20.1" customHeight="1">
      <c r="A14" s="133">
        <v>5</v>
      </c>
      <c r="B14" s="35" t="s">
        <v>268</v>
      </c>
      <c r="C14" s="24">
        <f>C13+1</f>
        <v>2017</v>
      </c>
      <c r="E14" s="63">
        <f>'WP03-B ADIT Detail'!H264</f>
        <v>0</v>
      </c>
      <c r="F14" s="30">
        <f>'WP03-B ADIT Detail'!H126</f>
        <v>0</v>
      </c>
      <c r="G14" s="30">
        <f>'WP03-B ADIT Detail'!H197</f>
        <v>0</v>
      </c>
      <c r="H14" s="30">
        <f>'WP03-B ADIT Detail'!H62</f>
        <v>0</v>
      </c>
      <c r="I14" s="30">
        <f>'WP03-B ADIT Detail'!H330</f>
        <v>0</v>
      </c>
      <c r="K14" s="63">
        <f>SUM(E14:I14)</f>
        <v>0</v>
      </c>
    </row>
    <row r="15" spans="2:9" ht="20.1" customHeight="1">
      <c r="B15" s="35"/>
      <c r="C15" s="24"/>
      <c r="E15" s="36"/>
      <c r="F15" s="36"/>
      <c r="G15" s="36"/>
      <c r="H15" s="30"/>
      <c r="I15" s="36"/>
    </row>
    <row r="16" spans="1:11" ht="20.1" customHeight="1">
      <c r="A16" s="133">
        <v>6</v>
      </c>
      <c r="B16" s="22" t="s">
        <v>267</v>
      </c>
      <c r="E16" s="63">
        <f>'WP03-B ADIT Detail'!H283</f>
        <v>0</v>
      </c>
      <c r="F16" s="63">
        <f>'WP03-B ADIT Detail'!H146</f>
        <v>0</v>
      </c>
      <c r="G16" s="63">
        <f>'WP03-B ADIT Detail'!H219</f>
        <v>0</v>
      </c>
      <c r="H16" s="63">
        <f>'WP03-B ADIT Detail'!H77</f>
        <v>0</v>
      </c>
      <c r="I16" s="63">
        <f>'WP03-B ADIT Detail'!H349</f>
        <v>0</v>
      </c>
      <c r="J16" s="63"/>
      <c r="K16" s="63">
        <f>SUM(E16:I16)</f>
        <v>0</v>
      </c>
    </row>
    <row r="19" spans="1:9" ht="20.1" customHeight="1">
      <c r="A19" s="22" t="s">
        <v>257</v>
      </c>
      <c r="D19" s="28"/>
      <c r="I19" s="22"/>
    </row>
    <row r="20" spans="1:12" ht="33.75" customHeight="1">
      <c r="A20" s="86" t="s">
        <v>256</v>
      </c>
      <c r="B20" s="1183" t="s">
        <v>436</v>
      </c>
      <c r="C20" s="1183"/>
      <c r="D20" s="1183"/>
      <c r="E20" s="1183"/>
      <c r="F20" s="1183"/>
      <c r="G20" s="1183"/>
      <c r="H20" s="1183"/>
      <c r="I20" s="1183"/>
      <c r="J20" s="1183"/>
      <c r="K20" s="1183"/>
      <c r="L20" s="1183"/>
    </row>
    <row r="21" spans="2:11" ht="20.1" customHeight="1">
      <c r="B21" s="1184"/>
      <c r="C21" s="1184"/>
      <c r="D21" s="1184"/>
      <c r="E21" s="1184"/>
      <c r="F21" s="1184"/>
      <c r="G21" s="1184"/>
      <c r="H21" s="1184"/>
      <c r="I21" s="1184"/>
      <c r="J21" s="1184"/>
      <c r="K21" s="1184"/>
    </row>
    <row r="22" spans="1:11" ht="20.1" customHeight="1">
      <c r="A22" s="28" t="s">
        <v>270</v>
      </c>
      <c r="B22" s="1184" t="s">
        <v>356</v>
      </c>
      <c r="C22" s="1184"/>
      <c r="D22" s="1184"/>
      <c r="E22" s="1184"/>
      <c r="F22" s="1184"/>
      <c r="G22" s="1184"/>
      <c r="H22" s="1184"/>
      <c r="I22" s="1184"/>
      <c r="J22" s="1184"/>
      <c r="K22" s="1184"/>
    </row>
    <row r="23" spans="2:10" ht="20.1" customHeight="1">
      <c r="B23" s="204"/>
      <c r="C23" s="204"/>
      <c r="D23" s="204"/>
      <c r="E23" s="204"/>
      <c r="F23" s="22"/>
      <c r="H23" s="204"/>
      <c r="I23" s="73"/>
      <c r="J23" s="204"/>
    </row>
    <row r="24" spans="2:10" ht="20.1" customHeight="1">
      <c r="B24" s="204"/>
      <c r="C24" s="204"/>
      <c r="D24" s="204"/>
      <c r="E24" s="204"/>
      <c r="F24" s="204"/>
      <c r="I24" s="204"/>
      <c r="J24" s="204"/>
    </row>
    <row r="25" spans="2:10" ht="50.25" customHeight="1">
      <c r="B25" s="204"/>
      <c r="C25" s="204"/>
      <c r="D25" s="204"/>
      <c r="E25" s="204"/>
      <c r="F25" s="354" t="s">
        <v>349</v>
      </c>
      <c r="G25" s="75" t="s">
        <v>350</v>
      </c>
      <c r="H25" s="75" t="s">
        <v>351</v>
      </c>
      <c r="I25" s="75" t="s">
        <v>502</v>
      </c>
      <c r="J25" s="218" t="s">
        <v>508</v>
      </c>
    </row>
    <row r="26" spans="1:10" s="73" customFormat="1" ht="20.1" customHeight="1">
      <c r="A26" s="28"/>
      <c r="B26" s="204"/>
      <c r="C26" s="204"/>
      <c r="D26" s="204"/>
      <c r="E26" s="76">
        <v>2016</v>
      </c>
      <c r="F26" s="87">
        <v>0</v>
      </c>
      <c r="G26" s="87">
        <v>0</v>
      </c>
      <c r="H26" s="87">
        <v>0</v>
      </c>
      <c r="I26" s="87">
        <v>0</v>
      </c>
      <c r="J26" s="73">
        <f>'WP03-B ADIT Detail'!J12</f>
        <v>0</v>
      </c>
    </row>
    <row r="27" spans="1:10" s="73" customFormat="1" ht="20.1" customHeight="1">
      <c r="A27" s="28"/>
      <c r="B27" s="204"/>
      <c r="C27" s="204"/>
      <c r="D27" s="204"/>
      <c r="E27" s="76">
        <v>2017</v>
      </c>
      <c r="F27" s="87">
        <v>0</v>
      </c>
      <c r="G27" s="87">
        <v>0</v>
      </c>
      <c r="H27" s="87">
        <v>0</v>
      </c>
      <c r="I27" s="87">
        <f>'Attach 5a - ADIT Norm JC-T'!S14</f>
        <v>0</v>
      </c>
      <c r="J27" s="73">
        <f>'WP03-B ADIT Detail'!K12</f>
        <v>0</v>
      </c>
    </row>
    <row r="28" spans="1:10" s="73" customFormat="1" ht="20.1" customHeight="1">
      <c r="A28" s="28"/>
      <c r="B28" s="204"/>
      <c r="C28" s="204"/>
      <c r="D28" s="22" t="s">
        <v>267</v>
      </c>
      <c r="E28" s="22"/>
      <c r="F28" s="87">
        <f>AVERAGE(F26:F27)</f>
        <v>0</v>
      </c>
      <c r="G28" s="87">
        <f>AVERAGE(G26:G27)</f>
        <v>0</v>
      </c>
      <c r="H28" s="87">
        <f>AVERAGE(H26:H27)</f>
        <v>0</v>
      </c>
      <c r="I28" s="87">
        <f>AVERAGE(I26:I27)</f>
        <v>0</v>
      </c>
      <c r="J28" s="453">
        <f>AVERAGE(J26:J27)</f>
        <v>0</v>
      </c>
    </row>
    <row r="29" spans="1:11" s="73" customFormat="1" ht="20.1" customHeight="1">
      <c r="A29" s="28" t="s">
        <v>339</v>
      </c>
      <c r="B29" s="1184" t="s">
        <v>352</v>
      </c>
      <c r="C29" s="1184"/>
      <c r="D29" s="1184"/>
      <c r="E29" s="1184"/>
      <c r="F29" s="1184"/>
      <c r="G29" s="1184"/>
      <c r="H29" s="1184"/>
      <c r="I29" s="1184"/>
      <c r="J29" s="1184"/>
      <c r="K29" s="1184"/>
    </row>
    <row r="30" spans="2:10" ht="20.1" customHeight="1">
      <c r="B30" s="204"/>
      <c r="C30" s="204"/>
      <c r="D30" s="204"/>
      <c r="E30" s="204"/>
      <c r="F30" s="22"/>
      <c r="H30" s="204"/>
      <c r="I30" s="204"/>
      <c r="J30" s="204"/>
    </row>
    <row r="31" spans="2:10" ht="20.1" customHeight="1">
      <c r="B31" s="204"/>
      <c r="C31" s="204"/>
      <c r="D31" s="204"/>
      <c r="E31" s="204"/>
      <c r="F31" s="204"/>
      <c r="H31" s="204"/>
      <c r="I31" s="204"/>
      <c r="J31" s="204"/>
    </row>
    <row r="32" spans="2:10" ht="50.25" customHeight="1">
      <c r="B32" s="204"/>
      <c r="C32" s="204"/>
      <c r="D32" s="204"/>
      <c r="E32" s="204"/>
      <c r="F32" s="354" t="s">
        <v>349</v>
      </c>
      <c r="G32" s="75" t="s">
        <v>350</v>
      </c>
      <c r="H32" s="75" t="s">
        <v>351</v>
      </c>
      <c r="I32" s="75" t="s">
        <v>502</v>
      </c>
      <c r="J32" s="218" t="s">
        <v>508</v>
      </c>
    </row>
    <row r="33" spans="1:10" s="73" customFormat="1" ht="20.1" customHeight="1">
      <c r="A33" s="28"/>
      <c r="B33" s="204"/>
      <c r="C33" s="204"/>
      <c r="D33" s="204"/>
      <c r="E33" s="76">
        <f>E26</f>
        <v>2016</v>
      </c>
      <c r="F33" s="87">
        <v>0</v>
      </c>
      <c r="G33" s="87">
        <v>0</v>
      </c>
      <c r="H33" s="87">
        <v>0</v>
      </c>
      <c r="I33" s="87">
        <v>0</v>
      </c>
      <c r="J33" s="22">
        <f>'WP03-B ADIT Detail'!J13</f>
        <v>0</v>
      </c>
    </row>
    <row r="34" spans="1:10" s="73" customFormat="1" ht="20.1" customHeight="1">
      <c r="A34" s="28"/>
      <c r="B34" s="204"/>
      <c r="C34" s="204"/>
      <c r="D34" s="204"/>
      <c r="E34" s="76">
        <f>E27</f>
        <v>2017</v>
      </c>
      <c r="F34" s="87">
        <v>0</v>
      </c>
      <c r="G34" s="87">
        <v>0</v>
      </c>
      <c r="H34" s="87">
        <v>0</v>
      </c>
      <c r="I34" s="87">
        <f>'Attch 5a - ADIT Normalization'!S26</f>
        <v>26811.205594526604</v>
      </c>
      <c r="J34" s="22">
        <f>'WP03-B ADIT Detail'!K13</f>
        <v>0</v>
      </c>
    </row>
    <row r="35" spans="1:10" s="73" customFormat="1" ht="20.1" customHeight="1">
      <c r="A35" s="28"/>
      <c r="B35" s="204"/>
      <c r="C35" s="204"/>
      <c r="D35" s="22" t="s">
        <v>267</v>
      </c>
      <c r="E35" s="22"/>
      <c r="F35" s="87">
        <f>AVERAGE(F33:F34)</f>
        <v>0</v>
      </c>
      <c r="G35" s="87">
        <f>AVERAGE(G33:G34)</f>
        <v>0</v>
      </c>
      <c r="H35" s="87">
        <f>AVERAGE(H33:H34)</f>
        <v>0</v>
      </c>
      <c r="I35" s="87">
        <f>AVERAGE(I33:I34)</f>
        <v>13405.602797263302</v>
      </c>
      <c r="J35" s="453">
        <f>AVERAGE(J33:J34)</f>
        <v>0</v>
      </c>
    </row>
    <row r="36" spans="1:11" s="73" customFormat="1" ht="20.1" customHeight="1">
      <c r="A36" s="28" t="s">
        <v>353</v>
      </c>
      <c r="B36" s="1184" t="s">
        <v>354</v>
      </c>
      <c r="C36" s="1184"/>
      <c r="D36" s="1184"/>
      <c r="E36" s="1184"/>
      <c r="F36" s="1184"/>
      <c r="G36" s="1184"/>
      <c r="H36" s="1184"/>
      <c r="I36" s="1184"/>
      <c r="J36" s="1184"/>
      <c r="K36" s="1184"/>
    </row>
    <row r="37" spans="1:11" s="73" customFormat="1" ht="20.1" customHeight="1">
      <c r="A37" s="28"/>
      <c r="B37" s="204"/>
      <c r="C37" s="204"/>
      <c r="D37" s="204"/>
      <c r="E37" s="204"/>
      <c r="G37" s="28"/>
      <c r="H37" s="22"/>
      <c r="I37" s="204"/>
      <c r="J37" s="204"/>
      <c r="K37" s="22"/>
    </row>
    <row r="38" spans="1:10" s="73" customFormat="1" ht="50.25" customHeight="1">
      <c r="A38" s="28"/>
      <c r="B38" s="204"/>
      <c r="C38" s="204"/>
      <c r="D38" s="204"/>
      <c r="E38" s="76"/>
      <c r="F38" s="78" t="s">
        <v>349</v>
      </c>
      <c r="G38" s="75" t="s">
        <v>350</v>
      </c>
      <c r="H38" s="75" t="s">
        <v>351</v>
      </c>
      <c r="I38" s="75" t="s">
        <v>502</v>
      </c>
      <c r="J38" s="218" t="s">
        <v>508</v>
      </c>
    </row>
    <row r="39" spans="1:10" s="73" customFormat="1" ht="20.1" customHeight="1">
      <c r="A39" s="28"/>
      <c r="B39" s="204"/>
      <c r="C39" s="204"/>
      <c r="D39" s="204"/>
      <c r="E39" s="76">
        <f>E33</f>
        <v>2016</v>
      </c>
      <c r="F39" s="87">
        <v>0</v>
      </c>
      <c r="G39" s="87">
        <v>0</v>
      </c>
      <c r="H39" s="87">
        <v>0</v>
      </c>
      <c r="I39" s="87">
        <v>0</v>
      </c>
      <c r="J39" s="73">
        <f>'WP03-B ADIT Detail'!J14</f>
        <v>0</v>
      </c>
    </row>
    <row r="40" spans="1:10" s="73" customFormat="1" ht="20.1" customHeight="1">
      <c r="A40" s="28"/>
      <c r="B40" s="204"/>
      <c r="C40" s="204"/>
      <c r="D40" s="204"/>
      <c r="E40" s="76">
        <f>E34</f>
        <v>2017</v>
      </c>
      <c r="F40" s="87">
        <v>0</v>
      </c>
      <c r="G40" s="87">
        <v>0</v>
      </c>
      <c r="H40" s="87">
        <v>0</v>
      </c>
      <c r="I40" s="87">
        <f>'Attch 5a - ADIT Normalization'!S12</f>
        <v>9797416.1530145556</v>
      </c>
      <c r="J40" s="73">
        <f>'WP03-B ADIT Detail'!K14</f>
        <v>0</v>
      </c>
    </row>
    <row r="41" spans="1:10" s="73" customFormat="1" ht="20.1" customHeight="1">
      <c r="A41" s="28"/>
      <c r="B41" s="204"/>
      <c r="C41" s="204"/>
      <c r="D41" s="22" t="s">
        <v>267</v>
      </c>
      <c r="E41" s="22"/>
      <c r="F41" s="87">
        <f>AVERAGE(F39:F40)</f>
        <v>0</v>
      </c>
      <c r="G41" s="87">
        <f>AVERAGE(G39:G40)</f>
        <v>0</v>
      </c>
      <c r="H41" s="87">
        <f>AVERAGE(H39:H40)</f>
        <v>0</v>
      </c>
      <c r="I41" s="87">
        <f>AVERAGE(I39:I40)</f>
        <v>4898708.0765072778</v>
      </c>
      <c r="J41" s="453">
        <f>AVERAGE(J39:J40)</f>
        <v>0</v>
      </c>
    </row>
    <row r="42" spans="1:11" s="73" customFormat="1" ht="20.1" customHeight="1">
      <c r="A42" s="28"/>
      <c r="B42" s="204"/>
      <c r="C42" s="204"/>
      <c r="D42" s="204"/>
      <c r="E42" s="76"/>
      <c r="F42" s="77"/>
      <c r="G42" s="77"/>
      <c r="H42" s="204"/>
      <c r="I42" s="204"/>
      <c r="J42" s="204"/>
      <c r="K42" s="204"/>
    </row>
    <row r="43" spans="1:11" ht="60" customHeight="1">
      <c r="A43" s="74" t="s">
        <v>355</v>
      </c>
      <c r="B43" s="1183" t="s">
        <v>271</v>
      </c>
      <c r="C43" s="1183"/>
      <c r="D43" s="1183"/>
      <c r="E43" s="1183"/>
      <c r="F43" s="1183"/>
      <c r="G43" s="1183"/>
      <c r="H43" s="1183"/>
      <c r="I43" s="1183"/>
      <c r="J43" s="1183"/>
      <c r="K43" s="1183"/>
    </row>
  </sheetData>
  <customSheetViews>
    <customSheetView guid="{33e6ffdf-cb42-4a87-b460-a01a45f9a9a1}" state="hidden" topLeftCell="A1">
      <pageMargins left="0.7" right="0.7" top="0.75" bottom="0.75" header="0.3" footer="0.3"/>
      <pageSetup orientation="portrait" paperSize="1" scale="56" r:id="rId2"/>
      <headerFooter alignWithMargins="0"/>
    </customSheetView>
    <customSheetView guid="{394295c0-a883-44ec-b980-c2facd4b6eba}" state="hidden" topLeftCell="A1">
      <pageMargins left="0.7" right="0.7" top="0.75" bottom="0.75" header="0.3" footer="0.3"/>
      <pageSetup orientation="portrait" paperSize="1" scale="56" r:id="rId3"/>
      <headerFooter alignWithMargins="0"/>
    </customSheetView>
  </customSheetViews>
  <mergeCells count="8">
    <mergeCell ref="B29:K29"/>
    <mergeCell ref="B36:K36"/>
    <mergeCell ref="B43:K43"/>
    <mergeCell ref="E2:K2"/>
    <mergeCell ref="E11:K11"/>
    <mergeCell ref="B20:L20"/>
    <mergeCell ref="B21:K21"/>
    <mergeCell ref="B22:K22"/>
  </mergeCells>
  <pageMargins left="0.7" right="0.7" top="0.75" bottom="0.75" header="0.3" footer="0.3"/>
  <pageSetup orientation="portrait" paperSize="1" scale="56"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5"/>
  </sheetPr>
  <dimension ref="A1:X358"/>
  <sheetViews>
    <sheetView workbookViewId="0" topLeftCell="A1"/>
  </sheetViews>
  <sheetFormatPr defaultRowHeight="12.75"/>
  <cols>
    <col min="1" max="1" width="3.11111111111111" style="89" customWidth="1"/>
    <col min="2" max="2" width="33.2222222222222" style="89" customWidth="1"/>
    <col min="3" max="3" width="11.6666666666667" style="89" customWidth="1"/>
    <col min="4" max="4" width="12" style="89" customWidth="1"/>
    <col min="5" max="5" width="14.4444444444444" style="89" bestFit="1" customWidth="1"/>
    <col min="6" max="6" width="12.8888888888889" style="89" customWidth="1"/>
    <col min="7" max="7" width="11.8888888888889" style="89" customWidth="1"/>
    <col min="8" max="8" width="10.8888888888889" style="89" customWidth="1"/>
    <col min="9" max="9" width="11.5555555555556" style="89" customWidth="1"/>
    <col min="10" max="12" width="13.8888888888889" style="89" customWidth="1"/>
    <col min="13" max="13" width="49.4444444444444" style="89" customWidth="1"/>
    <col min="14" max="14" width="12.8888888888889" style="89" customWidth="1"/>
    <col min="15" max="256" width="8.88888888888889" style="89"/>
    <col min="257" max="257" width="3.11111111111111" style="89" customWidth="1"/>
    <col min="258" max="258" width="33.2222222222222" style="89" customWidth="1"/>
    <col min="259" max="259" width="11.6666666666667" style="89" customWidth="1"/>
    <col min="260" max="260" width="12" style="89" customWidth="1"/>
    <col min="261" max="261" width="14.4444444444444" style="89" bestFit="1" customWidth="1"/>
    <col min="262" max="262" width="10.6666666666667" style="89" customWidth="1"/>
    <col min="263" max="263" width="11.8888888888889" style="89" customWidth="1"/>
    <col min="264" max="264" width="10.8888888888889" style="89" customWidth="1"/>
    <col min="265" max="265" width="11.5555555555556" style="89" customWidth="1"/>
    <col min="266" max="266" width="13.8888888888889" style="89" customWidth="1"/>
    <col min="267" max="267" width="2.22222222222222" style="89" customWidth="1"/>
    <col min="268" max="268" width="2" style="89" customWidth="1"/>
    <col min="269" max="269" width="49.4444444444444" style="89" customWidth="1"/>
    <col min="270" max="270" width="12.8888888888889" style="89" customWidth="1"/>
    <col min="271" max="512" width="8.88888888888889" style="89"/>
    <col min="513" max="513" width="3.11111111111111" style="89" customWidth="1"/>
    <col min="514" max="514" width="33.2222222222222" style="89" customWidth="1"/>
    <col min="515" max="515" width="11.6666666666667" style="89" customWidth="1"/>
    <col min="516" max="516" width="12" style="89" customWidth="1"/>
    <col min="517" max="517" width="14.4444444444444" style="89" bestFit="1" customWidth="1"/>
    <col min="518" max="518" width="10.6666666666667" style="89" customWidth="1"/>
    <col min="519" max="519" width="11.8888888888889" style="89" customWidth="1"/>
    <col min="520" max="520" width="10.8888888888889" style="89" customWidth="1"/>
    <col min="521" max="521" width="11.5555555555556" style="89" customWidth="1"/>
    <col min="522" max="522" width="13.8888888888889" style="89" customWidth="1"/>
    <col min="523" max="523" width="2.22222222222222" style="89" customWidth="1"/>
    <col min="524" max="524" width="2" style="89" customWidth="1"/>
    <col min="525" max="525" width="49.4444444444444" style="89" customWidth="1"/>
    <col min="526" max="526" width="12.8888888888889" style="89" customWidth="1"/>
    <col min="527" max="768" width="8.88888888888889" style="89"/>
    <col min="769" max="769" width="3.11111111111111" style="89" customWidth="1"/>
    <col min="770" max="770" width="33.2222222222222" style="89" customWidth="1"/>
    <col min="771" max="771" width="11.6666666666667" style="89" customWidth="1"/>
    <col min="772" max="772" width="12" style="89" customWidth="1"/>
    <col min="773" max="773" width="14.4444444444444" style="89" bestFit="1" customWidth="1"/>
    <col min="774" max="774" width="10.6666666666667" style="89" customWidth="1"/>
    <col min="775" max="775" width="11.8888888888889" style="89" customWidth="1"/>
    <col min="776" max="776" width="10.8888888888889" style="89" customWidth="1"/>
    <col min="777" max="777" width="11.5555555555556" style="89" customWidth="1"/>
    <col min="778" max="778" width="13.8888888888889" style="89" customWidth="1"/>
    <col min="779" max="779" width="2.22222222222222" style="89" customWidth="1"/>
    <col min="780" max="780" width="2" style="89" customWidth="1"/>
    <col min="781" max="781" width="49.4444444444444" style="89" customWidth="1"/>
    <col min="782" max="782" width="12.8888888888889" style="89" customWidth="1"/>
    <col min="783" max="1024" width="8.88888888888889" style="89"/>
    <col min="1025" max="1025" width="3.11111111111111" style="89" customWidth="1"/>
    <col min="1026" max="1026" width="33.2222222222222" style="89" customWidth="1"/>
    <col min="1027" max="1027" width="11.6666666666667" style="89" customWidth="1"/>
    <col min="1028" max="1028" width="12" style="89" customWidth="1"/>
    <col min="1029" max="1029" width="14.4444444444444" style="89" bestFit="1" customWidth="1"/>
    <col min="1030" max="1030" width="10.6666666666667" style="89" customWidth="1"/>
    <col min="1031" max="1031" width="11.8888888888889" style="89" customWidth="1"/>
    <col min="1032" max="1032" width="10.8888888888889" style="89" customWidth="1"/>
    <col min="1033" max="1033" width="11.5555555555556" style="89" customWidth="1"/>
    <col min="1034" max="1034" width="13.8888888888889" style="89" customWidth="1"/>
    <col min="1035" max="1035" width="2.22222222222222" style="89" customWidth="1"/>
    <col min="1036" max="1036" width="2" style="89" customWidth="1"/>
    <col min="1037" max="1037" width="49.4444444444444" style="89" customWidth="1"/>
    <col min="1038" max="1038" width="12.8888888888889" style="89" customWidth="1"/>
    <col min="1039" max="1280" width="8.88888888888889" style="89"/>
    <col min="1281" max="1281" width="3.11111111111111" style="89" customWidth="1"/>
    <col min="1282" max="1282" width="33.2222222222222" style="89" customWidth="1"/>
    <col min="1283" max="1283" width="11.6666666666667" style="89" customWidth="1"/>
    <col min="1284" max="1284" width="12" style="89" customWidth="1"/>
    <col min="1285" max="1285" width="14.4444444444444" style="89" bestFit="1" customWidth="1"/>
    <col min="1286" max="1286" width="10.6666666666667" style="89" customWidth="1"/>
    <col min="1287" max="1287" width="11.8888888888889" style="89" customWidth="1"/>
    <col min="1288" max="1288" width="10.8888888888889" style="89" customWidth="1"/>
    <col min="1289" max="1289" width="11.5555555555556" style="89" customWidth="1"/>
    <col min="1290" max="1290" width="13.8888888888889" style="89" customWidth="1"/>
    <col min="1291" max="1291" width="2.22222222222222" style="89" customWidth="1"/>
    <col min="1292" max="1292" width="2" style="89" customWidth="1"/>
    <col min="1293" max="1293" width="49.4444444444444" style="89" customWidth="1"/>
    <col min="1294" max="1294" width="12.8888888888889" style="89" customWidth="1"/>
    <col min="1295" max="1536" width="8.88888888888889" style="89"/>
    <col min="1537" max="1537" width="3.11111111111111" style="89" customWidth="1"/>
    <col min="1538" max="1538" width="33.2222222222222" style="89" customWidth="1"/>
    <col min="1539" max="1539" width="11.6666666666667" style="89" customWidth="1"/>
    <col min="1540" max="1540" width="12" style="89" customWidth="1"/>
    <col min="1541" max="1541" width="14.4444444444444" style="89" bestFit="1" customWidth="1"/>
    <col min="1542" max="1542" width="10.6666666666667" style="89" customWidth="1"/>
    <col min="1543" max="1543" width="11.8888888888889" style="89" customWidth="1"/>
    <col min="1544" max="1544" width="10.8888888888889" style="89" customWidth="1"/>
    <col min="1545" max="1545" width="11.5555555555556" style="89" customWidth="1"/>
    <col min="1546" max="1546" width="13.8888888888889" style="89" customWidth="1"/>
    <col min="1547" max="1547" width="2.22222222222222" style="89" customWidth="1"/>
    <col min="1548" max="1548" width="2" style="89" customWidth="1"/>
    <col min="1549" max="1549" width="49.4444444444444" style="89" customWidth="1"/>
    <col min="1550" max="1550" width="12.8888888888889" style="89" customWidth="1"/>
    <col min="1551" max="1792" width="8.88888888888889" style="89"/>
    <col min="1793" max="1793" width="3.11111111111111" style="89" customWidth="1"/>
    <col min="1794" max="1794" width="33.2222222222222" style="89" customWidth="1"/>
    <col min="1795" max="1795" width="11.6666666666667" style="89" customWidth="1"/>
    <col min="1796" max="1796" width="12" style="89" customWidth="1"/>
    <col min="1797" max="1797" width="14.4444444444444" style="89" bestFit="1" customWidth="1"/>
    <col min="1798" max="1798" width="10.6666666666667" style="89" customWidth="1"/>
    <col min="1799" max="1799" width="11.8888888888889" style="89" customWidth="1"/>
    <col min="1800" max="1800" width="10.8888888888889" style="89" customWidth="1"/>
    <col min="1801" max="1801" width="11.5555555555556" style="89" customWidth="1"/>
    <col min="1802" max="1802" width="13.8888888888889" style="89" customWidth="1"/>
    <col min="1803" max="1803" width="2.22222222222222" style="89" customWidth="1"/>
    <col min="1804" max="1804" width="2" style="89" customWidth="1"/>
    <col min="1805" max="1805" width="49.4444444444444" style="89" customWidth="1"/>
    <col min="1806" max="1806" width="12.8888888888889" style="89" customWidth="1"/>
    <col min="1807" max="2048" width="8.88888888888889" style="89"/>
    <col min="2049" max="2049" width="3.11111111111111" style="89" customWidth="1"/>
    <col min="2050" max="2050" width="33.2222222222222" style="89" customWidth="1"/>
    <col min="2051" max="2051" width="11.6666666666667" style="89" customWidth="1"/>
    <col min="2052" max="2052" width="12" style="89" customWidth="1"/>
    <col min="2053" max="2053" width="14.4444444444444" style="89" bestFit="1" customWidth="1"/>
    <col min="2054" max="2054" width="10.6666666666667" style="89" customWidth="1"/>
    <col min="2055" max="2055" width="11.8888888888889" style="89" customWidth="1"/>
    <col min="2056" max="2056" width="10.8888888888889" style="89" customWidth="1"/>
    <col min="2057" max="2057" width="11.5555555555556" style="89" customWidth="1"/>
    <col min="2058" max="2058" width="13.8888888888889" style="89" customWidth="1"/>
    <col min="2059" max="2059" width="2.22222222222222" style="89" customWidth="1"/>
    <col min="2060" max="2060" width="2" style="89" customWidth="1"/>
    <col min="2061" max="2061" width="49.4444444444444" style="89" customWidth="1"/>
    <col min="2062" max="2062" width="12.8888888888889" style="89" customWidth="1"/>
    <col min="2063" max="2304" width="8.88888888888889" style="89"/>
    <col min="2305" max="2305" width="3.11111111111111" style="89" customWidth="1"/>
    <col min="2306" max="2306" width="33.2222222222222" style="89" customWidth="1"/>
    <col min="2307" max="2307" width="11.6666666666667" style="89" customWidth="1"/>
    <col min="2308" max="2308" width="12" style="89" customWidth="1"/>
    <col min="2309" max="2309" width="14.4444444444444" style="89" bestFit="1" customWidth="1"/>
    <col min="2310" max="2310" width="10.6666666666667" style="89" customWidth="1"/>
    <col min="2311" max="2311" width="11.8888888888889" style="89" customWidth="1"/>
    <col min="2312" max="2312" width="10.8888888888889" style="89" customWidth="1"/>
    <col min="2313" max="2313" width="11.5555555555556" style="89" customWidth="1"/>
    <col min="2314" max="2314" width="13.8888888888889" style="89" customWidth="1"/>
    <col min="2315" max="2315" width="2.22222222222222" style="89" customWidth="1"/>
    <col min="2316" max="2316" width="2" style="89" customWidth="1"/>
    <col min="2317" max="2317" width="49.4444444444444" style="89" customWidth="1"/>
    <col min="2318" max="2318" width="12.8888888888889" style="89" customWidth="1"/>
    <col min="2319" max="2560" width="8.88888888888889" style="89"/>
    <col min="2561" max="2561" width="3.11111111111111" style="89" customWidth="1"/>
    <col min="2562" max="2562" width="33.2222222222222" style="89" customWidth="1"/>
    <col min="2563" max="2563" width="11.6666666666667" style="89" customWidth="1"/>
    <col min="2564" max="2564" width="12" style="89" customWidth="1"/>
    <col min="2565" max="2565" width="14.4444444444444" style="89" bestFit="1" customWidth="1"/>
    <col min="2566" max="2566" width="10.6666666666667" style="89" customWidth="1"/>
    <col min="2567" max="2567" width="11.8888888888889" style="89" customWidth="1"/>
    <col min="2568" max="2568" width="10.8888888888889" style="89" customWidth="1"/>
    <col min="2569" max="2569" width="11.5555555555556" style="89" customWidth="1"/>
    <col min="2570" max="2570" width="13.8888888888889" style="89" customWidth="1"/>
    <col min="2571" max="2571" width="2.22222222222222" style="89" customWidth="1"/>
    <col min="2572" max="2572" width="2" style="89" customWidth="1"/>
    <col min="2573" max="2573" width="49.4444444444444" style="89" customWidth="1"/>
    <col min="2574" max="2574" width="12.8888888888889" style="89" customWidth="1"/>
    <col min="2575" max="2816" width="8.88888888888889" style="89"/>
    <col min="2817" max="2817" width="3.11111111111111" style="89" customWidth="1"/>
    <col min="2818" max="2818" width="33.2222222222222" style="89" customWidth="1"/>
    <col min="2819" max="2819" width="11.6666666666667" style="89" customWidth="1"/>
    <col min="2820" max="2820" width="12" style="89" customWidth="1"/>
    <col min="2821" max="2821" width="14.4444444444444" style="89" bestFit="1" customWidth="1"/>
    <col min="2822" max="2822" width="10.6666666666667" style="89" customWidth="1"/>
    <col min="2823" max="2823" width="11.8888888888889" style="89" customWidth="1"/>
    <col min="2824" max="2824" width="10.8888888888889" style="89" customWidth="1"/>
    <col min="2825" max="2825" width="11.5555555555556" style="89" customWidth="1"/>
    <col min="2826" max="2826" width="13.8888888888889" style="89" customWidth="1"/>
    <col min="2827" max="2827" width="2.22222222222222" style="89" customWidth="1"/>
    <col min="2828" max="2828" width="2" style="89" customWidth="1"/>
    <col min="2829" max="2829" width="49.4444444444444" style="89" customWidth="1"/>
    <col min="2830" max="2830" width="12.8888888888889" style="89" customWidth="1"/>
    <col min="2831" max="3072" width="8.88888888888889" style="89"/>
    <col min="3073" max="3073" width="3.11111111111111" style="89" customWidth="1"/>
    <col min="3074" max="3074" width="33.2222222222222" style="89" customWidth="1"/>
    <col min="3075" max="3075" width="11.6666666666667" style="89" customWidth="1"/>
    <col min="3076" max="3076" width="12" style="89" customWidth="1"/>
    <col min="3077" max="3077" width="14.4444444444444" style="89" bestFit="1" customWidth="1"/>
    <col min="3078" max="3078" width="10.6666666666667" style="89" customWidth="1"/>
    <col min="3079" max="3079" width="11.8888888888889" style="89" customWidth="1"/>
    <col min="3080" max="3080" width="10.8888888888889" style="89" customWidth="1"/>
    <col min="3081" max="3081" width="11.5555555555556" style="89" customWidth="1"/>
    <col min="3082" max="3082" width="13.8888888888889" style="89" customWidth="1"/>
    <col min="3083" max="3083" width="2.22222222222222" style="89" customWidth="1"/>
    <col min="3084" max="3084" width="2" style="89" customWidth="1"/>
    <col min="3085" max="3085" width="49.4444444444444" style="89" customWidth="1"/>
    <col min="3086" max="3086" width="12.8888888888889" style="89" customWidth="1"/>
    <col min="3087" max="3328" width="8.88888888888889" style="89"/>
    <col min="3329" max="3329" width="3.11111111111111" style="89" customWidth="1"/>
    <col min="3330" max="3330" width="33.2222222222222" style="89" customWidth="1"/>
    <col min="3331" max="3331" width="11.6666666666667" style="89" customWidth="1"/>
    <col min="3332" max="3332" width="12" style="89" customWidth="1"/>
    <col min="3333" max="3333" width="14.4444444444444" style="89" bestFit="1" customWidth="1"/>
    <col min="3334" max="3334" width="10.6666666666667" style="89" customWidth="1"/>
    <col min="3335" max="3335" width="11.8888888888889" style="89" customWidth="1"/>
    <col min="3336" max="3336" width="10.8888888888889" style="89" customWidth="1"/>
    <col min="3337" max="3337" width="11.5555555555556" style="89" customWidth="1"/>
    <col min="3338" max="3338" width="13.8888888888889" style="89" customWidth="1"/>
    <col min="3339" max="3339" width="2.22222222222222" style="89" customWidth="1"/>
    <col min="3340" max="3340" width="2" style="89" customWidth="1"/>
    <col min="3341" max="3341" width="49.4444444444444" style="89" customWidth="1"/>
    <col min="3342" max="3342" width="12.8888888888889" style="89" customWidth="1"/>
    <col min="3343" max="3584" width="8.88888888888889" style="89"/>
    <col min="3585" max="3585" width="3.11111111111111" style="89" customWidth="1"/>
    <col min="3586" max="3586" width="33.2222222222222" style="89" customWidth="1"/>
    <col min="3587" max="3587" width="11.6666666666667" style="89" customWidth="1"/>
    <col min="3588" max="3588" width="12" style="89" customWidth="1"/>
    <col min="3589" max="3589" width="14.4444444444444" style="89" bestFit="1" customWidth="1"/>
    <col min="3590" max="3590" width="10.6666666666667" style="89" customWidth="1"/>
    <col min="3591" max="3591" width="11.8888888888889" style="89" customWidth="1"/>
    <col min="3592" max="3592" width="10.8888888888889" style="89" customWidth="1"/>
    <col min="3593" max="3593" width="11.5555555555556" style="89" customWidth="1"/>
    <col min="3594" max="3594" width="13.8888888888889" style="89" customWidth="1"/>
    <col min="3595" max="3595" width="2.22222222222222" style="89" customWidth="1"/>
    <col min="3596" max="3596" width="2" style="89" customWidth="1"/>
    <col min="3597" max="3597" width="49.4444444444444" style="89" customWidth="1"/>
    <col min="3598" max="3598" width="12.8888888888889" style="89" customWidth="1"/>
    <col min="3599" max="3840" width="8.88888888888889" style="89"/>
    <col min="3841" max="3841" width="3.11111111111111" style="89" customWidth="1"/>
    <col min="3842" max="3842" width="33.2222222222222" style="89" customWidth="1"/>
    <col min="3843" max="3843" width="11.6666666666667" style="89" customWidth="1"/>
    <col min="3844" max="3844" width="12" style="89" customWidth="1"/>
    <col min="3845" max="3845" width="14.4444444444444" style="89" bestFit="1" customWidth="1"/>
    <col min="3846" max="3846" width="10.6666666666667" style="89" customWidth="1"/>
    <col min="3847" max="3847" width="11.8888888888889" style="89" customWidth="1"/>
    <col min="3848" max="3848" width="10.8888888888889" style="89" customWidth="1"/>
    <col min="3849" max="3849" width="11.5555555555556" style="89" customWidth="1"/>
    <col min="3850" max="3850" width="13.8888888888889" style="89" customWidth="1"/>
    <col min="3851" max="3851" width="2.22222222222222" style="89" customWidth="1"/>
    <col min="3852" max="3852" width="2" style="89" customWidth="1"/>
    <col min="3853" max="3853" width="49.4444444444444" style="89" customWidth="1"/>
    <col min="3854" max="3854" width="12.8888888888889" style="89" customWidth="1"/>
    <col min="3855" max="4096" width="8.88888888888889" style="89"/>
    <col min="4097" max="4097" width="3.11111111111111" style="89" customWidth="1"/>
    <col min="4098" max="4098" width="33.2222222222222" style="89" customWidth="1"/>
    <col min="4099" max="4099" width="11.6666666666667" style="89" customWidth="1"/>
    <col min="4100" max="4100" width="12" style="89" customWidth="1"/>
    <col min="4101" max="4101" width="14.4444444444444" style="89" bestFit="1" customWidth="1"/>
    <col min="4102" max="4102" width="10.6666666666667" style="89" customWidth="1"/>
    <col min="4103" max="4103" width="11.8888888888889" style="89" customWidth="1"/>
    <col min="4104" max="4104" width="10.8888888888889" style="89" customWidth="1"/>
    <col min="4105" max="4105" width="11.5555555555556" style="89" customWidth="1"/>
    <col min="4106" max="4106" width="13.8888888888889" style="89" customWidth="1"/>
    <col min="4107" max="4107" width="2.22222222222222" style="89" customWidth="1"/>
    <col min="4108" max="4108" width="2" style="89" customWidth="1"/>
    <col min="4109" max="4109" width="49.4444444444444" style="89" customWidth="1"/>
    <col min="4110" max="4110" width="12.8888888888889" style="89" customWidth="1"/>
    <col min="4111" max="4352" width="8.88888888888889" style="89"/>
    <col min="4353" max="4353" width="3.11111111111111" style="89" customWidth="1"/>
    <col min="4354" max="4354" width="33.2222222222222" style="89" customWidth="1"/>
    <col min="4355" max="4355" width="11.6666666666667" style="89" customWidth="1"/>
    <col min="4356" max="4356" width="12" style="89" customWidth="1"/>
    <col min="4357" max="4357" width="14.4444444444444" style="89" bestFit="1" customWidth="1"/>
    <col min="4358" max="4358" width="10.6666666666667" style="89" customWidth="1"/>
    <col min="4359" max="4359" width="11.8888888888889" style="89" customWidth="1"/>
    <col min="4360" max="4360" width="10.8888888888889" style="89" customWidth="1"/>
    <col min="4361" max="4361" width="11.5555555555556" style="89" customWidth="1"/>
    <col min="4362" max="4362" width="13.8888888888889" style="89" customWidth="1"/>
    <col min="4363" max="4363" width="2.22222222222222" style="89" customWidth="1"/>
    <col min="4364" max="4364" width="2" style="89" customWidth="1"/>
    <col min="4365" max="4365" width="49.4444444444444" style="89" customWidth="1"/>
    <col min="4366" max="4366" width="12.8888888888889" style="89" customWidth="1"/>
    <col min="4367" max="4608" width="8.88888888888889" style="89"/>
    <col min="4609" max="4609" width="3.11111111111111" style="89" customWidth="1"/>
    <col min="4610" max="4610" width="33.2222222222222" style="89" customWidth="1"/>
    <col min="4611" max="4611" width="11.6666666666667" style="89" customWidth="1"/>
    <col min="4612" max="4612" width="12" style="89" customWidth="1"/>
    <col min="4613" max="4613" width="14.4444444444444" style="89" bestFit="1" customWidth="1"/>
    <col min="4614" max="4614" width="10.6666666666667" style="89" customWidth="1"/>
    <col min="4615" max="4615" width="11.8888888888889" style="89" customWidth="1"/>
    <col min="4616" max="4616" width="10.8888888888889" style="89" customWidth="1"/>
    <col min="4617" max="4617" width="11.5555555555556" style="89" customWidth="1"/>
    <col min="4618" max="4618" width="13.8888888888889" style="89" customWidth="1"/>
    <col min="4619" max="4619" width="2.22222222222222" style="89" customWidth="1"/>
    <col min="4620" max="4620" width="2" style="89" customWidth="1"/>
    <col min="4621" max="4621" width="49.4444444444444" style="89" customWidth="1"/>
    <col min="4622" max="4622" width="12.8888888888889" style="89" customWidth="1"/>
    <col min="4623" max="4864" width="8.88888888888889" style="89"/>
    <col min="4865" max="4865" width="3.11111111111111" style="89" customWidth="1"/>
    <col min="4866" max="4866" width="33.2222222222222" style="89" customWidth="1"/>
    <col min="4867" max="4867" width="11.6666666666667" style="89" customWidth="1"/>
    <col min="4868" max="4868" width="12" style="89" customWidth="1"/>
    <col min="4869" max="4869" width="14.4444444444444" style="89" bestFit="1" customWidth="1"/>
    <col min="4870" max="4870" width="10.6666666666667" style="89" customWidth="1"/>
    <col min="4871" max="4871" width="11.8888888888889" style="89" customWidth="1"/>
    <col min="4872" max="4872" width="10.8888888888889" style="89" customWidth="1"/>
    <col min="4873" max="4873" width="11.5555555555556" style="89" customWidth="1"/>
    <col min="4874" max="4874" width="13.8888888888889" style="89" customWidth="1"/>
    <col min="4875" max="4875" width="2.22222222222222" style="89" customWidth="1"/>
    <col min="4876" max="4876" width="2" style="89" customWidth="1"/>
    <col min="4877" max="4877" width="49.4444444444444" style="89" customWidth="1"/>
    <col min="4878" max="4878" width="12.8888888888889" style="89" customWidth="1"/>
    <col min="4879" max="5120" width="8.88888888888889" style="89"/>
    <col min="5121" max="5121" width="3.11111111111111" style="89" customWidth="1"/>
    <col min="5122" max="5122" width="33.2222222222222" style="89" customWidth="1"/>
    <col min="5123" max="5123" width="11.6666666666667" style="89" customWidth="1"/>
    <col min="5124" max="5124" width="12" style="89" customWidth="1"/>
    <col min="5125" max="5125" width="14.4444444444444" style="89" bestFit="1" customWidth="1"/>
    <col min="5126" max="5126" width="10.6666666666667" style="89" customWidth="1"/>
    <col min="5127" max="5127" width="11.8888888888889" style="89" customWidth="1"/>
    <col min="5128" max="5128" width="10.8888888888889" style="89" customWidth="1"/>
    <col min="5129" max="5129" width="11.5555555555556" style="89" customWidth="1"/>
    <col min="5130" max="5130" width="13.8888888888889" style="89" customWidth="1"/>
    <col min="5131" max="5131" width="2.22222222222222" style="89" customWidth="1"/>
    <col min="5132" max="5132" width="2" style="89" customWidth="1"/>
    <col min="5133" max="5133" width="49.4444444444444" style="89" customWidth="1"/>
    <col min="5134" max="5134" width="12.8888888888889" style="89" customWidth="1"/>
    <col min="5135" max="5376" width="8.88888888888889" style="89"/>
    <col min="5377" max="5377" width="3.11111111111111" style="89" customWidth="1"/>
    <col min="5378" max="5378" width="33.2222222222222" style="89" customWidth="1"/>
    <col min="5379" max="5379" width="11.6666666666667" style="89" customWidth="1"/>
    <col min="5380" max="5380" width="12" style="89" customWidth="1"/>
    <col min="5381" max="5381" width="14.4444444444444" style="89" bestFit="1" customWidth="1"/>
    <col min="5382" max="5382" width="10.6666666666667" style="89" customWidth="1"/>
    <col min="5383" max="5383" width="11.8888888888889" style="89" customWidth="1"/>
    <col min="5384" max="5384" width="10.8888888888889" style="89" customWidth="1"/>
    <col min="5385" max="5385" width="11.5555555555556" style="89" customWidth="1"/>
    <col min="5386" max="5386" width="13.8888888888889" style="89" customWidth="1"/>
    <col min="5387" max="5387" width="2.22222222222222" style="89" customWidth="1"/>
    <col min="5388" max="5388" width="2" style="89" customWidth="1"/>
    <col min="5389" max="5389" width="49.4444444444444" style="89" customWidth="1"/>
    <col min="5390" max="5390" width="12.8888888888889" style="89" customWidth="1"/>
    <col min="5391" max="5632" width="8.88888888888889" style="89"/>
    <col min="5633" max="5633" width="3.11111111111111" style="89" customWidth="1"/>
    <col min="5634" max="5634" width="33.2222222222222" style="89" customWidth="1"/>
    <col min="5635" max="5635" width="11.6666666666667" style="89" customWidth="1"/>
    <col min="5636" max="5636" width="12" style="89" customWidth="1"/>
    <col min="5637" max="5637" width="14.4444444444444" style="89" bestFit="1" customWidth="1"/>
    <col min="5638" max="5638" width="10.6666666666667" style="89" customWidth="1"/>
    <col min="5639" max="5639" width="11.8888888888889" style="89" customWidth="1"/>
    <col min="5640" max="5640" width="10.8888888888889" style="89" customWidth="1"/>
    <col min="5641" max="5641" width="11.5555555555556" style="89" customWidth="1"/>
    <col min="5642" max="5642" width="13.8888888888889" style="89" customWidth="1"/>
    <col min="5643" max="5643" width="2.22222222222222" style="89" customWidth="1"/>
    <col min="5644" max="5644" width="2" style="89" customWidth="1"/>
    <col min="5645" max="5645" width="49.4444444444444" style="89" customWidth="1"/>
    <col min="5646" max="5646" width="12.8888888888889" style="89" customWidth="1"/>
    <col min="5647" max="5888" width="8.88888888888889" style="89"/>
    <col min="5889" max="5889" width="3.11111111111111" style="89" customWidth="1"/>
    <col min="5890" max="5890" width="33.2222222222222" style="89" customWidth="1"/>
    <col min="5891" max="5891" width="11.6666666666667" style="89" customWidth="1"/>
    <col min="5892" max="5892" width="12" style="89" customWidth="1"/>
    <col min="5893" max="5893" width="14.4444444444444" style="89" bestFit="1" customWidth="1"/>
    <col min="5894" max="5894" width="10.6666666666667" style="89" customWidth="1"/>
    <col min="5895" max="5895" width="11.8888888888889" style="89" customWidth="1"/>
    <col min="5896" max="5896" width="10.8888888888889" style="89" customWidth="1"/>
    <col min="5897" max="5897" width="11.5555555555556" style="89" customWidth="1"/>
    <col min="5898" max="5898" width="13.8888888888889" style="89" customWidth="1"/>
    <col min="5899" max="5899" width="2.22222222222222" style="89" customWidth="1"/>
    <col min="5900" max="5900" width="2" style="89" customWidth="1"/>
    <col min="5901" max="5901" width="49.4444444444444" style="89" customWidth="1"/>
    <col min="5902" max="5902" width="12.8888888888889" style="89" customWidth="1"/>
    <col min="5903" max="6144" width="8.88888888888889" style="89"/>
    <col min="6145" max="6145" width="3.11111111111111" style="89" customWidth="1"/>
    <col min="6146" max="6146" width="33.2222222222222" style="89" customWidth="1"/>
    <col min="6147" max="6147" width="11.6666666666667" style="89" customWidth="1"/>
    <col min="6148" max="6148" width="12" style="89" customWidth="1"/>
    <col min="6149" max="6149" width="14.4444444444444" style="89" bestFit="1" customWidth="1"/>
    <col min="6150" max="6150" width="10.6666666666667" style="89" customWidth="1"/>
    <col min="6151" max="6151" width="11.8888888888889" style="89" customWidth="1"/>
    <col min="6152" max="6152" width="10.8888888888889" style="89" customWidth="1"/>
    <col min="6153" max="6153" width="11.5555555555556" style="89" customWidth="1"/>
    <col min="6154" max="6154" width="13.8888888888889" style="89" customWidth="1"/>
    <col min="6155" max="6155" width="2.22222222222222" style="89" customWidth="1"/>
    <col min="6156" max="6156" width="2" style="89" customWidth="1"/>
    <col min="6157" max="6157" width="49.4444444444444" style="89" customWidth="1"/>
    <col min="6158" max="6158" width="12.8888888888889" style="89" customWidth="1"/>
    <col min="6159" max="6400" width="8.88888888888889" style="89"/>
    <col min="6401" max="6401" width="3.11111111111111" style="89" customWidth="1"/>
    <col min="6402" max="6402" width="33.2222222222222" style="89" customWidth="1"/>
    <col min="6403" max="6403" width="11.6666666666667" style="89" customWidth="1"/>
    <col min="6404" max="6404" width="12" style="89" customWidth="1"/>
    <col min="6405" max="6405" width="14.4444444444444" style="89" bestFit="1" customWidth="1"/>
    <col min="6406" max="6406" width="10.6666666666667" style="89" customWidth="1"/>
    <col min="6407" max="6407" width="11.8888888888889" style="89" customWidth="1"/>
    <col min="6408" max="6408" width="10.8888888888889" style="89" customWidth="1"/>
    <col min="6409" max="6409" width="11.5555555555556" style="89" customWidth="1"/>
    <col min="6410" max="6410" width="13.8888888888889" style="89" customWidth="1"/>
    <col min="6411" max="6411" width="2.22222222222222" style="89" customWidth="1"/>
    <col min="6412" max="6412" width="2" style="89" customWidth="1"/>
    <col min="6413" max="6413" width="49.4444444444444" style="89" customWidth="1"/>
    <col min="6414" max="6414" width="12.8888888888889" style="89" customWidth="1"/>
    <col min="6415" max="6656" width="8.88888888888889" style="89"/>
    <col min="6657" max="6657" width="3.11111111111111" style="89" customWidth="1"/>
    <col min="6658" max="6658" width="33.2222222222222" style="89" customWidth="1"/>
    <col min="6659" max="6659" width="11.6666666666667" style="89" customWidth="1"/>
    <col min="6660" max="6660" width="12" style="89" customWidth="1"/>
    <col min="6661" max="6661" width="14.4444444444444" style="89" bestFit="1" customWidth="1"/>
    <col min="6662" max="6662" width="10.6666666666667" style="89" customWidth="1"/>
    <col min="6663" max="6663" width="11.8888888888889" style="89" customWidth="1"/>
    <col min="6664" max="6664" width="10.8888888888889" style="89" customWidth="1"/>
    <col min="6665" max="6665" width="11.5555555555556" style="89" customWidth="1"/>
    <col min="6666" max="6666" width="13.8888888888889" style="89" customWidth="1"/>
    <col min="6667" max="6667" width="2.22222222222222" style="89" customWidth="1"/>
    <col min="6668" max="6668" width="2" style="89" customWidth="1"/>
    <col min="6669" max="6669" width="49.4444444444444" style="89" customWidth="1"/>
    <col min="6670" max="6670" width="12.8888888888889" style="89" customWidth="1"/>
    <col min="6671" max="6912" width="8.88888888888889" style="89"/>
    <col min="6913" max="6913" width="3.11111111111111" style="89" customWidth="1"/>
    <col min="6914" max="6914" width="33.2222222222222" style="89" customWidth="1"/>
    <col min="6915" max="6915" width="11.6666666666667" style="89" customWidth="1"/>
    <col min="6916" max="6916" width="12" style="89" customWidth="1"/>
    <col min="6917" max="6917" width="14.4444444444444" style="89" bestFit="1" customWidth="1"/>
    <col min="6918" max="6918" width="10.6666666666667" style="89" customWidth="1"/>
    <col min="6919" max="6919" width="11.8888888888889" style="89" customWidth="1"/>
    <col min="6920" max="6920" width="10.8888888888889" style="89" customWidth="1"/>
    <col min="6921" max="6921" width="11.5555555555556" style="89" customWidth="1"/>
    <col min="6922" max="6922" width="13.8888888888889" style="89" customWidth="1"/>
    <col min="6923" max="6923" width="2.22222222222222" style="89" customWidth="1"/>
    <col min="6924" max="6924" width="2" style="89" customWidth="1"/>
    <col min="6925" max="6925" width="49.4444444444444" style="89" customWidth="1"/>
    <col min="6926" max="6926" width="12.8888888888889" style="89" customWidth="1"/>
    <col min="6927" max="7168" width="8.88888888888889" style="89"/>
    <col min="7169" max="7169" width="3.11111111111111" style="89" customWidth="1"/>
    <col min="7170" max="7170" width="33.2222222222222" style="89" customWidth="1"/>
    <col min="7171" max="7171" width="11.6666666666667" style="89" customWidth="1"/>
    <col min="7172" max="7172" width="12" style="89" customWidth="1"/>
    <col min="7173" max="7173" width="14.4444444444444" style="89" bestFit="1" customWidth="1"/>
    <col min="7174" max="7174" width="10.6666666666667" style="89" customWidth="1"/>
    <col min="7175" max="7175" width="11.8888888888889" style="89" customWidth="1"/>
    <col min="7176" max="7176" width="10.8888888888889" style="89" customWidth="1"/>
    <col min="7177" max="7177" width="11.5555555555556" style="89" customWidth="1"/>
    <col min="7178" max="7178" width="13.8888888888889" style="89" customWidth="1"/>
    <col min="7179" max="7179" width="2.22222222222222" style="89" customWidth="1"/>
    <col min="7180" max="7180" width="2" style="89" customWidth="1"/>
    <col min="7181" max="7181" width="49.4444444444444" style="89" customWidth="1"/>
    <col min="7182" max="7182" width="12.8888888888889" style="89" customWidth="1"/>
    <col min="7183" max="7424" width="8.88888888888889" style="89"/>
    <col min="7425" max="7425" width="3.11111111111111" style="89" customWidth="1"/>
    <col min="7426" max="7426" width="33.2222222222222" style="89" customWidth="1"/>
    <col min="7427" max="7427" width="11.6666666666667" style="89" customWidth="1"/>
    <col min="7428" max="7428" width="12" style="89" customWidth="1"/>
    <col min="7429" max="7429" width="14.4444444444444" style="89" bestFit="1" customWidth="1"/>
    <col min="7430" max="7430" width="10.6666666666667" style="89" customWidth="1"/>
    <col min="7431" max="7431" width="11.8888888888889" style="89" customWidth="1"/>
    <col min="7432" max="7432" width="10.8888888888889" style="89" customWidth="1"/>
    <col min="7433" max="7433" width="11.5555555555556" style="89" customWidth="1"/>
    <col min="7434" max="7434" width="13.8888888888889" style="89" customWidth="1"/>
    <col min="7435" max="7435" width="2.22222222222222" style="89" customWidth="1"/>
    <col min="7436" max="7436" width="2" style="89" customWidth="1"/>
    <col min="7437" max="7437" width="49.4444444444444" style="89" customWidth="1"/>
    <col min="7438" max="7438" width="12.8888888888889" style="89" customWidth="1"/>
    <col min="7439" max="7680" width="8.88888888888889" style="89"/>
    <col min="7681" max="7681" width="3.11111111111111" style="89" customWidth="1"/>
    <col min="7682" max="7682" width="33.2222222222222" style="89" customWidth="1"/>
    <col min="7683" max="7683" width="11.6666666666667" style="89" customWidth="1"/>
    <col min="7684" max="7684" width="12" style="89" customWidth="1"/>
    <col min="7685" max="7685" width="14.4444444444444" style="89" bestFit="1" customWidth="1"/>
    <col min="7686" max="7686" width="10.6666666666667" style="89" customWidth="1"/>
    <col min="7687" max="7687" width="11.8888888888889" style="89" customWidth="1"/>
    <col min="7688" max="7688" width="10.8888888888889" style="89" customWidth="1"/>
    <col min="7689" max="7689" width="11.5555555555556" style="89" customWidth="1"/>
    <col min="7690" max="7690" width="13.8888888888889" style="89" customWidth="1"/>
    <col min="7691" max="7691" width="2.22222222222222" style="89" customWidth="1"/>
    <col min="7692" max="7692" width="2" style="89" customWidth="1"/>
    <col min="7693" max="7693" width="49.4444444444444" style="89" customWidth="1"/>
    <col min="7694" max="7694" width="12.8888888888889" style="89" customWidth="1"/>
    <col min="7695" max="7936" width="8.88888888888889" style="89"/>
    <col min="7937" max="7937" width="3.11111111111111" style="89" customWidth="1"/>
    <col min="7938" max="7938" width="33.2222222222222" style="89" customWidth="1"/>
    <col min="7939" max="7939" width="11.6666666666667" style="89" customWidth="1"/>
    <col min="7940" max="7940" width="12" style="89" customWidth="1"/>
    <col min="7941" max="7941" width="14.4444444444444" style="89" bestFit="1" customWidth="1"/>
    <col min="7942" max="7942" width="10.6666666666667" style="89" customWidth="1"/>
    <col min="7943" max="7943" width="11.8888888888889" style="89" customWidth="1"/>
    <col min="7944" max="7944" width="10.8888888888889" style="89" customWidth="1"/>
    <col min="7945" max="7945" width="11.5555555555556" style="89" customWidth="1"/>
    <col min="7946" max="7946" width="13.8888888888889" style="89" customWidth="1"/>
    <col min="7947" max="7947" width="2.22222222222222" style="89" customWidth="1"/>
    <col min="7948" max="7948" width="2" style="89" customWidth="1"/>
    <col min="7949" max="7949" width="49.4444444444444" style="89" customWidth="1"/>
    <col min="7950" max="7950" width="12.8888888888889" style="89" customWidth="1"/>
    <col min="7951" max="8192" width="8.88888888888889" style="89"/>
    <col min="8193" max="8193" width="3.11111111111111" style="89" customWidth="1"/>
    <col min="8194" max="8194" width="33.2222222222222" style="89" customWidth="1"/>
    <col min="8195" max="8195" width="11.6666666666667" style="89" customWidth="1"/>
    <col min="8196" max="8196" width="12" style="89" customWidth="1"/>
    <col min="8197" max="8197" width="14.4444444444444" style="89" bestFit="1" customWidth="1"/>
    <col min="8198" max="8198" width="10.6666666666667" style="89" customWidth="1"/>
    <col min="8199" max="8199" width="11.8888888888889" style="89" customWidth="1"/>
    <col min="8200" max="8200" width="10.8888888888889" style="89" customWidth="1"/>
    <col min="8201" max="8201" width="11.5555555555556" style="89" customWidth="1"/>
    <col min="8202" max="8202" width="13.8888888888889" style="89" customWidth="1"/>
    <col min="8203" max="8203" width="2.22222222222222" style="89" customWidth="1"/>
    <col min="8204" max="8204" width="2" style="89" customWidth="1"/>
    <col min="8205" max="8205" width="49.4444444444444" style="89" customWidth="1"/>
    <col min="8206" max="8206" width="12.8888888888889" style="89" customWidth="1"/>
    <col min="8207" max="8448" width="8.88888888888889" style="89"/>
    <col min="8449" max="8449" width="3.11111111111111" style="89" customWidth="1"/>
    <col min="8450" max="8450" width="33.2222222222222" style="89" customWidth="1"/>
    <col min="8451" max="8451" width="11.6666666666667" style="89" customWidth="1"/>
    <col min="8452" max="8452" width="12" style="89" customWidth="1"/>
    <col min="8453" max="8453" width="14.4444444444444" style="89" bestFit="1" customWidth="1"/>
    <col min="8454" max="8454" width="10.6666666666667" style="89" customWidth="1"/>
    <col min="8455" max="8455" width="11.8888888888889" style="89" customWidth="1"/>
    <col min="8456" max="8456" width="10.8888888888889" style="89" customWidth="1"/>
    <col min="8457" max="8457" width="11.5555555555556" style="89" customWidth="1"/>
    <col min="8458" max="8458" width="13.8888888888889" style="89" customWidth="1"/>
    <col min="8459" max="8459" width="2.22222222222222" style="89" customWidth="1"/>
    <col min="8460" max="8460" width="2" style="89" customWidth="1"/>
    <col min="8461" max="8461" width="49.4444444444444" style="89" customWidth="1"/>
    <col min="8462" max="8462" width="12.8888888888889" style="89" customWidth="1"/>
    <col min="8463" max="8704" width="8.88888888888889" style="89"/>
    <col min="8705" max="8705" width="3.11111111111111" style="89" customWidth="1"/>
    <col min="8706" max="8706" width="33.2222222222222" style="89" customWidth="1"/>
    <col min="8707" max="8707" width="11.6666666666667" style="89" customWidth="1"/>
    <col min="8708" max="8708" width="12" style="89" customWidth="1"/>
    <col min="8709" max="8709" width="14.4444444444444" style="89" bestFit="1" customWidth="1"/>
    <col min="8710" max="8710" width="10.6666666666667" style="89" customWidth="1"/>
    <col min="8711" max="8711" width="11.8888888888889" style="89" customWidth="1"/>
    <col min="8712" max="8712" width="10.8888888888889" style="89" customWidth="1"/>
    <col min="8713" max="8713" width="11.5555555555556" style="89" customWidth="1"/>
    <col min="8714" max="8714" width="13.8888888888889" style="89" customWidth="1"/>
    <col min="8715" max="8715" width="2.22222222222222" style="89" customWidth="1"/>
    <col min="8716" max="8716" width="2" style="89" customWidth="1"/>
    <col min="8717" max="8717" width="49.4444444444444" style="89" customWidth="1"/>
    <col min="8718" max="8718" width="12.8888888888889" style="89" customWidth="1"/>
    <col min="8719" max="8960" width="8.88888888888889" style="89"/>
    <col min="8961" max="8961" width="3.11111111111111" style="89" customWidth="1"/>
    <col min="8962" max="8962" width="33.2222222222222" style="89" customWidth="1"/>
    <col min="8963" max="8963" width="11.6666666666667" style="89" customWidth="1"/>
    <col min="8964" max="8964" width="12" style="89" customWidth="1"/>
    <col min="8965" max="8965" width="14.4444444444444" style="89" bestFit="1" customWidth="1"/>
    <col min="8966" max="8966" width="10.6666666666667" style="89" customWidth="1"/>
    <col min="8967" max="8967" width="11.8888888888889" style="89" customWidth="1"/>
    <col min="8968" max="8968" width="10.8888888888889" style="89" customWidth="1"/>
    <col min="8969" max="8969" width="11.5555555555556" style="89" customWidth="1"/>
    <col min="8970" max="8970" width="13.8888888888889" style="89" customWidth="1"/>
    <col min="8971" max="8971" width="2.22222222222222" style="89" customWidth="1"/>
    <col min="8972" max="8972" width="2" style="89" customWidth="1"/>
    <col min="8973" max="8973" width="49.4444444444444" style="89" customWidth="1"/>
    <col min="8974" max="8974" width="12.8888888888889" style="89" customWidth="1"/>
    <col min="8975" max="9216" width="8.88888888888889" style="89"/>
    <col min="9217" max="9217" width="3.11111111111111" style="89" customWidth="1"/>
    <col min="9218" max="9218" width="33.2222222222222" style="89" customWidth="1"/>
    <col min="9219" max="9219" width="11.6666666666667" style="89" customWidth="1"/>
    <col min="9220" max="9220" width="12" style="89" customWidth="1"/>
    <col min="9221" max="9221" width="14.4444444444444" style="89" bestFit="1" customWidth="1"/>
    <col min="9222" max="9222" width="10.6666666666667" style="89" customWidth="1"/>
    <col min="9223" max="9223" width="11.8888888888889" style="89" customWidth="1"/>
    <col min="9224" max="9224" width="10.8888888888889" style="89" customWidth="1"/>
    <col min="9225" max="9225" width="11.5555555555556" style="89" customWidth="1"/>
    <col min="9226" max="9226" width="13.8888888888889" style="89" customWidth="1"/>
    <col min="9227" max="9227" width="2.22222222222222" style="89" customWidth="1"/>
    <col min="9228" max="9228" width="2" style="89" customWidth="1"/>
    <col min="9229" max="9229" width="49.4444444444444" style="89" customWidth="1"/>
    <col min="9230" max="9230" width="12.8888888888889" style="89" customWidth="1"/>
    <col min="9231" max="9472" width="8.88888888888889" style="89"/>
    <col min="9473" max="9473" width="3.11111111111111" style="89" customWidth="1"/>
    <col min="9474" max="9474" width="33.2222222222222" style="89" customWidth="1"/>
    <col min="9475" max="9475" width="11.6666666666667" style="89" customWidth="1"/>
    <col min="9476" max="9476" width="12" style="89" customWidth="1"/>
    <col min="9477" max="9477" width="14.4444444444444" style="89" bestFit="1" customWidth="1"/>
    <col min="9478" max="9478" width="10.6666666666667" style="89" customWidth="1"/>
    <col min="9479" max="9479" width="11.8888888888889" style="89" customWidth="1"/>
    <col min="9480" max="9480" width="10.8888888888889" style="89" customWidth="1"/>
    <col min="9481" max="9481" width="11.5555555555556" style="89" customWidth="1"/>
    <col min="9482" max="9482" width="13.8888888888889" style="89" customWidth="1"/>
    <col min="9483" max="9483" width="2.22222222222222" style="89" customWidth="1"/>
    <col min="9484" max="9484" width="2" style="89" customWidth="1"/>
    <col min="9485" max="9485" width="49.4444444444444" style="89" customWidth="1"/>
    <col min="9486" max="9486" width="12.8888888888889" style="89" customWidth="1"/>
    <col min="9487" max="9728" width="8.88888888888889" style="89"/>
    <col min="9729" max="9729" width="3.11111111111111" style="89" customWidth="1"/>
    <col min="9730" max="9730" width="33.2222222222222" style="89" customWidth="1"/>
    <col min="9731" max="9731" width="11.6666666666667" style="89" customWidth="1"/>
    <col min="9732" max="9732" width="12" style="89" customWidth="1"/>
    <col min="9733" max="9733" width="14.4444444444444" style="89" bestFit="1" customWidth="1"/>
    <col min="9734" max="9734" width="10.6666666666667" style="89" customWidth="1"/>
    <col min="9735" max="9735" width="11.8888888888889" style="89" customWidth="1"/>
    <col min="9736" max="9736" width="10.8888888888889" style="89" customWidth="1"/>
    <col min="9737" max="9737" width="11.5555555555556" style="89" customWidth="1"/>
    <col min="9738" max="9738" width="13.8888888888889" style="89" customWidth="1"/>
    <col min="9739" max="9739" width="2.22222222222222" style="89" customWidth="1"/>
    <col min="9740" max="9740" width="2" style="89" customWidth="1"/>
    <col min="9741" max="9741" width="49.4444444444444" style="89" customWidth="1"/>
    <col min="9742" max="9742" width="12.8888888888889" style="89" customWidth="1"/>
    <col min="9743" max="9984" width="8.88888888888889" style="89"/>
    <col min="9985" max="9985" width="3.11111111111111" style="89" customWidth="1"/>
    <col min="9986" max="9986" width="33.2222222222222" style="89" customWidth="1"/>
    <col min="9987" max="9987" width="11.6666666666667" style="89" customWidth="1"/>
    <col min="9988" max="9988" width="12" style="89" customWidth="1"/>
    <col min="9989" max="9989" width="14.4444444444444" style="89" bestFit="1" customWidth="1"/>
    <col min="9990" max="9990" width="10.6666666666667" style="89" customWidth="1"/>
    <col min="9991" max="9991" width="11.8888888888889" style="89" customWidth="1"/>
    <col min="9992" max="9992" width="10.8888888888889" style="89" customWidth="1"/>
    <col min="9993" max="9993" width="11.5555555555556" style="89" customWidth="1"/>
    <col min="9994" max="9994" width="13.8888888888889" style="89" customWidth="1"/>
    <col min="9995" max="9995" width="2.22222222222222" style="89" customWidth="1"/>
    <col min="9996" max="9996" width="2" style="89" customWidth="1"/>
    <col min="9997" max="9997" width="49.4444444444444" style="89" customWidth="1"/>
    <col min="9998" max="9998" width="12.8888888888889" style="89" customWidth="1"/>
    <col min="9999" max="10240" width="8.88888888888889" style="89"/>
    <col min="10241" max="10241" width="3.11111111111111" style="89" customWidth="1"/>
    <col min="10242" max="10242" width="33.2222222222222" style="89" customWidth="1"/>
    <col min="10243" max="10243" width="11.6666666666667" style="89" customWidth="1"/>
    <col min="10244" max="10244" width="12" style="89" customWidth="1"/>
    <col min="10245" max="10245" width="14.4444444444444" style="89" bestFit="1" customWidth="1"/>
    <col min="10246" max="10246" width="10.6666666666667" style="89" customWidth="1"/>
    <col min="10247" max="10247" width="11.8888888888889" style="89" customWidth="1"/>
    <col min="10248" max="10248" width="10.8888888888889" style="89" customWidth="1"/>
    <col min="10249" max="10249" width="11.5555555555556" style="89" customWidth="1"/>
    <col min="10250" max="10250" width="13.8888888888889" style="89" customWidth="1"/>
    <col min="10251" max="10251" width="2.22222222222222" style="89" customWidth="1"/>
    <col min="10252" max="10252" width="2" style="89" customWidth="1"/>
    <col min="10253" max="10253" width="49.4444444444444" style="89" customWidth="1"/>
    <col min="10254" max="10254" width="12.8888888888889" style="89" customWidth="1"/>
    <col min="10255" max="10496" width="8.88888888888889" style="89"/>
    <col min="10497" max="10497" width="3.11111111111111" style="89" customWidth="1"/>
    <col min="10498" max="10498" width="33.2222222222222" style="89" customWidth="1"/>
    <col min="10499" max="10499" width="11.6666666666667" style="89" customWidth="1"/>
    <col min="10500" max="10500" width="12" style="89" customWidth="1"/>
    <col min="10501" max="10501" width="14.4444444444444" style="89" bestFit="1" customWidth="1"/>
    <col min="10502" max="10502" width="10.6666666666667" style="89" customWidth="1"/>
    <col min="10503" max="10503" width="11.8888888888889" style="89" customWidth="1"/>
    <col min="10504" max="10504" width="10.8888888888889" style="89" customWidth="1"/>
    <col min="10505" max="10505" width="11.5555555555556" style="89" customWidth="1"/>
    <col min="10506" max="10506" width="13.8888888888889" style="89" customWidth="1"/>
    <col min="10507" max="10507" width="2.22222222222222" style="89" customWidth="1"/>
    <col min="10508" max="10508" width="2" style="89" customWidth="1"/>
    <col min="10509" max="10509" width="49.4444444444444" style="89" customWidth="1"/>
    <col min="10510" max="10510" width="12.8888888888889" style="89" customWidth="1"/>
    <col min="10511" max="10752" width="8.88888888888889" style="89"/>
    <col min="10753" max="10753" width="3.11111111111111" style="89" customWidth="1"/>
    <col min="10754" max="10754" width="33.2222222222222" style="89" customWidth="1"/>
    <col min="10755" max="10755" width="11.6666666666667" style="89" customWidth="1"/>
    <col min="10756" max="10756" width="12" style="89" customWidth="1"/>
    <col min="10757" max="10757" width="14.4444444444444" style="89" bestFit="1" customWidth="1"/>
    <col min="10758" max="10758" width="10.6666666666667" style="89" customWidth="1"/>
    <col min="10759" max="10759" width="11.8888888888889" style="89" customWidth="1"/>
    <col min="10760" max="10760" width="10.8888888888889" style="89" customWidth="1"/>
    <col min="10761" max="10761" width="11.5555555555556" style="89" customWidth="1"/>
    <col min="10762" max="10762" width="13.8888888888889" style="89" customWidth="1"/>
    <col min="10763" max="10763" width="2.22222222222222" style="89" customWidth="1"/>
    <col min="10764" max="10764" width="2" style="89" customWidth="1"/>
    <col min="10765" max="10765" width="49.4444444444444" style="89" customWidth="1"/>
    <col min="10766" max="10766" width="12.8888888888889" style="89" customWidth="1"/>
    <col min="10767" max="11008" width="8.88888888888889" style="89"/>
    <col min="11009" max="11009" width="3.11111111111111" style="89" customWidth="1"/>
    <col min="11010" max="11010" width="33.2222222222222" style="89" customWidth="1"/>
    <col min="11011" max="11011" width="11.6666666666667" style="89" customWidth="1"/>
    <col min="11012" max="11012" width="12" style="89" customWidth="1"/>
    <col min="11013" max="11013" width="14.4444444444444" style="89" bestFit="1" customWidth="1"/>
    <col min="11014" max="11014" width="10.6666666666667" style="89" customWidth="1"/>
    <col min="11015" max="11015" width="11.8888888888889" style="89" customWidth="1"/>
    <col min="11016" max="11016" width="10.8888888888889" style="89" customWidth="1"/>
    <col min="11017" max="11017" width="11.5555555555556" style="89" customWidth="1"/>
    <col min="11018" max="11018" width="13.8888888888889" style="89" customWidth="1"/>
    <col min="11019" max="11019" width="2.22222222222222" style="89" customWidth="1"/>
    <col min="11020" max="11020" width="2" style="89" customWidth="1"/>
    <col min="11021" max="11021" width="49.4444444444444" style="89" customWidth="1"/>
    <col min="11022" max="11022" width="12.8888888888889" style="89" customWidth="1"/>
    <col min="11023" max="11264" width="8.88888888888889" style="89"/>
    <col min="11265" max="11265" width="3.11111111111111" style="89" customWidth="1"/>
    <col min="11266" max="11266" width="33.2222222222222" style="89" customWidth="1"/>
    <col min="11267" max="11267" width="11.6666666666667" style="89" customWidth="1"/>
    <col min="11268" max="11268" width="12" style="89" customWidth="1"/>
    <col min="11269" max="11269" width="14.4444444444444" style="89" bestFit="1" customWidth="1"/>
    <col min="11270" max="11270" width="10.6666666666667" style="89" customWidth="1"/>
    <col min="11271" max="11271" width="11.8888888888889" style="89" customWidth="1"/>
    <col min="11272" max="11272" width="10.8888888888889" style="89" customWidth="1"/>
    <col min="11273" max="11273" width="11.5555555555556" style="89" customWidth="1"/>
    <col min="11274" max="11274" width="13.8888888888889" style="89" customWidth="1"/>
    <col min="11275" max="11275" width="2.22222222222222" style="89" customWidth="1"/>
    <col min="11276" max="11276" width="2" style="89" customWidth="1"/>
    <col min="11277" max="11277" width="49.4444444444444" style="89" customWidth="1"/>
    <col min="11278" max="11278" width="12.8888888888889" style="89" customWidth="1"/>
    <col min="11279" max="11520" width="8.88888888888889" style="89"/>
    <col min="11521" max="11521" width="3.11111111111111" style="89" customWidth="1"/>
    <col min="11522" max="11522" width="33.2222222222222" style="89" customWidth="1"/>
    <col min="11523" max="11523" width="11.6666666666667" style="89" customWidth="1"/>
    <col min="11524" max="11524" width="12" style="89" customWidth="1"/>
    <col min="11525" max="11525" width="14.4444444444444" style="89" bestFit="1" customWidth="1"/>
    <col min="11526" max="11526" width="10.6666666666667" style="89" customWidth="1"/>
    <col min="11527" max="11527" width="11.8888888888889" style="89" customWidth="1"/>
    <col min="11528" max="11528" width="10.8888888888889" style="89" customWidth="1"/>
    <col min="11529" max="11529" width="11.5555555555556" style="89" customWidth="1"/>
    <col min="11530" max="11530" width="13.8888888888889" style="89" customWidth="1"/>
    <col min="11531" max="11531" width="2.22222222222222" style="89" customWidth="1"/>
    <col min="11532" max="11532" width="2" style="89" customWidth="1"/>
    <col min="11533" max="11533" width="49.4444444444444" style="89" customWidth="1"/>
    <col min="11534" max="11534" width="12.8888888888889" style="89" customWidth="1"/>
    <col min="11535" max="11776" width="8.88888888888889" style="89"/>
    <col min="11777" max="11777" width="3.11111111111111" style="89" customWidth="1"/>
    <col min="11778" max="11778" width="33.2222222222222" style="89" customWidth="1"/>
    <col min="11779" max="11779" width="11.6666666666667" style="89" customWidth="1"/>
    <col min="11780" max="11780" width="12" style="89" customWidth="1"/>
    <col min="11781" max="11781" width="14.4444444444444" style="89" bestFit="1" customWidth="1"/>
    <col min="11782" max="11782" width="10.6666666666667" style="89" customWidth="1"/>
    <col min="11783" max="11783" width="11.8888888888889" style="89" customWidth="1"/>
    <col min="11784" max="11784" width="10.8888888888889" style="89" customWidth="1"/>
    <col min="11785" max="11785" width="11.5555555555556" style="89" customWidth="1"/>
    <col min="11786" max="11786" width="13.8888888888889" style="89" customWidth="1"/>
    <col min="11787" max="11787" width="2.22222222222222" style="89" customWidth="1"/>
    <col min="11788" max="11788" width="2" style="89" customWidth="1"/>
    <col min="11789" max="11789" width="49.4444444444444" style="89" customWidth="1"/>
    <col min="11790" max="11790" width="12.8888888888889" style="89" customWidth="1"/>
    <col min="11791" max="12032" width="8.88888888888889" style="89"/>
    <col min="12033" max="12033" width="3.11111111111111" style="89" customWidth="1"/>
    <col min="12034" max="12034" width="33.2222222222222" style="89" customWidth="1"/>
    <col min="12035" max="12035" width="11.6666666666667" style="89" customWidth="1"/>
    <col min="12036" max="12036" width="12" style="89" customWidth="1"/>
    <col min="12037" max="12037" width="14.4444444444444" style="89" bestFit="1" customWidth="1"/>
    <col min="12038" max="12038" width="10.6666666666667" style="89" customWidth="1"/>
    <col min="12039" max="12039" width="11.8888888888889" style="89" customWidth="1"/>
    <col min="12040" max="12040" width="10.8888888888889" style="89" customWidth="1"/>
    <col min="12041" max="12041" width="11.5555555555556" style="89" customWidth="1"/>
    <col min="12042" max="12042" width="13.8888888888889" style="89" customWidth="1"/>
    <col min="12043" max="12043" width="2.22222222222222" style="89" customWidth="1"/>
    <col min="12044" max="12044" width="2" style="89" customWidth="1"/>
    <col min="12045" max="12045" width="49.4444444444444" style="89" customWidth="1"/>
    <col min="12046" max="12046" width="12.8888888888889" style="89" customWidth="1"/>
    <col min="12047" max="12288" width="8.88888888888889" style="89"/>
    <col min="12289" max="12289" width="3.11111111111111" style="89" customWidth="1"/>
    <col min="12290" max="12290" width="33.2222222222222" style="89" customWidth="1"/>
    <col min="12291" max="12291" width="11.6666666666667" style="89" customWidth="1"/>
    <col min="12292" max="12292" width="12" style="89" customWidth="1"/>
    <col min="12293" max="12293" width="14.4444444444444" style="89" bestFit="1" customWidth="1"/>
    <col min="12294" max="12294" width="10.6666666666667" style="89" customWidth="1"/>
    <col min="12295" max="12295" width="11.8888888888889" style="89" customWidth="1"/>
    <col min="12296" max="12296" width="10.8888888888889" style="89" customWidth="1"/>
    <col min="12297" max="12297" width="11.5555555555556" style="89" customWidth="1"/>
    <col min="12298" max="12298" width="13.8888888888889" style="89" customWidth="1"/>
    <col min="12299" max="12299" width="2.22222222222222" style="89" customWidth="1"/>
    <col min="12300" max="12300" width="2" style="89" customWidth="1"/>
    <col min="12301" max="12301" width="49.4444444444444" style="89" customWidth="1"/>
    <col min="12302" max="12302" width="12.8888888888889" style="89" customWidth="1"/>
    <col min="12303" max="12544" width="8.88888888888889" style="89"/>
    <col min="12545" max="12545" width="3.11111111111111" style="89" customWidth="1"/>
    <col min="12546" max="12546" width="33.2222222222222" style="89" customWidth="1"/>
    <col min="12547" max="12547" width="11.6666666666667" style="89" customWidth="1"/>
    <col min="12548" max="12548" width="12" style="89" customWidth="1"/>
    <col min="12549" max="12549" width="14.4444444444444" style="89" bestFit="1" customWidth="1"/>
    <col min="12550" max="12550" width="10.6666666666667" style="89" customWidth="1"/>
    <col min="12551" max="12551" width="11.8888888888889" style="89" customWidth="1"/>
    <col min="12552" max="12552" width="10.8888888888889" style="89" customWidth="1"/>
    <col min="12553" max="12553" width="11.5555555555556" style="89" customWidth="1"/>
    <col min="12554" max="12554" width="13.8888888888889" style="89" customWidth="1"/>
    <col min="12555" max="12555" width="2.22222222222222" style="89" customWidth="1"/>
    <col min="12556" max="12556" width="2" style="89" customWidth="1"/>
    <col min="12557" max="12557" width="49.4444444444444" style="89" customWidth="1"/>
    <col min="12558" max="12558" width="12.8888888888889" style="89" customWidth="1"/>
    <col min="12559" max="12800" width="8.88888888888889" style="89"/>
    <col min="12801" max="12801" width="3.11111111111111" style="89" customWidth="1"/>
    <col min="12802" max="12802" width="33.2222222222222" style="89" customWidth="1"/>
    <col min="12803" max="12803" width="11.6666666666667" style="89" customWidth="1"/>
    <col min="12804" max="12804" width="12" style="89" customWidth="1"/>
    <col min="12805" max="12805" width="14.4444444444444" style="89" bestFit="1" customWidth="1"/>
    <col min="12806" max="12806" width="10.6666666666667" style="89" customWidth="1"/>
    <col min="12807" max="12807" width="11.8888888888889" style="89" customWidth="1"/>
    <col min="12808" max="12808" width="10.8888888888889" style="89" customWidth="1"/>
    <col min="12809" max="12809" width="11.5555555555556" style="89" customWidth="1"/>
    <col min="12810" max="12810" width="13.8888888888889" style="89" customWidth="1"/>
    <col min="12811" max="12811" width="2.22222222222222" style="89" customWidth="1"/>
    <col min="12812" max="12812" width="2" style="89" customWidth="1"/>
    <col min="12813" max="12813" width="49.4444444444444" style="89" customWidth="1"/>
    <col min="12814" max="12814" width="12.8888888888889" style="89" customWidth="1"/>
    <col min="12815" max="13056" width="8.88888888888889" style="89"/>
    <col min="13057" max="13057" width="3.11111111111111" style="89" customWidth="1"/>
    <col min="13058" max="13058" width="33.2222222222222" style="89" customWidth="1"/>
    <col min="13059" max="13059" width="11.6666666666667" style="89" customWidth="1"/>
    <col min="13060" max="13060" width="12" style="89" customWidth="1"/>
    <col min="13061" max="13061" width="14.4444444444444" style="89" bestFit="1" customWidth="1"/>
    <col min="13062" max="13062" width="10.6666666666667" style="89" customWidth="1"/>
    <col min="13063" max="13063" width="11.8888888888889" style="89" customWidth="1"/>
    <col min="13064" max="13064" width="10.8888888888889" style="89" customWidth="1"/>
    <col min="13065" max="13065" width="11.5555555555556" style="89" customWidth="1"/>
    <col min="13066" max="13066" width="13.8888888888889" style="89" customWidth="1"/>
    <col min="13067" max="13067" width="2.22222222222222" style="89" customWidth="1"/>
    <col min="13068" max="13068" width="2" style="89" customWidth="1"/>
    <col min="13069" max="13069" width="49.4444444444444" style="89" customWidth="1"/>
    <col min="13070" max="13070" width="12.8888888888889" style="89" customWidth="1"/>
    <col min="13071" max="13312" width="8.88888888888889" style="89"/>
    <col min="13313" max="13313" width="3.11111111111111" style="89" customWidth="1"/>
    <col min="13314" max="13314" width="33.2222222222222" style="89" customWidth="1"/>
    <col min="13315" max="13315" width="11.6666666666667" style="89" customWidth="1"/>
    <col min="13316" max="13316" width="12" style="89" customWidth="1"/>
    <col min="13317" max="13317" width="14.4444444444444" style="89" bestFit="1" customWidth="1"/>
    <col min="13318" max="13318" width="10.6666666666667" style="89" customWidth="1"/>
    <col min="13319" max="13319" width="11.8888888888889" style="89" customWidth="1"/>
    <col min="13320" max="13320" width="10.8888888888889" style="89" customWidth="1"/>
    <col min="13321" max="13321" width="11.5555555555556" style="89" customWidth="1"/>
    <col min="13322" max="13322" width="13.8888888888889" style="89" customWidth="1"/>
    <col min="13323" max="13323" width="2.22222222222222" style="89" customWidth="1"/>
    <col min="13324" max="13324" width="2" style="89" customWidth="1"/>
    <col min="13325" max="13325" width="49.4444444444444" style="89" customWidth="1"/>
    <col min="13326" max="13326" width="12.8888888888889" style="89" customWidth="1"/>
    <col min="13327" max="13568" width="8.88888888888889" style="89"/>
    <col min="13569" max="13569" width="3.11111111111111" style="89" customWidth="1"/>
    <col min="13570" max="13570" width="33.2222222222222" style="89" customWidth="1"/>
    <col min="13571" max="13571" width="11.6666666666667" style="89" customWidth="1"/>
    <col min="13572" max="13572" width="12" style="89" customWidth="1"/>
    <col min="13573" max="13573" width="14.4444444444444" style="89" bestFit="1" customWidth="1"/>
    <col min="13574" max="13574" width="10.6666666666667" style="89" customWidth="1"/>
    <col min="13575" max="13575" width="11.8888888888889" style="89" customWidth="1"/>
    <col min="13576" max="13576" width="10.8888888888889" style="89" customWidth="1"/>
    <col min="13577" max="13577" width="11.5555555555556" style="89" customWidth="1"/>
    <col min="13578" max="13578" width="13.8888888888889" style="89" customWidth="1"/>
    <col min="13579" max="13579" width="2.22222222222222" style="89" customWidth="1"/>
    <col min="13580" max="13580" width="2" style="89" customWidth="1"/>
    <col min="13581" max="13581" width="49.4444444444444" style="89" customWidth="1"/>
    <col min="13582" max="13582" width="12.8888888888889" style="89" customWidth="1"/>
    <col min="13583" max="13824" width="8.88888888888889" style="89"/>
    <col min="13825" max="13825" width="3.11111111111111" style="89" customWidth="1"/>
    <col min="13826" max="13826" width="33.2222222222222" style="89" customWidth="1"/>
    <col min="13827" max="13827" width="11.6666666666667" style="89" customWidth="1"/>
    <col min="13828" max="13828" width="12" style="89" customWidth="1"/>
    <col min="13829" max="13829" width="14.4444444444444" style="89" bestFit="1" customWidth="1"/>
    <col min="13830" max="13830" width="10.6666666666667" style="89" customWidth="1"/>
    <col min="13831" max="13831" width="11.8888888888889" style="89" customWidth="1"/>
    <col min="13832" max="13832" width="10.8888888888889" style="89" customWidth="1"/>
    <col min="13833" max="13833" width="11.5555555555556" style="89" customWidth="1"/>
    <col min="13834" max="13834" width="13.8888888888889" style="89" customWidth="1"/>
    <col min="13835" max="13835" width="2.22222222222222" style="89" customWidth="1"/>
    <col min="13836" max="13836" width="2" style="89" customWidth="1"/>
    <col min="13837" max="13837" width="49.4444444444444" style="89" customWidth="1"/>
    <col min="13838" max="13838" width="12.8888888888889" style="89" customWidth="1"/>
    <col min="13839" max="14080" width="8.88888888888889" style="89"/>
    <col min="14081" max="14081" width="3.11111111111111" style="89" customWidth="1"/>
    <col min="14082" max="14082" width="33.2222222222222" style="89" customWidth="1"/>
    <col min="14083" max="14083" width="11.6666666666667" style="89" customWidth="1"/>
    <col min="14084" max="14084" width="12" style="89" customWidth="1"/>
    <col min="14085" max="14085" width="14.4444444444444" style="89" bestFit="1" customWidth="1"/>
    <col min="14086" max="14086" width="10.6666666666667" style="89" customWidth="1"/>
    <col min="14087" max="14087" width="11.8888888888889" style="89" customWidth="1"/>
    <col min="14088" max="14088" width="10.8888888888889" style="89" customWidth="1"/>
    <col min="14089" max="14089" width="11.5555555555556" style="89" customWidth="1"/>
    <col min="14090" max="14090" width="13.8888888888889" style="89" customWidth="1"/>
    <col min="14091" max="14091" width="2.22222222222222" style="89" customWidth="1"/>
    <col min="14092" max="14092" width="2" style="89" customWidth="1"/>
    <col min="14093" max="14093" width="49.4444444444444" style="89" customWidth="1"/>
    <col min="14094" max="14094" width="12.8888888888889" style="89" customWidth="1"/>
    <col min="14095" max="14336" width="8.88888888888889" style="89"/>
    <col min="14337" max="14337" width="3.11111111111111" style="89" customWidth="1"/>
    <col min="14338" max="14338" width="33.2222222222222" style="89" customWidth="1"/>
    <col min="14339" max="14339" width="11.6666666666667" style="89" customWidth="1"/>
    <col min="14340" max="14340" width="12" style="89" customWidth="1"/>
    <col min="14341" max="14341" width="14.4444444444444" style="89" bestFit="1" customWidth="1"/>
    <col min="14342" max="14342" width="10.6666666666667" style="89" customWidth="1"/>
    <col min="14343" max="14343" width="11.8888888888889" style="89" customWidth="1"/>
    <col min="14344" max="14344" width="10.8888888888889" style="89" customWidth="1"/>
    <col min="14345" max="14345" width="11.5555555555556" style="89" customWidth="1"/>
    <col min="14346" max="14346" width="13.8888888888889" style="89" customWidth="1"/>
    <col min="14347" max="14347" width="2.22222222222222" style="89" customWidth="1"/>
    <col min="14348" max="14348" width="2" style="89" customWidth="1"/>
    <col min="14349" max="14349" width="49.4444444444444" style="89" customWidth="1"/>
    <col min="14350" max="14350" width="12.8888888888889" style="89" customWidth="1"/>
    <col min="14351" max="14592" width="8.88888888888889" style="89"/>
    <col min="14593" max="14593" width="3.11111111111111" style="89" customWidth="1"/>
    <col min="14594" max="14594" width="33.2222222222222" style="89" customWidth="1"/>
    <col min="14595" max="14595" width="11.6666666666667" style="89" customWidth="1"/>
    <col min="14596" max="14596" width="12" style="89" customWidth="1"/>
    <col min="14597" max="14597" width="14.4444444444444" style="89" bestFit="1" customWidth="1"/>
    <col min="14598" max="14598" width="10.6666666666667" style="89" customWidth="1"/>
    <col min="14599" max="14599" width="11.8888888888889" style="89" customWidth="1"/>
    <col min="14600" max="14600" width="10.8888888888889" style="89" customWidth="1"/>
    <col min="14601" max="14601" width="11.5555555555556" style="89" customWidth="1"/>
    <col min="14602" max="14602" width="13.8888888888889" style="89" customWidth="1"/>
    <col min="14603" max="14603" width="2.22222222222222" style="89" customWidth="1"/>
    <col min="14604" max="14604" width="2" style="89" customWidth="1"/>
    <col min="14605" max="14605" width="49.4444444444444" style="89" customWidth="1"/>
    <col min="14606" max="14606" width="12.8888888888889" style="89" customWidth="1"/>
    <col min="14607" max="14848" width="8.88888888888889" style="89"/>
    <col min="14849" max="14849" width="3.11111111111111" style="89" customWidth="1"/>
    <col min="14850" max="14850" width="33.2222222222222" style="89" customWidth="1"/>
    <col min="14851" max="14851" width="11.6666666666667" style="89" customWidth="1"/>
    <col min="14852" max="14852" width="12" style="89" customWidth="1"/>
    <col min="14853" max="14853" width="14.4444444444444" style="89" bestFit="1" customWidth="1"/>
    <col min="14854" max="14854" width="10.6666666666667" style="89" customWidth="1"/>
    <col min="14855" max="14855" width="11.8888888888889" style="89" customWidth="1"/>
    <col min="14856" max="14856" width="10.8888888888889" style="89" customWidth="1"/>
    <col min="14857" max="14857" width="11.5555555555556" style="89" customWidth="1"/>
    <col min="14858" max="14858" width="13.8888888888889" style="89" customWidth="1"/>
    <col min="14859" max="14859" width="2.22222222222222" style="89" customWidth="1"/>
    <col min="14860" max="14860" width="2" style="89" customWidth="1"/>
    <col min="14861" max="14861" width="49.4444444444444" style="89" customWidth="1"/>
    <col min="14862" max="14862" width="12.8888888888889" style="89" customWidth="1"/>
    <col min="14863" max="15104" width="8.88888888888889" style="89"/>
    <col min="15105" max="15105" width="3.11111111111111" style="89" customWidth="1"/>
    <col min="15106" max="15106" width="33.2222222222222" style="89" customWidth="1"/>
    <col min="15107" max="15107" width="11.6666666666667" style="89" customWidth="1"/>
    <col min="15108" max="15108" width="12" style="89" customWidth="1"/>
    <col min="15109" max="15109" width="14.4444444444444" style="89" bestFit="1" customWidth="1"/>
    <col min="15110" max="15110" width="10.6666666666667" style="89" customWidth="1"/>
    <col min="15111" max="15111" width="11.8888888888889" style="89" customWidth="1"/>
    <col min="15112" max="15112" width="10.8888888888889" style="89" customWidth="1"/>
    <col min="15113" max="15113" width="11.5555555555556" style="89" customWidth="1"/>
    <col min="15114" max="15114" width="13.8888888888889" style="89" customWidth="1"/>
    <col min="15115" max="15115" width="2.22222222222222" style="89" customWidth="1"/>
    <col min="15116" max="15116" width="2" style="89" customWidth="1"/>
    <col min="15117" max="15117" width="49.4444444444444" style="89" customWidth="1"/>
    <col min="15118" max="15118" width="12.8888888888889" style="89" customWidth="1"/>
    <col min="15119" max="15360" width="8.88888888888889" style="89"/>
    <col min="15361" max="15361" width="3.11111111111111" style="89" customWidth="1"/>
    <col min="15362" max="15362" width="33.2222222222222" style="89" customWidth="1"/>
    <col min="15363" max="15363" width="11.6666666666667" style="89" customWidth="1"/>
    <col min="15364" max="15364" width="12" style="89" customWidth="1"/>
    <col min="15365" max="15365" width="14.4444444444444" style="89" bestFit="1" customWidth="1"/>
    <col min="15366" max="15366" width="10.6666666666667" style="89" customWidth="1"/>
    <col min="15367" max="15367" width="11.8888888888889" style="89" customWidth="1"/>
    <col min="15368" max="15368" width="10.8888888888889" style="89" customWidth="1"/>
    <col min="15369" max="15369" width="11.5555555555556" style="89" customWidth="1"/>
    <col min="15370" max="15370" width="13.8888888888889" style="89" customWidth="1"/>
    <col min="15371" max="15371" width="2.22222222222222" style="89" customWidth="1"/>
    <col min="15372" max="15372" width="2" style="89" customWidth="1"/>
    <col min="15373" max="15373" width="49.4444444444444" style="89" customWidth="1"/>
    <col min="15374" max="15374" width="12.8888888888889" style="89" customWidth="1"/>
    <col min="15375" max="15616" width="8.88888888888889" style="89"/>
    <col min="15617" max="15617" width="3.11111111111111" style="89" customWidth="1"/>
    <col min="15618" max="15618" width="33.2222222222222" style="89" customWidth="1"/>
    <col min="15619" max="15619" width="11.6666666666667" style="89" customWidth="1"/>
    <col min="15620" max="15620" width="12" style="89" customWidth="1"/>
    <col min="15621" max="15621" width="14.4444444444444" style="89" bestFit="1" customWidth="1"/>
    <col min="15622" max="15622" width="10.6666666666667" style="89" customWidth="1"/>
    <col min="15623" max="15623" width="11.8888888888889" style="89" customWidth="1"/>
    <col min="15624" max="15624" width="10.8888888888889" style="89" customWidth="1"/>
    <col min="15625" max="15625" width="11.5555555555556" style="89" customWidth="1"/>
    <col min="15626" max="15626" width="13.8888888888889" style="89" customWidth="1"/>
    <col min="15627" max="15627" width="2.22222222222222" style="89" customWidth="1"/>
    <col min="15628" max="15628" width="2" style="89" customWidth="1"/>
    <col min="15629" max="15629" width="49.4444444444444" style="89" customWidth="1"/>
    <col min="15630" max="15630" width="12.8888888888889" style="89" customWidth="1"/>
    <col min="15631" max="15872" width="8.88888888888889" style="89"/>
    <col min="15873" max="15873" width="3.11111111111111" style="89" customWidth="1"/>
    <col min="15874" max="15874" width="33.2222222222222" style="89" customWidth="1"/>
    <col min="15875" max="15875" width="11.6666666666667" style="89" customWidth="1"/>
    <col min="15876" max="15876" width="12" style="89" customWidth="1"/>
    <col min="15877" max="15877" width="14.4444444444444" style="89" bestFit="1" customWidth="1"/>
    <col min="15878" max="15878" width="10.6666666666667" style="89" customWidth="1"/>
    <col min="15879" max="15879" width="11.8888888888889" style="89" customWidth="1"/>
    <col min="15880" max="15880" width="10.8888888888889" style="89" customWidth="1"/>
    <col min="15881" max="15881" width="11.5555555555556" style="89" customWidth="1"/>
    <col min="15882" max="15882" width="13.8888888888889" style="89" customWidth="1"/>
    <col min="15883" max="15883" width="2.22222222222222" style="89" customWidth="1"/>
    <col min="15884" max="15884" width="2" style="89" customWidth="1"/>
    <col min="15885" max="15885" width="49.4444444444444" style="89" customWidth="1"/>
    <col min="15886" max="15886" width="12.8888888888889" style="89" customWidth="1"/>
    <col min="15887" max="16128" width="8.88888888888889" style="89"/>
    <col min="16129" max="16129" width="3.11111111111111" style="89" customWidth="1"/>
    <col min="16130" max="16130" width="33.2222222222222" style="89" customWidth="1"/>
    <col min="16131" max="16131" width="11.6666666666667" style="89" customWidth="1"/>
    <col min="16132" max="16132" width="12" style="89" customWidth="1"/>
    <col min="16133" max="16133" width="14.4444444444444" style="89" bestFit="1" customWidth="1"/>
    <col min="16134" max="16134" width="10.6666666666667" style="89" customWidth="1"/>
    <col min="16135" max="16135" width="11.8888888888889" style="89" customWidth="1"/>
    <col min="16136" max="16136" width="10.8888888888889" style="89" customWidth="1"/>
    <col min="16137" max="16137" width="11.5555555555556" style="89" customWidth="1"/>
    <col min="16138" max="16138" width="13.8888888888889" style="89" customWidth="1"/>
    <col min="16139" max="16139" width="2.22222222222222" style="89" customWidth="1"/>
    <col min="16140" max="16140" width="2" style="89" customWidth="1"/>
    <col min="16141" max="16141" width="49.4444444444444" style="89" customWidth="1"/>
    <col min="16142" max="16142" width="12.8888888888889" style="89" customWidth="1"/>
    <col min="16143" max="16384" width="8.88888888888889" style="89"/>
  </cols>
  <sheetData>
    <row r="1" spans="1:11" ht="19.5" customHeight="1">
      <c r="A1" s="31" t="str">
        <f ca="1">RIGHT(CELL("filename",D2),LEN(CELL("filename",D2))-FIND("]",CELL("filename",D2)))</f>
        <v>WP03-B ADIT Detail</v>
      </c>
      <c r="C1" s="1191"/>
      <c r="D1" s="1191"/>
      <c r="E1" s="1191"/>
      <c r="F1" s="1191"/>
      <c r="G1" s="1191"/>
      <c r="H1" s="1191"/>
      <c r="I1" s="1191"/>
      <c r="J1" s="1191"/>
      <c r="K1" s="166"/>
    </row>
    <row r="2" spans="2:13" ht="12" customHeight="1">
      <c r="B2" s="147"/>
      <c r="C2" s="167"/>
      <c r="D2" s="167"/>
      <c r="E2" s="167"/>
      <c r="F2" s="167"/>
      <c r="G2" s="167"/>
      <c r="H2" s="167"/>
      <c r="I2" s="167"/>
      <c r="J2" s="167"/>
      <c r="K2" s="167"/>
      <c r="M2" s="90"/>
    </row>
    <row r="3" spans="3:13" ht="15.75">
      <c r="C3" s="1192"/>
      <c r="D3" s="1192"/>
      <c r="E3" s="1192"/>
      <c r="F3" s="1192"/>
      <c r="G3" s="1192"/>
      <c r="H3" s="1192"/>
      <c r="I3" s="1192"/>
      <c r="J3" s="1192"/>
      <c r="K3" s="168"/>
      <c r="M3" s="169"/>
    </row>
    <row r="4" spans="2:11" ht="13.5" thickBot="1">
      <c r="B4" s="90"/>
      <c r="J4" s="169"/>
      <c r="K4" s="169"/>
    </row>
    <row r="5" spans="3:12" ht="15.75" customHeight="1">
      <c r="C5" s="1198" t="s">
        <v>476</v>
      </c>
      <c r="D5" s="1199"/>
      <c r="E5" s="1199"/>
      <c r="F5" s="1199"/>
      <c r="G5" s="1199"/>
      <c r="H5" s="1199"/>
      <c r="I5" s="1199"/>
      <c r="J5" s="1199"/>
      <c r="K5" s="1199"/>
      <c r="L5" s="1200"/>
    </row>
    <row r="6" spans="3:12" ht="13.5" thickBot="1">
      <c r="C6" s="1201" t="s">
        <v>696</v>
      </c>
      <c r="D6" s="1202"/>
      <c r="E6" s="1202"/>
      <c r="F6" s="1202"/>
      <c r="G6" s="1202"/>
      <c r="H6" s="1202"/>
      <c r="I6" s="1202"/>
      <c r="J6" s="1202"/>
      <c r="K6" s="1202"/>
      <c r="L6" s="1203"/>
    </row>
    <row r="7" spans="1:12" ht="12.75">
      <c r="A7" s="89" t="s">
        <v>5</v>
      </c>
      <c r="C7" s="166" t="s">
        <v>681</v>
      </c>
      <c r="D7" s="166" t="s">
        <v>680</v>
      </c>
      <c r="E7" s="166" t="s">
        <v>679</v>
      </c>
      <c r="F7" s="166" t="s">
        <v>678</v>
      </c>
      <c r="G7" s="166" t="s">
        <v>131</v>
      </c>
      <c r="H7" s="166" t="s">
        <v>132</v>
      </c>
      <c r="I7" s="166" t="s">
        <v>133</v>
      </c>
      <c r="J7" s="166" t="s">
        <v>134</v>
      </c>
      <c r="K7" s="166" t="s">
        <v>138</v>
      </c>
      <c r="L7" s="213" t="s">
        <v>139</v>
      </c>
    </row>
    <row r="8" spans="3:12" ht="25.5">
      <c r="C8" s="166" t="s">
        <v>682</v>
      </c>
      <c r="D8" s="166" t="s">
        <v>683</v>
      </c>
      <c r="E8" s="166" t="s">
        <v>684</v>
      </c>
      <c r="F8" s="166" t="s">
        <v>685</v>
      </c>
      <c r="G8" s="166" t="s">
        <v>504</v>
      </c>
      <c r="H8" s="166" t="s">
        <v>503</v>
      </c>
      <c r="I8" s="166" t="s">
        <v>505</v>
      </c>
      <c r="J8" s="170" t="s">
        <v>687</v>
      </c>
      <c r="K8" s="170" t="s">
        <v>688</v>
      </c>
      <c r="L8" s="452" t="s">
        <v>690</v>
      </c>
    </row>
    <row r="9" spans="3:12" ht="12.75">
      <c r="C9" s="166" t="s">
        <v>445</v>
      </c>
      <c r="D9" s="166" t="s">
        <v>445</v>
      </c>
      <c r="E9" s="166" t="s">
        <v>445</v>
      </c>
      <c r="F9" s="166" t="s">
        <v>445</v>
      </c>
      <c r="G9" s="166" t="s">
        <v>292</v>
      </c>
      <c r="H9" s="166" t="s">
        <v>11</v>
      </c>
      <c r="I9" s="166" t="s">
        <v>11</v>
      </c>
      <c r="J9" s="166" t="s">
        <v>446</v>
      </c>
      <c r="K9" s="166" t="s">
        <v>446</v>
      </c>
      <c r="L9" s="213" t="s">
        <v>10</v>
      </c>
    </row>
    <row r="10" spans="3:12" ht="40.5" customHeight="1">
      <c r="C10" s="176" t="s">
        <v>17</v>
      </c>
      <c r="D10" s="176" t="s">
        <v>17</v>
      </c>
      <c r="E10" s="176" t="s">
        <v>18</v>
      </c>
      <c r="F10" s="176" t="s">
        <v>18</v>
      </c>
      <c r="G10" s="451" t="s">
        <v>686</v>
      </c>
      <c r="H10" s="176" t="s">
        <v>19</v>
      </c>
      <c r="I10" s="176" t="s">
        <v>20</v>
      </c>
      <c r="J10" s="451" t="s">
        <v>689</v>
      </c>
      <c r="K10" s="451" t="s">
        <v>695</v>
      </c>
      <c r="L10" s="214" t="s">
        <v>694</v>
      </c>
    </row>
    <row r="11" spans="1:12" ht="12.75">
      <c r="A11" s="89" t="s">
        <v>3</v>
      </c>
      <c r="B11" s="89" t="s">
        <v>3</v>
      </c>
      <c r="L11" s="215"/>
    </row>
    <row r="12" spans="1:12" ht="12.75">
      <c r="A12" s="89">
        <v>1</v>
      </c>
      <c r="B12" s="169" t="s">
        <v>447</v>
      </c>
      <c r="C12" s="172">
        <f>I108</f>
        <v>0</v>
      </c>
      <c r="D12" s="172">
        <f>I126</f>
        <v>0</v>
      </c>
      <c r="E12" s="172">
        <f>J108</f>
        <v>0</v>
      </c>
      <c r="F12" s="172">
        <f>J126</f>
        <v>0</v>
      </c>
      <c r="G12" s="172">
        <f t="shared" si="0" ref="G12:G17">SUM(C12:F12)</f>
        <v>0</v>
      </c>
      <c r="H12" s="209">
        <f>'Attachment H-28A MAIT '!$G$61</f>
        <v>1</v>
      </c>
      <c r="I12" s="209">
        <f>'Attachment H-28A MAIT '!$I$233</f>
        <v>1</v>
      </c>
      <c r="J12" s="198">
        <f>(C12*H12)+(D12*I12)</f>
        <v>0</v>
      </c>
      <c r="K12" s="198">
        <f>(D12*H12)+(E12*I12)</f>
        <v>0</v>
      </c>
      <c r="L12" s="216">
        <f>J12+K12/2</f>
        <v>0</v>
      </c>
    </row>
    <row r="13" spans="1:12" ht="12.75">
      <c r="A13" s="89">
        <f>A12+1</f>
        <v>2</v>
      </c>
      <c r="B13" s="169" t="s">
        <v>448</v>
      </c>
      <c r="C13" s="172">
        <f>I178</f>
        <v>0</v>
      </c>
      <c r="D13" s="172">
        <f>I197</f>
        <v>0</v>
      </c>
      <c r="E13" s="172">
        <f>J178</f>
        <v>0</v>
      </c>
      <c r="F13" s="172">
        <f>J197</f>
        <v>0</v>
      </c>
      <c r="G13" s="172">
        <f t="shared" si="0"/>
        <v>0</v>
      </c>
      <c r="H13" s="209">
        <f>'Attachment H-28A MAIT '!$G$61</f>
        <v>1</v>
      </c>
      <c r="I13" s="209">
        <f>'Attachment H-28A MAIT '!$I$233</f>
        <v>1</v>
      </c>
      <c r="J13" s="198">
        <f>(C13*H13)+(D13*I13)</f>
        <v>0</v>
      </c>
      <c r="K13" s="198">
        <f>(D13*H13)+(E13*I13)</f>
        <v>0</v>
      </c>
      <c r="L13" s="216">
        <f>J13+K13/2</f>
        <v>0</v>
      </c>
    </row>
    <row r="14" spans="1:12" ht="12.75">
      <c r="A14" s="89">
        <f>A13+1</f>
        <v>3</v>
      </c>
      <c r="B14" s="169" t="s">
        <v>449</v>
      </c>
      <c r="C14" s="171">
        <f>I47</f>
        <v>0</v>
      </c>
      <c r="D14" s="171">
        <f>I62</f>
        <v>0</v>
      </c>
      <c r="E14" s="171">
        <f>J47</f>
        <v>0</v>
      </c>
      <c r="F14" s="171">
        <f>J62</f>
        <v>0</v>
      </c>
      <c r="G14" s="172">
        <f t="shared" si="0"/>
        <v>0</v>
      </c>
      <c r="H14" s="209">
        <f>'Attachment H-28A MAIT '!$G$61</f>
        <v>1</v>
      </c>
      <c r="I14" s="209">
        <f>'Attachment H-28A MAIT '!$I$233</f>
        <v>1</v>
      </c>
      <c r="J14" s="198">
        <f>(C14*H14)+(D14*I14)</f>
        <v>0</v>
      </c>
      <c r="K14" s="198">
        <f>(D14*H14)+(E14*I14)</f>
        <v>0</v>
      </c>
      <c r="L14" s="216">
        <f>J14+K14/2</f>
        <v>0</v>
      </c>
    </row>
    <row r="15" spans="1:12" ht="12.75">
      <c r="A15" s="89">
        <v>4</v>
      </c>
      <c r="B15" s="169" t="s">
        <v>480</v>
      </c>
      <c r="C15" s="173">
        <f>I248</f>
        <v>0</v>
      </c>
      <c r="D15" s="173">
        <f>I264</f>
        <v>0</v>
      </c>
      <c r="E15" s="173">
        <f>J248</f>
        <v>0</v>
      </c>
      <c r="F15" s="173">
        <f>J264</f>
        <v>0</v>
      </c>
      <c r="G15" s="172">
        <f t="shared" si="0"/>
        <v>0</v>
      </c>
      <c r="H15" s="209">
        <f>'Attachment H-28A MAIT '!$G$61</f>
        <v>1</v>
      </c>
      <c r="I15" s="209">
        <f>'Attachment H-28A MAIT '!$I$233</f>
        <v>1</v>
      </c>
      <c r="J15" s="198">
        <f>(C15*H15)+(D15*I15)</f>
        <v>0</v>
      </c>
      <c r="K15" s="198">
        <f>(D15*H15)+(E15*I15)</f>
        <v>0</v>
      </c>
      <c r="L15" s="216">
        <f>J15+K15/2</f>
        <v>0</v>
      </c>
    </row>
    <row r="16" spans="1:12" ht="15">
      <c r="A16" s="89">
        <v>5</v>
      </c>
      <c r="B16" s="169" t="s">
        <v>481</v>
      </c>
      <c r="C16" s="211">
        <f>I314</f>
        <v>0</v>
      </c>
      <c r="D16" s="211">
        <f>I330</f>
        <v>0</v>
      </c>
      <c r="E16" s="211">
        <f>J314</f>
        <v>0</v>
      </c>
      <c r="F16" s="211">
        <f>J330</f>
        <v>0</v>
      </c>
      <c r="G16" s="174">
        <f t="shared" si="0"/>
        <v>0</v>
      </c>
      <c r="H16" s="209">
        <f>'Attachment H-28A MAIT '!$G$61</f>
        <v>1</v>
      </c>
      <c r="I16" s="209">
        <f>'Attachment H-28A MAIT '!$I$233</f>
        <v>1</v>
      </c>
      <c r="J16" s="210">
        <f>(C16*H16)+(D16*I16)</f>
        <v>0</v>
      </c>
      <c r="K16" s="210">
        <f>(D16*H16)+(E16*I16)</f>
        <v>0</v>
      </c>
      <c r="L16" s="217">
        <f>J16+K16/2</f>
        <v>0</v>
      </c>
    </row>
    <row r="17" spans="1:12" ht="12.75">
      <c r="A17" s="89">
        <v>6</v>
      </c>
      <c r="B17" s="169" t="s">
        <v>292</v>
      </c>
      <c r="C17" s="172">
        <f>SUM(C12:C16)</f>
        <v>0</v>
      </c>
      <c r="D17" s="172">
        <f>SUM(D12:D16)</f>
        <v>0</v>
      </c>
      <c r="E17" s="172">
        <f>SUM(E12:E16)</f>
        <v>0</v>
      </c>
      <c r="F17" s="172">
        <f>SUM(F12:F16)</f>
        <v>0</v>
      </c>
      <c r="G17" s="172">
        <f t="shared" si="0"/>
        <v>0</v>
      </c>
      <c r="H17" s="172"/>
      <c r="I17" s="172"/>
      <c r="J17" s="172">
        <f>SUM(J12:J16)</f>
        <v>0</v>
      </c>
      <c r="K17" s="172">
        <f>SUM(K12:K16)</f>
        <v>0</v>
      </c>
      <c r="L17" s="216">
        <f>SUM(L12:L16)</f>
        <v>0</v>
      </c>
    </row>
    <row r="18" spans="2:7" ht="12.75">
      <c r="B18" s="169"/>
      <c r="C18" s="183"/>
      <c r="D18" s="208"/>
      <c r="E18" s="183"/>
      <c r="F18" s="172"/>
      <c r="G18" s="172"/>
    </row>
    <row r="19" spans="1:7" ht="12.75">
      <c r="A19" s="89" t="s">
        <v>229</v>
      </c>
      <c r="B19" s="169"/>
      <c r="C19" s="208"/>
      <c r="D19" s="183"/>
      <c r="E19" s="183"/>
      <c r="F19" s="183"/>
      <c r="G19" s="183"/>
    </row>
    <row r="20" spans="1:7" ht="12.75">
      <c r="A20" s="212" t="s">
        <v>123</v>
      </c>
      <c r="B20" s="89" t="s">
        <v>691</v>
      </c>
      <c r="C20" s="183"/>
      <c r="D20" s="183"/>
      <c r="E20" s="175"/>
      <c r="F20" s="172"/>
      <c r="G20" s="172"/>
    </row>
    <row r="21" spans="1:12" ht="12.75">
      <c r="A21" s="176" t="s">
        <v>124</v>
      </c>
      <c r="B21" s="89" t="s">
        <v>692</v>
      </c>
      <c r="G21" s="172"/>
      <c r="H21" s="172"/>
      <c r="I21" s="172"/>
      <c r="J21" s="176"/>
      <c r="K21" s="172"/>
      <c r="L21" s="172"/>
    </row>
    <row r="22" spans="1:12" ht="12.75">
      <c r="A22" s="176" t="s">
        <v>125</v>
      </c>
      <c r="B22" s="89" t="s">
        <v>506</v>
      </c>
      <c r="G22" s="172"/>
      <c r="H22" s="172"/>
      <c r="I22" s="172"/>
      <c r="J22" s="175"/>
      <c r="K22" s="172"/>
      <c r="L22" s="172"/>
    </row>
    <row r="23" spans="1:2" ht="12.75">
      <c r="A23" s="176" t="s">
        <v>126</v>
      </c>
      <c r="B23" s="89" t="s">
        <v>507</v>
      </c>
    </row>
    <row r="24" spans="1:10" ht="12" customHeight="1">
      <c r="A24" s="176" t="s">
        <v>127</v>
      </c>
      <c r="B24" s="89" t="s">
        <v>693</v>
      </c>
      <c r="C24" s="169"/>
      <c r="D24" s="169"/>
      <c r="E24" s="169"/>
      <c r="F24" s="169"/>
      <c r="G24" s="169"/>
      <c r="H24" s="169"/>
      <c r="I24" s="169"/>
      <c r="J24" s="169"/>
    </row>
    <row r="25" spans="8:8" ht="12.75">
      <c r="H25" s="202"/>
    </row>
    <row r="27" spans="2:2" ht="12.75">
      <c r="B27" s="177"/>
    </row>
    <row r="28" spans="2:13" ht="12.75">
      <c r="B28" s="1193" t="s">
        <v>450</v>
      </c>
      <c r="C28" s="1193"/>
      <c r="D28" s="1193"/>
      <c r="E28" s="1193"/>
      <c r="F28" s="1193"/>
      <c r="G28" s="1193"/>
      <c r="H28" s="1193"/>
      <c r="I28" s="1193"/>
      <c r="J28" s="1193"/>
      <c r="K28" s="1193"/>
      <c r="L28" s="1193"/>
      <c r="M28" s="1193"/>
    </row>
    <row r="29" spans="2:2" ht="12.75">
      <c r="B29" s="178" t="s">
        <v>451</v>
      </c>
    </row>
    <row r="30" spans="2:11" ht="15.75">
      <c r="B30" s="166"/>
      <c r="C30" s="166"/>
      <c r="D30" s="166"/>
      <c r="E30" s="166"/>
      <c r="F30" s="166"/>
      <c r="G30" s="166"/>
      <c r="H30" s="166"/>
      <c r="I30" s="166"/>
      <c r="J30" s="166"/>
      <c r="K30" s="179"/>
    </row>
    <row r="31" spans="10:11" ht="12.75">
      <c r="J31" s="169"/>
      <c r="K31" s="169"/>
    </row>
    <row r="32" spans="2:11" ht="13.5" thickBot="1">
      <c r="B32" s="166" t="s">
        <v>123</v>
      </c>
      <c r="C32" s="166" t="s">
        <v>437</v>
      </c>
      <c r="D32" s="166" t="s">
        <v>438</v>
      </c>
      <c r="E32" s="166" t="s">
        <v>439</v>
      </c>
      <c r="F32" s="166" t="s">
        <v>125</v>
      </c>
      <c r="G32" s="166" t="s">
        <v>126</v>
      </c>
      <c r="H32" s="166" t="s">
        <v>127</v>
      </c>
      <c r="I32" s="166" t="s">
        <v>128</v>
      </c>
      <c r="J32" s="166" t="s">
        <v>129</v>
      </c>
      <c r="K32" s="169"/>
    </row>
    <row r="33" spans="3:12" ht="13.5" thickBot="1">
      <c r="C33" s="1195" t="str">
        <f>C5</f>
        <v>Jersey Central Power &amp; Light</v>
      </c>
      <c r="D33" s="1196"/>
      <c r="E33" s="1196"/>
      <c r="F33" s="1196"/>
      <c r="G33" s="1196"/>
      <c r="H33" s="1196"/>
      <c r="I33" s="1196"/>
      <c r="J33" s="1197"/>
      <c r="K33" s="166"/>
      <c r="L33" s="166"/>
    </row>
    <row r="35" spans="2:12" ht="12.75">
      <c r="B35" s="169" t="s">
        <v>452</v>
      </c>
      <c r="C35" s="166" t="s">
        <v>440</v>
      </c>
      <c r="D35" s="166"/>
      <c r="E35" s="170"/>
      <c r="F35" s="166" t="s">
        <v>442</v>
      </c>
      <c r="G35" s="166" t="s">
        <v>454</v>
      </c>
      <c r="H35" s="166" t="s">
        <v>455</v>
      </c>
      <c r="I35" s="166"/>
      <c r="J35" s="166"/>
      <c r="K35" s="166"/>
      <c r="L35" s="166"/>
    </row>
    <row r="36" spans="3:12" ht="12.75">
      <c r="C36" s="166" t="s">
        <v>456</v>
      </c>
      <c r="D36" s="166"/>
      <c r="E36" s="166"/>
      <c r="F36" s="166" t="s">
        <v>445</v>
      </c>
      <c r="G36" s="166" t="s">
        <v>457</v>
      </c>
      <c r="H36" s="166" t="s">
        <v>28</v>
      </c>
      <c r="I36" s="166" t="s">
        <v>443</v>
      </c>
      <c r="J36" s="166" t="s">
        <v>444</v>
      </c>
      <c r="K36" s="166"/>
      <c r="L36" s="166"/>
    </row>
    <row r="37" spans="3:13" ht="12.75">
      <c r="C37" s="180" t="s">
        <v>458</v>
      </c>
      <c r="D37" s="166"/>
      <c r="G37" s="166" t="s">
        <v>445</v>
      </c>
      <c r="H37" s="166" t="s">
        <v>445</v>
      </c>
      <c r="I37" s="166" t="s">
        <v>445</v>
      </c>
      <c r="J37" s="166" t="s">
        <v>445</v>
      </c>
      <c r="K37" s="166"/>
      <c r="L37" s="166"/>
      <c r="M37" s="166" t="s">
        <v>460</v>
      </c>
    </row>
    <row r="38" spans="2:2" ht="12.75">
      <c r="B38" s="181" t="s">
        <v>3</v>
      </c>
    </row>
    <row r="39" spans="2:13" ht="12.75">
      <c r="B39" s="418"/>
      <c r="C39" s="419"/>
      <c r="D39" s="419"/>
      <c r="E39" s="420"/>
      <c r="F39" s="420"/>
      <c r="G39" s="420"/>
      <c r="H39" s="420">
        <f>C39</f>
        <v>0</v>
      </c>
      <c r="I39" s="420"/>
      <c r="J39" s="420"/>
      <c r="K39" s="420"/>
      <c r="L39" s="420"/>
      <c r="M39" s="421"/>
    </row>
    <row r="40" spans="2:13" ht="12.75">
      <c r="B40" s="418"/>
      <c r="C40" s="419"/>
      <c r="D40" s="419"/>
      <c r="E40" s="420"/>
      <c r="F40" s="420"/>
      <c r="G40" s="420"/>
      <c r="H40" s="420">
        <f>C40</f>
        <v>0</v>
      </c>
      <c r="I40" s="420"/>
      <c r="J40" s="420"/>
      <c r="K40" s="420"/>
      <c r="L40" s="420"/>
      <c r="M40" s="420"/>
    </row>
    <row r="41" spans="2:13" ht="12.75">
      <c r="B41" s="418"/>
      <c r="C41" s="419"/>
      <c r="D41" s="419"/>
      <c r="E41" s="420"/>
      <c r="F41" s="420"/>
      <c r="G41" s="420"/>
      <c r="H41" s="420">
        <f>C41</f>
        <v>0</v>
      </c>
      <c r="I41" s="420"/>
      <c r="J41" s="420"/>
      <c r="K41" s="420"/>
      <c r="L41" s="420"/>
      <c r="M41" s="420"/>
    </row>
    <row r="42" spans="2:13" ht="12.75">
      <c r="B42" s="418"/>
      <c r="C42" s="419"/>
      <c r="D42" s="419"/>
      <c r="E42" s="420"/>
      <c r="F42" s="420"/>
      <c r="G42" s="420"/>
      <c r="H42" s="420">
        <f>C42</f>
        <v>0</v>
      </c>
      <c r="I42" s="420"/>
      <c r="J42" s="420"/>
      <c r="K42" s="420"/>
      <c r="L42" s="420"/>
      <c r="M42" s="420"/>
    </row>
    <row r="43" spans="2:13" ht="12.75">
      <c r="B43" s="418"/>
      <c r="C43" s="419"/>
      <c r="D43" s="419"/>
      <c r="E43" s="420"/>
      <c r="F43" s="420"/>
      <c r="G43" s="420"/>
      <c r="H43" s="420">
        <f>C43</f>
        <v>0</v>
      </c>
      <c r="I43" s="420"/>
      <c r="J43" s="420"/>
      <c r="K43" s="420"/>
      <c r="L43" s="420"/>
      <c r="M43" s="420"/>
    </row>
    <row r="44" spans="2:13" ht="12.75">
      <c r="B44" s="418"/>
      <c r="C44" s="419"/>
      <c r="D44" s="419"/>
      <c r="E44" s="420"/>
      <c r="F44" s="420"/>
      <c r="G44" s="420">
        <f>C44</f>
        <v>0</v>
      </c>
      <c r="H44" s="420"/>
      <c r="I44" s="420"/>
      <c r="J44" s="420"/>
      <c r="K44" s="420"/>
      <c r="L44" s="420"/>
      <c r="M44" s="420"/>
    </row>
    <row r="45" spans="2:13" ht="12.75">
      <c r="B45" s="418"/>
      <c r="C45" s="419"/>
      <c r="D45" s="419"/>
      <c r="E45" s="420"/>
      <c r="F45" s="420"/>
      <c r="G45" s="420">
        <f>C45</f>
        <v>0</v>
      </c>
      <c r="H45" s="420"/>
      <c r="I45" s="420"/>
      <c r="J45" s="420"/>
      <c r="K45" s="420"/>
      <c r="L45" s="420"/>
      <c r="M45" s="421"/>
    </row>
    <row r="46" spans="2:13" ht="12.75">
      <c r="B46" s="422"/>
      <c r="C46" s="423"/>
      <c r="D46" s="423"/>
      <c r="E46" s="423"/>
      <c r="F46" s="423"/>
      <c r="G46" s="423"/>
      <c r="H46" s="423">
        <f>C46</f>
        <v>0</v>
      </c>
      <c r="I46" s="423"/>
      <c r="J46" s="423"/>
      <c r="K46" s="423"/>
      <c r="L46" s="423"/>
      <c r="M46" s="424"/>
    </row>
    <row r="47" spans="2:13" ht="12.75">
      <c r="B47" s="182" t="s">
        <v>292</v>
      </c>
      <c r="C47" s="183">
        <f t="shared" si="1" ref="C47:J47">SUM(C39:C46)</f>
        <v>0</v>
      </c>
      <c r="D47" s="183">
        <f t="shared" si="1"/>
        <v>0</v>
      </c>
      <c r="E47" s="183"/>
      <c r="F47" s="183">
        <f t="shared" si="1"/>
        <v>0</v>
      </c>
      <c r="G47" s="183">
        <f t="shared" si="1"/>
        <v>0</v>
      </c>
      <c r="H47" s="183">
        <f t="shared" si="1"/>
        <v>0</v>
      </c>
      <c r="I47" s="183">
        <f t="shared" si="1"/>
        <v>0</v>
      </c>
      <c r="J47" s="183">
        <f t="shared" si="1"/>
        <v>0</v>
      </c>
      <c r="K47" s="183"/>
      <c r="L47" s="183"/>
      <c r="M47" s="184"/>
    </row>
    <row r="48" spans="2:13" ht="12.75">
      <c r="B48" s="182"/>
      <c r="C48" s="183"/>
      <c r="D48" s="183"/>
      <c r="E48" s="183"/>
      <c r="F48" s="183"/>
      <c r="G48" s="183"/>
      <c r="H48" s="183"/>
      <c r="I48" s="183"/>
      <c r="J48" s="183"/>
      <c r="K48" s="183"/>
      <c r="L48" s="183"/>
      <c r="M48" s="184"/>
    </row>
    <row r="49" spans="2:13" ht="12.75">
      <c r="B49" s="182"/>
      <c r="C49" s="183"/>
      <c r="D49" s="183"/>
      <c r="E49" s="183"/>
      <c r="F49" s="183"/>
      <c r="G49" s="183"/>
      <c r="H49" s="183"/>
      <c r="I49" s="183"/>
      <c r="J49" s="183"/>
      <c r="K49" s="183"/>
      <c r="L49" s="183"/>
      <c r="M49" s="184"/>
    </row>
    <row r="50" spans="2:12" ht="12.75">
      <c r="B50" s="169" t="s">
        <v>452</v>
      </c>
      <c r="C50" s="166"/>
      <c r="D50" s="166" t="s">
        <v>453</v>
      </c>
      <c r="E50" s="170"/>
      <c r="F50" s="166" t="s">
        <v>442</v>
      </c>
      <c r="G50" s="166" t="s">
        <v>454</v>
      </c>
      <c r="H50" s="166" t="s">
        <v>455</v>
      </c>
      <c r="I50" s="166"/>
      <c r="J50" s="166"/>
      <c r="K50" s="166"/>
      <c r="L50" s="166"/>
    </row>
    <row r="51" spans="3:12" ht="12.75">
      <c r="C51" s="166"/>
      <c r="D51" s="166" t="s">
        <v>456</v>
      </c>
      <c r="E51" s="166"/>
      <c r="F51" s="166" t="s">
        <v>445</v>
      </c>
      <c r="G51" s="166" t="s">
        <v>457</v>
      </c>
      <c r="H51" s="166" t="s">
        <v>28</v>
      </c>
      <c r="I51" s="166" t="s">
        <v>443</v>
      </c>
      <c r="J51" s="166" t="s">
        <v>444</v>
      </c>
      <c r="K51" s="166"/>
      <c r="L51" s="166"/>
    </row>
    <row r="52" spans="3:13" ht="12.75">
      <c r="C52" s="166"/>
      <c r="D52" s="180" t="s">
        <v>459</v>
      </c>
      <c r="G52" s="166" t="s">
        <v>445</v>
      </c>
      <c r="H52" s="166" t="s">
        <v>445</v>
      </c>
      <c r="I52" s="166" t="s">
        <v>445</v>
      </c>
      <c r="J52" s="166" t="s">
        <v>445</v>
      </c>
      <c r="K52" s="166"/>
      <c r="L52" s="166"/>
      <c r="M52" s="166" t="s">
        <v>460</v>
      </c>
    </row>
    <row r="53" spans="2:2" ht="12.75">
      <c r="B53" s="181" t="s">
        <v>3</v>
      </c>
    </row>
    <row r="54" spans="2:13" ht="12.75">
      <c r="B54" s="418"/>
      <c r="C54" s="419"/>
      <c r="D54" s="419"/>
      <c r="E54" s="420"/>
      <c r="F54" s="420"/>
      <c r="G54" s="420"/>
      <c r="H54" s="420">
        <f>D54</f>
        <v>0</v>
      </c>
      <c r="I54" s="420"/>
      <c r="J54" s="420"/>
      <c r="K54" s="420"/>
      <c r="L54" s="420"/>
      <c r="M54" s="421"/>
    </row>
    <row r="55" spans="2:13" ht="12.75">
      <c r="B55" s="418"/>
      <c r="C55" s="419"/>
      <c r="D55" s="419"/>
      <c r="E55" s="420"/>
      <c r="F55" s="420"/>
      <c r="G55" s="420"/>
      <c r="H55" s="420">
        <f>D55</f>
        <v>0</v>
      </c>
      <c r="I55" s="420"/>
      <c r="J55" s="420"/>
      <c r="K55" s="420"/>
      <c r="L55" s="420"/>
      <c r="M55" s="420"/>
    </row>
    <row r="56" spans="2:13" ht="12.75">
      <c r="B56" s="418"/>
      <c r="C56" s="419"/>
      <c r="D56" s="419"/>
      <c r="E56" s="420"/>
      <c r="F56" s="420"/>
      <c r="G56" s="420"/>
      <c r="H56" s="420">
        <f>D56</f>
        <v>0</v>
      </c>
      <c r="I56" s="420"/>
      <c r="J56" s="420"/>
      <c r="K56" s="420"/>
      <c r="L56" s="420"/>
      <c r="M56" s="420"/>
    </row>
    <row r="57" spans="2:13" ht="12.75">
      <c r="B57" s="418"/>
      <c r="C57" s="419"/>
      <c r="D57" s="419"/>
      <c r="E57" s="420"/>
      <c r="F57" s="420"/>
      <c r="G57" s="420"/>
      <c r="H57" s="420">
        <f>D57</f>
        <v>0</v>
      </c>
      <c r="I57" s="420"/>
      <c r="J57" s="420"/>
      <c r="K57" s="420"/>
      <c r="L57" s="420"/>
      <c r="M57" s="420"/>
    </row>
    <row r="58" spans="2:13" ht="12.75">
      <c r="B58" s="418"/>
      <c r="C58" s="419"/>
      <c r="D58" s="419"/>
      <c r="E58" s="420"/>
      <c r="F58" s="420"/>
      <c r="G58" s="420"/>
      <c r="H58" s="420">
        <f>D58</f>
        <v>0</v>
      </c>
      <c r="I58" s="420"/>
      <c r="J58" s="420"/>
      <c r="K58" s="420"/>
      <c r="L58" s="420"/>
      <c r="M58" s="420"/>
    </row>
    <row r="59" spans="2:13" ht="12.75">
      <c r="B59" s="418"/>
      <c r="C59" s="419"/>
      <c r="D59" s="419"/>
      <c r="E59" s="420"/>
      <c r="F59" s="420"/>
      <c r="G59" s="420">
        <f>D59</f>
        <v>0</v>
      </c>
      <c r="H59" s="420"/>
      <c r="I59" s="420"/>
      <c r="J59" s="420"/>
      <c r="K59" s="420"/>
      <c r="L59" s="420"/>
      <c r="M59" s="420"/>
    </row>
    <row r="60" spans="2:13" ht="12.75">
      <c r="B60" s="418"/>
      <c r="C60" s="419"/>
      <c r="D60" s="419"/>
      <c r="E60" s="420"/>
      <c r="F60" s="420"/>
      <c r="G60" s="420">
        <f>D60</f>
        <v>0</v>
      </c>
      <c r="H60" s="420"/>
      <c r="I60" s="420"/>
      <c r="J60" s="420"/>
      <c r="K60" s="420"/>
      <c r="L60" s="420"/>
      <c r="M60" s="421"/>
    </row>
    <row r="61" spans="2:13" ht="12.75">
      <c r="B61" s="422"/>
      <c r="C61" s="423"/>
      <c r="D61" s="423"/>
      <c r="E61" s="423"/>
      <c r="F61" s="423"/>
      <c r="G61" s="423"/>
      <c r="H61" s="423">
        <f>D61</f>
        <v>0</v>
      </c>
      <c r="I61" s="423"/>
      <c r="J61" s="423"/>
      <c r="K61" s="423"/>
      <c r="L61" s="423"/>
      <c r="M61" s="424"/>
    </row>
    <row r="62" spans="2:13" ht="12.75">
      <c r="B62" s="182" t="s">
        <v>292</v>
      </c>
      <c r="C62" s="183">
        <f t="shared" si="2" ref="C62:J62">SUM(C54:C61)</f>
        <v>0</v>
      </c>
      <c r="D62" s="183">
        <f t="shared" si="2"/>
        <v>0</v>
      </c>
      <c r="E62" s="183"/>
      <c r="F62" s="183">
        <f t="shared" si="2"/>
        <v>0</v>
      </c>
      <c r="G62" s="183">
        <f t="shared" si="2"/>
        <v>0</v>
      </c>
      <c r="H62" s="183">
        <f t="shared" si="2"/>
        <v>0</v>
      </c>
      <c r="I62" s="183">
        <f t="shared" si="2"/>
        <v>0</v>
      </c>
      <c r="J62" s="183">
        <f t="shared" si="2"/>
        <v>0</v>
      </c>
      <c r="K62" s="183"/>
      <c r="L62" s="183"/>
      <c r="M62" s="184"/>
    </row>
    <row r="63" spans="2:13" ht="12.75">
      <c r="B63" s="182"/>
      <c r="C63" s="183"/>
      <c r="D63" s="183"/>
      <c r="E63" s="183"/>
      <c r="F63" s="183"/>
      <c r="G63" s="183"/>
      <c r="H63" s="183"/>
      <c r="I63" s="183"/>
      <c r="J63" s="183"/>
      <c r="K63" s="183"/>
      <c r="L63" s="183"/>
      <c r="M63" s="184"/>
    </row>
    <row r="64" spans="2:13" ht="12.75">
      <c r="B64" s="182"/>
      <c r="C64" s="183"/>
      <c r="D64" s="183"/>
      <c r="E64" s="183"/>
      <c r="F64" s="183"/>
      <c r="G64" s="183"/>
      <c r="H64" s="183"/>
      <c r="I64" s="183"/>
      <c r="J64" s="183"/>
      <c r="K64" s="183"/>
      <c r="L64" s="183"/>
      <c r="M64" s="184"/>
    </row>
    <row r="65" spans="2:12" ht="12.75">
      <c r="B65" s="169" t="s">
        <v>670</v>
      </c>
      <c r="C65" s="166" t="s">
        <v>440</v>
      </c>
      <c r="D65" s="166" t="s">
        <v>453</v>
      </c>
      <c r="E65" s="170"/>
      <c r="F65" s="166" t="s">
        <v>442</v>
      </c>
      <c r="G65" s="166" t="s">
        <v>454</v>
      </c>
      <c r="H65" s="166"/>
      <c r="I65" s="166"/>
      <c r="J65" s="166"/>
      <c r="K65" s="166"/>
      <c r="L65" s="166"/>
    </row>
    <row r="66" spans="3:12" ht="25.5">
      <c r="C66" s="166" t="s">
        <v>456</v>
      </c>
      <c r="D66" s="166" t="s">
        <v>456</v>
      </c>
      <c r="E66" s="170" t="s">
        <v>441</v>
      </c>
      <c r="F66" s="166" t="s">
        <v>445</v>
      </c>
      <c r="G66" s="166" t="s">
        <v>457</v>
      </c>
      <c r="H66" s="170" t="s">
        <v>671</v>
      </c>
      <c r="I66" s="166" t="s">
        <v>443</v>
      </c>
      <c r="J66" s="166" t="s">
        <v>444</v>
      </c>
      <c r="K66" s="166"/>
      <c r="L66" s="166"/>
    </row>
    <row r="67" spans="3:13" ht="12.75">
      <c r="C67" s="180" t="s">
        <v>458</v>
      </c>
      <c r="D67" s="180" t="s">
        <v>459</v>
      </c>
      <c r="E67" s="166" t="s">
        <v>672</v>
      </c>
      <c r="G67" s="166" t="s">
        <v>445</v>
      </c>
      <c r="H67" s="166" t="s">
        <v>445</v>
      </c>
      <c r="I67" s="166" t="s">
        <v>445</v>
      </c>
      <c r="J67" s="166" t="s">
        <v>445</v>
      </c>
      <c r="K67" s="166"/>
      <c r="L67" s="166"/>
      <c r="M67" s="166" t="s">
        <v>460</v>
      </c>
    </row>
    <row r="68" spans="2:2" ht="12.75">
      <c r="B68" s="181" t="s">
        <v>3</v>
      </c>
    </row>
    <row r="69" spans="2:13" ht="12.75">
      <c r="B69" s="425"/>
      <c r="C69" s="426">
        <f>C39</f>
        <v>0</v>
      </c>
      <c r="D69" s="426">
        <f>D54</f>
        <v>0</v>
      </c>
      <c r="E69" s="183">
        <f>AVERAGE(C69:D69)</f>
        <v>0</v>
      </c>
      <c r="F69" s="183"/>
      <c r="G69" s="183"/>
      <c r="H69" s="183">
        <f>E69</f>
        <v>0</v>
      </c>
      <c r="I69" s="183"/>
      <c r="J69" s="183"/>
      <c r="K69" s="183"/>
      <c r="L69" s="183"/>
      <c r="M69" s="427"/>
    </row>
    <row r="70" spans="2:13" ht="12.75">
      <c r="B70" s="425"/>
      <c r="C70" s="426">
        <f t="shared" si="3" ref="C70:C75">C40</f>
        <v>0</v>
      </c>
      <c r="D70" s="426">
        <f t="shared" si="4" ref="D70:D76">D55</f>
        <v>0</v>
      </c>
      <c r="E70" s="183">
        <f t="shared" si="5" ref="E70:E76">AVERAGE(C70:D70)</f>
        <v>0</v>
      </c>
      <c r="F70" s="183"/>
      <c r="G70" s="183"/>
      <c r="H70" s="183">
        <f>E70</f>
        <v>0</v>
      </c>
      <c r="I70" s="183"/>
      <c r="J70" s="183"/>
      <c r="K70" s="183"/>
      <c r="L70" s="183"/>
      <c r="M70" s="183"/>
    </row>
    <row r="71" spans="2:13" ht="12.75">
      <c r="B71" s="425"/>
      <c r="C71" s="426">
        <f t="shared" si="3"/>
        <v>0</v>
      </c>
      <c r="D71" s="426">
        <f t="shared" si="4"/>
        <v>0</v>
      </c>
      <c r="E71" s="183">
        <f t="shared" si="5"/>
        <v>0</v>
      </c>
      <c r="F71" s="183"/>
      <c r="G71" s="183"/>
      <c r="H71" s="183">
        <f>E71</f>
        <v>0</v>
      </c>
      <c r="I71" s="183"/>
      <c r="J71" s="183"/>
      <c r="K71" s="183"/>
      <c r="L71" s="183"/>
      <c r="M71" s="183"/>
    </row>
    <row r="72" spans="2:13" ht="12.75">
      <c r="B72" s="425"/>
      <c r="C72" s="426">
        <f t="shared" si="3"/>
        <v>0</v>
      </c>
      <c r="D72" s="426">
        <f t="shared" si="4"/>
        <v>0</v>
      </c>
      <c r="E72" s="183">
        <f t="shared" si="5"/>
        <v>0</v>
      </c>
      <c r="F72" s="183"/>
      <c r="G72" s="183"/>
      <c r="H72" s="183">
        <f>E72</f>
        <v>0</v>
      </c>
      <c r="I72" s="183"/>
      <c r="J72" s="183"/>
      <c r="K72" s="183"/>
      <c r="L72" s="183"/>
      <c r="M72" s="183"/>
    </row>
    <row r="73" spans="2:13" ht="12.75">
      <c r="B73" s="425"/>
      <c r="C73" s="426">
        <f t="shared" si="3"/>
        <v>0</v>
      </c>
      <c r="D73" s="426">
        <f t="shared" si="4"/>
        <v>0</v>
      </c>
      <c r="E73" s="183">
        <f t="shared" si="5"/>
        <v>0</v>
      </c>
      <c r="F73" s="183"/>
      <c r="G73" s="183"/>
      <c r="H73" s="183">
        <f>E73</f>
        <v>0</v>
      </c>
      <c r="I73" s="183"/>
      <c r="J73" s="183"/>
      <c r="K73" s="183"/>
      <c r="L73" s="183"/>
      <c r="M73" s="183"/>
    </row>
    <row r="74" spans="2:13" ht="12.75">
      <c r="B74" s="425"/>
      <c r="C74" s="426">
        <f t="shared" si="3"/>
        <v>0</v>
      </c>
      <c r="D74" s="426">
        <f t="shared" si="4"/>
        <v>0</v>
      </c>
      <c r="E74" s="183">
        <f t="shared" si="5"/>
        <v>0</v>
      </c>
      <c r="F74" s="183"/>
      <c r="G74" s="183">
        <f>E74</f>
        <v>0</v>
      </c>
      <c r="H74" s="183"/>
      <c r="I74" s="183"/>
      <c r="J74" s="183"/>
      <c r="K74" s="183"/>
      <c r="L74" s="183"/>
      <c r="M74" s="183"/>
    </row>
    <row r="75" spans="2:13" ht="12.75">
      <c r="B75" s="425"/>
      <c r="C75" s="426">
        <f t="shared" si="3"/>
        <v>0</v>
      </c>
      <c r="D75" s="426">
        <f t="shared" si="4"/>
        <v>0</v>
      </c>
      <c r="E75" s="183">
        <f t="shared" si="5"/>
        <v>0</v>
      </c>
      <c r="F75" s="183"/>
      <c r="G75" s="183">
        <f>E75</f>
        <v>0</v>
      </c>
      <c r="H75" s="183"/>
      <c r="I75" s="183"/>
      <c r="J75" s="183"/>
      <c r="K75" s="183"/>
      <c r="L75" s="183"/>
      <c r="M75" s="427"/>
    </row>
    <row r="76" spans="2:13" ht="12.75">
      <c r="B76" s="428"/>
      <c r="C76" s="429">
        <f>C46</f>
        <v>0</v>
      </c>
      <c r="D76" s="429">
        <f t="shared" si="4"/>
        <v>0</v>
      </c>
      <c r="E76" s="430">
        <f t="shared" si="5"/>
        <v>0</v>
      </c>
      <c r="F76" s="430"/>
      <c r="G76" s="430"/>
      <c r="H76" s="430">
        <f>E76</f>
        <v>0</v>
      </c>
      <c r="I76" s="430"/>
      <c r="J76" s="430"/>
      <c r="K76" s="430"/>
      <c r="L76" s="430"/>
      <c r="M76" s="431"/>
    </row>
    <row r="77" spans="2:13" ht="12.75">
      <c r="B77" s="182" t="s">
        <v>292</v>
      </c>
      <c r="C77" s="183">
        <f t="shared" si="6" ref="C77:J77">SUM(C69:C76)</f>
        <v>0</v>
      </c>
      <c r="D77" s="183">
        <f t="shared" si="6"/>
        <v>0</v>
      </c>
      <c r="E77" s="183">
        <f t="shared" si="6"/>
        <v>0</v>
      </c>
      <c r="F77" s="183">
        <f t="shared" si="6"/>
        <v>0</v>
      </c>
      <c r="G77" s="183">
        <f t="shared" si="6"/>
        <v>0</v>
      </c>
      <c r="H77" s="183">
        <f t="shared" si="6"/>
        <v>0</v>
      </c>
      <c r="I77" s="183">
        <f t="shared" si="6"/>
        <v>0</v>
      </c>
      <c r="J77" s="183">
        <f t="shared" si="6"/>
        <v>0</v>
      </c>
      <c r="K77" s="183"/>
      <c r="L77" s="183"/>
      <c r="M77" s="184"/>
    </row>
    <row r="78" spans="2:13" ht="12.75">
      <c r="B78" s="182"/>
      <c r="C78" s="183"/>
      <c r="D78" s="183"/>
      <c r="E78" s="183"/>
      <c r="F78" s="183"/>
      <c r="G78" s="183"/>
      <c r="H78" s="183"/>
      <c r="I78" s="183"/>
      <c r="J78" s="183"/>
      <c r="K78" s="183"/>
      <c r="L78" s="183"/>
      <c r="M78" s="184"/>
    </row>
    <row r="79" spans="2:13" ht="12.75">
      <c r="B79" s="182"/>
      <c r="C79" s="183"/>
      <c r="D79" s="183"/>
      <c r="E79" s="183"/>
      <c r="F79" s="183"/>
      <c r="G79" s="183"/>
      <c r="H79" s="183"/>
      <c r="I79" s="183"/>
      <c r="J79" s="183"/>
      <c r="K79" s="183"/>
      <c r="L79" s="183"/>
      <c r="M79" s="184"/>
    </row>
    <row r="80" spans="2:13" ht="12.75">
      <c r="B80" s="182"/>
      <c r="C80" s="183"/>
      <c r="D80" s="183"/>
      <c r="E80" s="183"/>
      <c r="F80" s="183"/>
      <c r="G80" s="183"/>
      <c r="H80" s="183"/>
      <c r="I80" s="183"/>
      <c r="J80" s="183"/>
      <c r="K80" s="183"/>
      <c r="L80" s="183"/>
      <c r="M80" s="184"/>
    </row>
    <row r="81" spans="2:12" ht="12.75">
      <c r="B81" s="189"/>
      <c r="J81" s="175"/>
      <c r="K81" s="186"/>
      <c r="L81" s="172"/>
    </row>
    <row r="82" spans="2:12" ht="12.75">
      <c r="B82" s="185" t="s">
        <v>461</v>
      </c>
      <c r="C82" s="171"/>
      <c r="D82" s="171"/>
      <c r="E82" s="171"/>
      <c r="F82" s="171"/>
      <c r="G82" s="175"/>
      <c r="H82" s="175"/>
      <c r="I82" s="187"/>
      <c r="J82" s="187"/>
      <c r="K82" s="187"/>
      <c r="L82" s="173"/>
    </row>
    <row r="83" spans="2:12" ht="12.75">
      <c r="B83" s="185"/>
      <c r="C83" s="171"/>
      <c r="D83" s="171"/>
      <c r="E83" s="171"/>
      <c r="F83" s="171"/>
      <c r="G83" s="175"/>
      <c r="H83" s="175"/>
      <c r="I83" s="187"/>
      <c r="J83" s="187"/>
      <c r="K83" s="187"/>
      <c r="L83" s="173"/>
    </row>
    <row r="84" spans="2:12" ht="12.75">
      <c r="B84" s="1194" t="s">
        <v>462</v>
      </c>
      <c r="C84" s="1194"/>
      <c r="D84" s="1194"/>
      <c r="E84" s="1194"/>
      <c r="F84" s="1194"/>
      <c r="G84" s="1194"/>
      <c r="H84" s="1194"/>
      <c r="I84" s="1194"/>
      <c r="J84" s="1194"/>
      <c r="K84" s="1194"/>
      <c r="L84" s="173"/>
    </row>
    <row r="85" spans="2:11" ht="12.75" customHeight="1">
      <c r="B85" s="1194" t="s">
        <v>463</v>
      </c>
      <c r="C85" s="1194"/>
      <c r="D85" s="1194"/>
      <c r="E85" s="1194"/>
      <c r="F85" s="1194"/>
      <c r="G85" s="1194"/>
      <c r="H85" s="1194"/>
      <c r="I85" s="1194"/>
      <c r="J85" s="1194"/>
      <c r="K85" s="1194"/>
    </row>
    <row r="86" spans="2:11" ht="12.75" customHeight="1">
      <c r="B86" s="190" t="s">
        <v>464</v>
      </c>
      <c r="C86" s="175"/>
      <c r="D86" s="175"/>
      <c r="E86" s="175"/>
      <c r="F86" s="175"/>
      <c r="G86" s="175"/>
      <c r="H86" s="175"/>
      <c r="I86" s="187"/>
      <c r="J86" s="187"/>
      <c r="K86" s="187"/>
    </row>
    <row r="87" spans="2:11" ht="12.75">
      <c r="B87" s="190" t="s">
        <v>465</v>
      </c>
      <c r="C87" s="175"/>
      <c r="D87" s="175"/>
      <c r="E87" s="175"/>
      <c r="F87" s="175"/>
      <c r="G87" s="175"/>
      <c r="H87" s="175"/>
      <c r="I87" s="187"/>
      <c r="J87" s="187"/>
      <c r="K87" s="187"/>
    </row>
    <row r="88" spans="2:11" ht="12.75">
      <c r="B88" s="190" t="s">
        <v>466</v>
      </c>
      <c r="C88" s="175"/>
      <c r="D88" s="175"/>
      <c r="E88" s="175"/>
      <c r="F88" s="175"/>
      <c r="G88" s="175"/>
      <c r="H88" s="175"/>
      <c r="I88" s="187"/>
      <c r="J88" s="187"/>
      <c r="K88" s="187"/>
    </row>
    <row r="89" spans="2:11" ht="27" customHeight="1">
      <c r="B89" s="1194" t="s">
        <v>467</v>
      </c>
      <c r="C89" s="1194"/>
      <c r="D89" s="1194"/>
      <c r="E89" s="1194"/>
      <c r="F89" s="1194"/>
      <c r="G89" s="1194"/>
      <c r="H89" s="1194"/>
      <c r="I89" s="1194"/>
      <c r="J89" s="1194"/>
      <c r="K89" s="1194"/>
    </row>
    <row r="90" spans="2:11" ht="27" customHeight="1">
      <c r="B90" s="391"/>
      <c r="C90" s="391"/>
      <c r="D90" s="391"/>
      <c r="E90" s="391"/>
      <c r="F90" s="391"/>
      <c r="G90" s="391"/>
      <c r="H90" s="391"/>
      <c r="I90" s="391"/>
      <c r="J90" s="391"/>
      <c r="K90" s="391"/>
    </row>
    <row r="91" spans="2:11" ht="12.75" customHeight="1">
      <c r="B91" s="166" t="s">
        <v>123</v>
      </c>
      <c r="C91" s="166" t="s">
        <v>437</v>
      </c>
      <c r="D91" s="166" t="s">
        <v>438</v>
      </c>
      <c r="E91" s="166" t="s">
        <v>439</v>
      </c>
      <c r="F91" s="166" t="s">
        <v>125</v>
      </c>
      <c r="G91" s="166" t="s">
        <v>126</v>
      </c>
      <c r="H91" s="166" t="s">
        <v>127</v>
      </c>
      <c r="I91" s="166" t="s">
        <v>128</v>
      </c>
      <c r="J91" s="166" t="s">
        <v>129</v>
      </c>
      <c r="K91" s="192"/>
    </row>
    <row r="92" spans="2:11" ht="12.75">
      <c r="B92" s="166" t="s">
        <v>468</v>
      </c>
      <c r="C92" s="172"/>
      <c r="D92" s="172"/>
      <c r="E92" s="172"/>
      <c r="F92" s="172"/>
      <c r="G92" s="183"/>
      <c r="H92" s="183"/>
      <c r="I92" s="186"/>
      <c r="J92" s="186"/>
      <c r="K92" s="186"/>
    </row>
    <row r="93" spans="2:12" ht="12.75">
      <c r="B93" s="191"/>
      <c r="C93" s="166" t="s">
        <v>440</v>
      </c>
      <c r="D93" s="166"/>
      <c r="E93" s="170"/>
      <c r="F93" s="166" t="s">
        <v>442</v>
      </c>
      <c r="G93" s="166" t="s">
        <v>454</v>
      </c>
      <c r="H93" s="166" t="s">
        <v>455</v>
      </c>
      <c r="I93" s="166"/>
      <c r="J93" s="166"/>
      <c r="K93" s="196"/>
      <c r="L93" s="196"/>
    </row>
    <row r="94" spans="2:13" ht="12.75">
      <c r="B94" s="194" t="s">
        <v>674</v>
      </c>
      <c r="C94" s="166" t="s">
        <v>456</v>
      </c>
      <c r="D94" s="166"/>
      <c r="E94" s="166"/>
      <c r="F94" s="166" t="s">
        <v>445</v>
      </c>
      <c r="G94" s="166" t="s">
        <v>457</v>
      </c>
      <c r="H94" s="166" t="s">
        <v>28</v>
      </c>
      <c r="I94" s="166" t="s">
        <v>443</v>
      </c>
      <c r="J94" s="166" t="s">
        <v>444</v>
      </c>
      <c r="K94" s="196"/>
      <c r="L94" s="196"/>
      <c r="M94" s="173" t="s">
        <v>3</v>
      </c>
    </row>
    <row r="95" spans="2:12" ht="12.75">
      <c r="B95" s="188"/>
      <c r="C95" s="180" t="s">
        <v>469</v>
      </c>
      <c r="D95" s="166"/>
      <c r="G95" s="166" t="s">
        <v>445</v>
      </c>
      <c r="H95" s="166" t="s">
        <v>445</v>
      </c>
      <c r="I95" s="166" t="s">
        <v>445</v>
      </c>
      <c r="J95" s="166" t="s">
        <v>445</v>
      </c>
      <c r="K95" s="196"/>
      <c r="L95" s="196"/>
    </row>
    <row r="96" spans="2:13" ht="12.75">
      <c r="B96" s="197"/>
      <c r="C96" s="172"/>
      <c r="D96" s="172"/>
      <c r="E96" s="172"/>
      <c r="F96" s="172"/>
      <c r="G96" s="196" t="s">
        <v>445</v>
      </c>
      <c r="H96" s="196" t="s">
        <v>445</v>
      </c>
      <c r="I96" s="196" t="s">
        <v>445</v>
      </c>
      <c r="J96" s="196" t="s">
        <v>445</v>
      </c>
      <c r="K96" s="196"/>
      <c r="L96" s="196"/>
      <c r="M96" s="166" t="s">
        <v>460</v>
      </c>
    </row>
    <row r="97" spans="2:12" ht="12.75">
      <c r="B97" s="197"/>
      <c r="C97" s="172"/>
      <c r="D97" s="172"/>
      <c r="E97" s="172"/>
      <c r="F97" s="172"/>
      <c r="G97" s="183"/>
      <c r="H97" s="183"/>
      <c r="I97" s="183"/>
      <c r="J97" s="183"/>
      <c r="K97" s="183"/>
      <c r="L97" s="183"/>
    </row>
    <row r="98" spans="2:13" ht="12.75">
      <c r="B98" s="418"/>
      <c r="C98" s="419"/>
      <c r="D98" s="420"/>
      <c r="E98" s="420"/>
      <c r="F98" s="420"/>
      <c r="G98" s="420"/>
      <c r="H98" s="420">
        <f t="shared" si="7" ref="H98:H106">C98</f>
        <v>0</v>
      </c>
      <c r="I98" s="420"/>
      <c r="J98" s="420"/>
      <c r="K98" s="432"/>
      <c r="L98" s="433"/>
      <c r="M98" s="434"/>
    </row>
    <row r="99" spans="2:13" ht="12.75">
      <c r="B99" s="418"/>
      <c r="C99" s="419"/>
      <c r="D99" s="420"/>
      <c r="E99" s="420"/>
      <c r="F99" s="420"/>
      <c r="G99" s="420"/>
      <c r="H99" s="420">
        <f t="shared" si="7"/>
        <v>0</v>
      </c>
      <c r="I99" s="435"/>
      <c r="J99" s="420"/>
      <c r="K99" s="432"/>
      <c r="L99" s="433"/>
      <c r="M99" s="436"/>
    </row>
    <row r="100" spans="2:13" ht="12.75">
      <c r="B100" s="418"/>
      <c r="C100" s="419"/>
      <c r="D100" s="420"/>
      <c r="E100" s="420"/>
      <c r="F100" s="420"/>
      <c r="G100" s="420"/>
      <c r="H100" s="420">
        <f t="shared" si="7"/>
        <v>0</v>
      </c>
      <c r="I100" s="435"/>
      <c r="J100" s="420"/>
      <c r="K100" s="432"/>
      <c r="L100" s="433"/>
      <c r="M100" s="436"/>
    </row>
    <row r="101" spans="2:13" ht="12.75">
      <c r="B101" s="418"/>
      <c r="C101" s="419"/>
      <c r="D101" s="420"/>
      <c r="E101" s="420"/>
      <c r="F101" s="420"/>
      <c r="G101" s="420"/>
      <c r="H101" s="420">
        <f t="shared" si="7"/>
        <v>0</v>
      </c>
      <c r="I101" s="435"/>
      <c r="J101" s="420"/>
      <c r="K101" s="432"/>
      <c r="L101" s="433"/>
      <c r="M101" s="434"/>
    </row>
    <row r="102" spans="2:13" ht="12.75">
      <c r="B102" s="418"/>
      <c r="C102" s="419"/>
      <c r="D102" s="420"/>
      <c r="E102" s="420"/>
      <c r="F102" s="420"/>
      <c r="G102" s="420"/>
      <c r="H102" s="420">
        <f t="shared" si="7"/>
        <v>0</v>
      </c>
      <c r="I102" s="435"/>
      <c r="J102" s="420"/>
      <c r="K102" s="432"/>
      <c r="L102" s="433"/>
      <c r="M102" s="434"/>
    </row>
    <row r="103" spans="2:13" ht="12.75">
      <c r="B103" s="418"/>
      <c r="C103" s="419"/>
      <c r="D103" s="420"/>
      <c r="E103" s="420"/>
      <c r="F103" s="420"/>
      <c r="G103" s="420"/>
      <c r="H103" s="420">
        <f t="shared" si="7"/>
        <v>0</v>
      </c>
      <c r="I103" s="435"/>
      <c r="J103" s="420"/>
      <c r="K103" s="432"/>
      <c r="L103" s="433"/>
      <c r="M103" s="436"/>
    </row>
    <row r="104" spans="2:13" ht="12.75">
      <c r="B104" s="418"/>
      <c r="C104" s="419"/>
      <c r="D104" s="420"/>
      <c r="E104" s="420"/>
      <c r="F104" s="420"/>
      <c r="G104" s="420"/>
      <c r="H104" s="420">
        <f t="shared" si="7"/>
        <v>0</v>
      </c>
      <c r="I104" s="435"/>
      <c r="J104" s="420"/>
      <c r="K104" s="432"/>
      <c r="L104" s="433"/>
      <c r="M104" s="436"/>
    </row>
    <row r="105" spans="2:13" ht="12.75">
      <c r="B105" s="418"/>
      <c r="C105" s="419"/>
      <c r="D105" s="420"/>
      <c r="E105" s="420"/>
      <c r="F105" s="420"/>
      <c r="G105" s="420"/>
      <c r="H105" s="420">
        <f t="shared" si="7"/>
        <v>0</v>
      </c>
      <c r="I105" s="435"/>
      <c r="J105" s="420"/>
      <c r="K105" s="432"/>
      <c r="L105" s="433"/>
      <c r="M105" s="434"/>
    </row>
    <row r="106" spans="2:13" ht="12.75">
      <c r="B106" s="418"/>
      <c r="C106" s="437"/>
      <c r="D106" s="420"/>
      <c r="E106" s="420"/>
      <c r="F106" s="420"/>
      <c r="G106" s="420"/>
      <c r="H106" s="420">
        <f t="shared" si="7"/>
        <v>0</v>
      </c>
      <c r="I106" s="420"/>
      <c r="J106" s="420"/>
      <c r="K106" s="432"/>
      <c r="L106" s="433"/>
      <c r="M106" s="436"/>
    </row>
    <row r="107" spans="2:13" ht="12.75">
      <c r="B107" s="438"/>
      <c r="C107" s="423"/>
      <c r="D107" s="423"/>
      <c r="E107" s="423"/>
      <c r="F107" s="423"/>
      <c r="G107" s="423"/>
      <c r="H107" s="423"/>
      <c r="I107" s="423"/>
      <c r="J107" s="423"/>
      <c r="K107" s="439"/>
      <c r="L107" s="440"/>
      <c r="M107" s="434"/>
    </row>
    <row r="108" spans="2:12" ht="12.75">
      <c r="B108" s="182" t="s">
        <v>292</v>
      </c>
      <c r="C108" s="183">
        <f t="shared" si="8" ref="C108:J108">SUM(C98:C107)</f>
        <v>0</v>
      </c>
      <c r="D108" s="183"/>
      <c r="E108" s="183"/>
      <c r="F108" s="183">
        <f t="shared" si="8"/>
        <v>0</v>
      </c>
      <c r="G108" s="183">
        <f t="shared" si="8"/>
        <v>0</v>
      </c>
      <c r="H108" s="183">
        <f t="shared" si="8"/>
        <v>0</v>
      </c>
      <c r="I108" s="183">
        <f t="shared" si="8"/>
        <v>0</v>
      </c>
      <c r="J108" s="183">
        <f t="shared" si="8"/>
        <v>0</v>
      </c>
      <c r="K108" s="183"/>
      <c r="L108" s="183"/>
    </row>
    <row r="109" spans="2:11" ht="15.75">
      <c r="B109" s="392"/>
      <c r="C109" s="392"/>
      <c r="D109" s="392"/>
      <c r="E109" s="392"/>
      <c r="F109" s="392"/>
      <c r="G109" s="392"/>
      <c r="H109" s="392"/>
      <c r="I109" s="392"/>
      <c r="J109" s="392"/>
      <c r="K109" s="392"/>
    </row>
    <row r="110" spans="2:11" ht="15.75">
      <c r="B110" s="392"/>
      <c r="C110" s="392"/>
      <c r="D110" s="392"/>
      <c r="E110" s="392"/>
      <c r="F110" s="392"/>
      <c r="G110" s="392"/>
      <c r="H110" s="392"/>
      <c r="I110" s="392"/>
      <c r="J110" s="392"/>
      <c r="K110" s="392"/>
    </row>
    <row r="111" spans="2:12" ht="12.75">
      <c r="B111" s="191"/>
      <c r="C111" s="166"/>
      <c r="D111" s="166" t="s">
        <v>453</v>
      </c>
      <c r="E111" s="170"/>
      <c r="F111" s="166" t="s">
        <v>442</v>
      </c>
      <c r="G111" s="166" t="s">
        <v>454</v>
      </c>
      <c r="H111" s="166" t="s">
        <v>455</v>
      </c>
      <c r="I111" s="166"/>
      <c r="J111" s="166"/>
      <c r="K111" s="196"/>
      <c r="L111" s="196"/>
    </row>
    <row r="112" spans="2:13" ht="12.75">
      <c r="B112" s="194" t="s">
        <v>674</v>
      </c>
      <c r="C112" s="166"/>
      <c r="D112" s="166" t="s">
        <v>456</v>
      </c>
      <c r="E112" s="166"/>
      <c r="F112" s="166" t="s">
        <v>445</v>
      </c>
      <c r="G112" s="166" t="s">
        <v>457</v>
      </c>
      <c r="H112" s="166" t="s">
        <v>28</v>
      </c>
      <c r="I112" s="166" t="s">
        <v>443</v>
      </c>
      <c r="J112" s="166" t="s">
        <v>444</v>
      </c>
      <c r="K112" s="196"/>
      <c r="L112" s="196"/>
      <c r="M112" s="173" t="s">
        <v>3</v>
      </c>
    </row>
    <row r="113" spans="2:12" ht="12.75">
      <c r="B113" s="188"/>
      <c r="C113" s="166"/>
      <c r="D113" s="180" t="s">
        <v>470</v>
      </c>
      <c r="G113" s="166" t="s">
        <v>445</v>
      </c>
      <c r="H113" s="166" t="s">
        <v>445</v>
      </c>
      <c r="I113" s="166" t="s">
        <v>445</v>
      </c>
      <c r="J113" s="166" t="s">
        <v>445</v>
      </c>
      <c r="K113" s="196"/>
      <c r="L113" s="196"/>
    </row>
    <row r="114" spans="2:13" ht="12.75">
      <c r="B114" s="197"/>
      <c r="C114" s="172"/>
      <c r="D114" s="172"/>
      <c r="E114" s="172"/>
      <c r="F114" s="172"/>
      <c r="G114" s="196" t="s">
        <v>445</v>
      </c>
      <c r="H114" s="196" t="s">
        <v>445</v>
      </c>
      <c r="I114" s="196" t="s">
        <v>445</v>
      </c>
      <c r="J114" s="196" t="s">
        <v>445</v>
      </c>
      <c r="K114" s="196"/>
      <c r="L114" s="196"/>
      <c r="M114" s="166" t="s">
        <v>460</v>
      </c>
    </row>
    <row r="115" spans="2:12" ht="12.75">
      <c r="B115" s="197"/>
      <c r="C115" s="172"/>
      <c r="D115" s="172"/>
      <c r="E115" s="172"/>
      <c r="F115" s="172"/>
      <c r="G115" s="183"/>
      <c r="H115" s="183"/>
      <c r="I115" s="183"/>
      <c r="J115" s="183"/>
      <c r="K115" s="183"/>
      <c r="L115" s="183"/>
    </row>
    <row r="116" spans="2:13" ht="12.75">
      <c r="B116" s="418"/>
      <c r="C116" s="419"/>
      <c r="D116" s="420"/>
      <c r="E116" s="420"/>
      <c r="F116" s="420"/>
      <c r="G116" s="420"/>
      <c r="H116" s="420">
        <f t="shared" si="9" ref="H116:H124">D116</f>
        <v>0</v>
      </c>
      <c r="I116" s="420"/>
      <c r="J116" s="420"/>
      <c r="K116" s="432"/>
      <c r="L116" s="433"/>
      <c r="M116" s="434"/>
    </row>
    <row r="117" spans="2:13" ht="12.75">
      <c r="B117" s="418"/>
      <c r="C117" s="419"/>
      <c r="D117" s="420"/>
      <c r="E117" s="420"/>
      <c r="F117" s="420"/>
      <c r="G117" s="420"/>
      <c r="H117" s="420">
        <f t="shared" si="9"/>
        <v>0</v>
      </c>
      <c r="I117" s="435"/>
      <c r="J117" s="420"/>
      <c r="K117" s="432"/>
      <c r="L117" s="433"/>
      <c r="M117" s="436"/>
    </row>
    <row r="118" spans="2:13" ht="12.75">
      <c r="B118" s="418"/>
      <c r="C118" s="419"/>
      <c r="D118" s="420"/>
      <c r="E118" s="420"/>
      <c r="F118" s="420"/>
      <c r="G118" s="420"/>
      <c r="H118" s="420">
        <f t="shared" si="9"/>
        <v>0</v>
      </c>
      <c r="I118" s="435"/>
      <c r="J118" s="420"/>
      <c r="K118" s="432"/>
      <c r="L118" s="433"/>
      <c r="M118" s="436"/>
    </row>
    <row r="119" spans="2:13" ht="12.75">
      <c r="B119" s="418"/>
      <c r="C119" s="419"/>
      <c r="D119" s="420"/>
      <c r="E119" s="420"/>
      <c r="F119" s="420"/>
      <c r="G119" s="420"/>
      <c r="H119" s="420">
        <f t="shared" si="9"/>
        <v>0</v>
      </c>
      <c r="I119" s="435"/>
      <c r="J119" s="420"/>
      <c r="K119" s="432"/>
      <c r="L119" s="433"/>
      <c r="M119" s="434"/>
    </row>
    <row r="120" spans="2:13" ht="12.75">
      <c r="B120" s="418"/>
      <c r="C120" s="419"/>
      <c r="D120" s="420"/>
      <c r="E120" s="420"/>
      <c r="F120" s="420"/>
      <c r="G120" s="420"/>
      <c r="H120" s="420">
        <f t="shared" si="9"/>
        <v>0</v>
      </c>
      <c r="I120" s="435"/>
      <c r="J120" s="420"/>
      <c r="K120" s="432"/>
      <c r="L120" s="433"/>
      <c r="M120" s="434"/>
    </row>
    <row r="121" spans="2:13" ht="12.75">
      <c r="B121" s="418"/>
      <c r="C121" s="419"/>
      <c r="D121" s="420"/>
      <c r="E121" s="420"/>
      <c r="F121" s="420"/>
      <c r="G121" s="420"/>
      <c r="H121" s="420">
        <f t="shared" si="9"/>
        <v>0</v>
      </c>
      <c r="I121" s="435"/>
      <c r="J121" s="420"/>
      <c r="K121" s="432"/>
      <c r="L121" s="433"/>
      <c r="M121" s="436"/>
    </row>
    <row r="122" spans="2:13" ht="12.75">
      <c r="B122" s="418"/>
      <c r="C122" s="419"/>
      <c r="D122" s="420"/>
      <c r="E122" s="420"/>
      <c r="F122" s="420"/>
      <c r="G122" s="420"/>
      <c r="H122" s="420">
        <f t="shared" si="9"/>
        <v>0</v>
      </c>
      <c r="I122" s="435"/>
      <c r="J122" s="420"/>
      <c r="K122" s="432"/>
      <c r="L122" s="433"/>
      <c r="M122" s="436"/>
    </row>
    <row r="123" spans="2:13" ht="12.75">
      <c r="B123" s="418"/>
      <c r="C123" s="419"/>
      <c r="D123" s="420"/>
      <c r="E123" s="420"/>
      <c r="F123" s="420"/>
      <c r="G123" s="420"/>
      <c r="H123" s="420">
        <f t="shared" si="9"/>
        <v>0</v>
      </c>
      <c r="I123" s="435"/>
      <c r="J123" s="420"/>
      <c r="K123" s="432"/>
      <c r="L123" s="433"/>
      <c r="M123" s="434"/>
    </row>
    <row r="124" spans="2:13" ht="12.75">
      <c r="B124" s="418"/>
      <c r="C124" s="437"/>
      <c r="D124" s="420"/>
      <c r="E124" s="420"/>
      <c r="F124" s="420"/>
      <c r="G124" s="420"/>
      <c r="H124" s="420">
        <f t="shared" si="9"/>
        <v>0</v>
      </c>
      <c r="I124" s="420"/>
      <c r="J124" s="420"/>
      <c r="K124" s="432"/>
      <c r="L124" s="433"/>
      <c r="M124" s="436"/>
    </row>
    <row r="125" spans="2:13" ht="12.75">
      <c r="B125" s="438"/>
      <c r="C125" s="423"/>
      <c r="D125" s="423"/>
      <c r="E125" s="423"/>
      <c r="F125" s="423"/>
      <c r="G125" s="423"/>
      <c r="H125" s="423"/>
      <c r="I125" s="423"/>
      <c r="J125" s="423"/>
      <c r="K125" s="439"/>
      <c r="L125" s="440"/>
      <c r="M125" s="434"/>
    </row>
    <row r="126" spans="2:12" ht="12.75">
      <c r="B126" s="182" t="s">
        <v>292</v>
      </c>
      <c r="C126" s="183"/>
      <c r="D126" s="183">
        <f>SUM(D116:D125)</f>
        <v>0</v>
      </c>
      <c r="E126" s="183"/>
      <c r="F126" s="183">
        <f>SUM(F116:F125)</f>
        <v>0</v>
      </c>
      <c r="G126" s="183">
        <f>SUM(G116:G125)</f>
        <v>0</v>
      </c>
      <c r="H126" s="183">
        <f>SUM(H116:H125)</f>
        <v>0</v>
      </c>
      <c r="I126" s="183">
        <f>SUM(I116:I125)</f>
        <v>0</v>
      </c>
      <c r="J126" s="183">
        <f>SUM(J116:J125)</f>
        <v>0</v>
      </c>
      <c r="K126" s="183"/>
      <c r="L126" s="183"/>
    </row>
    <row r="127" spans="2:12" ht="12.75">
      <c r="B127" s="182"/>
      <c r="C127" s="183"/>
      <c r="D127" s="183"/>
      <c r="E127" s="183"/>
      <c r="F127" s="183"/>
      <c r="G127" s="183"/>
      <c r="H127" s="183"/>
      <c r="I127" s="183"/>
      <c r="J127" s="183"/>
      <c r="K127" s="183"/>
      <c r="L127" s="183"/>
    </row>
    <row r="128" spans="2:12" ht="13.5" thickBot="1">
      <c r="B128" s="182"/>
      <c r="C128" s="183"/>
      <c r="D128" s="183"/>
      <c r="E128" s="183"/>
      <c r="F128" s="183"/>
      <c r="G128" s="183"/>
      <c r="H128" s="183"/>
      <c r="I128" s="183"/>
      <c r="J128" s="183"/>
      <c r="K128" s="183"/>
      <c r="L128" s="183"/>
    </row>
    <row r="129" spans="2:12" ht="13.5" thickBot="1">
      <c r="B129" s="172"/>
      <c r="C129" s="1195" t="str">
        <f>C5</f>
        <v>Jersey Central Power &amp; Light</v>
      </c>
      <c r="D129" s="1196"/>
      <c r="E129" s="1196"/>
      <c r="F129" s="1196"/>
      <c r="G129" s="1196"/>
      <c r="H129" s="1196"/>
      <c r="I129" s="1196"/>
      <c r="J129" s="1197"/>
      <c r="K129" s="166"/>
      <c r="L129" s="166"/>
    </row>
    <row r="130" spans="2:11" ht="30">
      <c r="B130" s="195"/>
      <c r="K130" s="194"/>
    </row>
    <row r="131" spans="2:12" ht="25.5">
      <c r="B131" s="191"/>
      <c r="C131" s="166" t="s">
        <v>440</v>
      </c>
      <c r="D131" s="166" t="s">
        <v>453</v>
      </c>
      <c r="E131" s="170" t="s">
        <v>441</v>
      </c>
      <c r="F131" s="166" t="s">
        <v>442</v>
      </c>
      <c r="G131" s="166" t="s">
        <v>454</v>
      </c>
      <c r="H131" s="166" t="s">
        <v>455</v>
      </c>
      <c r="I131" s="166"/>
      <c r="J131" s="166"/>
      <c r="K131" s="196"/>
      <c r="L131" s="196"/>
    </row>
    <row r="132" spans="2:13" ht="12.75">
      <c r="B132" s="194" t="s">
        <v>673</v>
      </c>
      <c r="C132" s="166" t="s">
        <v>456</v>
      </c>
      <c r="D132" s="166" t="str">
        <f>+C132</f>
        <v>Balance</v>
      </c>
      <c r="E132" s="166" t="s">
        <v>10</v>
      </c>
      <c r="F132" s="166" t="s">
        <v>445</v>
      </c>
      <c r="G132" s="166" t="s">
        <v>457</v>
      </c>
      <c r="H132" s="166" t="s">
        <v>28</v>
      </c>
      <c r="I132" s="166" t="s">
        <v>443</v>
      </c>
      <c r="J132" s="166" t="s">
        <v>444</v>
      </c>
      <c r="K132" s="196"/>
      <c r="L132" s="196"/>
      <c r="M132" s="173" t="s">
        <v>3</v>
      </c>
    </row>
    <row r="133" spans="2:12" ht="12.75">
      <c r="B133" s="188"/>
      <c r="C133" s="180" t="s">
        <v>469</v>
      </c>
      <c r="D133" s="180" t="s">
        <v>470</v>
      </c>
      <c r="G133" s="166" t="s">
        <v>445</v>
      </c>
      <c r="H133" s="166" t="s">
        <v>445</v>
      </c>
      <c r="I133" s="166" t="s">
        <v>445</v>
      </c>
      <c r="J133" s="166" t="s">
        <v>445</v>
      </c>
      <c r="K133" s="196"/>
      <c r="L133" s="196"/>
    </row>
    <row r="134" spans="2:13" ht="12.75">
      <c r="B134" s="197"/>
      <c r="C134" s="172"/>
      <c r="D134" s="172"/>
      <c r="E134" s="172"/>
      <c r="F134" s="172"/>
      <c r="G134" s="196" t="s">
        <v>445</v>
      </c>
      <c r="H134" s="196" t="s">
        <v>445</v>
      </c>
      <c r="I134" s="196" t="s">
        <v>445</v>
      </c>
      <c r="J134" s="196" t="s">
        <v>445</v>
      </c>
      <c r="K134" s="196"/>
      <c r="L134" s="196"/>
      <c r="M134" s="166" t="s">
        <v>460</v>
      </c>
    </row>
    <row r="135" spans="2:12" ht="12.75">
      <c r="B135" s="197"/>
      <c r="C135" s="172"/>
      <c r="D135" s="172"/>
      <c r="E135" s="172"/>
      <c r="F135" s="172"/>
      <c r="G135" s="183"/>
      <c r="H135" s="183"/>
      <c r="I135" s="183"/>
      <c r="J135" s="183"/>
      <c r="K135" s="183"/>
      <c r="L135" s="183"/>
    </row>
    <row r="136" spans="2:12" ht="12.75">
      <c r="B136" s="425"/>
      <c r="C136" s="426">
        <f>C98</f>
        <v>0</v>
      </c>
      <c r="D136" s="183">
        <f>D116</f>
        <v>0</v>
      </c>
      <c r="E136" s="183">
        <f>AVERAGE(C136:D136)</f>
        <v>0</v>
      </c>
      <c r="F136" s="183"/>
      <c r="G136" s="183"/>
      <c r="H136" s="183">
        <f t="shared" si="10" ref="H136:H144">E136</f>
        <v>0</v>
      </c>
      <c r="I136" s="183"/>
      <c r="J136" s="183"/>
      <c r="K136" s="441"/>
      <c r="L136" s="442"/>
    </row>
    <row r="137" spans="2:13" ht="25.5" customHeight="1">
      <c r="B137" s="425"/>
      <c r="C137" s="426">
        <f t="shared" si="11" ref="C137:C144">C99</f>
        <v>0</v>
      </c>
      <c r="D137" s="183">
        <f t="shared" si="12" ref="D137:D144">D117</f>
        <v>0</v>
      </c>
      <c r="E137" s="183">
        <f t="shared" si="13" ref="E137:E144">AVERAGE(C137:D137)</f>
        <v>0</v>
      </c>
      <c r="F137" s="183"/>
      <c r="G137" s="183"/>
      <c r="H137" s="183">
        <f t="shared" si="10"/>
        <v>0</v>
      </c>
      <c r="I137" s="443"/>
      <c r="J137" s="183"/>
      <c r="K137" s="441"/>
      <c r="L137" s="442"/>
      <c r="M137" s="444"/>
    </row>
    <row r="138" spans="2:13" ht="25.5" customHeight="1">
      <c r="B138" s="425"/>
      <c r="C138" s="426">
        <f t="shared" si="11"/>
        <v>0</v>
      </c>
      <c r="D138" s="183">
        <f t="shared" si="12"/>
        <v>0</v>
      </c>
      <c r="E138" s="183">
        <f t="shared" si="13"/>
        <v>0</v>
      </c>
      <c r="F138" s="183"/>
      <c r="G138" s="183"/>
      <c r="H138" s="183">
        <f t="shared" si="10"/>
        <v>0</v>
      </c>
      <c r="I138" s="443"/>
      <c r="J138" s="183"/>
      <c r="K138" s="441"/>
      <c r="L138" s="442"/>
      <c r="M138" s="444"/>
    </row>
    <row r="139" spans="2:12" ht="25.5" customHeight="1">
      <c r="B139" s="425"/>
      <c r="C139" s="426">
        <f t="shared" si="11"/>
        <v>0</v>
      </c>
      <c r="D139" s="183">
        <f t="shared" si="12"/>
        <v>0</v>
      </c>
      <c r="E139" s="183">
        <f t="shared" si="13"/>
        <v>0</v>
      </c>
      <c r="F139" s="183"/>
      <c r="G139" s="183"/>
      <c r="H139" s="183">
        <f t="shared" si="10"/>
        <v>0</v>
      </c>
      <c r="I139" s="443"/>
      <c r="J139" s="183"/>
      <c r="K139" s="441"/>
      <c r="L139" s="442"/>
    </row>
    <row r="140" spans="2:12" ht="25.5" customHeight="1">
      <c r="B140" s="425"/>
      <c r="C140" s="426">
        <f t="shared" si="11"/>
        <v>0</v>
      </c>
      <c r="D140" s="183">
        <f t="shared" si="12"/>
        <v>0</v>
      </c>
      <c r="E140" s="183">
        <f t="shared" si="13"/>
        <v>0</v>
      </c>
      <c r="F140" s="183"/>
      <c r="G140" s="183"/>
      <c r="H140" s="183">
        <f t="shared" si="10"/>
        <v>0</v>
      </c>
      <c r="I140" s="443"/>
      <c r="J140" s="183"/>
      <c r="K140" s="441"/>
      <c r="L140" s="442"/>
    </row>
    <row r="141" spans="2:13" ht="12.75">
      <c r="B141" s="425"/>
      <c r="C141" s="426">
        <f t="shared" si="11"/>
        <v>0</v>
      </c>
      <c r="D141" s="183">
        <f t="shared" si="12"/>
        <v>0</v>
      </c>
      <c r="E141" s="183">
        <f t="shared" si="13"/>
        <v>0</v>
      </c>
      <c r="F141" s="183"/>
      <c r="G141" s="183"/>
      <c r="H141" s="183">
        <f t="shared" si="10"/>
        <v>0</v>
      </c>
      <c r="I141" s="443"/>
      <c r="J141" s="183"/>
      <c r="K141" s="441"/>
      <c r="L141" s="442"/>
      <c r="M141" s="444"/>
    </row>
    <row r="142" spans="2:13" ht="12.75">
      <c r="B142" s="425"/>
      <c r="C142" s="426">
        <f t="shared" si="11"/>
        <v>0</v>
      </c>
      <c r="D142" s="183">
        <f t="shared" si="12"/>
        <v>0</v>
      </c>
      <c r="E142" s="183">
        <f t="shared" si="13"/>
        <v>0</v>
      </c>
      <c r="F142" s="183"/>
      <c r="G142" s="183"/>
      <c r="H142" s="183">
        <f t="shared" si="10"/>
        <v>0</v>
      </c>
      <c r="I142" s="443"/>
      <c r="J142" s="183"/>
      <c r="K142" s="441"/>
      <c r="L142" s="442"/>
      <c r="M142" s="444"/>
    </row>
    <row r="143" spans="2:12" ht="12.75">
      <c r="B143" s="425"/>
      <c r="C143" s="426">
        <f t="shared" si="11"/>
        <v>0</v>
      </c>
      <c r="D143" s="183">
        <f t="shared" si="12"/>
        <v>0</v>
      </c>
      <c r="E143" s="183">
        <f t="shared" si="13"/>
        <v>0</v>
      </c>
      <c r="F143" s="183"/>
      <c r="G143" s="183"/>
      <c r="H143" s="183">
        <f t="shared" si="10"/>
        <v>0</v>
      </c>
      <c r="I143" s="443"/>
      <c r="J143" s="183"/>
      <c r="K143" s="441"/>
      <c r="L143" s="442"/>
    </row>
    <row r="144" spans="2:13" ht="12.75">
      <c r="B144" s="425"/>
      <c r="C144" s="426">
        <f t="shared" si="11"/>
        <v>0</v>
      </c>
      <c r="D144" s="183">
        <f t="shared" si="12"/>
        <v>0</v>
      </c>
      <c r="E144" s="183">
        <f t="shared" si="13"/>
        <v>0</v>
      </c>
      <c r="F144" s="183"/>
      <c r="G144" s="183"/>
      <c r="H144" s="183">
        <f t="shared" si="10"/>
        <v>0</v>
      </c>
      <c r="I144" s="183"/>
      <c r="J144" s="183"/>
      <c r="K144" s="441"/>
      <c r="L144" s="442"/>
      <c r="M144" s="444"/>
    </row>
    <row r="145" spans="2:12" ht="12.75">
      <c r="B145" s="445"/>
      <c r="C145" s="430"/>
      <c r="D145" s="430"/>
      <c r="E145" s="430"/>
      <c r="F145" s="430"/>
      <c r="G145" s="430"/>
      <c r="H145" s="430"/>
      <c r="I145" s="430"/>
      <c r="J145" s="430"/>
      <c r="K145" s="446"/>
      <c r="L145" s="447"/>
    </row>
    <row r="146" spans="2:12" ht="12.75">
      <c r="B146" s="182" t="s">
        <v>292</v>
      </c>
      <c r="C146" s="183">
        <f t="shared" si="14" ref="C146:J146">SUM(C136:C145)</f>
        <v>0</v>
      </c>
      <c r="D146" s="183">
        <f t="shared" si="14"/>
        <v>0</v>
      </c>
      <c r="E146" s="183">
        <f t="shared" si="14"/>
        <v>0</v>
      </c>
      <c r="F146" s="183">
        <f t="shared" si="14"/>
        <v>0</v>
      </c>
      <c r="G146" s="183">
        <f t="shared" si="14"/>
        <v>0</v>
      </c>
      <c r="H146" s="183">
        <f t="shared" si="14"/>
        <v>0</v>
      </c>
      <c r="I146" s="183">
        <f t="shared" si="14"/>
        <v>0</v>
      </c>
      <c r="J146" s="183">
        <f t="shared" si="14"/>
        <v>0</v>
      </c>
      <c r="K146" s="183"/>
      <c r="L146" s="183"/>
    </row>
    <row r="147" spans="7:13" ht="12.75">
      <c r="G147" s="198"/>
      <c r="J147" s="173" t="s">
        <v>3</v>
      </c>
      <c r="K147" s="186"/>
      <c r="L147" s="173"/>
      <c r="M147" s="173"/>
    </row>
    <row r="148" spans="2:11" ht="12.75">
      <c r="B148" s="185" t="s">
        <v>471</v>
      </c>
      <c r="C148" s="171"/>
      <c r="D148" s="171"/>
      <c r="E148" s="171"/>
      <c r="G148" s="175"/>
      <c r="H148" s="175"/>
      <c r="I148" s="187"/>
      <c r="J148" s="187"/>
      <c r="K148" s="187"/>
    </row>
    <row r="149" spans="2:11" ht="12.75">
      <c r="B149" s="185"/>
      <c r="C149" s="171"/>
      <c r="D149" s="171"/>
      <c r="E149" s="171"/>
      <c r="G149" s="175"/>
      <c r="H149" s="175"/>
      <c r="I149" s="187"/>
      <c r="J149" s="187"/>
      <c r="K149" s="187"/>
    </row>
    <row r="150" spans="2:11" ht="12.75" customHeight="1">
      <c r="B150" s="1194" t="s">
        <v>462</v>
      </c>
      <c r="C150" s="1194"/>
      <c r="D150" s="1194"/>
      <c r="E150" s="1194"/>
      <c r="F150" s="1194"/>
      <c r="G150" s="1194"/>
      <c r="H150" s="1194"/>
      <c r="I150" s="1194"/>
      <c r="J150" s="1194"/>
      <c r="K150" s="1194"/>
    </row>
    <row r="151" spans="2:11" ht="12" customHeight="1">
      <c r="B151" s="1194" t="s">
        <v>463</v>
      </c>
      <c r="C151" s="1194"/>
      <c r="D151" s="1194"/>
      <c r="E151" s="1194"/>
      <c r="F151" s="1194"/>
      <c r="G151" s="1194"/>
      <c r="H151" s="1194"/>
      <c r="I151" s="1194"/>
      <c r="J151" s="1194"/>
      <c r="K151" s="1194"/>
    </row>
    <row r="152" spans="2:11" ht="12.75">
      <c r="B152" s="190" t="s">
        <v>464</v>
      </c>
      <c r="C152" s="175"/>
      <c r="D152" s="175"/>
      <c r="E152" s="175"/>
      <c r="F152" s="175"/>
      <c r="G152" s="175"/>
      <c r="H152" s="175"/>
      <c r="I152" s="187"/>
      <c r="J152" s="187"/>
      <c r="K152" s="187"/>
    </row>
    <row r="153" spans="2:11" ht="12.75">
      <c r="B153" s="190" t="s">
        <v>465</v>
      </c>
      <c r="C153" s="175"/>
      <c r="D153" s="175"/>
      <c r="E153" s="175"/>
      <c r="F153" s="175"/>
      <c r="G153" s="175"/>
      <c r="H153" s="175"/>
      <c r="I153" s="187"/>
      <c r="J153" s="187"/>
      <c r="K153" s="187"/>
    </row>
    <row r="154" spans="2:24" ht="12.75">
      <c r="B154" s="190" t="s">
        <v>466</v>
      </c>
      <c r="C154" s="175"/>
      <c r="D154" s="175"/>
      <c r="E154" s="175"/>
      <c r="F154" s="175"/>
      <c r="G154" s="175"/>
      <c r="H154" s="175"/>
      <c r="I154" s="187"/>
      <c r="J154" s="187"/>
      <c r="K154" s="187"/>
      <c r="X154" s="199"/>
    </row>
    <row r="155" spans="2:11" ht="25.5" customHeight="1">
      <c r="B155" s="1194" t="s">
        <v>467</v>
      </c>
      <c r="C155" s="1194"/>
      <c r="D155" s="1194"/>
      <c r="E155" s="1194"/>
      <c r="F155" s="1194"/>
      <c r="G155" s="1194"/>
      <c r="H155" s="1194"/>
      <c r="I155" s="1194"/>
      <c r="J155" s="1194"/>
      <c r="K155" s="1194"/>
    </row>
    <row r="156" spans="2:11" ht="12.75">
      <c r="B156" s="200"/>
      <c r="C156" s="171"/>
      <c r="D156" s="171"/>
      <c r="E156" s="171"/>
      <c r="F156" s="171"/>
      <c r="G156" s="175"/>
      <c r="H156" s="175"/>
      <c r="I156" s="187"/>
      <c r="J156" s="187"/>
      <c r="K156" s="187"/>
    </row>
    <row r="157" spans="2:11" ht="12.75">
      <c r="B157" s="200"/>
      <c r="C157" s="171"/>
      <c r="D157" s="171"/>
      <c r="E157" s="171"/>
      <c r="F157" s="171"/>
      <c r="G157" s="175"/>
      <c r="H157" s="175"/>
      <c r="I157" s="187"/>
      <c r="J157" s="187"/>
      <c r="K157" s="187"/>
    </row>
    <row r="158" spans="2:11" ht="12.75">
      <c r="B158" s="178" t="s">
        <v>468</v>
      </c>
      <c r="C158" s="171"/>
      <c r="D158" s="171"/>
      <c r="E158" s="171"/>
      <c r="F158" s="171"/>
      <c r="G158" s="175"/>
      <c r="H158" s="175"/>
      <c r="I158" s="187"/>
      <c r="J158" s="187"/>
      <c r="K158" s="187"/>
    </row>
    <row r="159" spans="2:12" ht="13.5" thickBot="1">
      <c r="B159" s="166" t="s">
        <v>123</v>
      </c>
      <c r="C159" s="166" t="s">
        <v>437</v>
      </c>
      <c r="D159" s="166" t="s">
        <v>438</v>
      </c>
      <c r="E159" s="166" t="s">
        <v>439</v>
      </c>
      <c r="F159" s="166" t="s">
        <v>125</v>
      </c>
      <c r="G159" s="166" t="s">
        <v>126</v>
      </c>
      <c r="H159" s="166" t="s">
        <v>127</v>
      </c>
      <c r="I159" s="166" t="s">
        <v>128</v>
      </c>
      <c r="J159" s="166" t="s">
        <v>129</v>
      </c>
      <c r="K159" s="166"/>
      <c r="L159" s="166"/>
    </row>
    <row r="160" spans="2:12" ht="13.5" thickBot="1">
      <c r="B160" s="189"/>
      <c r="C160" s="1195" t="str">
        <f>C129</f>
        <v>Jersey Central Power &amp; Light</v>
      </c>
      <c r="D160" s="1196"/>
      <c r="E160" s="1196"/>
      <c r="F160" s="1196"/>
      <c r="G160" s="1196"/>
      <c r="H160" s="1196"/>
      <c r="I160" s="1196"/>
      <c r="J160" s="1197"/>
      <c r="K160" s="166"/>
      <c r="L160" s="166"/>
    </row>
    <row r="161" spans="2:12" ht="12.75">
      <c r="B161" s="172"/>
      <c r="K161" s="196"/>
      <c r="L161" s="196"/>
    </row>
    <row r="162" spans="2:12" ht="12.75">
      <c r="B162" s="194" t="s">
        <v>472</v>
      </c>
      <c r="C162" s="166" t="s">
        <v>440</v>
      </c>
      <c r="D162" s="166"/>
      <c r="E162" s="170"/>
      <c r="F162" s="166" t="s">
        <v>442</v>
      </c>
      <c r="G162" s="166" t="s">
        <v>454</v>
      </c>
      <c r="H162" s="166" t="s">
        <v>455</v>
      </c>
      <c r="I162" s="166"/>
      <c r="J162" s="166"/>
      <c r="K162" s="196"/>
      <c r="L162" s="196"/>
    </row>
    <row r="163" spans="2:13" ht="12.75">
      <c r="B163" s="172"/>
      <c r="C163" s="166" t="s">
        <v>456</v>
      </c>
      <c r="D163" s="166"/>
      <c r="E163" s="166"/>
      <c r="F163" s="166" t="s">
        <v>445</v>
      </c>
      <c r="G163" s="166" t="s">
        <v>457</v>
      </c>
      <c r="H163" s="166" t="s">
        <v>28</v>
      </c>
      <c r="I163" s="166" t="s">
        <v>443</v>
      </c>
      <c r="J163" s="166" t="s">
        <v>444</v>
      </c>
      <c r="K163" s="196"/>
      <c r="L163" s="196"/>
      <c r="M163" s="166" t="s">
        <v>460</v>
      </c>
    </row>
    <row r="164" spans="2:12" ht="12.75">
      <c r="B164" s="181" t="s">
        <v>3</v>
      </c>
      <c r="C164" s="180" t="s">
        <v>473</v>
      </c>
      <c r="D164" s="166"/>
      <c r="G164" s="166" t="s">
        <v>445</v>
      </c>
      <c r="H164" s="166" t="s">
        <v>445</v>
      </c>
      <c r="I164" s="166" t="s">
        <v>445</v>
      </c>
      <c r="J164" s="166" t="s">
        <v>445</v>
      </c>
      <c r="K164" s="196"/>
      <c r="L164" s="196"/>
    </row>
    <row r="165" spans="2:12" ht="12.75">
      <c r="B165" s="197"/>
      <c r="C165" s="183"/>
      <c r="D165" s="183"/>
      <c r="E165" s="183"/>
      <c r="F165" s="183"/>
      <c r="G165" s="183"/>
      <c r="H165" s="183"/>
      <c r="I165" s="183"/>
      <c r="J165" s="183"/>
      <c r="K165" s="441"/>
      <c r="L165" s="442"/>
    </row>
    <row r="166" spans="2:13" ht="12.75">
      <c r="B166" s="418"/>
      <c r="C166" s="437"/>
      <c r="D166" s="437"/>
      <c r="E166" s="420"/>
      <c r="F166" s="420"/>
      <c r="G166" s="420"/>
      <c r="H166" s="420">
        <f t="shared" si="15" ref="H166:H177">C166</f>
        <v>0</v>
      </c>
      <c r="I166" s="420"/>
      <c r="J166" s="420"/>
      <c r="K166" s="420"/>
      <c r="L166" s="420"/>
      <c r="M166" s="420"/>
    </row>
    <row r="167" spans="2:13" ht="12.75">
      <c r="B167" s="418"/>
      <c r="C167" s="437"/>
      <c r="D167" s="437"/>
      <c r="E167" s="420"/>
      <c r="F167" s="420"/>
      <c r="G167" s="420"/>
      <c r="H167" s="420">
        <f t="shared" si="15"/>
        <v>0</v>
      </c>
      <c r="I167" s="420"/>
      <c r="J167" s="420"/>
      <c r="K167" s="420"/>
      <c r="L167" s="420"/>
      <c r="M167" s="420"/>
    </row>
    <row r="168" spans="2:13" ht="12.75">
      <c r="B168" s="418"/>
      <c r="C168" s="437"/>
      <c r="D168" s="437"/>
      <c r="E168" s="420"/>
      <c r="F168" s="420"/>
      <c r="G168" s="420"/>
      <c r="H168" s="420">
        <f t="shared" si="15"/>
        <v>0</v>
      </c>
      <c r="I168" s="420"/>
      <c r="J168" s="420"/>
      <c r="K168" s="420"/>
      <c r="L168" s="420"/>
      <c r="M168" s="420"/>
    </row>
    <row r="169" spans="2:13" ht="12.75">
      <c r="B169" s="418"/>
      <c r="C169" s="437"/>
      <c r="D169" s="437"/>
      <c r="E169" s="420"/>
      <c r="F169" s="420"/>
      <c r="G169" s="420"/>
      <c r="H169" s="420">
        <f t="shared" si="15"/>
        <v>0</v>
      </c>
      <c r="I169" s="420"/>
      <c r="J169" s="420"/>
      <c r="K169" s="420"/>
      <c r="L169" s="420"/>
      <c r="M169" s="420"/>
    </row>
    <row r="170" spans="2:13" ht="12.75">
      <c r="B170" s="418"/>
      <c r="C170" s="437"/>
      <c r="D170" s="437"/>
      <c r="E170" s="420"/>
      <c r="F170" s="420"/>
      <c r="G170" s="420"/>
      <c r="H170" s="420">
        <f t="shared" si="15"/>
        <v>0</v>
      </c>
      <c r="I170" s="420"/>
      <c r="J170" s="420"/>
      <c r="K170" s="420"/>
      <c r="L170" s="420"/>
      <c r="M170" s="420"/>
    </row>
    <row r="171" spans="2:13" ht="12.75">
      <c r="B171" s="418"/>
      <c r="C171" s="437"/>
      <c r="D171" s="437"/>
      <c r="E171" s="420"/>
      <c r="F171" s="420"/>
      <c r="G171" s="420"/>
      <c r="H171" s="420">
        <f t="shared" si="15"/>
        <v>0</v>
      </c>
      <c r="I171" s="420"/>
      <c r="J171" s="420"/>
      <c r="K171" s="420"/>
      <c r="L171" s="420"/>
      <c r="M171" s="420"/>
    </row>
    <row r="172" spans="2:13" ht="12.75">
      <c r="B172" s="418"/>
      <c r="C172" s="437"/>
      <c r="D172" s="437"/>
      <c r="E172" s="420"/>
      <c r="F172" s="420"/>
      <c r="G172" s="420"/>
      <c r="H172" s="420">
        <f t="shared" si="15"/>
        <v>0</v>
      </c>
      <c r="I172" s="420"/>
      <c r="J172" s="420"/>
      <c r="K172" s="420"/>
      <c r="L172" s="420"/>
      <c r="M172" s="420"/>
    </row>
    <row r="173" spans="2:13" ht="12.75">
      <c r="B173" s="418"/>
      <c r="C173" s="437"/>
      <c r="D173" s="437"/>
      <c r="E173" s="420"/>
      <c r="F173" s="420"/>
      <c r="G173" s="420"/>
      <c r="H173" s="420">
        <f t="shared" si="15"/>
        <v>0</v>
      </c>
      <c r="I173" s="420"/>
      <c r="J173" s="420"/>
      <c r="K173" s="420"/>
      <c r="L173" s="420"/>
      <c r="M173" s="421"/>
    </row>
    <row r="174" spans="2:13" ht="12.75">
      <c r="B174" s="418"/>
      <c r="C174" s="437"/>
      <c r="D174" s="437"/>
      <c r="E174" s="420"/>
      <c r="F174" s="420"/>
      <c r="G174" s="420"/>
      <c r="H174" s="420">
        <f t="shared" si="15"/>
        <v>0</v>
      </c>
      <c r="I174" s="420"/>
      <c r="J174" s="420"/>
      <c r="K174" s="420"/>
      <c r="L174" s="420"/>
      <c r="M174" s="421"/>
    </row>
    <row r="175" spans="2:13" ht="12.75">
      <c r="B175" s="418"/>
      <c r="C175" s="437"/>
      <c r="D175" s="437"/>
      <c r="E175" s="420"/>
      <c r="F175" s="420"/>
      <c r="G175" s="420"/>
      <c r="H175" s="420">
        <f t="shared" si="15"/>
        <v>0</v>
      </c>
      <c r="I175" s="420"/>
      <c r="J175" s="420"/>
      <c r="K175" s="420"/>
      <c r="L175" s="420"/>
      <c r="M175" s="420"/>
    </row>
    <row r="176" spans="2:13" ht="12.75">
      <c r="B176" s="418"/>
      <c r="C176" s="437"/>
      <c r="D176" s="437"/>
      <c r="E176" s="420"/>
      <c r="F176" s="420"/>
      <c r="G176" s="420"/>
      <c r="H176" s="420">
        <f t="shared" si="15"/>
        <v>0</v>
      </c>
      <c r="I176" s="420"/>
      <c r="J176" s="420"/>
      <c r="K176" s="420"/>
      <c r="L176" s="420"/>
      <c r="M176" s="420"/>
    </row>
    <row r="177" spans="2:13" ht="12.75">
      <c r="B177" s="418"/>
      <c r="C177" s="448"/>
      <c r="D177" s="448"/>
      <c r="E177" s="423"/>
      <c r="F177" s="423"/>
      <c r="G177" s="423"/>
      <c r="H177" s="423">
        <f t="shared" si="15"/>
        <v>0</v>
      </c>
      <c r="I177" s="423"/>
      <c r="J177" s="423"/>
      <c r="K177" s="423"/>
      <c r="L177" s="423"/>
      <c r="M177" s="424"/>
    </row>
    <row r="178" spans="2:12" ht="12.75">
      <c r="B178" s="182" t="s">
        <v>292</v>
      </c>
      <c r="C178" s="183">
        <f>SUM(C165:C177)</f>
        <v>0</v>
      </c>
      <c r="D178" s="183"/>
      <c r="E178" s="183"/>
      <c r="F178" s="183"/>
      <c r="G178" s="183">
        <f>SUM(G165:G177)</f>
        <v>0</v>
      </c>
      <c r="H178" s="183">
        <f>SUM(H165:H177)</f>
        <v>0</v>
      </c>
      <c r="I178" s="183">
        <f>SUM(I165:I177)</f>
        <v>0</v>
      </c>
      <c r="J178" s="183">
        <f>SUM(J165:J177)</f>
        <v>0</v>
      </c>
      <c r="K178" s="183"/>
      <c r="L178" s="183"/>
    </row>
    <row r="179" spans="2:11" ht="12.75">
      <c r="B179" s="200"/>
      <c r="C179" s="171"/>
      <c r="D179" s="171"/>
      <c r="E179" s="171"/>
      <c r="F179" s="171"/>
      <c r="G179" s="175"/>
      <c r="H179" s="175"/>
      <c r="I179" s="187"/>
      <c r="J179" s="187"/>
      <c r="K179" s="187"/>
    </row>
    <row r="180" spans="2:11" ht="12.75">
      <c r="B180" s="200"/>
      <c r="C180" s="171"/>
      <c r="D180" s="171"/>
      <c r="E180" s="171"/>
      <c r="F180" s="171"/>
      <c r="G180" s="175"/>
      <c r="H180" s="175"/>
      <c r="I180" s="187"/>
      <c r="J180" s="187"/>
      <c r="K180" s="187"/>
    </row>
    <row r="181" spans="2:12" ht="12.75">
      <c r="B181" s="194" t="s">
        <v>472</v>
      </c>
      <c r="C181" s="166"/>
      <c r="D181" s="166" t="s">
        <v>453</v>
      </c>
      <c r="E181" s="170"/>
      <c r="F181" s="166" t="s">
        <v>442</v>
      </c>
      <c r="G181" s="166" t="s">
        <v>454</v>
      </c>
      <c r="H181" s="166" t="s">
        <v>455</v>
      </c>
      <c r="I181" s="166"/>
      <c r="J181" s="166"/>
      <c r="K181" s="196"/>
      <c r="L181" s="196"/>
    </row>
    <row r="182" spans="2:13" ht="12.75">
      <c r="B182" s="172"/>
      <c r="C182" s="166"/>
      <c r="D182" s="166" t="s">
        <v>456</v>
      </c>
      <c r="E182" s="166"/>
      <c r="F182" s="166" t="s">
        <v>445</v>
      </c>
      <c r="G182" s="166" t="s">
        <v>457</v>
      </c>
      <c r="H182" s="166" t="s">
        <v>28</v>
      </c>
      <c r="I182" s="166" t="s">
        <v>443</v>
      </c>
      <c r="J182" s="166" t="s">
        <v>444</v>
      </c>
      <c r="K182" s="196"/>
      <c r="L182" s="196"/>
      <c r="M182" s="166" t="s">
        <v>460</v>
      </c>
    </row>
    <row r="183" spans="2:12" ht="12.75">
      <c r="B183" s="181" t="s">
        <v>3</v>
      </c>
      <c r="C183" s="166"/>
      <c r="D183" s="180" t="s">
        <v>474</v>
      </c>
      <c r="G183" s="166" t="s">
        <v>445</v>
      </c>
      <c r="H183" s="166" t="s">
        <v>445</v>
      </c>
      <c r="I183" s="166" t="s">
        <v>445</v>
      </c>
      <c r="J183" s="166" t="s">
        <v>445</v>
      </c>
      <c r="K183" s="196"/>
      <c r="L183" s="196"/>
    </row>
    <row r="184" spans="2:12" ht="12.75">
      <c r="B184" s="197"/>
      <c r="C184" s="183"/>
      <c r="D184" s="183"/>
      <c r="E184" s="183"/>
      <c r="F184" s="183"/>
      <c r="G184" s="183"/>
      <c r="H184" s="183"/>
      <c r="I184" s="183"/>
      <c r="J184" s="183"/>
      <c r="K184" s="441"/>
      <c r="L184" s="442"/>
    </row>
    <row r="185" spans="2:13" ht="12.75">
      <c r="B185" s="418"/>
      <c r="C185" s="437"/>
      <c r="D185" s="437"/>
      <c r="E185" s="420"/>
      <c r="F185" s="420"/>
      <c r="G185" s="420"/>
      <c r="H185" s="420">
        <f t="shared" si="16" ref="H185:H196">D185</f>
        <v>0</v>
      </c>
      <c r="I185" s="420"/>
      <c r="J185" s="420"/>
      <c r="K185" s="420"/>
      <c r="L185" s="420"/>
      <c r="M185" s="420"/>
    </row>
    <row r="186" spans="2:13" ht="12.75">
      <c r="B186" s="418"/>
      <c r="C186" s="437"/>
      <c r="D186" s="437"/>
      <c r="E186" s="420"/>
      <c r="F186" s="420"/>
      <c r="G186" s="420"/>
      <c r="H186" s="420">
        <f t="shared" si="16"/>
        <v>0</v>
      </c>
      <c r="I186" s="420"/>
      <c r="J186" s="420"/>
      <c r="K186" s="420"/>
      <c r="L186" s="420"/>
      <c r="M186" s="420"/>
    </row>
    <row r="187" spans="2:13" ht="12.75">
      <c r="B187" s="418"/>
      <c r="C187" s="437"/>
      <c r="D187" s="437"/>
      <c r="E187" s="420"/>
      <c r="F187" s="420"/>
      <c r="G187" s="420"/>
      <c r="H187" s="420">
        <f t="shared" si="16"/>
        <v>0</v>
      </c>
      <c r="I187" s="420"/>
      <c r="J187" s="420"/>
      <c r="K187" s="420"/>
      <c r="L187" s="420"/>
      <c r="M187" s="420"/>
    </row>
    <row r="188" spans="2:13" ht="12.75">
      <c r="B188" s="418"/>
      <c r="C188" s="437"/>
      <c r="D188" s="437"/>
      <c r="E188" s="420"/>
      <c r="F188" s="420"/>
      <c r="G188" s="420"/>
      <c r="H188" s="420">
        <f t="shared" si="16"/>
        <v>0</v>
      </c>
      <c r="I188" s="420"/>
      <c r="J188" s="420"/>
      <c r="K188" s="420"/>
      <c r="L188" s="420"/>
      <c r="M188" s="420"/>
    </row>
    <row r="189" spans="2:13" ht="12.75">
      <c r="B189" s="418"/>
      <c r="C189" s="437"/>
      <c r="D189" s="437"/>
      <c r="E189" s="420"/>
      <c r="F189" s="420"/>
      <c r="G189" s="420"/>
      <c r="H189" s="420">
        <f t="shared" si="16"/>
        <v>0</v>
      </c>
      <c r="I189" s="420"/>
      <c r="J189" s="420"/>
      <c r="K189" s="420"/>
      <c r="L189" s="420"/>
      <c r="M189" s="420"/>
    </row>
    <row r="190" spans="2:13" ht="12.75">
      <c r="B190" s="418"/>
      <c r="C190" s="437"/>
      <c r="D190" s="437"/>
      <c r="E190" s="420"/>
      <c r="F190" s="420"/>
      <c r="G190" s="420"/>
      <c r="H190" s="420">
        <f t="shared" si="16"/>
        <v>0</v>
      </c>
      <c r="I190" s="420"/>
      <c r="J190" s="420"/>
      <c r="K190" s="420"/>
      <c r="L190" s="420"/>
      <c r="M190" s="420"/>
    </row>
    <row r="191" spans="2:13" ht="12.75">
      <c r="B191" s="418"/>
      <c r="C191" s="437"/>
      <c r="D191" s="437"/>
      <c r="E191" s="420"/>
      <c r="F191" s="420"/>
      <c r="G191" s="420"/>
      <c r="H191" s="420">
        <f t="shared" si="16"/>
        <v>0</v>
      </c>
      <c r="I191" s="420"/>
      <c r="J191" s="420"/>
      <c r="K191" s="420"/>
      <c r="L191" s="420"/>
      <c r="M191" s="420"/>
    </row>
    <row r="192" spans="2:13" ht="12.75">
      <c r="B192" s="418"/>
      <c r="C192" s="437"/>
      <c r="D192" s="437"/>
      <c r="E192" s="420"/>
      <c r="F192" s="420"/>
      <c r="G192" s="420"/>
      <c r="H192" s="420">
        <f t="shared" si="16"/>
        <v>0</v>
      </c>
      <c r="I192" s="420"/>
      <c r="J192" s="420"/>
      <c r="K192" s="420"/>
      <c r="L192" s="420"/>
      <c r="M192" s="421"/>
    </row>
    <row r="193" spans="2:13" ht="12.75">
      <c r="B193" s="418"/>
      <c r="C193" s="437"/>
      <c r="D193" s="437"/>
      <c r="E193" s="420"/>
      <c r="F193" s="420"/>
      <c r="G193" s="420"/>
      <c r="H193" s="420">
        <f t="shared" si="16"/>
        <v>0</v>
      </c>
      <c r="I193" s="420"/>
      <c r="J193" s="420"/>
      <c r="K193" s="420"/>
      <c r="L193" s="420"/>
      <c r="M193" s="421"/>
    </row>
    <row r="194" spans="2:13" ht="12.75">
      <c r="B194" s="418"/>
      <c r="C194" s="437"/>
      <c r="D194" s="437"/>
      <c r="E194" s="420"/>
      <c r="F194" s="420"/>
      <c r="G194" s="420"/>
      <c r="H194" s="420">
        <f t="shared" si="16"/>
        <v>0</v>
      </c>
      <c r="I194" s="420"/>
      <c r="J194" s="420"/>
      <c r="K194" s="420"/>
      <c r="L194" s="420"/>
      <c r="M194" s="420"/>
    </row>
    <row r="195" spans="2:13" ht="12.75">
      <c r="B195" s="418"/>
      <c r="C195" s="437"/>
      <c r="D195" s="437"/>
      <c r="E195" s="420"/>
      <c r="F195" s="420"/>
      <c r="G195" s="420"/>
      <c r="H195" s="420">
        <f t="shared" si="16"/>
        <v>0</v>
      </c>
      <c r="I195" s="420"/>
      <c r="J195" s="420"/>
      <c r="K195" s="420"/>
      <c r="L195" s="420"/>
      <c r="M195" s="420"/>
    </row>
    <row r="196" spans="2:13" ht="12.75">
      <c r="B196" s="418"/>
      <c r="C196" s="448"/>
      <c r="D196" s="448"/>
      <c r="E196" s="423"/>
      <c r="F196" s="423"/>
      <c r="G196" s="423"/>
      <c r="H196" s="423">
        <f t="shared" si="16"/>
        <v>0</v>
      </c>
      <c r="I196" s="423"/>
      <c r="J196" s="423"/>
      <c r="K196" s="423"/>
      <c r="L196" s="423"/>
      <c r="M196" s="424"/>
    </row>
    <row r="197" spans="2:12" ht="12.75">
      <c r="B197" s="182" t="s">
        <v>292</v>
      </c>
      <c r="C197" s="183">
        <f>SUM(C184:C196)</f>
        <v>0</v>
      </c>
      <c r="D197" s="183">
        <f>SUM(D185:D196)</f>
        <v>0</v>
      </c>
      <c r="E197" s="183"/>
      <c r="F197" s="183"/>
      <c r="G197" s="183">
        <f>SUM(G184:G196)</f>
        <v>0</v>
      </c>
      <c r="H197" s="183">
        <f>SUM(H184:H196)</f>
        <v>0</v>
      </c>
      <c r="I197" s="183">
        <f>SUM(I184:I196)</f>
        <v>0</v>
      </c>
      <c r="J197" s="183">
        <f>SUM(J184:J196)</f>
        <v>0</v>
      </c>
      <c r="K197" s="183"/>
      <c r="L197" s="183"/>
    </row>
    <row r="198" spans="2:11" ht="15.75">
      <c r="B198" s="193"/>
      <c r="C198" s="171"/>
      <c r="D198" s="171"/>
      <c r="E198" s="171"/>
      <c r="F198" s="171"/>
      <c r="G198" s="175"/>
      <c r="H198" s="175"/>
      <c r="I198" s="187"/>
      <c r="J198" s="187"/>
      <c r="K198" s="187"/>
    </row>
    <row r="199" spans="2:11" ht="12.75">
      <c r="B199" s="172"/>
      <c r="C199" s="172"/>
      <c r="D199" s="172"/>
      <c r="E199" s="172"/>
      <c r="F199" s="172"/>
      <c r="G199" s="172"/>
      <c r="H199" s="172"/>
      <c r="I199" s="172"/>
      <c r="J199" s="194"/>
      <c r="K199" s="194"/>
    </row>
    <row r="200" spans="2:12" ht="13.5" thickBot="1">
      <c r="B200" s="166" t="s">
        <v>123</v>
      </c>
      <c r="C200" s="166" t="s">
        <v>437</v>
      </c>
      <c r="D200" s="166" t="s">
        <v>438</v>
      </c>
      <c r="E200" s="166" t="s">
        <v>439</v>
      </c>
      <c r="F200" s="166" t="s">
        <v>125</v>
      </c>
      <c r="G200" s="166" t="s">
        <v>126</v>
      </c>
      <c r="H200" s="166" t="s">
        <v>127</v>
      </c>
      <c r="I200" s="166" t="s">
        <v>128</v>
      </c>
      <c r="J200" s="166" t="s">
        <v>129</v>
      </c>
      <c r="K200" s="166"/>
      <c r="L200" s="166"/>
    </row>
    <row r="201" spans="2:12" ht="13.5" thickBot="1">
      <c r="B201" s="189"/>
      <c r="C201" s="1195" t="str">
        <f>C5</f>
        <v>Jersey Central Power &amp; Light</v>
      </c>
      <c r="D201" s="1196"/>
      <c r="E201" s="1196"/>
      <c r="F201" s="1196"/>
      <c r="G201" s="1196"/>
      <c r="H201" s="1196"/>
      <c r="I201" s="1196"/>
      <c r="J201" s="1197"/>
      <c r="K201" s="166"/>
      <c r="L201" s="166"/>
    </row>
    <row r="202" spans="2:12" ht="12.75">
      <c r="B202" s="172"/>
      <c r="K202" s="196"/>
      <c r="L202" s="196"/>
    </row>
    <row r="203" spans="2:12" ht="25.5">
      <c r="B203" s="194" t="s">
        <v>675</v>
      </c>
      <c r="C203" s="166" t="s">
        <v>440</v>
      </c>
      <c r="D203" s="166" t="s">
        <v>453</v>
      </c>
      <c r="E203" s="170" t="s">
        <v>441</v>
      </c>
      <c r="F203" s="166" t="s">
        <v>442</v>
      </c>
      <c r="G203" s="166" t="s">
        <v>454</v>
      </c>
      <c r="H203" s="166" t="s">
        <v>455</v>
      </c>
      <c r="I203" s="166"/>
      <c r="J203" s="166"/>
      <c r="K203" s="196"/>
      <c r="L203" s="196"/>
    </row>
    <row r="204" spans="2:13" ht="12.75">
      <c r="B204" s="172"/>
      <c r="C204" s="166" t="s">
        <v>456</v>
      </c>
      <c r="D204" s="166" t="str">
        <f>+C204</f>
        <v>Balance</v>
      </c>
      <c r="E204" s="166" t="s">
        <v>10</v>
      </c>
      <c r="F204" s="166" t="s">
        <v>445</v>
      </c>
      <c r="G204" s="166" t="s">
        <v>457</v>
      </c>
      <c r="H204" s="166" t="s">
        <v>28</v>
      </c>
      <c r="I204" s="166" t="s">
        <v>443</v>
      </c>
      <c r="J204" s="166" t="s">
        <v>444</v>
      </c>
      <c r="K204" s="196"/>
      <c r="L204" s="196"/>
      <c r="M204" s="166" t="s">
        <v>460</v>
      </c>
    </row>
    <row r="205" spans="2:12" ht="12.75">
      <c r="B205" s="181" t="s">
        <v>3</v>
      </c>
      <c r="C205" s="450" t="s">
        <v>473</v>
      </c>
      <c r="D205" s="450" t="s">
        <v>474</v>
      </c>
      <c r="G205" s="166" t="s">
        <v>445</v>
      </c>
      <c r="H205" s="166" t="s">
        <v>445</v>
      </c>
      <c r="I205" s="166" t="s">
        <v>445</v>
      </c>
      <c r="J205" s="166" t="s">
        <v>445</v>
      </c>
      <c r="K205" s="196"/>
      <c r="L205" s="196"/>
    </row>
    <row r="206" spans="2:12" ht="12.75">
      <c r="B206" s="197"/>
      <c r="C206" s="183"/>
      <c r="D206" s="183"/>
      <c r="E206" s="183"/>
      <c r="F206" s="183"/>
      <c r="G206" s="183"/>
      <c r="H206" s="183"/>
      <c r="I206" s="183"/>
      <c r="J206" s="183"/>
      <c r="K206" s="441"/>
      <c r="L206" s="442"/>
    </row>
    <row r="207" spans="2:13" ht="12.75">
      <c r="B207" s="425"/>
      <c r="C207" s="449">
        <f>C166</f>
        <v>0</v>
      </c>
      <c r="D207" s="449">
        <f>D185</f>
        <v>0</v>
      </c>
      <c r="E207" s="183">
        <f t="shared" si="17" ref="E207:E215">AVERAGE(C207:D207)</f>
        <v>0</v>
      </c>
      <c r="F207" s="183"/>
      <c r="G207" s="183"/>
      <c r="H207" s="183">
        <f t="shared" si="18" ref="H207:H217">E207</f>
        <v>0</v>
      </c>
      <c r="I207" s="183"/>
      <c r="J207" s="183"/>
      <c r="K207" s="183"/>
      <c r="L207" s="183"/>
      <c r="M207" s="183"/>
    </row>
    <row r="208" spans="2:13" ht="12.75">
      <c r="B208" s="425"/>
      <c r="C208" s="449">
        <f t="shared" si="19" ref="C208:C217">C167</f>
        <v>0</v>
      </c>
      <c r="D208" s="449">
        <f t="shared" si="20" ref="D208:D217">D186</f>
        <v>0</v>
      </c>
      <c r="E208" s="183">
        <f t="shared" si="17"/>
        <v>0</v>
      </c>
      <c r="F208" s="183"/>
      <c r="G208" s="183"/>
      <c r="H208" s="183">
        <f t="shared" si="18"/>
        <v>0</v>
      </c>
      <c r="I208" s="183"/>
      <c r="J208" s="183"/>
      <c r="K208" s="183"/>
      <c r="L208" s="183"/>
      <c r="M208" s="183"/>
    </row>
    <row r="209" spans="2:13" ht="12.75">
      <c r="B209" s="425"/>
      <c r="C209" s="449">
        <f t="shared" si="19"/>
        <v>0</v>
      </c>
      <c r="D209" s="449">
        <f t="shared" si="20"/>
        <v>0</v>
      </c>
      <c r="E209" s="183">
        <f t="shared" si="17"/>
        <v>0</v>
      </c>
      <c r="F209" s="183"/>
      <c r="G209" s="183"/>
      <c r="H209" s="183">
        <f t="shared" si="18"/>
        <v>0</v>
      </c>
      <c r="I209" s="183"/>
      <c r="J209" s="183"/>
      <c r="K209" s="183"/>
      <c r="L209" s="183"/>
      <c r="M209" s="183"/>
    </row>
    <row r="210" spans="2:13" ht="12.75">
      <c r="B210" s="425"/>
      <c r="C210" s="449">
        <f t="shared" si="19"/>
        <v>0</v>
      </c>
      <c r="D210" s="449">
        <f t="shared" si="20"/>
        <v>0</v>
      </c>
      <c r="E210" s="183">
        <f t="shared" si="17"/>
        <v>0</v>
      </c>
      <c r="F210" s="183"/>
      <c r="G210" s="183"/>
      <c r="H210" s="183">
        <f t="shared" si="18"/>
        <v>0</v>
      </c>
      <c r="I210" s="183"/>
      <c r="J210" s="183"/>
      <c r="K210" s="183"/>
      <c r="L210" s="183"/>
      <c r="M210" s="183"/>
    </row>
    <row r="211" spans="2:13" ht="12.75">
      <c r="B211" s="425"/>
      <c r="C211" s="449">
        <f t="shared" si="19"/>
        <v>0</v>
      </c>
      <c r="D211" s="449">
        <f t="shared" si="20"/>
        <v>0</v>
      </c>
      <c r="E211" s="183">
        <f t="shared" si="17"/>
        <v>0</v>
      </c>
      <c r="F211" s="183"/>
      <c r="G211" s="183"/>
      <c r="H211" s="183">
        <f t="shared" si="18"/>
        <v>0</v>
      </c>
      <c r="I211" s="183"/>
      <c r="J211" s="183"/>
      <c r="K211" s="183"/>
      <c r="L211" s="183"/>
      <c r="M211" s="183"/>
    </row>
    <row r="212" spans="2:13" ht="12.75">
      <c r="B212" s="425"/>
      <c r="C212" s="449">
        <f t="shared" si="19"/>
        <v>0</v>
      </c>
      <c r="D212" s="449">
        <f t="shared" si="20"/>
        <v>0</v>
      </c>
      <c r="E212" s="183">
        <f t="shared" si="17"/>
        <v>0</v>
      </c>
      <c r="F212" s="183"/>
      <c r="G212" s="183"/>
      <c r="H212" s="183">
        <f t="shared" si="18"/>
        <v>0</v>
      </c>
      <c r="I212" s="183"/>
      <c r="J212" s="183"/>
      <c r="K212" s="183"/>
      <c r="L212" s="183"/>
      <c r="M212" s="183"/>
    </row>
    <row r="213" spans="2:13" ht="12.75">
      <c r="B213" s="425"/>
      <c r="C213" s="449">
        <f t="shared" si="19"/>
        <v>0</v>
      </c>
      <c r="D213" s="449">
        <f t="shared" si="20"/>
        <v>0</v>
      </c>
      <c r="E213" s="183">
        <f t="shared" si="17"/>
        <v>0</v>
      </c>
      <c r="F213" s="183"/>
      <c r="G213" s="183"/>
      <c r="H213" s="183">
        <f t="shared" si="18"/>
        <v>0</v>
      </c>
      <c r="I213" s="183"/>
      <c r="J213" s="183"/>
      <c r="K213" s="183"/>
      <c r="L213" s="183"/>
      <c r="M213" s="183"/>
    </row>
    <row r="214" spans="2:13" ht="12.75">
      <c r="B214" s="425"/>
      <c r="C214" s="449">
        <f t="shared" si="19"/>
        <v>0</v>
      </c>
      <c r="D214" s="449">
        <f t="shared" si="20"/>
        <v>0</v>
      </c>
      <c r="E214" s="183">
        <f t="shared" si="17"/>
        <v>0</v>
      </c>
      <c r="F214" s="183"/>
      <c r="G214" s="183"/>
      <c r="H214" s="183">
        <f t="shared" si="18"/>
        <v>0</v>
      </c>
      <c r="I214" s="183"/>
      <c r="J214" s="183"/>
      <c r="K214" s="183"/>
      <c r="L214" s="183"/>
      <c r="M214" s="427"/>
    </row>
    <row r="215" spans="2:13" ht="12.75">
      <c r="B215" s="425"/>
      <c r="C215" s="449">
        <f t="shared" si="19"/>
        <v>0</v>
      </c>
      <c r="D215" s="449">
        <f t="shared" si="20"/>
        <v>0</v>
      </c>
      <c r="E215" s="183">
        <f t="shared" si="17"/>
        <v>0</v>
      </c>
      <c r="F215" s="183"/>
      <c r="G215" s="183"/>
      <c r="H215" s="183">
        <f t="shared" si="18"/>
        <v>0</v>
      </c>
      <c r="I215" s="183"/>
      <c r="J215" s="183"/>
      <c r="K215" s="183"/>
      <c r="L215" s="183"/>
      <c r="M215" s="427"/>
    </row>
    <row r="216" spans="2:13" ht="12.75">
      <c r="B216" s="425"/>
      <c r="C216" s="449">
        <f t="shared" si="19"/>
        <v>0</v>
      </c>
      <c r="D216" s="449">
        <f t="shared" si="20"/>
        <v>0</v>
      </c>
      <c r="E216" s="183">
        <f>AVERAGE(C216:D216)</f>
        <v>0</v>
      </c>
      <c r="F216" s="183"/>
      <c r="G216" s="183"/>
      <c r="H216" s="183">
        <f t="shared" si="18"/>
        <v>0</v>
      </c>
      <c r="I216" s="183"/>
      <c r="J216" s="183"/>
      <c r="K216" s="183"/>
      <c r="L216" s="183"/>
      <c r="M216" s="183"/>
    </row>
    <row r="217" spans="2:13" ht="12.75">
      <c r="B217" s="425"/>
      <c r="C217" s="449">
        <f t="shared" si="19"/>
        <v>0</v>
      </c>
      <c r="D217" s="449">
        <f t="shared" si="20"/>
        <v>0</v>
      </c>
      <c r="E217" s="183">
        <f>AVERAGE(C217:D217)</f>
        <v>0</v>
      </c>
      <c r="F217" s="183"/>
      <c r="G217" s="183"/>
      <c r="H217" s="183">
        <f t="shared" si="18"/>
        <v>0</v>
      </c>
      <c r="I217" s="183"/>
      <c r="J217" s="183"/>
      <c r="K217" s="183"/>
      <c r="L217" s="183"/>
      <c r="M217" s="183"/>
    </row>
    <row r="218" spans="2:13" ht="12.75">
      <c r="B218" s="425"/>
      <c r="C218" s="429"/>
      <c r="D218" s="429"/>
      <c r="E218" s="430"/>
      <c r="F218" s="430"/>
      <c r="G218" s="430"/>
      <c r="H218" s="430"/>
      <c r="I218" s="430"/>
      <c r="J218" s="430"/>
      <c r="K218" s="430"/>
      <c r="L218" s="430"/>
      <c r="M218" s="431"/>
    </row>
    <row r="219" spans="2:12" ht="12.75">
      <c r="B219" s="182" t="s">
        <v>292</v>
      </c>
      <c r="C219" s="183">
        <f>SUM(C206:C218)</f>
        <v>0</v>
      </c>
      <c r="D219" s="183">
        <f>SUM(D207:D218)</f>
        <v>0</v>
      </c>
      <c r="E219" s="183">
        <f>SUM(E206:E218)</f>
        <v>0</v>
      </c>
      <c r="F219" s="183"/>
      <c r="G219" s="183">
        <f>SUM(G206:G218)</f>
        <v>0</v>
      </c>
      <c r="H219" s="183">
        <f>SUM(H206:H218)</f>
        <v>0</v>
      </c>
      <c r="I219" s="183">
        <f>SUM(I206:I218)</f>
        <v>0</v>
      </c>
      <c r="J219" s="183">
        <f>SUM(J206:J218)</f>
        <v>0</v>
      </c>
      <c r="K219" s="183"/>
      <c r="L219" s="183"/>
    </row>
    <row r="220" spans="2:12" ht="12.75">
      <c r="B220" s="185"/>
      <c r="G220" s="175"/>
      <c r="H220" s="175"/>
      <c r="I220" s="175"/>
      <c r="J220" s="175"/>
      <c r="K220" s="183"/>
      <c r="L220" s="175"/>
    </row>
    <row r="221" spans="2:11" ht="12.75">
      <c r="B221" s="185" t="s">
        <v>475</v>
      </c>
      <c r="C221" s="171"/>
      <c r="D221" s="171"/>
      <c r="E221" s="171"/>
      <c r="F221" s="171"/>
      <c r="G221" s="175"/>
      <c r="H221" s="175"/>
      <c r="I221" s="187"/>
      <c r="J221" s="187"/>
      <c r="K221" s="187"/>
    </row>
    <row r="222" spans="2:11" ht="12.75">
      <c r="B222" s="200"/>
      <c r="C222" s="171"/>
      <c r="D222" s="171"/>
      <c r="E222" s="171"/>
      <c r="F222" s="171"/>
      <c r="G222" s="171"/>
      <c r="H222" s="171"/>
      <c r="I222" s="171"/>
      <c r="J222" s="171"/>
      <c r="K222" s="171"/>
    </row>
    <row r="223" spans="2:11" ht="12.75">
      <c r="B223" s="1194" t="s">
        <v>462</v>
      </c>
      <c r="C223" s="1194"/>
      <c r="D223" s="1194"/>
      <c r="E223" s="1194"/>
      <c r="F223" s="1194"/>
      <c r="G223" s="1194"/>
      <c r="H223" s="1194"/>
      <c r="I223" s="1194"/>
      <c r="J223" s="1194"/>
      <c r="K223" s="1194"/>
    </row>
    <row r="224" spans="2:11" ht="12.75">
      <c r="B224" s="1194" t="s">
        <v>463</v>
      </c>
      <c r="C224" s="1194"/>
      <c r="D224" s="1194"/>
      <c r="E224" s="1194"/>
      <c r="F224" s="1194"/>
      <c r="G224" s="1194"/>
      <c r="H224" s="1194"/>
      <c r="I224" s="1194"/>
      <c r="J224" s="1194"/>
      <c r="K224" s="1194"/>
    </row>
    <row r="225" spans="2:11" ht="12.75">
      <c r="B225" s="190" t="s">
        <v>464</v>
      </c>
      <c r="C225" s="175"/>
      <c r="D225" s="175"/>
      <c r="E225" s="175"/>
      <c r="F225" s="175"/>
      <c r="G225" s="175"/>
      <c r="H225" s="175"/>
      <c r="I225" s="187"/>
      <c r="J225" s="187"/>
      <c r="K225" s="187"/>
    </row>
    <row r="226" spans="2:11" ht="12.75">
      <c r="B226" s="190" t="s">
        <v>465</v>
      </c>
      <c r="C226" s="175"/>
      <c r="D226" s="175"/>
      <c r="E226" s="175"/>
      <c r="F226" s="175"/>
      <c r="G226" s="175"/>
      <c r="H226" s="175"/>
      <c r="I226" s="187"/>
      <c r="J226" s="187"/>
      <c r="K226" s="187"/>
    </row>
    <row r="227" spans="2:11" ht="12.75">
      <c r="B227" s="190" t="s">
        <v>466</v>
      </c>
      <c r="C227" s="175"/>
      <c r="D227" s="175"/>
      <c r="E227" s="175"/>
      <c r="F227" s="175"/>
      <c r="G227" s="175"/>
      <c r="H227" s="175"/>
      <c r="I227" s="187"/>
      <c r="J227" s="187"/>
      <c r="K227" s="187"/>
    </row>
    <row r="228" spans="2:11" ht="32.25" customHeight="1">
      <c r="B228" s="1194" t="s">
        <v>467</v>
      </c>
      <c r="C228" s="1194"/>
      <c r="D228" s="1194"/>
      <c r="E228" s="1194"/>
      <c r="F228" s="1194"/>
      <c r="G228" s="1194"/>
      <c r="H228" s="1194"/>
      <c r="I228" s="1194"/>
      <c r="J228" s="1194"/>
      <c r="K228" s="1194"/>
    </row>
    <row r="229" spans="2:11" ht="12.75">
      <c r="B229" s="175"/>
      <c r="C229" s="175"/>
      <c r="D229" s="175"/>
      <c r="E229" s="175"/>
      <c r="F229" s="175"/>
      <c r="G229" s="175"/>
      <c r="H229" s="175"/>
      <c r="I229" s="175"/>
      <c r="J229" s="201"/>
      <c r="K229" s="201"/>
    </row>
    <row r="230" spans="2:11" ht="12.75">
      <c r="B230" s="178" t="s">
        <v>468</v>
      </c>
      <c r="C230" s="171"/>
      <c r="D230" s="171"/>
      <c r="E230" s="171"/>
      <c r="F230" s="171"/>
      <c r="G230" s="175"/>
      <c r="H230" s="175"/>
      <c r="I230" s="187"/>
      <c r="J230" s="187"/>
      <c r="K230" s="187"/>
    </row>
    <row r="231" spans="2:11" ht="12.75">
      <c r="B231" s="200"/>
      <c r="C231" s="171"/>
      <c r="D231" s="171"/>
      <c r="E231" s="171"/>
      <c r="F231" s="171"/>
      <c r="G231" s="175"/>
      <c r="H231" s="175"/>
      <c r="I231" s="187"/>
      <c r="J231" s="187"/>
      <c r="K231" s="187"/>
    </row>
    <row r="232" spans="2:12" ht="13.5" thickBot="1">
      <c r="B232" s="166" t="s">
        <v>123</v>
      </c>
      <c r="C232" s="166" t="s">
        <v>437</v>
      </c>
      <c r="D232" s="166" t="s">
        <v>438</v>
      </c>
      <c r="E232" s="166" t="s">
        <v>439</v>
      </c>
      <c r="F232" s="166" t="s">
        <v>125</v>
      </c>
      <c r="G232" s="166" t="s">
        <v>126</v>
      </c>
      <c r="H232" s="166" t="s">
        <v>127</v>
      </c>
      <c r="I232" s="166" t="s">
        <v>128</v>
      </c>
      <c r="J232" s="166" t="s">
        <v>129</v>
      </c>
      <c r="K232" s="166"/>
      <c r="L232" s="166"/>
    </row>
    <row r="233" spans="2:12" ht="13.5" thickBot="1">
      <c r="B233" s="189"/>
      <c r="C233" s="1195" t="str">
        <f>C201</f>
        <v>Jersey Central Power &amp; Light</v>
      </c>
      <c r="D233" s="1196"/>
      <c r="E233" s="1196"/>
      <c r="F233" s="1196"/>
      <c r="G233" s="1196"/>
      <c r="H233" s="1196"/>
      <c r="I233" s="1196"/>
      <c r="J233" s="1197"/>
      <c r="K233" s="166"/>
      <c r="L233" s="166"/>
    </row>
    <row r="234" spans="2:12" ht="12.75">
      <c r="B234" s="172"/>
      <c r="K234" s="196"/>
      <c r="L234" s="196"/>
    </row>
    <row r="235" spans="2:12" ht="12.75">
      <c r="B235" s="194" t="s">
        <v>477</v>
      </c>
      <c r="C235" s="166" t="s">
        <v>440</v>
      </c>
      <c r="D235" s="166"/>
      <c r="E235" s="170"/>
      <c r="F235" s="166" t="s">
        <v>442</v>
      </c>
      <c r="G235" s="166" t="s">
        <v>454</v>
      </c>
      <c r="H235" s="166" t="s">
        <v>455</v>
      </c>
      <c r="I235" s="166"/>
      <c r="J235" s="166"/>
      <c r="K235" s="196"/>
      <c r="L235" s="196"/>
    </row>
    <row r="236" spans="2:13" ht="12.75">
      <c r="B236" s="172"/>
      <c r="C236" s="166" t="s">
        <v>456</v>
      </c>
      <c r="D236" s="166"/>
      <c r="E236" s="166"/>
      <c r="F236" s="166" t="s">
        <v>445</v>
      </c>
      <c r="G236" s="166" t="s">
        <v>457</v>
      </c>
      <c r="H236" s="166" t="s">
        <v>28</v>
      </c>
      <c r="I236" s="166" t="s">
        <v>443</v>
      </c>
      <c r="J236" s="166" t="s">
        <v>444</v>
      </c>
      <c r="K236" s="196"/>
      <c r="L236" s="196"/>
      <c r="M236" s="166" t="s">
        <v>460</v>
      </c>
    </row>
    <row r="237" spans="2:12" ht="12.75">
      <c r="B237" s="181" t="s">
        <v>3</v>
      </c>
      <c r="C237" s="180" t="s">
        <v>478</v>
      </c>
      <c r="D237" s="166"/>
      <c r="G237" s="166" t="s">
        <v>445</v>
      </c>
      <c r="H237" s="166" t="s">
        <v>445</v>
      </c>
      <c r="I237" s="166" t="s">
        <v>445</v>
      </c>
      <c r="J237" s="166" t="s">
        <v>445</v>
      </c>
      <c r="K237" s="196"/>
      <c r="L237" s="196"/>
    </row>
    <row r="238" spans="2:12" ht="12.75">
      <c r="B238" s="197"/>
      <c r="C238" s="183"/>
      <c r="D238" s="183"/>
      <c r="E238" s="183"/>
      <c r="F238" s="183"/>
      <c r="G238" s="183"/>
      <c r="H238" s="183"/>
      <c r="I238" s="183"/>
      <c r="J238" s="183"/>
      <c r="K238" s="441"/>
      <c r="L238" s="442"/>
    </row>
    <row r="239" spans="2:13" ht="12.75">
      <c r="B239" s="418"/>
      <c r="C239" s="437"/>
      <c r="D239" s="437"/>
      <c r="E239" s="420"/>
      <c r="F239" s="420"/>
      <c r="G239" s="420"/>
      <c r="H239" s="420">
        <f t="shared" si="21" ref="H239:H247">C239</f>
        <v>0</v>
      </c>
      <c r="I239" s="420"/>
      <c r="J239" s="420"/>
      <c r="K239" s="420"/>
      <c r="L239" s="420"/>
      <c r="M239" s="420"/>
    </row>
    <row r="240" spans="2:13" ht="12.75">
      <c r="B240" s="418"/>
      <c r="C240" s="437"/>
      <c r="D240" s="437"/>
      <c r="E240" s="420"/>
      <c r="F240" s="420"/>
      <c r="G240" s="420"/>
      <c r="H240" s="420">
        <f t="shared" si="21"/>
        <v>0</v>
      </c>
      <c r="I240" s="420"/>
      <c r="J240" s="420"/>
      <c r="K240" s="420"/>
      <c r="L240" s="420"/>
      <c r="M240" s="420"/>
    </row>
    <row r="241" spans="2:13" ht="12.75">
      <c r="B241" s="418"/>
      <c r="C241" s="437"/>
      <c r="D241" s="437"/>
      <c r="E241" s="420"/>
      <c r="F241" s="420"/>
      <c r="G241" s="420"/>
      <c r="H241" s="420">
        <f t="shared" si="21"/>
        <v>0</v>
      </c>
      <c r="I241" s="420"/>
      <c r="J241" s="420"/>
      <c r="K241" s="420"/>
      <c r="L241" s="420"/>
      <c r="M241" s="420"/>
    </row>
    <row r="242" spans="2:13" ht="12.75">
      <c r="B242" s="418"/>
      <c r="C242" s="437"/>
      <c r="D242" s="437"/>
      <c r="E242" s="420"/>
      <c r="F242" s="420"/>
      <c r="G242" s="420"/>
      <c r="H242" s="420">
        <f t="shared" si="21"/>
        <v>0</v>
      </c>
      <c r="I242" s="420"/>
      <c r="J242" s="420"/>
      <c r="K242" s="420"/>
      <c r="L242" s="420"/>
      <c r="M242" s="420"/>
    </row>
    <row r="243" spans="2:13" ht="12.75">
      <c r="B243" s="418"/>
      <c r="C243" s="437"/>
      <c r="D243" s="437"/>
      <c r="E243" s="420"/>
      <c r="F243" s="420"/>
      <c r="G243" s="420"/>
      <c r="H243" s="420">
        <f t="shared" si="21"/>
        <v>0</v>
      </c>
      <c r="I243" s="420"/>
      <c r="J243" s="420"/>
      <c r="K243" s="420"/>
      <c r="L243" s="420"/>
      <c r="M243" s="421"/>
    </row>
    <row r="244" spans="2:13" ht="12.75">
      <c r="B244" s="418"/>
      <c r="C244" s="437"/>
      <c r="D244" s="437"/>
      <c r="E244" s="420"/>
      <c r="F244" s="420"/>
      <c r="G244" s="420"/>
      <c r="H244" s="420">
        <f t="shared" si="21"/>
        <v>0</v>
      </c>
      <c r="I244" s="420"/>
      <c r="J244" s="420"/>
      <c r="K244" s="420"/>
      <c r="L244" s="420"/>
      <c r="M244" s="421"/>
    </row>
    <row r="245" spans="2:13" ht="12.75">
      <c r="B245" s="418"/>
      <c r="C245" s="437"/>
      <c r="D245" s="437"/>
      <c r="E245" s="420"/>
      <c r="F245" s="420"/>
      <c r="G245" s="420"/>
      <c r="H245" s="420">
        <f t="shared" si="21"/>
        <v>0</v>
      </c>
      <c r="I245" s="420"/>
      <c r="J245" s="420"/>
      <c r="K245" s="420"/>
      <c r="L245" s="420"/>
      <c r="M245" s="420"/>
    </row>
    <row r="246" spans="2:13" ht="12.75">
      <c r="B246" s="418"/>
      <c r="C246" s="437"/>
      <c r="D246" s="437"/>
      <c r="E246" s="420"/>
      <c r="F246" s="420"/>
      <c r="G246" s="420"/>
      <c r="H246" s="420">
        <f t="shared" si="21"/>
        <v>0</v>
      </c>
      <c r="I246" s="420"/>
      <c r="J246" s="420"/>
      <c r="K246" s="420"/>
      <c r="L246" s="420"/>
      <c r="M246" s="420"/>
    </row>
    <row r="247" spans="2:13" ht="12.75">
      <c r="B247" s="418"/>
      <c r="C247" s="448"/>
      <c r="D247" s="448"/>
      <c r="E247" s="423"/>
      <c r="F247" s="423"/>
      <c r="G247" s="423"/>
      <c r="H247" s="423">
        <f t="shared" si="21"/>
        <v>0</v>
      </c>
      <c r="I247" s="423"/>
      <c r="J247" s="423"/>
      <c r="K247" s="423"/>
      <c r="L247" s="423"/>
      <c r="M247" s="424"/>
    </row>
    <row r="248" spans="2:12" ht="12.75">
      <c r="B248" s="182" t="s">
        <v>292</v>
      </c>
      <c r="C248" s="183">
        <f>SUM(C238:C247)</f>
        <v>0</v>
      </c>
      <c r="D248" s="183"/>
      <c r="E248" s="183"/>
      <c r="F248" s="183"/>
      <c r="G248" s="183">
        <f>SUM(G238:G247)</f>
        <v>0</v>
      </c>
      <c r="H248" s="183">
        <f>SUM(H238:H247)</f>
        <v>0</v>
      </c>
      <c r="I248" s="183">
        <f>SUM(I238:I247)</f>
        <v>0</v>
      </c>
      <c r="J248" s="183">
        <f>SUM(J238:J247)</f>
        <v>0</v>
      </c>
      <c r="K248" s="183"/>
      <c r="L248" s="183"/>
    </row>
    <row r="249" spans="2:11" ht="12.75">
      <c r="B249" s="172"/>
      <c r="C249" s="172"/>
      <c r="D249" s="172"/>
      <c r="E249" s="172"/>
      <c r="F249" s="172"/>
      <c r="G249" s="172"/>
      <c r="H249" s="172"/>
      <c r="I249" s="172"/>
      <c r="J249" s="194"/>
      <c r="K249" s="194"/>
    </row>
    <row r="250" spans="2:11" ht="12.75">
      <c r="B250" s="172"/>
      <c r="C250" s="172"/>
      <c r="D250" s="172"/>
      <c r="E250" s="172"/>
      <c r="F250" s="172"/>
      <c r="G250" s="172"/>
      <c r="H250" s="172"/>
      <c r="I250" s="172"/>
      <c r="J250" s="194"/>
      <c r="K250" s="194"/>
    </row>
    <row r="251" spans="2:12" ht="12.75">
      <c r="B251" s="194" t="s">
        <v>477</v>
      </c>
      <c r="C251" s="166"/>
      <c r="D251" s="166" t="s">
        <v>453</v>
      </c>
      <c r="E251" s="170"/>
      <c r="F251" s="166" t="s">
        <v>442</v>
      </c>
      <c r="G251" s="166" t="s">
        <v>454</v>
      </c>
      <c r="H251" s="166" t="s">
        <v>455</v>
      </c>
      <c r="I251" s="166"/>
      <c r="J251" s="166"/>
      <c r="K251" s="196"/>
      <c r="L251" s="196"/>
    </row>
    <row r="252" spans="2:13" ht="12.75">
      <c r="B252" s="172"/>
      <c r="C252" s="166"/>
      <c r="D252" s="166" t="s">
        <v>456</v>
      </c>
      <c r="E252" s="166"/>
      <c r="F252" s="166" t="s">
        <v>445</v>
      </c>
      <c r="G252" s="166" t="s">
        <v>457</v>
      </c>
      <c r="H252" s="166" t="s">
        <v>28</v>
      </c>
      <c r="I252" s="166" t="s">
        <v>443</v>
      </c>
      <c r="J252" s="166" t="s">
        <v>444</v>
      </c>
      <c r="K252" s="196"/>
      <c r="L252" s="196"/>
      <c r="M252" s="166" t="s">
        <v>460</v>
      </c>
    </row>
    <row r="253" spans="2:12" ht="12.75">
      <c r="B253" s="181" t="s">
        <v>3</v>
      </c>
      <c r="C253" s="166"/>
      <c r="D253" s="180" t="s">
        <v>479</v>
      </c>
      <c r="G253" s="166" t="s">
        <v>445</v>
      </c>
      <c r="H253" s="166" t="s">
        <v>445</v>
      </c>
      <c r="I253" s="166" t="s">
        <v>445</v>
      </c>
      <c r="J253" s="166" t="s">
        <v>445</v>
      </c>
      <c r="K253" s="196"/>
      <c r="L253" s="196"/>
    </row>
    <row r="254" spans="2:12" ht="12.75">
      <c r="B254" s="197"/>
      <c r="C254" s="183"/>
      <c r="D254" s="183"/>
      <c r="E254" s="183"/>
      <c r="F254" s="183"/>
      <c r="G254" s="183"/>
      <c r="H254" s="183"/>
      <c r="I254" s="183"/>
      <c r="J254" s="183"/>
      <c r="K254" s="441"/>
      <c r="L254" s="442"/>
    </row>
    <row r="255" spans="2:13" ht="12.75">
      <c r="B255" s="418"/>
      <c r="C255" s="437"/>
      <c r="D255" s="437"/>
      <c r="E255" s="420"/>
      <c r="F255" s="420"/>
      <c r="G255" s="420"/>
      <c r="H255" s="420">
        <f t="shared" si="22" ref="H255:H263">D255</f>
        <v>0</v>
      </c>
      <c r="I255" s="420"/>
      <c r="J255" s="420"/>
      <c r="K255" s="420"/>
      <c r="L255" s="420"/>
      <c r="M255" s="420"/>
    </row>
    <row r="256" spans="2:13" ht="12.75">
      <c r="B256" s="418"/>
      <c r="C256" s="437"/>
      <c r="D256" s="437"/>
      <c r="E256" s="420"/>
      <c r="F256" s="420"/>
      <c r="G256" s="420"/>
      <c r="H256" s="420">
        <f t="shared" si="22"/>
        <v>0</v>
      </c>
      <c r="I256" s="420"/>
      <c r="J256" s="420"/>
      <c r="K256" s="420"/>
      <c r="L256" s="420"/>
      <c r="M256" s="420"/>
    </row>
    <row r="257" spans="2:13" ht="12.75">
      <c r="B257" s="418"/>
      <c r="C257" s="437"/>
      <c r="D257" s="437"/>
      <c r="E257" s="420"/>
      <c r="F257" s="420"/>
      <c r="G257" s="420"/>
      <c r="H257" s="420">
        <f t="shared" si="22"/>
        <v>0</v>
      </c>
      <c r="I257" s="420"/>
      <c r="J257" s="420"/>
      <c r="K257" s="420"/>
      <c r="L257" s="420"/>
      <c r="M257" s="420"/>
    </row>
    <row r="258" spans="2:13" ht="12.75">
      <c r="B258" s="418"/>
      <c r="C258" s="437"/>
      <c r="D258" s="437"/>
      <c r="E258" s="420"/>
      <c r="F258" s="420"/>
      <c r="G258" s="420"/>
      <c r="H258" s="420">
        <f t="shared" si="22"/>
        <v>0</v>
      </c>
      <c r="I258" s="420"/>
      <c r="J258" s="420"/>
      <c r="K258" s="420"/>
      <c r="L258" s="420"/>
      <c r="M258" s="420"/>
    </row>
    <row r="259" spans="2:13" ht="12.75">
      <c r="B259" s="418"/>
      <c r="C259" s="437"/>
      <c r="D259" s="437"/>
      <c r="E259" s="420"/>
      <c r="F259" s="420"/>
      <c r="G259" s="420"/>
      <c r="H259" s="420">
        <f t="shared" si="22"/>
        <v>0</v>
      </c>
      <c r="I259" s="420"/>
      <c r="J259" s="420"/>
      <c r="K259" s="420"/>
      <c r="L259" s="420"/>
      <c r="M259" s="421"/>
    </row>
    <row r="260" spans="2:13" ht="12.75">
      <c r="B260" s="418"/>
      <c r="C260" s="437"/>
      <c r="D260" s="437"/>
      <c r="E260" s="420"/>
      <c r="F260" s="420"/>
      <c r="G260" s="420"/>
      <c r="H260" s="420">
        <f t="shared" si="22"/>
        <v>0</v>
      </c>
      <c r="I260" s="420"/>
      <c r="J260" s="420"/>
      <c r="K260" s="420"/>
      <c r="L260" s="420"/>
      <c r="M260" s="421"/>
    </row>
    <row r="261" spans="2:13" ht="12.75">
      <c r="B261" s="418"/>
      <c r="C261" s="437"/>
      <c r="D261" s="437"/>
      <c r="E261" s="420"/>
      <c r="F261" s="420"/>
      <c r="G261" s="420"/>
      <c r="H261" s="420">
        <f t="shared" si="22"/>
        <v>0</v>
      </c>
      <c r="I261" s="420"/>
      <c r="J261" s="420"/>
      <c r="K261" s="420"/>
      <c r="L261" s="420"/>
      <c r="M261" s="420"/>
    </row>
    <row r="262" spans="2:13" ht="12.75">
      <c r="B262" s="418"/>
      <c r="C262" s="437"/>
      <c r="D262" s="437"/>
      <c r="E262" s="420"/>
      <c r="F262" s="420"/>
      <c r="G262" s="420"/>
      <c r="H262" s="420">
        <f t="shared" si="22"/>
        <v>0</v>
      </c>
      <c r="I262" s="420"/>
      <c r="J262" s="420"/>
      <c r="K262" s="420"/>
      <c r="L262" s="420"/>
      <c r="M262" s="420"/>
    </row>
    <row r="263" spans="2:13" ht="12.75">
      <c r="B263" s="418"/>
      <c r="C263" s="448"/>
      <c r="D263" s="448"/>
      <c r="E263" s="423"/>
      <c r="F263" s="423"/>
      <c r="G263" s="423"/>
      <c r="H263" s="423">
        <f t="shared" si="22"/>
        <v>0</v>
      </c>
      <c r="I263" s="423"/>
      <c r="J263" s="423"/>
      <c r="K263" s="423"/>
      <c r="L263" s="423"/>
      <c r="M263" s="424"/>
    </row>
    <row r="264" spans="2:12" ht="12.75">
      <c r="B264" s="182" t="s">
        <v>292</v>
      </c>
      <c r="C264" s="183">
        <f>SUM(C254:C263)</f>
        <v>0</v>
      </c>
      <c r="D264" s="183"/>
      <c r="E264" s="183"/>
      <c r="F264" s="183"/>
      <c r="G264" s="183">
        <f>SUM(G254:G263)</f>
        <v>0</v>
      </c>
      <c r="H264" s="183">
        <f>SUM(H254:H263)</f>
        <v>0</v>
      </c>
      <c r="I264" s="183">
        <f>SUM(I254:I263)</f>
        <v>0</v>
      </c>
      <c r="J264" s="183">
        <f>SUM(J254:J263)</f>
        <v>0</v>
      </c>
      <c r="K264" s="183"/>
      <c r="L264" s="183"/>
    </row>
    <row r="265" spans="2:11" ht="12.75">
      <c r="B265" s="172"/>
      <c r="C265" s="172"/>
      <c r="D265" s="172"/>
      <c r="E265" s="172"/>
      <c r="F265" s="172"/>
      <c r="G265" s="172"/>
      <c r="H265" s="172"/>
      <c r="I265" s="172"/>
      <c r="J265" s="194"/>
      <c r="K265" s="194"/>
    </row>
    <row r="266" spans="2:11" ht="12.75">
      <c r="B266" s="172"/>
      <c r="C266" s="172"/>
      <c r="D266" s="172"/>
      <c r="E266" s="172"/>
      <c r="F266" s="172"/>
      <c r="G266" s="172"/>
      <c r="H266" s="172"/>
      <c r="I266" s="172"/>
      <c r="J266" s="194"/>
      <c r="K266" s="194"/>
    </row>
    <row r="267" spans="2:12" ht="13.5" thickBot="1">
      <c r="B267" s="166" t="s">
        <v>123</v>
      </c>
      <c r="C267" s="166" t="s">
        <v>437</v>
      </c>
      <c r="D267" s="166" t="s">
        <v>438</v>
      </c>
      <c r="E267" s="166" t="s">
        <v>439</v>
      </c>
      <c r="F267" s="166" t="s">
        <v>125</v>
      </c>
      <c r="G267" s="166" t="s">
        <v>126</v>
      </c>
      <c r="H267" s="166" t="s">
        <v>127</v>
      </c>
      <c r="I267" s="166" t="s">
        <v>128</v>
      </c>
      <c r="J267" s="166" t="s">
        <v>129</v>
      </c>
      <c r="K267" s="166"/>
      <c r="L267" s="166"/>
    </row>
    <row r="268" spans="2:12" ht="13.5" thickBot="1">
      <c r="B268" s="189"/>
      <c r="C268" s="1195" t="str">
        <f>C5</f>
        <v>Jersey Central Power &amp; Light</v>
      </c>
      <c r="D268" s="1196"/>
      <c r="E268" s="1196"/>
      <c r="F268" s="1196"/>
      <c r="G268" s="1196"/>
      <c r="H268" s="1196"/>
      <c r="I268" s="1196"/>
      <c r="J268" s="1197"/>
      <c r="K268" s="166"/>
      <c r="L268" s="166"/>
    </row>
    <row r="269" spans="2:12" ht="12.75">
      <c r="B269" s="172"/>
      <c r="K269" s="196"/>
      <c r="L269" s="196"/>
    </row>
    <row r="270" spans="2:12" ht="25.5">
      <c r="B270" s="194" t="s">
        <v>676</v>
      </c>
      <c r="C270" s="166" t="s">
        <v>440</v>
      </c>
      <c r="D270" s="166" t="s">
        <v>453</v>
      </c>
      <c r="E270" s="170" t="s">
        <v>441</v>
      </c>
      <c r="F270" s="166" t="s">
        <v>442</v>
      </c>
      <c r="G270" s="166" t="s">
        <v>454</v>
      </c>
      <c r="H270" s="166" t="s">
        <v>455</v>
      </c>
      <c r="I270" s="166"/>
      <c r="J270" s="166"/>
      <c r="K270" s="196"/>
      <c r="L270" s="196"/>
    </row>
    <row r="271" spans="2:13" ht="12.75">
      <c r="B271" s="172"/>
      <c r="C271" s="166" t="s">
        <v>456</v>
      </c>
      <c r="D271" s="166" t="str">
        <f>+C271</f>
        <v>Balance</v>
      </c>
      <c r="E271" s="166" t="s">
        <v>10</v>
      </c>
      <c r="F271" s="166" t="s">
        <v>445</v>
      </c>
      <c r="G271" s="166" t="s">
        <v>457</v>
      </c>
      <c r="H271" s="166" t="s">
        <v>28</v>
      </c>
      <c r="I271" s="166" t="s">
        <v>443</v>
      </c>
      <c r="J271" s="166" t="s">
        <v>444</v>
      </c>
      <c r="K271" s="196"/>
      <c r="L271" s="196"/>
      <c r="M271" s="166" t="s">
        <v>460</v>
      </c>
    </row>
    <row r="272" spans="2:12" ht="12.75">
      <c r="B272" s="181" t="s">
        <v>3</v>
      </c>
      <c r="C272" s="180" t="s">
        <v>478</v>
      </c>
      <c r="D272" s="180" t="s">
        <v>479</v>
      </c>
      <c r="G272" s="166" t="s">
        <v>445</v>
      </c>
      <c r="H272" s="166" t="s">
        <v>445</v>
      </c>
      <c r="I272" s="166" t="s">
        <v>445</v>
      </c>
      <c r="J272" s="166" t="s">
        <v>445</v>
      </c>
      <c r="K272" s="196"/>
      <c r="L272" s="196"/>
    </row>
    <row r="273" spans="2:12" ht="12.75">
      <c r="B273" s="197"/>
      <c r="C273" s="183"/>
      <c r="D273" s="183"/>
      <c r="E273" s="183"/>
      <c r="F273" s="183"/>
      <c r="G273" s="183"/>
      <c r="H273" s="183"/>
      <c r="I273" s="183"/>
      <c r="J273" s="183"/>
      <c r="K273" s="441"/>
      <c r="L273" s="442"/>
    </row>
    <row r="274" spans="2:13" ht="12.75">
      <c r="B274" s="425"/>
      <c r="C274" s="449">
        <f>C239</f>
        <v>0</v>
      </c>
      <c r="D274" s="449">
        <f>D255</f>
        <v>0</v>
      </c>
      <c r="E274" s="183">
        <f>AVERAGE(C274:D274)</f>
        <v>0</v>
      </c>
      <c r="F274" s="183"/>
      <c r="G274" s="183"/>
      <c r="H274" s="183">
        <f t="shared" si="23" ref="H274:H281">E274</f>
        <v>0</v>
      </c>
      <c r="I274" s="183"/>
      <c r="J274" s="183"/>
      <c r="K274" s="183"/>
      <c r="L274" s="183"/>
      <c r="M274" s="183"/>
    </row>
    <row r="275" spans="2:13" ht="12.75">
      <c r="B275" s="425"/>
      <c r="C275" s="449">
        <f t="shared" si="24" ref="C275:C281">C240</f>
        <v>0</v>
      </c>
      <c r="D275" s="449">
        <f t="shared" si="25" ref="D275:D281">D256</f>
        <v>0</v>
      </c>
      <c r="E275" s="183">
        <f t="shared" si="26" ref="E275:E281">AVERAGE(C275:D275)</f>
        <v>0</v>
      </c>
      <c r="F275" s="183"/>
      <c r="G275" s="183"/>
      <c r="H275" s="183">
        <f t="shared" si="23"/>
        <v>0</v>
      </c>
      <c r="I275" s="183"/>
      <c r="J275" s="183"/>
      <c r="K275" s="183"/>
      <c r="L275" s="183"/>
      <c r="M275" s="183"/>
    </row>
    <row r="276" spans="2:13" ht="12.75">
      <c r="B276" s="425"/>
      <c r="C276" s="449">
        <f t="shared" si="24"/>
        <v>0</v>
      </c>
      <c r="D276" s="449">
        <f t="shared" si="25"/>
        <v>0</v>
      </c>
      <c r="E276" s="183">
        <f t="shared" si="26"/>
        <v>0</v>
      </c>
      <c r="F276" s="183"/>
      <c r="G276" s="183"/>
      <c r="H276" s="183">
        <f t="shared" si="23"/>
        <v>0</v>
      </c>
      <c r="I276" s="183"/>
      <c r="J276" s="183"/>
      <c r="K276" s="183"/>
      <c r="L276" s="183"/>
      <c r="M276" s="183"/>
    </row>
    <row r="277" spans="2:13" ht="12.75">
      <c r="B277" s="425"/>
      <c r="C277" s="449">
        <f t="shared" si="24"/>
        <v>0</v>
      </c>
      <c r="D277" s="449">
        <f t="shared" si="25"/>
        <v>0</v>
      </c>
      <c r="E277" s="183">
        <f t="shared" si="26"/>
        <v>0</v>
      </c>
      <c r="F277" s="183"/>
      <c r="G277" s="183"/>
      <c r="H277" s="183">
        <f t="shared" si="23"/>
        <v>0</v>
      </c>
      <c r="I277" s="183"/>
      <c r="J277" s="183"/>
      <c r="K277" s="183"/>
      <c r="L277" s="183"/>
      <c r="M277" s="183"/>
    </row>
    <row r="278" spans="2:13" ht="12.75">
      <c r="B278" s="425"/>
      <c r="C278" s="449">
        <f t="shared" si="24"/>
        <v>0</v>
      </c>
      <c r="D278" s="449">
        <f t="shared" si="25"/>
        <v>0</v>
      </c>
      <c r="E278" s="183">
        <f t="shared" si="26"/>
        <v>0</v>
      </c>
      <c r="F278" s="183"/>
      <c r="G278" s="183"/>
      <c r="H278" s="183">
        <f t="shared" si="23"/>
        <v>0</v>
      </c>
      <c r="I278" s="183"/>
      <c r="J278" s="183"/>
      <c r="K278" s="183"/>
      <c r="L278" s="183"/>
      <c r="M278" s="427"/>
    </row>
    <row r="279" spans="2:13" ht="12.75">
      <c r="B279" s="425"/>
      <c r="C279" s="449">
        <f t="shared" si="24"/>
        <v>0</v>
      </c>
      <c r="D279" s="449">
        <f t="shared" si="25"/>
        <v>0</v>
      </c>
      <c r="E279" s="183">
        <f t="shared" si="26"/>
        <v>0</v>
      </c>
      <c r="F279" s="183"/>
      <c r="G279" s="183"/>
      <c r="H279" s="183">
        <f t="shared" si="23"/>
        <v>0</v>
      </c>
      <c r="I279" s="183"/>
      <c r="J279" s="183"/>
      <c r="K279" s="183"/>
      <c r="L279" s="183"/>
      <c r="M279" s="427"/>
    </row>
    <row r="280" spans="2:13" ht="12.75">
      <c r="B280" s="425"/>
      <c r="C280" s="449">
        <f t="shared" si="24"/>
        <v>0</v>
      </c>
      <c r="D280" s="449">
        <f t="shared" si="25"/>
        <v>0</v>
      </c>
      <c r="E280" s="183">
        <f t="shared" si="26"/>
        <v>0</v>
      </c>
      <c r="F280" s="183"/>
      <c r="G280" s="183"/>
      <c r="H280" s="183">
        <f t="shared" si="23"/>
        <v>0</v>
      </c>
      <c r="I280" s="183"/>
      <c r="J280" s="183"/>
      <c r="K280" s="183"/>
      <c r="L280" s="183"/>
      <c r="M280" s="183"/>
    </row>
    <row r="281" spans="2:13" ht="12.75">
      <c r="B281" s="425"/>
      <c r="C281" s="449">
        <f t="shared" si="24"/>
        <v>0</v>
      </c>
      <c r="D281" s="449">
        <f t="shared" si="25"/>
        <v>0</v>
      </c>
      <c r="E281" s="183">
        <f t="shared" si="26"/>
        <v>0</v>
      </c>
      <c r="F281" s="183"/>
      <c r="G281" s="183"/>
      <c r="H281" s="183">
        <f t="shared" si="23"/>
        <v>0</v>
      </c>
      <c r="I281" s="183"/>
      <c r="J281" s="183"/>
      <c r="K281" s="183"/>
      <c r="L281" s="183"/>
      <c r="M281" s="183"/>
    </row>
    <row r="282" spans="2:13" ht="12.75">
      <c r="B282" s="425"/>
      <c r="C282" s="429"/>
      <c r="D282" s="429"/>
      <c r="E282" s="430"/>
      <c r="F282" s="430"/>
      <c r="G282" s="430"/>
      <c r="H282" s="430"/>
      <c r="I282" s="430"/>
      <c r="J282" s="430"/>
      <c r="K282" s="430"/>
      <c r="L282" s="430"/>
      <c r="M282" s="431"/>
    </row>
    <row r="283" spans="2:12" ht="12.75">
      <c r="B283" s="182" t="s">
        <v>292</v>
      </c>
      <c r="C283" s="183">
        <f>SUM(C273:C282)</f>
        <v>0</v>
      </c>
      <c r="D283" s="183">
        <f>SUM(D274:D282)</f>
        <v>0</v>
      </c>
      <c r="E283" s="183">
        <f>SUM(E273:E282)</f>
        <v>0</v>
      </c>
      <c r="F283" s="183"/>
      <c r="G283" s="183">
        <f>SUM(G273:G282)</f>
        <v>0</v>
      </c>
      <c r="H283" s="183">
        <f>SUM(H273:H282)</f>
        <v>0</v>
      </c>
      <c r="I283" s="183">
        <f>SUM(I273:I282)</f>
        <v>0</v>
      </c>
      <c r="J283" s="183">
        <f>SUM(J273:J282)</f>
        <v>0</v>
      </c>
      <c r="K283" s="183"/>
      <c r="L283" s="183"/>
    </row>
    <row r="284" spans="2:12" ht="12.75">
      <c r="B284" s="185"/>
      <c r="G284" s="175"/>
      <c r="H284" s="175"/>
      <c r="I284" s="175"/>
      <c r="J284" s="175"/>
      <c r="K284" s="183"/>
      <c r="L284" s="175"/>
    </row>
    <row r="285" spans="2:11" ht="12.75">
      <c r="B285" s="185" t="s">
        <v>482</v>
      </c>
      <c r="C285" s="171"/>
      <c r="D285" s="171"/>
      <c r="E285" s="171"/>
      <c r="F285" s="171"/>
      <c r="G285" s="175"/>
      <c r="H285" s="175"/>
      <c r="I285" s="187"/>
      <c r="J285" s="187"/>
      <c r="K285" s="187"/>
    </row>
    <row r="286" spans="2:11" ht="12.75">
      <c r="B286" s="200"/>
      <c r="C286" s="171"/>
      <c r="D286" s="171"/>
      <c r="E286" s="171"/>
      <c r="F286" s="171"/>
      <c r="G286" s="171"/>
      <c r="H286" s="171"/>
      <c r="I286" s="171"/>
      <c r="J286" s="171"/>
      <c r="K286" s="171"/>
    </row>
    <row r="287" spans="2:11" ht="12.75">
      <c r="B287" s="1194" t="s">
        <v>462</v>
      </c>
      <c r="C287" s="1194"/>
      <c r="D287" s="1194"/>
      <c r="E287" s="1194"/>
      <c r="F287" s="1194"/>
      <c r="G287" s="1194"/>
      <c r="H287" s="1194"/>
      <c r="I287" s="1194"/>
      <c r="J287" s="1194"/>
      <c r="K287" s="1194"/>
    </row>
    <row r="288" spans="2:11" ht="12.75">
      <c r="B288" s="1194" t="s">
        <v>463</v>
      </c>
      <c r="C288" s="1194"/>
      <c r="D288" s="1194"/>
      <c r="E288" s="1194"/>
      <c r="F288" s="1194"/>
      <c r="G288" s="1194"/>
      <c r="H288" s="1194"/>
      <c r="I288" s="1194"/>
      <c r="J288" s="1194"/>
      <c r="K288" s="1194"/>
    </row>
    <row r="289" spans="2:11" ht="12.75">
      <c r="B289" s="190" t="s">
        <v>464</v>
      </c>
      <c r="C289" s="175"/>
      <c r="D289" s="175"/>
      <c r="E289" s="175"/>
      <c r="F289" s="175"/>
      <c r="G289" s="175"/>
      <c r="H289" s="175"/>
      <c r="I289" s="187"/>
      <c r="J289" s="187"/>
      <c r="K289" s="187"/>
    </row>
    <row r="290" spans="2:11" ht="12.75">
      <c r="B290" s="190" t="s">
        <v>465</v>
      </c>
      <c r="C290" s="175"/>
      <c r="D290" s="175"/>
      <c r="E290" s="175"/>
      <c r="F290" s="175"/>
      <c r="G290" s="175"/>
      <c r="H290" s="175"/>
      <c r="I290" s="187"/>
      <c r="J290" s="187"/>
      <c r="K290" s="187"/>
    </row>
    <row r="291" spans="2:11" ht="12.75">
      <c r="B291" s="190" t="s">
        <v>466</v>
      </c>
      <c r="C291" s="175"/>
      <c r="D291" s="175"/>
      <c r="E291" s="175"/>
      <c r="F291" s="175"/>
      <c r="G291" s="175"/>
      <c r="H291" s="175"/>
      <c r="I291" s="187"/>
      <c r="J291" s="187"/>
      <c r="K291" s="187"/>
    </row>
    <row r="292" spans="2:11" ht="12.75">
      <c r="B292" s="1194" t="s">
        <v>467</v>
      </c>
      <c r="C292" s="1194"/>
      <c r="D292" s="1194"/>
      <c r="E292" s="1194"/>
      <c r="F292" s="1194"/>
      <c r="G292" s="1194"/>
      <c r="H292" s="1194"/>
      <c r="I292" s="1194"/>
      <c r="J292" s="1194"/>
      <c r="K292" s="1194"/>
    </row>
    <row r="295" spans="2:11" ht="12.75">
      <c r="B295" s="178" t="s">
        <v>468</v>
      </c>
      <c r="C295" s="171"/>
      <c r="D295" s="171"/>
      <c r="E295" s="171"/>
      <c r="F295" s="171"/>
      <c r="G295" s="175"/>
      <c r="H295" s="175"/>
      <c r="I295" s="187"/>
      <c r="J295" s="187"/>
      <c r="K295" s="187"/>
    </row>
    <row r="296" spans="2:11" ht="12.75">
      <c r="B296" s="200"/>
      <c r="C296" s="171"/>
      <c r="D296" s="171"/>
      <c r="E296" s="171"/>
      <c r="F296" s="171"/>
      <c r="G296" s="175"/>
      <c r="H296" s="175"/>
      <c r="I296" s="187"/>
      <c r="J296" s="187"/>
      <c r="K296" s="187"/>
    </row>
    <row r="297" spans="2:11" ht="15.75">
      <c r="B297" s="193"/>
      <c r="C297" s="171"/>
      <c r="D297" s="171"/>
      <c r="E297" s="171"/>
      <c r="F297" s="171"/>
      <c r="G297" s="175"/>
      <c r="H297" s="175"/>
      <c r="I297" s="187"/>
      <c r="J297" s="187"/>
      <c r="K297" s="187"/>
    </row>
    <row r="298" spans="2:12" ht="13.5" thickBot="1">
      <c r="B298" s="166" t="s">
        <v>123</v>
      </c>
      <c r="C298" s="166" t="s">
        <v>437</v>
      </c>
      <c r="D298" s="166" t="s">
        <v>438</v>
      </c>
      <c r="E298" s="166" t="s">
        <v>439</v>
      </c>
      <c r="F298" s="166" t="s">
        <v>125</v>
      </c>
      <c r="G298" s="166" t="s">
        <v>126</v>
      </c>
      <c r="H298" s="166" t="s">
        <v>127</v>
      </c>
      <c r="I298" s="166" t="s">
        <v>128</v>
      </c>
      <c r="J298" s="166" t="s">
        <v>129</v>
      </c>
      <c r="K298" s="166"/>
      <c r="L298" s="166"/>
    </row>
    <row r="299" spans="2:12" ht="13.5" thickBot="1">
      <c r="B299" s="189"/>
      <c r="C299" s="1195" t="str">
        <f>C268</f>
        <v>Jersey Central Power &amp; Light</v>
      </c>
      <c r="D299" s="1196"/>
      <c r="E299" s="1196"/>
      <c r="F299" s="1196"/>
      <c r="G299" s="1196"/>
      <c r="H299" s="1196"/>
      <c r="I299" s="1196"/>
      <c r="J299" s="1197"/>
      <c r="K299" s="166"/>
      <c r="L299" s="166"/>
    </row>
    <row r="300" spans="2:12" ht="12.75">
      <c r="B300" s="172"/>
      <c r="K300" s="196"/>
      <c r="L300" s="196"/>
    </row>
    <row r="301" spans="2:12" ht="12.75">
      <c r="B301" s="194" t="s">
        <v>483</v>
      </c>
      <c r="C301" s="166" t="s">
        <v>440</v>
      </c>
      <c r="D301" s="166"/>
      <c r="E301" s="170"/>
      <c r="F301" s="166" t="s">
        <v>442</v>
      </c>
      <c r="G301" s="166" t="s">
        <v>454</v>
      </c>
      <c r="H301" s="166" t="s">
        <v>455</v>
      </c>
      <c r="I301" s="166"/>
      <c r="J301" s="166"/>
      <c r="K301" s="196"/>
      <c r="L301" s="196"/>
    </row>
    <row r="302" spans="2:13" ht="12.75">
      <c r="B302" s="172"/>
      <c r="C302" s="166" t="s">
        <v>456</v>
      </c>
      <c r="D302" s="166"/>
      <c r="E302" s="166"/>
      <c r="F302" s="166" t="s">
        <v>445</v>
      </c>
      <c r="G302" s="166" t="s">
        <v>457</v>
      </c>
      <c r="H302" s="166" t="s">
        <v>28</v>
      </c>
      <c r="I302" s="166" t="s">
        <v>443</v>
      </c>
      <c r="J302" s="166" t="s">
        <v>444</v>
      </c>
      <c r="K302" s="196"/>
      <c r="L302" s="196"/>
      <c r="M302" s="166" t="s">
        <v>460</v>
      </c>
    </row>
    <row r="303" spans="2:12" ht="12.75">
      <c r="B303" s="181" t="s">
        <v>3</v>
      </c>
      <c r="C303" s="180" t="s">
        <v>485</v>
      </c>
      <c r="D303" s="166"/>
      <c r="G303" s="166" t="s">
        <v>445</v>
      </c>
      <c r="H303" s="166" t="s">
        <v>445</v>
      </c>
      <c r="I303" s="166" t="s">
        <v>445</v>
      </c>
      <c r="J303" s="166" t="s">
        <v>445</v>
      </c>
      <c r="K303" s="196"/>
      <c r="L303" s="196"/>
    </row>
    <row r="304" spans="2:12" ht="12.75">
      <c r="B304" s="197"/>
      <c r="C304" s="183"/>
      <c r="D304" s="183"/>
      <c r="E304" s="183"/>
      <c r="F304" s="183"/>
      <c r="G304" s="183"/>
      <c r="H304" s="183"/>
      <c r="I304" s="183"/>
      <c r="J304" s="183"/>
      <c r="K304" s="441"/>
      <c r="L304" s="442"/>
    </row>
    <row r="305" spans="2:13" ht="12.75">
      <c r="B305" s="418"/>
      <c r="C305" s="437"/>
      <c r="D305" s="437"/>
      <c r="E305" s="420"/>
      <c r="F305" s="420"/>
      <c r="G305" s="420"/>
      <c r="H305" s="420">
        <f t="shared" si="27" ref="H305:H313">C305</f>
        <v>0</v>
      </c>
      <c r="I305" s="420"/>
      <c r="J305" s="420"/>
      <c r="K305" s="420"/>
      <c r="L305" s="420"/>
      <c r="M305" s="420"/>
    </row>
    <row r="306" spans="2:13" ht="12.75">
      <c r="B306" s="418"/>
      <c r="C306" s="437"/>
      <c r="D306" s="437"/>
      <c r="E306" s="420"/>
      <c r="F306" s="420"/>
      <c r="G306" s="420"/>
      <c r="H306" s="420">
        <f t="shared" si="27"/>
        <v>0</v>
      </c>
      <c r="I306" s="420"/>
      <c r="J306" s="420"/>
      <c r="K306" s="420"/>
      <c r="L306" s="420"/>
      <c r="M306" s="420"/>
    </row>
    <row r="307" spans="2:13" ht="12.75">
      <c r="B307" s="418"/>
      <c r="C307" s="437"/>
      <c r="D307" s="437"/>
      <c r="E307" s="420"/>
      <c r="F307" s="420"/>
      <c r="G307" s="420"/>
      <c r="H307" s="420">
        <f t="shared" si="27"/>
        <v>0</v>
      </c>
      <c r="I307" s="420"/>
      <c r="J307" s="420"/>
      <c r="K307" s="420"/>
      <c r="L307" s="420"/>
      <c r="M307" s="420"/>
    </row>
    <row r="308" spans="2:13" ht="12.75">
      <c r="B308" s="418"/>
      <c r="C308" s="437"/>
      <c r="D308" s="437"/>
      <c r="E308" s="420"/>
      <c r="F308" s="420"/>
      <c r="G308" s="420"/>
      <c r="H308" s="420">
        <f t="shared" si="27"/>
        <v>0</v>
      </c>
      <c r="I308" s="420"/>
      <c r="J308" s="420"/>
      <c r="K308" s="420"/>
      <c r="L308" s="420"/>
      <c r="M308" s="420"/>
    </row>
    <row r="309" spans="2:13" ht="12.75">
      <c r="B309" s="418"/>
      <c r="C309" s="437"/>
      <c r="D309" s="437"/>
      <c r="E309" s="420"/>
      <c r="F309" s="420"/>
      <c r="G309" s="420"/>
      <c r="H309" s="420">
        <f t="shared" si="27"/>
        <v>0</v>
      </c>
      <c r="I309" s="420"/>
      <c r="J309" s="420"/>
      <c r="K309" s="420"/>
      <c r="L309" s="420"/>
      <c r="M309" s="421"/>
    </row>
    <row r="310" spans="2:13" ht="12.75">
      <c r="B310" s="418"/>
      <c r="C310" s="437"/>
      <c r="D310" s="437"/>
      <c r="E310" s="420"/>
      <c r="F310" s="420"/>
      <c r="G310" s="420"/>
      <c r="H310" s="420">
        <f t="shared" si="27"/>
        <v>0</v>
      </c>
      <c r="I310" s="420"/>
      <c r="J310" s="420"/>
      <c r="K310" s="420"/>
      <c r="L310" s="420"/>
      <c r="M310" s="421"/>
    </row>
    <row r="311" spans="2:13" ht="12.75">
      <c r="B311" s="418"/>
      <c r="C311" s="437"/>
      <c r="D311" s="437"/>
      <c r="E311" s="420"/>
      <c r="F311" s="420"/>
      <c r="G311" s="420"/>
      <c r="H311" s="420">
        <f t="shared" si="27"/>
        <v>0</v>
      </c>
      <c r="I311" s="420"/>
      <c r="J311" s="420"/>
      <c r="K311" s="420"/>
      <c r="L311" s="420"/>
      <c r="M311" s="420"/>
    </row>
    <row r="312" spans="2:13" ht="12.75">
      <c r="B312" s="418"/>
      <c r="C312" s="437"/>
      <c r="D312" s="437"/>
      <c r="E312" s="420"/>
      <c r="F312" s="420"/>
      <c r="G312" s="420"/>
      <c r="H312" s="420">
        <f t="shared" si="27"/>
        <v>0</v>
      </c>
      <c r="I312" s="420"/>
      <c r="J312" s="420"/>
      <c r="K312" s="420"/>
      <c r="L312" s="420"/>
      <c r="M312" s="420"/>
    </row>
    <row r="313" spans="2:13" ht="12.75">
      <c r="B313" s="418"/>
      <c r="C313" s="448"/>
      <c r="D313" s="448"/>
      <c r="E313" s="423"/>
      <c r="F313" s="423"/>
      <c r="G313" s="423"/>
      <c r="H313" s="423">
        <f t="shared" si="27"/>
        <v>0</v>
      </c>
      <c r="I313" s="423"/>
      <c r="J313" s="423"/>
      <c r="K313" s="423"/>
      <c r="L313" s="423"/>
      <c r="M313" s="424"/>
    </row>
    <row r="314" spans="2:12" ht="12.75">
      <c r="B314" s="182" t="s">
        <v>292</v>
      </c>
      <c r="C314" s="183">
        <f>SUM(C304:C313)</f>
        <v>0</v>
      </c>
      <c r="D314" s="183"/>
      <c r="E314" s="183"/>
      <c r="F314" s="183"/>
      <c r="G314" s="183">
        <f>SUM(G304:G313)</f>
        <v>0</v>
      </c>
      <c r="H314" s="183">
        <f>SUM(H304:H313)</f>
        <v>0</v>
      </c>
      <c r="I314" s="183">
        <f>SUM(I304:I313)</f>
        <v>0</v>
      </c>
      <c r="J314" s="183">
        <f>SUM(J304:J313)</f>
        <v>0</v>
      </c>
      <c r="K314" s="183"/>
      <c r="L314" s="183"/>
    </row>
    <row r="315" spans="2:11" ht="15.75">
      <c r="B315" s="193"/>
      <c r="C315" s="171"/>
      <c r="D315" s="171"/>
      <c r="E315" s="171"/>
      <c r="F315" s="171"/>
      <c r="G315" s="175"/>
      <c r="H315" s="175"/>
      <c r="I315" s="187"/>
      <c r="J315" s="187"/>
      <c r="K315" s="187"/>
    </row>
    <row r="316" spans="2:11" ht="15.75">
      <c r="B316" s="193"/>
      <c r="C316" s="171"/>
      <c r="D316" s="171"/>
      <c r="E316" s="171"/>
      <c r="F316" s="171"/>
      <c r="G316" s="175"/>
      <c r="H316" s="175"/>
      <c r="I316" s="187"/>
      <c r="J316" s="187"/>
      <c r="K316" s="187"/>
    </row>
    <row r="317" spans="2:12" ht="12.75">
      <c r="B317" s="194" t="s">
        <v>483</v>
      </c>
      <c r="C317" s="166"/>
      <c r="D317" s="166" t="s">
        <v>453</v>
      </c>
      <c r="E317" s="170"/>
      <c r="F317" s="166" t="s">
        <v>442</v>
      </c>
      <c r="G317" s="166" t="s">
        <v>454</v>
      </c>
      <c r="H317" s="166" t="s">
        <v>455</v>
      </c>
      <c r="I317" s="166"/>
      <c r="J317" s="166"/>
      <c r="K317" s="196"/>
      <c r="L317" s="196"/>
    </row>
    <row r="318" spans="2:13" ht="12.75">
      <c r="B318" s="172"/>
      <c r="C318" s="166"/>
      <c r="D318" s="166" t="s">
        <v>456</v>
      </c>
      <c r="E318" s="166"/>
      <c r="F318" s="166" t="s">
        <v>445</v>
      </c>
      <c r="G318" s="166" t="s">
        <v>457</v>
      </c>
      <c r="H318" s="166" t="s">
        <v>28</v>
      </c>
      <c r="I318" s="166" t="s">
        <v>443</v>
      </c>
      <c r="J318" s="166" t="s">
        <v>444</v>
      </c>
      <c r="K318" s="196"/>
      <c r="L318" s="196"/>
      <c r="M318" s="166" t="s">
        <v>460</v>
      </c>
    </row>
    <row r="319" spans="2:12" ht="12.75">
      <c r="B319" s="181" t="s">
        <v>3</v>
      </c>
      <c r="C319" s="166"/>
      <c r="D319" s="180" t="s">
        <v>486</v>
      </c>
      <c r="G319" s="166" t="s">
        <v>445</v>
      </c>
      <c r="H319" s="166" t="s">
        <v>445</v>
      </c>
      <c r="I319" s="166" t="s">
        <v>445</v>
      </c>
      <c r="J319" s="166" t="s">
        <v>445</v>
      </c>
      <c r="K319" s="196"/>
      <c r="L319" s="196"/>
    </row>
    <row r="320" spans="2:12" ht="12.75">
      <c r="B320" s="197"/>
      <c r="C320" s="183"/>
      <c r="D320" s="183"/>
      <c r="E320" s="183"/>
      <c r="F320" s="183"/>
      <c r="G320" s="183"/>
      <c r="H320" s="183"/>
      <c r="I320" s="183"/>
      <c r="J320" s="183"/>
      <c r="K320" s="441"/>
      <c r="L320" s="442"/>
    </row>
    <row r="321" spans="2:13" ht="12.75">
      <c r="B321" s="418"/>
      <c r="C321" s="437"/>
      <c r="D321" s="437"/>
      <c r="E321" s="420"/>
      <c r="F321" s="420"/>
      <c r="G321" s="420"/>
      <c r="H321" s="420">
        <f t="shared" si="28" ref="H321:H329">D321</f>
        <v>0</v>
      </c>
      <c r="I321" s="420"/>
      <c r="J321" s="420"/>
      <c r="K321" s="420"/>
      <c r="L321" s="420"/>
      <c r="M321" s="420"/>
    </row>
    <row r="322" spans="2:13" ht="12.75">
      <c r="B322" s="418"/>
      <c r="C322" s="437"/>
      <c r="D322" s="437"/>
      <c r="E322" s="420"/>
      <c r="F322" s="420"/>
      <c r="G322" s="420"/>
      <c r="H322" s="420">
        <f t="shared" si="28"/>
        <v>0</v>
      </c>
      <c r="I322" s="420"/>
      <c r="J322" s="420"/>
      <c r="K322" s="420"/>
      <c r="L322" s="420"/>
      <c r="M322" s="420"/>
    </row>
    <row r="323" spans="2:13" ht="12.75">
      <c r="B323" s="418"/>
      <c r="C323" s="437"/>
      <c r="D323" s="437"/>
      <c r="E323" s="420"/>
      <c r="F323" s="420"/>
      <c r="G323" s="420"/>
      <c r="H323" s="420">
        <f t="shared" si="28"/>
        <v>0</v>
      </c>
      <c r="I323" s="420"/>
      <c r="J323" s="420"/>
      <c r="K323" s="420"/>
      <c r="L323" s="420"/>
      <c r="M323" s="420"/>
    </row>
    <row r="324" spans="2:13" ht="12.75">
      <c r="B324" s="418"/>
      <c r="C324" s="437"/>
      <c r="D324" s="437"/>
      <c r="E324" s="420"/>
      <c r="F324" s="420"/>
      <c r="G324" s="420"/>
      <c r="H324" s="420">
        <f t="shared" si="28"/>
        <v>0</v>
      </c>
      <c r="I324" s="420"/>
      <c r="J324" s="420"/>
      <c r="K324" s="420"/>
      <c r="L324" s="420"/>
      <c r="M324" s="420"/>
    </row>
    <row r="325" spans="2:13" ht="12.75">
      <c r="B325" s="418"/>
      <c r="C325" s="437"/>
      <c r="D325" s="437"/>
      <c r="E325" s="420"/>
      <c r="F325" s="420"/>
      <c r="G325" s="420"/>
      <c r="H325" s="420">
        <f t="shared" si="28"/>
        <v>0</v>
      </c>
      <c r="I325" s="420"/>
      <c r="J325" s="420"/>
      <c r="K325" s="420"/>
      <c r="L325" s="420"/>
      <c r="M325" s="421"/>
    </row>
    <row r="326" spans="2:13" ht="12.75">
      <c r="B326" s="418"/>
      <c r="C326" s="437"/>
      <c r="D326" s="437"/>
      <c r="E326" s="420"/>
      <c r="F326" s="420"/>
      <c r="G326" s="420"/>
      <c r="H326" s="420">
        <f t="shared" si="28"/>
        <v>0</v>
      </c>
      <c r="I326" s="420"/>
      <c r="J326" s="420"/>
      <c r="K326" s="420"/>
      <c r="L326" s="420"/>
      <c r="M326" s="421"/>
    </row>
    <row r="327" spans="2:13" ht="12.75">
      <c r="B327" s="418"/>
      <c r="C327" s="437"/>
      <c r="D327" s="437"/>
      <c r="E327" s="420"/>
      <c r="F327" s="420"/>
      <c r="G327" s="420"/>
      <c r="H327" s="420">
        <f t="shared" si="28"/>
        <v>0</v>
      </c>
      <c r="I327" s="420"/>
      <c r="J327" s="420"/>
      <c r="K327" s="420"/>
      <c r="L327" s="420"/>
      <c r="M327" s="420"/>
    </row>
    <row r="328" spans="2:13" ht="12.75">
      <c r="B328" s="418"/>
      <c r="C328" s="437"/>
      <c r="D328" s="437"/>
      <c r="E328" s="420"/>
      <c r="F328" s="420"/>
      <c r="G328" s="420"/>
      <c r="H328" s="420">
        <f t="shared" si="28"/>
        <v>0</v>
      </c>
      <c r="I328" s="420"/>
      <c r="J328" s="420"/>
      <c r="K328" s="420"/>
      <c r="L328" s="420"/>
      <c r="M328" s="420"/>
    </row>
    <row r="329" spans="2:13" ht="12.75">
      <c r="B329" s="418"/>
      <c r="C329" s="448"/>
      <c r="D329" s="448"/>
      <c r="E329" s="423"/>
      <c r="F329" s="423"/>
      <c r="G329" s="423"/>
      <c r="H329" s="423">
        <f t="shared" si="28"/>
        <v>0</v>
      </c>
      <c r="I329" s="423"/>
      <c r="J329" s="423"/>
      <c r="K329" s="423"/>
      <c r="L329" s="423"/>
      <c r="M329" s="424"/>
    </row>
    <row r="330" spans="2:12" ht="12.75">
      <c r="B330" s="182" t="s">
        <v>292</v>
      </c>
      <c r="C330" s="183"/>
      <c r="D330" s="183">
        <f>SUM(D320:D329)</f>
        <v>0</v>
      </c>
      <c r="E330" s="183"/>
      <c r="F330" s="183"/>
      <c r="G330" s="183">
        <f>SUM(G320:G329)</f>
        <v>0</v>
      </c>
      <c r="H330" s="183">
        <f>SUM(H320:H329)</f>
        <v>0</v>
      </c>
      <c r="I330" s="183">
        <f>SUM(I320:I329)</f>
        <v>0</v>
      </c>
      <c r="J330" s="183">
        <f>SUM(J320:J329)</f>
        <v>0</v>
      </c>
      <c r="K330" s="183"/>
      <c r="L330" s="183"/>
    </row>
    <row r="331" spans="2:12" ht="12.75">
      <c r="B331" s="182"/>
      <c r="C331" s="183"/>
      <c r="D331" s="183"/>
      <c r="E331" s="183"/>
      <c r="F331" s="183"/>
      <c r="G331" s="183"/>
      <c r="H331" s="183"/>
      <c r="I331" s="183"/>
      <c r="J331" s="183"/>
      <c r="K331" s="183"/>
      <c r="L331" s="183"/>
    </row>
    <row r="332" spans="3:11" ht="12.75">
      <c r="C332" s="166"/>
      <c r="D332" s="166"/>
      <c r="E332" s="166"/>
      <c r="F332" s="166"/>
      <c r="G332" s="166"/>
      <c r="H332" s="166"/>
      <c r="I332" s="166"/>
      <c r="J332" s="166"/>
      <c r="K332" s="169"/>
    </row>
    <row r="333" spans="2:12" ht="13.5" thickBot="1">
      <c r="B333" s="166" t="s">
        <v>123</v>
      </c>
      <c r="C333" s="166" t="s">
        <v>437</v>
      </c>
      <c r="D333" s="166" t="s">
        <v>438</v>
      </c>
      <c r="E333" s="166" t="s">
        <v>439</v>
      </c>
      <c r="F333" s="166" t="s">
        <v>125</v>
      </c>
      <c r="G333" s="166" t="s">
        <v>126</v>
      </c>
      <c r="H333" s="166" t="s">
        <v>127</v>
      </c>
      <c r="I333" s="166" t="s">
        <v>128</v>
      </c>
      <c r="J333" s="166" t="s">
        <v>129</v>
      </c>
      <c r="K333" s="166"/>
      <c r="L333" s="166"/>
    </row>
    <row r="334" spans="2:12" ht="13.5" thickBot="1">
      <c r="B334" s="189"/>
      <c r="C334" s="1195" t="str">
        <f>C268</f>
        <v>Jersey Central Power &amp; Light</v>
      </c>
      <c r="D334" s="1196"/>
      <c r="E334" s="1196"/>
      <c r="F334" s="1196"/>
      <c r="G334" s="1196"/>
      <c r="H334" s="1196"/>
      <c r="I334" s="1196"/>
      <c r="J334" s="1197"/>
      <c r="K334" s="166"/>
      <c r="L334" s="166"/>
    </row>
    <row r="335" spans="2:12" ht="12.75">
      <c r="B335" s="172"/>
      <c r="K335" s="196"/>
      <c r="L335" s="196"/>
    </row>
    <row r="336" spans="2:12" ht="25.5">
      <c r="B336" s="194" t="s">
        <v>677</v>
      </c>
      <c r="C336" s="166" t="s">
        <v>440</v>
      </c>
      <c r="D336" s="166" t="s">
        <v>453</v>
      </c>
      <c r="E336" s="170" t="s">
        <v>441</v>
      </c>
      <c r="F336" s="166" t="s">
        <v>442</v>
      </c>
      <c r="G336" s="166" t="s">
        <v>454</v>
      </c>
      <c r="H336" s="166" t="s">
        <v>455</v>
      </c>
      <c r="I336" s="166"/>
      <c r="J336" s="166"/>
      <c r="K336" s="196"/>
      <c r="L336" s="196"/>
    </row>
    <row r="337" spans="2:13" ht="12.75">
      <c r="B337" s="172"/>
      <c r="C337" s="166" t="s">
        <v>456</v>
      </c>
      <c r="D337" s="166" t="str">
        <f>+C337</f>
        <v>Balance</v>
      </c>
      <c r="E337" s="166" t="s">
        <v>10</v>
      </c>
      <c r="F337" s="166" t="s">
        <v>445</v>
      </c>
      <c r="G337" s="166" t="s">
        <v>457</v>
      </c>
      <c r="H337" s="166" t="s">
        <v>28</v>
      </c>
      <c r="I337" s="166" t="s">
        <v>443</v>
      </c>
      <c r="J337" s="166" t="s">
        <v>444</v>
      </c>
      <c r="K337" s="196"/>
      <c r="L337" s="196"/>
      <c r="M337" s="166" t="s">
        <v>460</v>
      </c>
    </row>
    <row r="338" spans="2:12" ht="12.75">
      <c r="B338" s="181" t="s">
        <v>3</v>
      </c>
      <c r="C338" s="180" t="s">
        <v>485</v>
      </c>
      <c r="D338" s="180" t="s">
        <v>486</v>
      </c>
      <c r="G338" s="166" t="s">
        <v>445</v>
      </c>
      <c r="H338" s="166" t="s">
        <v>445</v>
      </c>
      <c r="I338" s="166" t="s">
        <v>445</v>
      </c>
      <c r="J338" s="166" t="s">
        <v>445</v>
      </c>
      <c r="K338" s="196"/>
      <c r="L338" s="196"/>
    </row>
    <row r="339" spans="2:12" ht="12.75">
      <c r="B339" s="197"/>
      <c r="C339" s="183"/>
      <c r="D339" s="183"/>
      <c r="E339" s="183"/>
      <c r="F339" s="183"/>
      <c r="G339" s="183"/>
      <c r="H339" s="183"/>
      <c r="I339" s="183"/>
      <c r="J339" s="183"/>
      <c r="K339" s="441"/>
      <c r="L339" s="442"/>
    </row>
    <row r="340" spans="2:13" ht="12.75">
      <c r="B340" s="425"/>
      <c r="C340" s="449">
        <f>C305</f>
        <v>0</v>
      </c>
      <c r="D340" s="449">
        <f>D321</f>
        <v>0</v>
      </c>
      <c r="E340" s="183">
        <f>AVERAGE(C340:D340)</f>
        <v>0</v>
      </c>
      <c r="F340" s="183"/>
      <c r="G340" s="183"/>
      <c r="H340" s="183">
        <f t="shared" si="29" ref="H340:H347">E340</f>
        <v>0</v>
      </c>
      <c r="I340" s="183"/>
      <c r="J340" s="183"/>
      <c r="K340" s="183"/>
      <c r="L340" s="183"/>
      <c r="M340" s="183"/>
    </row>
    <row r="341" spans="2:13" ht="12.75">
      <c r="B341" s="425"/>
      <c r="C341" s="449">
        <f t="shared" si="30" ref="C341:C347">C306</f>
        <v>0</v>
      </c>
      <c r="D341" s="449">
        <f t="shared" si="31" ref="D341:D347">D322</f>
        <v>0</v>
      </c>
      <c r="E341" s="183">
        <f t="shared" si="32" ref="E341:E347">AVERAGE(C341:D341)</f>
        <v>0</v>
      </c>
      <c r="F341" s="183"/>
      <c r="G341" s="183"/>
      <c r="H341" s="183">
        <f t="shared" si="29"/>
        <v>0</v>
      </c>
      <c r="I341" s="183"/>
      <c r="J341" s="183"/>
      <c r="K341" s="183"/>
      <c r="L341" s="183"/>
      <c r="M341" s="183"/>
    </row>
    <row r="342" spans="2:13" ht="12.75">
      <c r="B342" s="425"/>
      <c r="C342" s="449">
        <f t="shared" si="30"/>
        <v>0</v>
      </c>
      <c r="D342" s="449">
        <f t="shared" si="31"/>
        <v>0</v>
      </c>
      <c r="E342" s="183">
        <f t="shared" si="32"/>
        <v>0</v>
      </c>
      <c r="F342" s="183"/>
      <c r="G342" s="183"/>
      <c r="H342" s="183">
        <f t="shared" si="29"/>
        <v>0</v>
      </c>
      <c r="I342" s="183"/>
      <c r="J342" s="183"/>
      <c r="K342" s="183"/>
      <c r="L342" s="183"/>
      <c r="M342" s="183"/>
    </row>
    <row r="343" spans="2:13" ht="12.75">
      <c r="B343" s="425"/>
      <c r="C343" s="449">
        <f t="shared" si="30"/>
        <v>0</v>
      </c>
      <c r="D343" s="449">
        <f t="shared" si="31"/>
        <v>0</v>
      </c>
      <c r="E343" s="183">
        <f t="shared" si="32"/>
        <v>0</v>
      </c>
      <c r="F343" s="183"/>
      <c r="G343" s="183"/>
      <c r="H343" s="183">
        <f t="shared" si="29"/>
        <v>0</v>
      </c>
      <c r="I343" s="183"/>
      <c r="J343" s="183"/>
      <c r="K343" s="183"/>
      <c r="L343" s="183"/>
      <c r="M343" s="183"/>
    </row>
    <row r="344" spans="2:13" ht="12.75">
      <c r="B344" s="425"/>
      <c r="C344" s="449">
        <f t="shared" si="30"/>
        <v>0</v>
      </c>
      <c r="D344" s="449">
        <f t="shared" si="31"/>
        <v>0</v>
      </c>
      <c r="E344" s="183">
        <f t="shared" si="32"/>
        <v>0</v>
      </c>
      <c r="F344" s="183"/>
      <c r="G344" s="183"/>
      <c r="H344" s="183">
        <f t="shared" si="29"/>
        <v>0</v>
      </c>
      <c r="I344" s="183"/>
      <c r="J344" s="183"/>
      <c r="K344" s="183"/>
      <c r="L344" s="183"/>
      <c r="M344" s="427"/>
    </row>
    <row r="345" spans="2:13" ht="12.75">
      <c r="B345" s="425"/>
      <c r="C345" s="449">
        <f t="shared" si="30"/>
        <v>0</v>
      </c>
      <c r="D345" s="449">
        <f t="shared" si="31"/>
        <v>0</v>
      </c>
      <c r="E345" s="183">
        <f t="shared" si="32"/>
        <v>0</v>
      </c>
      <c r="F345" s="183"/>
      <c r="G345" s="183"/>
      <c r="H345" s="183">
        <f t="shared" si="29"/>
        <v>0</v>
      </c>
      <c r="I345" s="183"/>
      <c r="J345" s="183"/>
      <c r="K345" s="183"/>
      <c r="L345" s="183"/>
      <c r="M345" s="427"/>
    </row>
    <row r="346" spans="2:13" ht="12.75">
      <c r="B346" s="425"/>
      <c r="C346" s="449">
        <f t="shared" si="30"/>
        <v>0</v>
      </c>
      <c r="D346" s="449">
        <f t="shared" si="31"/>
        <v>0</v>
      </c>
      <c r="E346" s="183">
        <f t="shared" si="32"/>
        <v>0</v>
      </c>
      <c r="F346" s="183"/>
      <c r="G346" s="183"/>
      <c r="H346" s="183">
        <f t="shared" si="29"/>
        <v>0</v>
      </c>
      <c r="I346" s="183"/>
      <c r="J346" s="183"/>
      <c r="K346" s="183"/>
      <c r="L346" s="183"/>
      <c r="M346" s="183"/>
    </row>
    <row r="347" spans="2:13" ht="12.75">
      <c r="B347" s="425"/>
      <c r="C347" s="449">
        <f t="shared" si="30"/>
        <v>0</v>
      </c>
      <c r="D347" s="449">
        <f t="shared" si="31"/>
        <v>0</v>
      </c>
      <c r="E347" s="183">
        <f t="shared" si="32"/>
        <v>0</v>
      </c>
      <c r="F347" s="183"/>
      <c r="G347" s="183"/>
      <c r="H347" s="183">
        <f t="shared" si="29"/>
        <v>0</v>
      </c>
      <c r="I347" s="183"/>
      <c r="J347" s="183"/>
      <c r="K347" s="183"/>
      <c r="L347" s="183"/>
      <c r="M347" s="183"/>
    </row>
    <row r="348" spans="2:13" ht="12.75">
      <c r="B348" s="425"/>
      <c r="C348" s="429"/>
      <c r="D348" s="429"/>
      <c r="E348" s="430"/>
      <c r="F348" s="430"/>
      <c r="G348" s="430"/>
      <c r="H348" s="430"/>
      <c r="I348" s="430"/>
      <c r="J348" s="430"/>
      <c r="K348" s="430"/>
      <c r="L348" s="430"/>
      <c r="M348" s="431"/>
    </row>
    <row r="349" spans="2:12" ht="12.75">
      <c r="B349" s="182" t="s">
        <v>292</v>
      </c>
      <c r="C349" s="183">
        <f>SUM(C339:C348)</f>
        <v>0</v>
      </c>
      <c r="D349" s="183">
        <f>SUM(D340:D348)</f>
        <v>0</v>
      </c>
      <c r="E349" s="183">
        <f>SUM(E339:E348)</f>
        <v>0</v>
      </c>
      <c r="F349" s="183"/>
      <c r="G349" s="183">
        <f>SUM(G339:G348)</f>
        <v>0</v>
      </c>
      <c r="H349" s="183">
        <f>SUM(H339:H348)</f>
        <v>0</v>
      </c>
      <c r="I349" s="183">
        <f>SUM(I339:I348)</f>
        <v>0</v>
      </c>
      <c r="J349" s="183">
        <f>SUM(J339:J348)</f>
        <v>0</v>
      </c>
      <c r="K349" s="183"/>
      <c r="L349" s="183"/>
    </row>
    <row r="350" spans="2:12" ht="12.75">
      <c r="B350" s="185"/>
      <c r="G350" s="175"/>
      <c r="H350" s="175"/>
      <c r="I350" s="175"/>
      <c r="J350" s="175"/>
      <c r="K350" s="183"/>
      <c r="L350" s="175"/>
    </row>
    <row r="351" spans="2:11" ht="12.75">
      <c r="B351" s="185" t="s">
        <v>484</v>
      </c>
      <c r="C351" s="171"/>
      <c r="D351" s="171"/>
      <c r="E351" s="171"/>
      <c r="F351" s="171"/>
      <c r="G351" s="175"/>
      <c r="H351" s="175"/>
      <c r="I351" s="187"/>
      <c r="J351" s="187"/>
      <c r="K351" s="187"/>
    </row>
    <row r="352" spans="2:11" ht="12.75">
      <c r="B352" s="200"/>
      <c r="C352" s="171"/>
      <c r="D352" s="171"/>
      <c r="E352" s="171"/>
      <c r="F352" s="171"/>
      <c r="G352" s="171"/>
      <c r="H352" s="171"/>
      <c r="I352" s="171"/>
      <c r="J352" s="171"/>
      <c r="K352" s="171"/>
    </row>
    <row r="353" spans="2:11" ht="12.75">
      <c r="B353" s="1194" t="s">
        <v>462</v>
      </c>
      <c r="C353" s="1194"/>
      <c r="D353" s="1194"/>
      <c r="E353" s="1194"/>
      <c r="F353" s="1194"/>
      <c r="G353" s="1194"/>
      <c r="H353" s="1194"/>
      <c r="I353" s="1194"/>
      <c r="J353" s="1194"/>
      <c r="K353" s="1194"/>
    </row>
    <row r="354" spans="2:11" ht="12.75">
      <c r="B354" s="1194" t="s">
        <v>463</v>
      </c>
      <c r="C354" s="1194"/>
      <c r="D354" s="1194"/>
      <c r="E354" s="1194"/>
      <c r="F354" s="1194"/>
      <c r="G354" s="1194"/>
      <c r="H354" s="1194"/>
      <c r="I354" s="1194"/>
      <c r="J354" s="1194"/>
      <c r="K354" s="1194"/>
    </row>
    <row r="355" spans="2:11" ht="12.75">
      <c r="B355" s="190" t="s">
        <v>464</v>
      </c>
      <c r="C355" s="175"/>
      <c r="D355" s="175"/>
      <c r="E355" s="175"/>
      <c r="F355" s="175"/>
      <c r="G355" s="175"/>
      <c r="H355" s="175"/>
      <c r="I355" s="187"/>
      <c r="J355" s="187"/>
      <c r="K355" s="187"/>
    </row>
    <row r="356" spans="2:11" ht="12.75">
      <c r="B356" s="190" t="s">
        <v>465</v>
      </c>
      <c r="C356" s="175"/>
      <c r="D356" s="175"/>
      <c r="E356" s="175"/>
      <c r="F356" s="175"/>
      <c r="G356" s="175"/>
      <c r="H356" s="175"/>
      <c r="I356" s="187"/>
      <c r="J356" s="187"/>
      <c r="K356" s="187"/>
    </row>
    <row r="357" spans="2:11" ht="12.75">
      <c r="B357" s="190" t="s">
        <v>466</v>
      </c>
      <c r="C357" s="175"/>
      <c r="D357" s="175"/>
      <c r="E357" s="175"/>
      <c r="F357" s="175"/>
      <c r="G357" s="175"/>
      <c r="H357" s="175"/>
      <c r="I357" s="187"/>
      <c r="J357" s="187"/>
      <c r="K357" s="187"/>
    </row>
    <row r="358" spans="2:11" ht="12.75">
      <c r="B358" s="1194" t="s">
        <v>467</v>
      </c>
      <c r="C358" s="1194"/>
      <c r="D358" s="1194"/>
      <c r="E358" s="1194"/>
      <c r="F358" s="1194"/>
      <c r="G358" s="1194"/>
      <c r="H358" s="1194"/>
      <c r="I358" s="1194"/>
      <c r="J358" s="1194"/>
      <c r="K358" s="1194"/>
    </row>
  </sheetData>
  <customSheetViews>
    <customSheetView guid="{33e6ffdf-cb42-4a87-b460-a01a45f9a9a1}" state="hidden" topLeftCell="A1">
      <rowBreaks count="5" manualBreakCount="5">
        <brk id="31" max="12" man="1"/>
        <brk id="90" max="12" man="1"/>
        <brk id="157" max="12" man="1"/>
        <brk id="231" max="12" man="1"/>
        <brk id="296" max="16383" man="1"/>
      </rowBreaks>
      <pageMargins left="0.5" right="0" top="1" bottom="0.5" header="0.5" footer="0.5"/>
      <printOptions horizontalCentered="1"/>
      <pageSetup fitToHeight="0" orientation="landscape" paperSize="1" scale="37" r:id="rId2"/>
      <headerFooter alignWithMargins="0"/>
    </customSheetView>
    <customSheetView guid="{394295c0-a883-44ec-b980-c2facd4b6eba}" state="hidden" topLeftCell="A1">
      <rowBreaks count="5" manualBreakCount="5">
        <brk id="31" max="12" man="1"/>
        <brk id="90" max="12" man="1"/>
        <brk id="157" max="12" man="1"/>
        <brk id="231" max="12" man="1"/>
        <brk id="296" max="16383" man="1"/>
      </rowBreaks>
      <pageMargins left="0.5" right="0" top="1" bottom="0.5" header="0.5" footer="0.5"/>
      <printOptions horizontalCentered="1"/>
      <pageSetup fitToHeight="0" orientation="landscape" paperSize="1" scale="37" r:id="rId3"/>
      <headerFooter alignWithMargins="0"/>
    </customSheetView>
  </customSheetViews>
  <mergeCells count="28">
    <mergeCell ref="C6:L6"/>
    <mergeCell ref="C334:J334"/>
    <mergeCell ref="B353:K353"/>
    <mergeCell ref="B354:K354"/>
    <mergeCell ref="B358:K358"/>
    <mergeCell ref="B228:K228"/>
    <mergeCell ref="C268:J268"/>
    <mergeCell ref="B287:K287"/>
    <mergeCell ref="B288:K288"/>
    <mergeCell ref="B292:K292"/>
    <mergeCell ref="C233:J233"/>
    <mergeCell ref="C299:J299"/>
    <mergeCell ref="C1:J1"/>
    <mergeCell ref="C3:J3"/>
    <mergeCell ref="B28:M28"/>
    <mergeCell ref="B224:K224"/>
    <mergeCell ref="C33:J33"/>
    <mergeCell ref="B84:K84"/>
    <mergeCell ref="B85:K85"/>
    <mergeCell ref="B89:K89"/>
    <mergeCell ref="C129:J129"/>
    <mergeCell ref="B150:K150"/>
    <mergeCell ref="B151:K151"/>
    <mergeCell ref="B155:K155"/>
    <mergeCell ref="C201:J201"/>
    <mergeCell ref="B223:K223"/>
    <mergeCell ref="C160:J160"/>
    <mergeCell ref="C5:L5"/>
  </mergeCells>
  <printOptions horizontalCentered="1"/>
  <pageMargins left="0.5" right="0" top="1" bottom="0.5" header="0.5" footer="0.5"/>
  <pageSetup fitToHeight="0" orientation="landscape" paperSize="1" scale="37" r:id="rId1"/>
  <headerFooter alignWithMargins="0"/>
  <rowBreaks count="5" manualBreakCount="5">
    <brk id="31" max="12" man="1"/>
    <brk id="90" max="12" man="1"/>
    <brk id="157" max="12" man="1"/>
    <brk id="231" max="12" man="1"/>
    <brk id="296" max="16383" man="1"/>
  </rowBreaks>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33</vt:i4>
      </vt:variant>
    </vt:vector>
  </HeadingPairs>
  <TitlesOfParts>
    <vt:vector size="33" baseType="lpstr">
      <vt:lpstr>Attachment H-28A MAIT </vt:lpstr>
      <vt:lpstr>Attachment 1 - Sched 1A</vt:lpstr>
      <vt:lpstr>Attachment 2 - Incentive ROE</vt:lpstr>
      <vt:lpstr>Attachment 3 - Gross Plant</vt:lpstr>
      <vt:lpstr>Attachment 4 - Accum Depr</vt:lpstr>
      <vt:lpstr>Attachment 5 - ADIT</vt:lpstr>
      <vt:lpstr>Attch 5a - ADIT Normalization</vt:lpstr>
      <vt:lpstr>WP03-A ADIT Summary</vt:lpstr>
      <vt:lpstr>WP03-B ADIT Detail</vt:lpstr>
      <vt:lpstr>Attach 5a - ADIT Norm JC-T</vt:lpstr>
      <vt:lpstr>Attachment 5b - ADIT Detail</vt:lpstr>
      <vt:lpstr>Attachment 6 - PBOP</vt:lpstr>
      <vt:lpstr>Attachment 7 - Taxes Other </vt:lpstr>
      <vt:lpstr>Attachment 8 - Cap Structure</vt:lpstr>
      <vt:lpstr>Attach 9 - Stated-value Inputs</vt:lpstr>
      <vt:lpstr>Attachment 10 - Debt Cost</vt:lpstr>
      <vt:lpstr>Attachment 11 - TEC</vt:lpstr>
      <vt:lpstr>Attach 11a - TEC Cost Support</vt:lpstr>
      <vt:lpstr>Attachment 12 - TEC True-up</vt:lpstr>
      <vt:lpstr>Attachment 13 - Rev Req True-up</vt:lpstr>
      <vt:lpstr>Attach 13a-TEC Rev Req True up</vt:lpstr>
      <vt:lpstr>Attachment 14 - Other Rate Base</vt:lpstr>
      <vt:lpstr>Attachment 15 - Income Tax Adj</vt:lpstr>
      <vt:lpstr>Attachment 15a- Exc_Def ADIT WS</vt:lpstr>
      <vt:lpstr>Attachment 15b - Exc_Def WP</vt:lpstr>
      <vt:lpstr>Attach 16a Reg Asset-Storms</vt:lpstr>
      <vt:lpstr>Attach 16b Reg Asset-Veg Mgmt</vt:lpstr>
      <vt:lpstr>Attach 16c Reg Asset-start Cost</vt:lpstr>
      <vt:lpstr>Attachment 17 - Abandoned Plant</vt:lpstr>
      <vt:lpstr>Attachment 18 - CWIP</vt:lpstr>
      <vt:lpstr>Attachment 19 - Tax Rates</vt:lpstr>
      <vt:lpstr>Attachment 20 - O&amp;M and A&amp;G</vt:lpstr>
      <vt:lpstr>Attachment 21 - Revenue Credits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2025-10-06T18:45:11Z</dcterms:created>
  <dcterms:modified xsi:type="dcterms:W3CDTF">2025-10-06T18:45:10Z</dcterms:modified>
  <cp:category/>
</cp:coreProperties>
</file>