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howInkAnnotation="0" codeName="ThisWorkbook" defaultThemeVersion="124226"/>
  <mc:AlternateContent xmlns:mc="http://schemas.openxmlformats.org/markup-compatibility/2006">
    <mc:Choice Requires="x15">
      <x15ac:absPath xmlns:x15ac="http://schemas.microsoft.com/office/spreadsheetml/2010/11/ac" url="E:\FORMULA TRANSMISSION RATES VALLEYLINK\West Virginia\Filing Documents\"/>
    </mc:Choice>
  </mc:AlternateContent>
  <xr:revisionPtr revIDLastSave="0" documentId="13_ncr:1_{044A4EB9-67B9-4D53-A29E-A992C5B8B88F}" xr6:coauthVersionLast="47" xr6:coauthVersionMax="47" xr10:uidLastSave="{00000000-0000-0000-0000-000000000000}"/>
  <bookViews>
    <workbookView xWindow="-120" yWindow="-120" windowWidth="29040" windowHeight="15720" tabRatio="920" xr2:uid="{00000000-000D-0000-FFFF-FFFF00000000}"/>
  </bookViews>
  <sheets>
    <sheet name="Attachment H-39A" sheetId="1" r:id="rId1"/>
    <sheet name="1-Project Rev Req" sheetId="2" r:id="rId2"/>
    <sheet name="2-Incentive ROE" sheetId="3" r:id="rId3"/>
    <sheet name="3-Project True-up" sheetId="4" r:id="rId4"/>
    <sheet name="3a- PJM Billings (PTRR)" sheetId="28" r:id="rId5"/>
    <sheet name="4- Rate Base" sheetId="5" r:id="rId6"/>
    <sheet name="4a - ADIT Average Balances" sheetId="22" r:id="rId7"/>
    <sheet name="4b - ADIT Beginning Ending" sheetId="23" r:id="rId8"/>
    <sheet name="4c- ADIT PTRR Proration" sheetId="24" r:id="rId9"/>
    <sheet name="4d- ADIT ATRR Proration" sheetId="29" r:id="rId10"/>
    <sheet name="4e - ADIT Amortization" sheetId="25" r:id="rId11"/>
    <sheet name="4f - Tax Remeasurement" sheetId="26" r:id="rId12"/>
    <sheet name="5- Cap Structure" sheetId="6" r:id="rId13"/>
    <sheet name="5a- Debt Cost" sheetId="27" r:id="rId14"/>
    <sheet name="6 - True-Up Interest" sheetId="7" r:id="rId15"/>
    <sheet name="6a - True-up Interest Rate" sheetId="8" r:id="rId16"/>
    <sheet name="7 - Stated-Value Inputs" sheetId="12" r:id="rId17"/>
    <sheet name="8-Corrections" sheetId="13" r:id="rId18"/>
    <sheet name="9 - Revenue Credits" sheetId="14" r:id="rId19"/>
    <sheet name="10 - Reg Asset " sheetId="30" r:id="rId20"/>
    <sheet name="11 - Abandoned Plant" sheetId="31" r:id="rId21"/>
  </sheets>
  <definedNames>
    <definedName name="___INDEX_SHEET___ASAP_Utilities" localSheetId="11">#REF!</definedName>
    <definedName name="___INDEX_SHEET___ASAP_Utilities">#REF!</definedName>
    <definedName name="___WSH7" localSheetId="11">#REF!</definedName>
    <definedName name="___WSH7">#REF!</definedName>
    <definedName name="__WSH7" localSheetId="11">#REF!</definedName>
    <definedName name="__WSH7">#REF!</definedName>
    <definedName name="_1E_1">#N/A</definedName>
    <definedName name="_31_Dec_00" localSheetId="11">#REF!</definedName>
    <definedName name="_31_Dec_00">#REF!</definedName>
    <definedName name="_31_Jan_01" localSheetId="11">#REF!</definedName>
    <definedName name="_31_Jan_01">#REF!</definedName>
    <definedName name="_AMO_UniqueIdentifier" hidden="1">"'8403d099-e876-4d31-b913-cb2efff0232f'"</definedName>
    <definedName name="_Fill" localSheetId="11" hidden="1">#REF!</definedName>
    <definedName name="_Fill" hidden="1">#REF!</definedName>
    <definedName name="_Key1" localSheetId="11" hidden="1">#REF!</definedName>
    <definedName name="_Key1" hidden="1">#REF!</definedName>
    <definedName name="_Key2" localSheetId="11" hidden="1">#REF!</definedName>
    <definedName name="_Key2" hidden="1">#REF!</definedName>
    <definedName name="_Order1" localSheetId="7" hidden="1">0</definedName>
    <definedName name="_Order1" hidden="1">255</definedName>
    <definedName name="_Order2" hidden="1">255</definedName>
    <definedName name="_Parse_Out" localSheetId="11" hidden="1">#REF!</definedName>
    <definedName name="_Parse_Out" hidden="1">#REF!</definedName>
    <definedName name="_Regression_Out" localSheetId="11" hidden="1">#REF!</definedName>
    <definedName name="_Regression_Out" hidden="1">#REF!</definedName>
    <definedName name="_Regression_X" localSheetId="11" hidden="1">#REF!</definedName>
    <definedName name="_Regression_X" hidden="1">#REF!</definedName>
    <definedName name="_Regression_Y" localSheetId="11" hidden="1">#REF!</definedName>
    <definedName name="_Regression_Y" hidden="1">#REF!</definedName>
    <definedName name="_Sort" localSheetId="11" hidden="1">#REF!</definedName>
    <definedName name="_Sort" hidden="1">#REF!</definedName>
    <definedName name="_WSH7" localSheetId="11">#REF!</definedName>
    <definedName name="_WSH7">#REF!</definedName>
    <definedName name="a" hidden="1">{"MATALL",#N/A,FALSE,"Sheet4";"matclass",#N/A,FALSE,"Sheet4"}</definedName>
    <definedName name="aaa" hidden="1">{#N/A,#N/A,FALSE,"O&amp;M by processes";#N/A,#N/A,FALSE,"Elec Act vs Bud";#N/A,#N/A,FALSE,"G&amp;A";#N/A,#N/A,FALSE,"BGS";#N/A,#N/A,FALSE,"Res Cost"}</definedName>
    <definedName name="aaaaaaaaaaaaaaa" hidden="1">{#N/A,#N/A,FALSE,"O&amp;M by processes";#N/A,#N/A,FALSE,"Elec Act vs Bud";#N/A,#N/A,FALSE,"G&amp;A";#N/A,#N/A,FALSE,"BGS";#N/A,#N/A,FALSE,"Res Cost"}</definedName>
    <definedName name="ACwvu.OP." localSheetId="11" hidden="1">#REF!</definedName>
    <definedName name="ACwvu.OP." hidden="1">#REF!</definedName>
    <definedName name="Alloc02" localSheetId="11">#REF!</definedName>
    <definedName name="Alloc02">#REF!</definedName>
    <definedName name="Alloc03" localSheetId="11">#REF!</definedName>
    <definedName name="Alloc03">#REF!</definedName>
    <definedName name="AllocTY" localSheetId="11">#REF!</definedName>
    <definedName name="AllocTY">#REF!</definedName>
    <definedName name="anscount" hidden="1">1</definedName>
    <definedName name="Arkansas" localSheetId="11">#REF!</definedName>
    <definedName name="Arkansas">#REF!</definedName>
    <definedName name="AS2DocOpenMode" hidden="1">"AS2DocumentEdit"</definedName>
    <definedName name="Balances" localSheetId="11">#REF!</definedName>
    <definedName name="Balances">#REF!</definedName>
    <definedName name="bbb" hidden="1">{#N/A,#N/A,FALSE,"O&amp;M by processes";#N/A,#N/A,FALSE,"Elec Act vs Bud";#N/A,#N/A,FALSE,"G&amp;A";#N/A,#N/A,FALSE,"BGS";#N/A,#N/A,FALSE,"Res Cost"}</definedName>
    <definedName name="bbbb" hidden="1">{#N/A,#N/A,FALSE,"O&amp;M by processes";#N/A,#N/A,FALSE,"Elec Act vs Bud";#N/A,#N/A,FALSE,"G&amp;A";#N/A,#N/A,FALSE,"BGS";#N/A,#N/A,FALSE,"Res Cost"}</definedName>
    <definedName name="bbbbb" hidden="1">{#N/A,#N/A,FALSE,"O&amp;M by processes";#N/A,#N/A,FALSE,"Elec Act vs Bud";#N/A,#N/A,FALSE,"G&amp;A";#N/A,#N/A,FALSE,"BGS";#N/A,#N/A,FALSE,"Res Cost"}</definedName>
    <definedName name="bbc" hidden="1">{#N/A,#N/A,FALSE,"O&amp;M by processes";#N/A,#N/A,FALSE,"Elec Act vs Bud";#N/A,#N/A,FALSE,"G&amp;A";#N/A,#N/A,FALSE,"BGS";#N/A,#N/A,FALSE,"Res Cost"}</definedName>
    <definedName name="Blank" localSheetId="8" hidden="1">{"ARK_JURIS_FUEL",#N/A,FALSE,"Ark_Fuel&amp;Rev"}</definedName>
    <definedName name="Blank" localSheetId="10" hidden="1">{"ARK_JURIS_FUEL",#N/A,FALSE,"Ark_Fuel&amp;Rev"}</definedName>
    <definedName name="Blank" localSheetId="11" hidden="1">{"ARK_JURIS_FUEL",#N/A,FALSE,"Ark_Fuel&amp;Rev"}</definedName>
    <definedName name="Blank" hidden="1">{"ARK_JURIS_FUEL",#N/A,FALSE,"Ark_Fuel&amp;Rev"}</definedName>
    <definedName name="can" hidden="1">{#N/A,#N/A,FALSE,"O&amp;M by processes";#N/A,#N/A,FALSE,"Elec Act vs Bud";#N/A,#N/A,FALSE,"G&amp;A";#N/A,#N/A,FALSE,"BGS";#N/A,#N/A,FALSE,"Res Cost"}</definedName>
    <definedName name="CapAlloc" localSheetId="11">#REF!</definedName>
    <definedName name="CapAlloc">#REF!</definedName>
    <definedName name="ccc" hidden="1">{#N/A,#N/A,FALSE,"O&amp;M by processes";#N/A,#N/A,FALSE,"Elec Act vs Bud";#N/A,#N/A,FALSE,"G&amp;A";#N/A,#N/A,FALSE,"BGS";#N/A,#N/A,FALSE,"Res Cost"}</definedName>
    <definedName name="cccc" hidden="1">{#N/A,#N/A,FALSE,"O&amp;M by processes";#N/A,#N/A,FALSE,"Elec Act vs Bud";#N/A,#N/A,FALSE,"G&amp;A";#N/A,#N/A,FALSE,"BGS";#N/A,#N/A,FALSE,"Res Cost"}</definedName>
    <definedName name="CH_COS" localSheetId="11">#REF!</definedName>
    <definedName name="CH_COS">#REF!</definedName>
    <definedName name="CoCode0100" localSheetId="11">#REF!</definedName>
    <definedName name="CoCode0100">#REF!</definedName>
    <definedName name="CoCode0200" localSheetId="11">#REF!</definedName>
    <definedName name="CoCode0200">#REF!</definedName>
    <definedName name="CoCode0400" localSheetId="11">#REF!</definedName>
    <definedName name="CoCode0400">#REF!</definedName>
    <definedName name="CoCode0500" localSheetId="11">#REF!</definedName>
    <definedName name="CoCode0500">#REF!</definedName>
    <definedName name="Columns" localSheetId="11">#REF!</definedName>
    <definedName name="Columns">#REF!</definedName>
    <definedName name="CONOCO_FAC" localSheetId="11">#REF!</definedName>
    <definedName name="CONOCO_FAC">#REF!</definedName>
    <definedName name="Consolid" hidden="1">{#N/A,#N/A,FALSE,"O&amp;M by processes";#N/A,#N/A,FALSE,"Elec Act vs Bud";#N/A,#N/A,FALSE,"G&amp;A";#N/A,#N/A,FALSE,"BGS";#N/A,#N/A,FALSE,"Res Cost"}</definedName>
    <definedName name="Consolidated" hidden="1">{#N/A,#N/A,FALSE,"O&amp;M by processes";#N/A,#N/A,FALSE,"Elec Act vs Bud";#N/A,#N/A,FALSE,"G&amp;A";#N/A,#N/A,FALSE,"BGS";#N/A,#N/A,FALSE,"Res Cost"}</definedName>
    <definedName name="cp_by_group" localSheetId="11">#REF!</definedName>
    <definedName name="cp_by_group">#REF!</definedName>
    <definedName name="cp_by_serv_level" localSheetId="11">#REF!</definedName>
    <definedName name="cp_by_serv_level">#REF!</definedName>
    <definedName name="cp_input_area" localSheetId="11">#REF!</definedName>
    <definedName name="cp_input_area">#REF!</definedName>
    <definedName name="Current_sum" localSheetId="11">#REF!</definedName>
    <definedName name="Current_sum">#REF!</definedName>
    <definedName name="da" hidden="1">{#N/A,#N/A,FALSE,"O&amp;M by processes";#N/A,#N/A,FALSE,"Elec Act vs Bud";#N/A,#N/A,FALSE,"G&amp;A";#N/A,#N/A,FALSE,"BGS";#N/A,#N/A,FALSE,"Res Cost"}</definedName>
    <definedName name="dada" hidden="1">{#N/A,#N/A,FALSE,"O&amp;M by processes";#N/A,#N/A,FALSE,"Elec Act vs Bud";#N/A,#N/A,FALSE,"G&amp;A";#N/A,#N/A,FALSE,"BGS";#N/A,#N/A,FALSE,"Res Cost"}</definedName>
    <definedName name="data_3">#REF!</definedName>
    <definedName name="DefaultCopy" localSheetId="11">#REF!</definedName>
    <definedName name="DefaultCopy">#REF!</definedName>
    <definedName name="DefaultPaste" localSheetId="11">#REF!</definedName>
    <definedName name="DefaultPaste">#REF!</definedName>
    <definedName name="delete" hidden="1">{#N/A,#N/A,FALSE,"CURRENT"}</definedName>
    <definedName name="detail" localSheetId="11">#REF!</definedName>
    <definedName name="detail">#REF!</definedName>
    <definedName name="dg" localSheetId="11">#REF!</definedName>
    <definedName name="dg">#REF!</definedName>
    <definedName name="dsfds" localSheetId="11" hidden="1">#REF!</definedName>
    <definedName name="dsfds" hidden="1">#REF!</definedName>
    <definedName name="eeee" hidden="1">{#N/A,#N/A,FALSE,"O&amp;M by processes";#N/A,#N/A,FALSE,"Elec Act vs Bud";#N/A,#N/A,FALSE,"G&amp;A";#N/A,#N/A,FALSE,"BGS";#N/A,#N/A,FALSE,"Res Cost"}</definedName>
    <definedName name="er" localSheetId="8" hidden="1">{TRUE,TRUE,-1.25,-15.5,484.5,279.75,FALSE,FALSE,TRUE,TRUE,0,3,#N/A,1,#N/A,6.54545454545454,15.55,1,FALSE,FALSE,3,TRUE,1,FALSE,100,"Swvu.WP1.","ACwvu.WP1.",1,FALSE,FALSE,0.25,0.25,0.25,0.25,1,"","&amp;L&amp;D &amp;T NBW&amp;C&amp;P&amp;R&amp;F",FALSE,FALSE,FALSE,FALSE,1,100,#N/A,#N/A,FALSE,FALSE,#N/A,#N/A,FALSE,FALSE}</definedName>
    <definedName name="er" localSheetId="10" hidden="1">{TRUE,TRUE,-1.25,-15.5,484.5,279.75,FALSE,FALSE,TRUE,TRUE,0,3,#N/A,1,#N/A,6.54545454545454,15.55,1,FALSE,FALSE,3,TRUE,1,FALSE,100,"Swvu.WP1.","ACwvu.WP1.",1,FALSE,FALSE,0.25,0.25,0.25,0.25,1,"","&amp;L&amp;D &amp;T NBW&amp;C&amp;P&amp;R&amp;F",FALSE,FALSE,FALSE,FALSE,1,100,#N/A,#N/A,FALSE,FALSE,#N/A,#N/A,FALSE,FALSE}</definedName>
    <definedName name="er" localSheetId="11" hidden="1">{TRUE,TRUE,-1.25,-15.5,484.5,279.75,FALSE,FALSE,TRUE,TRUE,0,3,#N/A,1,#N/A,6.54545454545454,15.55,1,FALSE,FALSE,3,TRUE,1,FALSE,100,"Swvu.WP1.","ACwvu.WP1.",1,FALSE,FALSE,0.25,0.25,0.25,0.25,1,"","&amp;L&amp;D &amp;T NBW&amp;C&amp;P&amp;R&amp;F",FALSE,FALSE,FALSE,FALSE,1,100,#N/A,#N/A,FALSE,FALSE,#N/A,#N/A,FALSE,FALSE}</definedName>
    <definedName name="er" hidden="1">{TRUE,TRUE,-1.25,-15.5,484.5,279.75,FALSE,FALSE,TRUE,TRUE,0,3,#N/A,1,#N/A,6.54545454545454,15.55,1,FALSE,FALSE,3,TRUE,1,FALSE,100,"Swvu.WP1.","ACwvu.WP1.",1,FALSE,FALSE,0.25,0.25,0.25,0.25,1,"","&amp;L&amp;D &amp;T NBW&amp;C&amp;P&amp;R&amp;F",FALSE,FALSE,FALSE,FALSE,1,100,#N/A,#N/A,FALSE,FALSE,#N/A,#N/A,FALSE,FALSE}</definedName>
    <definedName name="error" localSheetId="11">#REF!</definedName>
    <definedName name="error">#REF!</definedName>
    <definedName name="EV__LASTREFTIME__" hidden="1">39826.8319444444</definedName>
    <definedName name="FED" localSheetId="11">#REF!</definedName>
    <definedName name="FED">#REF!</definedName>
    <definedName name="g" localSheetId="11">#REF!</definedName>
    <definedName name="g">#REF!</definedName>
    <definedName name="gita" hidden="1">{#N/A,#N/A,FALSE,"O&amp;M by processes";#N/A,#N/A,FALSE,"Elec Act vs Bud";#N/A,#N/A,FALSE,"G&amp;A";#N/A,#N/A,FALSE,"BGS";#N/A,#N/A,FALSE,"Res Cost"}</definedName>
    <definedName name="gitah" hidden="1">{#N/A,#N/A,FALSE,"O&amp;M by processes";#N/A,#N/A,FALSE,"Elec Act vs Bud";#N/A,#N/A,FALSE,"G&amp;A";#N/A,#N/A,FALSE,"BGS";#N/A,#N/A,FALSE,"Res Cost"}</definedName>
    <definedName name="GP">#REF!</definedName>
    <definedName name="haha" localSheetId="8" hidden="1">{"OMPA_FAC",#N/A,FALSE,"OMPA FAC"}</definedName>
    <definedName name="haha" localSheetId="10" hidden="1">{"OMPA_FAC",#N/A,FALSE,"OMPA FAC"}</definedName>
    <definedName name="haha" localSheetId="11" hidden="1">{"OMPA_FAC",#N/A,FALSE,"OMPA FAC"}</definedName>
    <definedName name="haha" hidden="1">{"OMPA_FAC",#N/A,FALSE,"OMPA FAC"}</definedName>
    <definedName name="HEADA" localSheetId="11">#REF!</definedName>
    <definedName name="HEADA">#REF!</definedName>
    <definedName name="HEADB" localSheetId="11">#REF!</definedName>
    <definedName name="HEADB">#REF!</definedName>
    <definedName name="HEADC" localSheetId="11">#REF!</definedName>
    <definedName name="HEADC">#REF!</definedName>
    <definedName name="HEADD" localSheetId="11">#REF!</definedName>
    <definedName name="HEADD">#REF!</definedName>
    <definedName name="itc" localSheetId="11">#REF!</definedName>
    <definedName name="itc">#REF!</definedName>
    <definedName name="kk" localSheetId="11">#REF!</definedName>
    <definedName name="kk">#REF!</definedName>
    <definedName name="limcount" hidden="1">1</definedName>
    <definedName name="MED" localSheetId="11">#REF!</definedName>
    <definedName name="MED">#REF!</definedName>
    <definedName name="MEDICARE" localSheetId="11">#REF!</definedName>
    <definedName name="MEDICARE">#REF!</definedName>
    <definedName name="Mgmt" localSheetId="11">#REF!</definedName>
    <definedName name="Mgmt">#REF!</definedName>
    <definedName name="MonthlyAdj" localSheetId="11">#REF!</definedName>
    <definedName name="MonthlyAdj">#REF!</definedName>
    <definedName name="MonthlyDetail" localSheetId="11">#REF!</definedName>
    <definedName name="MonthlyDetail">#REF!</definedName>
    <definedName name="months">#REF!</definedName>
    <definedName name="new" localSheetId="11">#REF!</definedName>
    <definedName name="new">#REF!</definedName>
    <definedName name="NP" localSheetId="11">#REF!</definedName>
    <definedName name="NP">#REF!</definedName>
    <definedName name="NSP_COS" localSheetId="11">#REF!</definedName>
    <definedName name="NSP_COS">#REF!</definedName>
    <definedName name="OASDI" localSheetId="11">#REF!</definedName>
    <definedName name="OASDI">#REF!</definedName>
    <definedName name="OCT" localSheetId="11">#REF!</definedName>
    <definedName name="OCT">#REF!</definedName>
    <definedName name="Oklahoma" localSheetId="11">#REF!</definedName>
    <definedName name="Oklahoma">#REF!</definedName>
    <definedName name="PAGEA" localSheetId="11">#REF!</definedName>
    <definedName name="PAGEA">#REF!</definedName>
    <definedName name="PAGEB" localSheetId="11">#REF!</definedName>
    <definedName name="PAGEB">#REF!</definedName>
    <definedName name="PAGEC" localSheetId="11">#REF!</definedName>
    <definedName name="PAGEC">#REF!</definedName>
    <definedName name="PAGED" localSheetId="11">#REF!</definedName>
    <definedName name="PAGED">#REF!</definedName>
    <definedName name="Percent" localSheetId="11">#REF!</definedName>
    <definedName name="Percent">#REF!</definedName>
    <definedName name="plus_pmts" localSheetId="11">#REF!</definedName>
    <definedName name="plus_pmts">#REF!</definedName>
    <definedName name="print" localSheetId="11">#REF!</definedName>
    <definedName name="print">#REF!</definedName>
    <definedName name="print_all" localSheetId="11">#REF!</definedName>
    <definedName name="print_all">#REF!</definedName>
    <definedName name="print_all_D_1" localSheetId="11">#REF!</definedName>
    <definedName name="print_all_D_1">#REF!</definedName>
    <definedName name="_xlnm.Print_Area" localSheetId="19">'10 - Reg Asset '!$A$1:$J$24</definedName>
    <definedName name="_xlnm.Print_Area" localSheetId="20">'11 - Abandoned Plant'!$A$1:$J$25</definedName>
    <definedName name="_xlnm.Print_Area" localSheetId="1">'1-Project Rev Req'!$A$1:$K$85,'1-Project Rev Req'!$L$46:$W$85</definedName>
    <definedName name="_xlnm.Print_Area" localSheetId="2">'2-Incentive ROE'!$A$1:$J$48</definedName>
    <definedName name="_xlnm.Print_Area" localSheetId="4">'3a- PJM Billings (PTRR)'!$A$1:$M$28</definedName>
    <definedName name="_xlnm.Print_Area" localSheetId="3">'3-Project True-up'!$A$1:$L$48</definedName>
    <definedName name="_xlnm.Print_Area" localSheetId="5">'4- Rate Base'!$A$1:$K$84</definedName>
    <definedName name="_xlnm.Print_Area" localSheetId="6">'4a - ADIT Average Balances'!$A$1:$J$160</definedName>
    <definedName name="_xlnm.Print_Area" localSheetId="7">'4b - ADIT Beginning Ending'!$A$1:$H$132</definedName>
    <definedName name="_xlnm.Print_Area" localSheetId="8">'4c- ADIT PTRR Proration'!$A$1:$M$54</definedName>
    <definedName name="_xlnm.Print_Area" localSheetId="9">'4d- ADIT ATRR Proration'!$A$1:$N$81</definedName>
    <definedName name="_xlnm.Print_Area" localSheetId="10">'4e - ADIT Amortization'!$A$1:$L$96</definedName>
    <definedName name="_xlnm.Print_Area" localSheetId="11">'4f - Tax Remeasurement'!$A$1:$J$45</definedName>
    <definedName name="_xlnm.Print_Area" localSheetId="12">'5- Cap Structure'!$A$1:$L$30</definedName>
    <definedName name="_xlnm.Print_Area" localSheetId="13">'5a- Debt Cost'!$A$1:$Z$90</definedName>
    <definedName name="_xlnm.Print_Area" localSheetId="15">'6a - True-up Interest Rate'!$A$1:$H$35</definedName>
    <definedName name="_xlnm.Print_Area" localSheetId="16">'7 - Stated-Value Inputs'!$A$1:$H$37</definedName>
    <definedName name="_xlnm.Print_Area" localSheetId="17">'8-Corrections'!$A$1:$G$35</definedName>
    <definedName name="_xlnm.Print_Area" localSheetId="18">'9 - Revenue Credits'!$A$1:$H$38</definedName>
    <definedName name="_xlnm.Print_Area" localSheetId="0">'Attachment H-39A'!$A$1:$J$251</definedName>
    <definedName name="_xlnm.Print_Area">#REF!</definedName>
    <definedName name="PRINT_AREA_MI" localSheetId="11">#REF!</definedName>
    <definedName name="PRINT_AREA_MI">#REF!</definedName>
    <definedName name="print_sch" localSheetId="11">#REF!</definedName>
    <definedName name="print_sch">#REF!</definedName>
    <definedName name="Print1" localSheetId="11">#REF!</definedName>
    <definedName name="Print1">#REF!</definedName>
    <definedName name="Print3" localSheetId="11">#REF!</definedName>
    <definedName name="Print3">#REF!</definedName>
    <definedName name="Print4" localSheetId="11">#REF!</definedName>
    <definedName name="Print4">#REF!</definedName>
    <definedName name="Print5" localSheetId="11">#REF!</definedName>
    <definedName name="Print5">#REF!</definedName>
    <definedName name="ProjIDList" localSheetId="11">#REF!</definedName>
    <definedName name="ProjIDList">#REF!</definedName>
    <definedName name="PSCo_COS" localSheetId="11">#REF!</definedName>
    <definedName name="PSCo_COS">#REF!</definedName>
    <definedName name="py_cent" localSheetId="11">#REF!</definedName>
    <definedName name="py_cent">#REF!</definedName>
    <definedName name="py_clint" localSheetId="11">#REF!</definedName>
    <definedName name="py_clint">#REF!</definedName>
    <definedName name="py_eec" localSheetId="11">#REF!</definedName>
    <definedName name="py_eec">#REF!</definedName>
    <definedName name="py_ei" localSheetId="11">#REF!</definedName>
    <definedName name="py_ei">#REF!</definedName>
    <definedName name="py_engl" localSheetId="11">#REF!</definedName>
    <definedName name="py_engl">#REF!</definedName>
    <definedName name="py_epc" localSheetId="11">#REF!</definedName>
    <definedName name="py_epc">#REF!</definedName>
    <definedName name="py_esc" localSheetId="11">#REF!</definedName>
    <definedName name="py_esc">#REF!</definedName>
    <definedName name="q" localSheetId="8" hidden="1">{"MATALL",#N/A,FALSE,"Sheet4";"matclass",#N/A,FALSE,"Sheet4"}</definedName>
    <definedName name="q" localSheetId="10" hidden="1">{"MATALL",#N/A,FALSE,"Sheet4";"matclass",#N/A,FALSE,"Sheet4"}</definedName>
    <definedName name="q" localSheetId="11" hidden="1">{"MATALL",#N/A,FALSE,"Sheet4";"matclass",#N/A,FALSE,"Sheet4"}</definedName>
    <definedName name="q" hidden="1">{"MATALL",#N/A,FALSE,"Sheet4";"matclass",#N/A,FALSE,"Sheet4"}</definedName>
    <definedName name="q_MTEP06_App_AB_Facility" localSheetId="11">#REF!</definedName>
    <definedName name="q_MTEP06_App_AB_Facility">#REF!</definedName>
    <definedName name="q_MTEP06_App_AB_Projects" localSheetId="11">#REF!</definedName>
    <definedName name="q_MTEP06_App_AB_Projects">#REF!</definedName>
    <definedName name="revreq" localSheetId="11">#REF!</definedName>
    <definedName name="revreq">#REF!</definedName>
    <definedName name="rrrr" hidden="1">{#N/A,#N/A,FALSE,"O&amp;M by processes";#N/A,#N/A,FALSE,"Elec Act vs Bud";#N/A,#N/A,FALSE,"G&amp;A";#N/A,#N/A,FALSE,"BGS";#N/A,#N/A,FALSE,"Res Cost"}</definedName>
    <definedName name="shiva" hidden="1">{#N/A,#N/A,FALSE,"O&amp;M by processes";#N/A,#N/A,FALSE,"Elec Act vs Bud";#N/A,#N/A,FALSE,"G&amp;A";#N/A,#N/A,FALSE,"BGS";#N/A,#N/A,FALSE,"Res Cost"}</definedName>
    <definedName name="simoutaneous" localSheetId="11">#REF!</definedName>
    <definedName name="simoutaneous">#REF!</definedName>
    <definedName name="SPS_COS" localSheetId="11">#REF!</definedName>
    <definedName name="SPS_COS">#REF!</definedName>
    <definedName name="ssss" hidden="1">{TRUE,TRUE,-1.25,-15.5,484.5,279.75,FALSE,FALSE,TRUE,TRUE,0,3,#N/A,1,#N/A,6.54545454545454,15.55,1,FALSE,FALSE,3,TRUE,1,FALSE,100,"Swvu.WP1.","ACwvu.WP1.",1,FALSE,FALSE,0.25,0.25,0.25,0.25,1,"","&amp;L&amp;D &amp;T NBW&amp;C&amp;P&amp;R&amp;F",FALSE,FALSE,FALSE,FALSE,1,100,#N/A,#N/A,FALSE,FALSE,#N/A,#N/A,FALSE,FALSE}</definedName>
    <definedName name="STATE" localSheetId="11">#REF!</definedName>
    <definedName name="STATE">#REF!</definedName>
    <definedName name="statsrevised" hidden="1">{#N/A,#N/A,FALSE,"O&amp;M by processes";#N/A,#N/A,FALSE,"Elec Act vs Bud";#N/A,#N/A,FALSE,"G&amp;A";#N/A,#N/A,FALSE,"BGS";#N/A,#N/A,FALSE,"Res Cost"}</definedName>
    <definedName name="support" hidden="1">{#N/A,#N/A,FALSE,"O&amp;M by processes";#N/A,#N/A,FALSE,"Elec Act vs Bud";#N/A,#N/A,FALSE,"G&amp;A";#N/A,#N/A,FALSE,"BGS";#N/A,#N/A,FALSE,"Res Cost"}</definedName>
    <definedName name="supporti" hidden="1">{#N/A,#N/A,FALSE,"O&amp;M by processes";#N/A,#N/A,FALSE,"Elec Act vs Bud";#N/A,#N/A,FALSE,"G&amp;A";#N/A,#N/A,FALSE,"BGS";#N/A,#N/A,FALSE,"Res Cost"}</definedName>
    <definedName name="Swvu.OP." localSheetId="11" hidden="1">#REF!</definedName>
    <definedName name="Swvu.OP." hidden="1">#REF!</definedName>
    <definedName name="taxcalc" localSheetId="11">#REF!</definedName>
    <definedName name="taxcalc">#REF!</definedName>
    <definedName name="test" localSheetId="7" hidden="1">{"ARK_JURIS_FUEL",#N/A,FALSE,"Ark_Fuel&amp;Rev"}</definedName>
    <definedName name="TEST" localSheetId="8" hidden="1">{TRUE,TRUE,-1.25,-15.5,484.5,279.75,FALSE,FALSE,TRUE,TRUE,0,3,#N/A,1,#N/A,6.54545454545454,15.55,1,FALSE,FALSE,3,TRUE,1,FALSE,100,"Swvu.WP1.","ACwvu.WP1.",1,FALSE,FALSE,0.25,0.25,0.25,0.25,1,"","&amp;L&amp;D &amp;T NBW&amp;C&amp;P&amp;R&amp;F",FALSE,FALSE,FALSE,FALSE,1,100,#N/A,#N/A,FALSE,FALSE,#N/A,#N/A,FALSE,FALSE}</definedName>
    <definedName name="TEST" localSheetId="10" hidden="1">{TRUE,TRUE,-1.25,-15.5,484.5,279.75,FALSE,FALSE,TRUE,TRUE,0,3,#N/A,1,#N/A,6.54545454545454,15.55,1,FALSE,FALSE,3,TRUE,1,FALSE,100,"Swvu.WP1.","ACwvu.WP1.",1,FALSE,FALSE,0.25,0.25,0.25,0.25,1,"","&amp;L&amp;D &amp;T NBW&amp;C&amp;P&amp;R&amp;F",FALSE,FALSE,FALSE,FALSE,1,100,#N/A,#N/A,FALSE,FALSE,#N/A,#N/A,FALSE,FALSE}</definedName>
    <definedName name="TEST" localSheetId="11" hidden="1">{TRUE,TRUE,-1.25,-15.5,484.5,279.75,FALSE,FALSE,TRUE,TRUE,0,3,#N/A,1,#N/A,6.54545454545454,15.55,1,FALSE,FALSE,3,TRUE,1,FALSE,100,"Swvu.WP1.","ACwvu.WP1.",1,FALSE,FALSE,0.25,0.25,0.25,0.25,1,"","&amp;L&amp;D &amp;T NBW&amp;C&amp;P&amp;R&amp;F",FALSE,FALSE,FALSE,FALSE,1,100,#N/A,#N/A,FALSE,FALSE,#N/A,#N/A,FALSE,FALSE}</definedName>
    <definedName name="TEST" hidden="1">{TRUE,TRUE,-1.25,-15.5,484.5,279.75,FALSE,FALSE,TRUE,TRUE,0,3,#N/A,1,#N/A,6.54545454545454,15.55,1,FALSE,FALSE,3,TRUE,1,FALSE,100,"Swvu.WP1.","ACwvu.WP1.",1,FALSE,FALSE,0.25,0.25,0.25,0.25,1,"","&amp;L&amp;D &amp;T NBW&amp;C&amp;P&amp;R&amp;F",FALSE,FALSE,FALSE,FALSE,1,100,#N/A,#N/A,FALSE,FALSE,#N/A,#N/A,FALSE,FALSE}</definedName>
    <definedName name="toma" hidden="1">{#N/A,#N/A,FALSE,"O&amp;M by processes";#N/A,#N/A,FALSE,"Elec Act vs Bud";#N/A,#N/A,FALSE,"G&amp;A";#N/A,#N/A,FALSE,"BGS";#N/A,#N/A,FALSE,"Res Cost"}</definedName>
    <definedName name="tomb" hidden="1">{#N/A,#N/A,FALSE,"O&amp;M by processes";#N/A,#N/A,FALSE,"Elec Act vs Bud";#N/A,#N/A,FALSE,"G&amp;A";#N/A,#N/A,FALSE,"BGS";#N/A,#N/A,FALSE,"Res Cost"}</definedName>
    <definedName name="tomc" hidden="1">{#N/A,#N/A,FALSE,"O&amp;M by processes";#N/A,#N/A,FALSE,"Elec Act vs Bud";#N/A,#N/A,FALSE,"G&amp;A";#N/A,#N/A,FALSE,"BGS";#N/A,#N/A,FALSE,"Res Cost"}</definedName>
    <definedName name="tomd" hidden="1">{#N/A,#N/A,FALSE,"O&amp;M by processes";#N/A,#N/A,FALSE,"Elec Act vs Bud";#N/A,#N/A,FALSE,"G&amp;A";#N/A,#N/A,FALSE,"BGS";#N/A,#N/A,FALSE,"Res Cost"}</definedName>
    <definedName name="tomx" hidden="1">{#N/A,#N/A,FALSE,"O&amp;M by processes";#N/A,#N/A,FALSE,"Elec Act vs Bud";#N/A,#N/A,FALSE,"G&amp;A";#N/A,#N/A,FALSE,"BGS";#N/A,#N/A,FALSE,"Res Cost"}</definedName>
    <definedName name="tomy" hidden="1">{#N/A,#N/A,FALSE,"O&amp;M by processes";#N/A,#N/A,FALSE,"Elec Act vs Bud";#N/A,#N/A,FALSE,"G&amp;A";#N/A,#N/A,FALSE,"BGS";#N/A,#N/A,FALSE,"Res Cost"}</definedName>
    <definedName name="tomz" hidden="1">{#N/A,#N/A,FALSE,"O&amp;M by processes";#N/A,#N/A,FALSE,"Elec Act vs Bud";#N/A,#N/A,FALSE,"G&amp;A";#N/A,#N/A,FALSE,"BGS";#N/A,#N/A,FALSE,"Res Cost"}</definedName>
    <definedName name="Tota_Deferred" localSheetId="11">#REF!</definedName>
    <definedName name="Tota_Deferred">#REF!</definedName>
    <definedName name="Total" localSheetId="11">#REF!</definedName>
    <definedName name="Total">#REF!</definedName>
    <definedName name="tp" localSheetId="11">#REF!</definedName>
    <definedName name="tp">#REF!</definedName>
    <definedName name="w" localSheetId="8" hidden="1">{"MATALL",#N/A,FALSE,"Sheet4";"matclass",#N/A,FALSE,"Sheet4"}</definedName>
    <definedName name="w" localSheetId="10" hidden="1">{"MATALL",#N/A,FALSE,"Sheet4";"matclass",#N/A,FALSE,"Sheet4"}</definedName>
    <definedName name="w" localSheetId="11" hidden="1">{"MATALL",#N/A,FALSE,"Sheet4";"matclass",#N/A,FALSE,"Sheet4"}</definedName>
    <definedName name="w" hidden="1">{"MATALL",#N/A,FALSE,"Sheet4";"matclass",#N/A,FALSE,"Sheet4"}</definedName>
    <definedName name="wh" hidden="1">{#N/A,#N/A,FALSE,"O&amp;M by processes";#N/A,#N/A,FALSE,"Elec Act vs Bud";#N/A,#N/A,FALSE,"G&amp;A";#N/A,#N/A,FALSE,"BGS";#N/A,#N/A,FALSE,"Res Cost"}</definedName>
    <definedName name="what" hidden="1">{#N/A,#N/A,FALSE,"O&amp;M by processes";#N/A,#N/A,FALSE,"Elec Act vs Bud";#N/A,#N/A,FALSE,"G&amp;A";#N/A,#N/A,FALSE,"BGS";#N/A,#N/A,FALSE,"Res Cost"}</definedName>
    <definedName name="Whatwhat" hidden="1">{#N/A,#N/A,FALSE,"O&amp;M by processes";#N/A,#N/A,FALSE,"Elec Act vs Bud";#N/A,#N/A,FALSE,"G&amp;A";#N/A,#N/A,FALSE,"BGS";#N/A,#N/A,FALSE,"Res Cost"}</definedName>
    <definedName name="who" hidden="1">{#N/A,#N/A,FALSE,"O&amp;M by processes";#N/A,#N/A,FALSE,"Elec Act vs Bud";#N/A,#N/A,FALSE,"G&amp;A";#N/A,#N/A,FALSE,"BGS";#N/A,#N/A,FALSE,"Res Cost"}</definedName>
    <definedName name="whowho" hidden="1">{#N/A,#N/A,FALSE,"O&amp;M by processes";#N/A,#N/A,FALSE,"Elec Act vs Bud";#N/A,#N/A,FALSE,"G&amp;A";#N/A,#N/A,FALSE,"BGS";#N/A,#N/A,FALSE,"Res Cost"}</definedName>
    <definedName name="whwh" hidden="1">{#N/A,#N/A,FALSE,"O&amp;M by processes";#N/A,#N/A,FALSE,"Elec Act vs Bud";#N/A,#N/A,FALSE,"G&amp;A";#N/A,#N/A,FALSE,"BGS";#N/A,#N/A,FALSE,"Res Cost"}</definedName>
    <definedName name="why" hidden="1">{#N/A,#N/A,FALSE,"O&amp;M by processes";#N/A,#N/A,FALSE,"Elec Act vs Bud";#N/A,#N/A,FALSE,"G&amp;A";#N/A,#N/A,FALSE,"BGS";#N/A,#N/A,FALSE,"Res Cost"}</definedName>
    <definedName name="WORKCAPa" localSheetId="8" hidden="1">{"WCCWCLL",#N/A,FALSE,"Sheet3";"PP",#N/A,FALSE,"Sheet3";"MAT1",#N/A,FALSE,"Sheet3";"MAT2",#N/A,FALSE,"Sheet3"}</definedName>
    <definedName name="WORKCAPa" localSheetId="10" hidden="1">{"WCCWCLL",#N/A,FALSE,"Sheet3";"PP",#N/A,FALSE,"Sheet3";"MAT1",#N/A,FALSE,"Sheet3";"MAT2",#N/A,FALSE,"Sheet3"}</definedName>
    <definedName name="WORKCAPa" localSheetId="11" hidden="1">{"WCCWCLL",#N/A,FALSE,"Sheet3";"PP",#N/A,FALSE,"Sheet3";"MAT1",#N/A,FALSE,"Sheet3";"MAT2",#N/A,FALSE,"Sheet3"}</definedName>
    <definedName name="WORKCAPa" hidden="1">{"WCCWCLL",#N/A,FALSE,"Sheet3";"PP",#N/A,FALSE,"Sheet3";"MAT1",#N/A,FALSE,"Sheet3";"MAT2",#N/A,FALSE,"Sheet3"}</definedName>
    <definedName name="wrn" hidden="1">{#N/A,#N/A,FALSE,"O&amp;M by processes";#N/A,#N/A,FALSE,"Elec Act vs Bud";#N/A,#N/A,FALSE,"G&amp;A";#N/A,#N/A,FALSE,"BGS";#N/A,#N/A,FALSE,"Res Cost"}</definedName>
    <definedName name="wrn.2006._.Rate._.Case." localSheetId="8" hidden="1">{"DAB-1, Sch 21, Pg 1",#N/A,FALSE,"ELEC ENERGY";"DAB-1, Sch 21, Pg 2",#N/A,FALSE,"RTPDenverWater";"DAB-1, Sch 21, Pg 3",#N/A,FALSE,"INCREMENTAL - WHOLESALE"}</definedName>
    <definedName name="wrn.2006._.Rate._.Case." localSheetId="10" hidden="1">{"DAB-1, Sch 21, Pg 1",#N/A,FALSE,"ELEC ENERGY";"DAB-1, Sch 21, Pg 2",#N/A,FALSE,"RTPDenverWater";"DAB-1, Sch 21, Pg 3",#N/A,FALSE,"INCREMENTAL - WHOLESALE"}</definedName>
    <definedName name="wrn.2006._.Rate._.Case." localSheetId="11" hidden="1">{"DAB-1, Sch 21, Pg 1",#N/A,FALSE,"ELEC ENERGY";"DAB-1, Sch 21, Pg 2",#N/A,FALSE,"RTPDenverWater";"DAB-1, Sch 21, Pg 3",#N/A,FALSE,"INCREMENTAL - WHOLESALE"}</definedName>
    <definedName name="wrn.2006._.Rate._.Case." hidden="1">{"DAB-1, Sch 21, Pg 1",#N/A,FALSE,"ELEC ENERGY";"DAB-1, Sch 21, Pg 2",#N/A,FALSE,"RTPDenverWater";"DAB-1, Sch 21, Pg 3",#N/A,FALSE,"INCREMENTAL - WHOLESALE"}</definedName>
    <definedName name="wrn.722." hidden="1">{#N/A,#N/A,FALSE,"CURRENT"}</definedName>
    <definedName name="wrn.AGT." hidden="1">{"AGT",#N/A,FALSE,"Revenue"}</definedName>
    <definedName name="wrn.ARK._.JURIS._.FAC._.CALC." localSheetId="8" hidden="1">{"ARK_JURIS_FAC",#N/A,FALSE,"Ark_Fuel&amp;Rev"}</definedName>
    <definedName name="wrn.ARK._.JURIS._.FAC._.CALC." localSheetId="10" hidden="1">{"ARK_JURIS_FAC",#N/A,FALSE,"Ark_Fuel&amp;Rev"}</definedName>
    <definedName name="wrn.ARK._.JURIS._.FAC._.CALC." localSheetId="11" hidden="1">{"ARK_JURIS_FAC",#N/A,FALSE,"Ark_Fuel&amp;Rev"}</definedName>
    <definedName name="wrn.ARK._.JURIS._.FAC._.CALC." hidden="1">{"ARK_JURIS_FAC",#N/A,FALSE,"Ark_Fuel&amp;Rev"}</definedName>
    <definedName name="wrn.ARK._.JURIS._.FUEL._.COST." localSheetId="8" hidden="1">{"ARK_JURIS_FUEL",#N/A,FALSE,"Ark_Fuel&amp;Rev"}</definedName>
    <definedName name="wrn.ARK._.JURIS._.FUEL._.COST." localSheetId="10" hidden="1">{"ARK_JURIS_FUEL",#N/A,FALSE,"Ark_Fuel&amp;Rev"}</definedName>
    <definedName name="wrn.ARK._.JURIS._.FUEL._.COST." localSheetId="11" hidden="1">{"ARK_JURIS_FUEL",#N/A,FALSE,"Ark_Fuel&amp;Rev"}</definedName>
    <definedName name="wrn.ARK._.JURIS._.FUEL._.COST." hidden="1">{"ARK_JURIS_FUEL",#N/A,FALSE,"Ark_Fuel&amp;Rev"}</definedName>
    <definedName name="wrn.ATOKA._.FAC._.CALC." localSheetId="8" hidden="1">{"ATOKA_FAC",#N/A,FALSE,"Atoka"}</definedName>
    <definedName name="wrn.ATOKA._.FAC._.CALC." localSheetId="10" hidden="1">{"ATOKA_FAC",#N/A,FALSE,"Atoka"}</definedName>
    <definedName name="wrn.ATOKA._.FAC._.CALC." localSheetId="11" hidden="1">{"ATOKA_FAC",#N/A,FALSE,"Atoka"}</definedName>
    <definedName name="wrn.ATOKA._.FAC._.CALC." hidden="1">{"ATOKA_FAC",#N/A,FALSE,"Atoka"}</definedName>
    <definedName name="wrn.August._.1._.2003._.Rate._.Change." hidden="1">{"JFJ-1",#N/A,FALSE,"JFJ-1 Deferral Recovery Rate";"JFJ-2",#N/A,FALSE,"JFJ-2 NNC Rates";"JFJ-3",#N/A,FALSE,"JFJ-3 MTC Rate";"JFJ-4",#N/A,FALSE,"JFJ-4 CEP Rate";"JFJ-5",#N/A,FALSE,"JFJ-5 USF Rate";"JFJ-6",#N/A,FALSE,"JFJ-6 CRA Rate";"JFJ-7",#N/A,FALSE,"JFJ-7 2003 Rate Impact Summary";"JFJ-8",#N/A,FALSE,"ACE 25 Year Sales Forecast"}</definedName>
    <definedName name="wrn.Basic." hidden="1">{#N/A,#N/A,FALSE,"O&amp;M by processes";#N/A,#N/A,FALSE,"Elec Act vs Bud";#N/A,#N/A,FALSE,"G&amp;A";#N/A,#N/A,FALSE,"BGS";#N/A,#N/A,FALSE,"Res Cost"}</definedName>
    <definedName name="wrn.ChartSet." hidden="1">{#N/A,#N/A,FALSE,"Elec Deliv";#N/A,#N/A,FALSE,"Atlantic Pie";#N/A,#N/A,FALSE,"Bay Pie";#N/A,#N/A,FALSE,"New Castle Pie";#N/A,#N/A,FALSE,"Transmission Pie"}</definedName>
    <definedName name="wrn.CONOCO._.FAC." localSheetId="8" hidden="1">{"CONOCO_FAC",#N/A,FALSE,"Conoco FAC"}</definedName>
    <definedName name="wrn.CONOCO._.FAC." localSheetId="10" hidden="1">{"CONOCO_FAC",#N/A,FALSE,"Conoco FAC"}</definedName>
    <definedName name="wrn.CONOCO._.FAC." localSheetId="11" hidden="1">{"CONOCO_FAC",#N/A,FALSE,"Conoco FAC"}</definedName>
    <definedName name="wrn.CONOCO._.FAC." hidden="1">{"CONOCO_FAC",#N/A,FALSE,"Conoco FAC"}</definedName>
    <definedName name="wrn.cwip." localSheetId="8" hidden="1">{"CWIP2",#N/A,FALSE,"CWIP";"CWIP3",#N/A,FALSE,"CWIP"}</definedName>
    <definedName name="wrn.cwip." localSheetId="10" hidden="1">{"CWIP2",#N/A,FALSE,"CWIP";"CWIP3",#N/A,FALSE,"CWIP"}</definedName>
    <definedName name="wrn.cwip." localSheetId="11" hidden="1">{"CWIP2",#N/A,FALSE,"CWIP";"CWIP3",#N/A,FALSE,"CWIP"}</definedName>
    <definedName name="wrn.cwip." hidden="1">{"CWIP2",#N/A,FALSE,"CWIP";"CWIP3",#N/A,FALSE,"CWIP"}</definedName>
    <definedName name="wrn.cwipa" localSheetId="8" hidden="1">{"CWIP2",#N/A,FALSE,"CWIP";"CWIP3",#N/A,FALSE,"CWIP"}</definedName>
    <definedName name="wrn.cwipa" localSheetId="10" hidden="1">{"CWIP2",#N/A,FALSE,"CWIP";"CWIP3",#N/A,FALSE,"CWIP"}</definedName>
    <definedName name="wrn.cwipa" localSheetId="11" hidden="1">{"CWIP2",#N/A,FALSE,"CWIP";"CWIP3",#N/A,FALSE,"CWIP"}</definedName>
    <definedName name="wrn.cwipa" hidden="1">{"CWIP2",#N/A,FALSE,"CWIP";"CWIP3",#N/A,FALSE,"CWIP"}</definedName>
    <definedName name="wrn.Data._.dump." hidden="1">{"Input Data",#N/A,FALSE,"Input";"Income and Cash Flow",#N/A,FALSE,"Calculations"}</definedName>
    <definedName name="wrn.Deferral._.Forecast." hidden="1">{"Summary Deferral Forecast",#N/A,FALSE,"Deferral Forecast";"BGS Deferral Forecast",#N/A,FALSE,"BGS Deferral";"NNC Deferral Forecast",#N/A,FALSE,"NNC Deferral";"MTCDeferralForecast",#N/A,FALSE,"MTC Deferral";"SBC Deferral Forecast",#N/A,FALSE,"SBC Deferral"}</definedName>
    <definedName name="wrn.Earnings._.Test." localSheetId="8" hidden="1">{"Schedule 7",#N/A,FALSE,"Earnings Test Adjustments";"Schedule 8",#N/A,FALSE,"Rate Base Adjustments";"Schedule 8a",#N/A,FALSE,"SterlingStip";"Schedule 9",#N/A,FALSE,"Rate Base Adjustments";"Schedule 10",#N/A,FALSE,"Future Use Earnings";"Schedule 11",#N/A,FALSE,"Rate Base Adjustments";"Schedule 13",#N/A,FALSE,"Deferred Taxes";"Schedule 14",#N/A,FALSE,"Rate Base Adjustments";"Schedule 18",#N/A,FALSE,"Rate Base Adjustments";"Schedule 19",#N/A,FALSE,"PSCredit Fees";"Schedule 20",#N/A,FALSE,"Dues";"Schedule 21",#N/A,FALSE,"A&amp;G Adjustments";"Schedule 22",#N/A,FALSE,"A&amp;G Adjustments";"Schedule 23",#N/A,FALSE,"A&amp;G Adjustments";"Schedule 24",#N/A,FALSE,"Deprec. &amp; Amort. Exp";"Schedule 25",#N/A,FALSE,"TOTI";"Schedule 27",#N/A,FALSE,"AFDC"}</definedName>
    <definedName name="wrn.Earnings._.Test." localSheetId="10" hidden="1">{"Schedule 7",#N/A,FALSE,"Earnings Test Adjustments";"Schedule 8",#N/A,FALSE,"Rate Base Adjustments";"Schedule 8a",#N/A,FALSE,"SterlingStip";"Schedule 9",#N/A,FALSE,"Rate Base Adjustments";"Schedule 10",#N/A,FALSE,"Future Use Earnings";"Schedule 11",#N/A,FALSE,"Rate Base Adjustments";"Schedule 13",#N/A,FALSE,"Deferred Taxes";"Schedule 14",#N/A,FALSE,"Rate Base Adjustments";"Schedule 18",#N/A,FALSE,"Rate Base Adjustments";"Schedule 19",#N/A,FALSE,"PSCredit Fees";"Schedule 20",#N/A,FALSE,"Dues";"Schedule 21",#N/A,FALSE,"A&amp;G Adjustments";"Schedule 22",#N/A,FALSE,"A&amp;G Adjustments";"Schedule 23",#N/A,FALSE,"A&amp;G Adjustments";"Schedule 24",#N/A,FALSE,"Deprec. &amp; Amort. Exp";"Schedule 25",#N/A,FALSE,"TOTI";"Schedule 27",#N/A,FALSE,"AFDC"}</definedName>
    <definedName name="wrn.Earnings._.Test." localSheetId="11" hidden="1">{"Schedule 7",#N/A,FALSE,"Earnings Test Adjustments";"Schedule 8",#N/A,FALSE,"Rate Base Adjustments";"Schedule 8a",#N/A,FALSE,"SterlingStip";"Schedule 9",#N/A,FALSE,"Rate Base Adjustments";"Schedule 10",#N/A,FALSE,"Future Use Earnings";"Schedule 11",#N/A,FALSE,"Rate Base Adjustments";"Schedule 13",#N/A,FALSE,"Deferred Taxes";"Schedule 14",#N/A,FALSE,"Rate Base Adjustments";"Schedule 18",#N/A,FALSE,"Rate Base Adjustments";"Schedule 19",#N/A,FALSE,"PSCredit Fees";"Schedule 20",#N/A,FALSE,"Dues";"Schedule 21",#N/A,FALSE,"A&amp;G Adjustments";"Schedule 22",#N/A,FALSE,"A&amp;G Adjustments";"Schedule 23",#N/A,FALSE,"A&amp;G Adjustments";"Schedule 24",#N/A,FALSE,"Deprec. &amp; Amort. Exp";"Schedule 25",#N/A,FALSE,"TOTI";"Schedule 27",#N/A,FALSE,"AFDC"}</definedName>
    <definedName name="wrn.Earnings._.Test." hidden="1">{"Schedule 7",#N/A,FALSE,"Earnings Test Adjustments";"Schedule 8",#N/A,FALSE,"Rate Base Adjustments";"Schedule 8a",#N/A,FALSE,"SterlingStip";"Schedule 9",#N/A,FALSE,"Rate Base Adjustments";"Schedule 10",#N/A,FALSE,"Future Use Earnings";"Schedule 11",#N/A,FALSE,"Rate Base Adjustments";"Schedule 13",#N/A,FALSE,"Deferred Taxes";"Schedule 14",#N/A,FALSE,"Rate Base Adjustments";"Schedule 18",#N/A,FALSE,"Rate Base Adjustments";"Schedule 19",#N/A,FALSE,"PSCredit Fees";"Schedule 20",#N/A,FALSE,"Dues";"Schedule 21",#N/A,FALSE,"A&amp;G Adjustments";"Schedule 22",#N/A,FALSE,"A&amp;G Adjustments";"Schedule 23",#N/A,FALSE,"A&amp;G Adjustments";"Schedule 24",#N/A,FALSE,"Deprec. &amp; Amort. Exp";"Schedule 25",#N/A,FALSE,"TOTI";"Schedule 27",#N/A,FALSE,"AFDC"}</definedName>
    <definedName name="wrn.ET._.Schedules." localSheetId="8" hidden="1">{"ET Schedule 7",#N/A,FALSE,"Plant Adjustments";"ET Schedule 9",#N/A,FALSE,"SterlingStip";"ET Schedule 10",#N/A,FALSE,"Plant Adjustments";"ET Schedule 13",#N/A,FALSE,"Plant Adjustments";"ET Schedule 16",#N/A,FALSE,"DeferredTaxes"}</definedName>
    <definedName name="wrn.ET._.Schedules." localSheetId="10" hidden="1">{"ET Schedule 7",#N/A,FALSE,"Plant Adjustments";"ET Schedule 9",#N/A,FALSE,"SterlingStip";"ET Schedule 10",#N/A,FALSE,"Plant Adjustments";"ET Schedule 13",#N/A,FALSE,"Plant Adjustments";"ET Schedule 16",#N/A,FALSE,"DeferredTaxes"}</definedName>
    <definedName name="wrn.ET._.Schedules." localSheetId="11" hidden="1">{"ET Schedule 7",#N/A,FALSE,"Plant Adjustments";"ET Schedule 9",#N/A,FALSE,"SterlingStip";"ET Schedule 10",#N/A,FALSE,"Plant Adjustments";"ET Schedule 13",#N/A,FALSE,"Plant Adjustments";"ET Schedule 16",#N/A,FALSE,"DeferredTaxes"}</definedName>
    <definedName name="wrn.ET._.Schedules." hidden="1">{"ET Schedule 7",#N/A,FALSE,"Plant Adjustments";"ET Schedule 9",#N/A,FALSE,"SterlingStip";"ET Schedule 10",#N/A,FALSE,"Plant Adjustments";"ET Schedule 13",#N/A,FALSE,"Plant Adjustments";"ET Schedule 16",#N/A,FALSE,"DeferredTaxes"}</definedName>
    <definedName name="wrn.FAC._.SUMMARY." localSheetId="8" hidden="1">{"FAC_SUMMARY",#N/A,FALSE,"Summaries"}</definedName>
    <definedName name="wrn.FAC._.SUMMARY." localSheetId="10" hidden="1">{"FAC_SUMMARY",#N/A,FALSE,"Summaries"}</definedName>
    <definedName name="wrn.FAC._.SUMMARY." localSheetId="11" hidden="1">{"FAC_SUMMARY",#N/A,FALSE,"Summaries"}</definedName>
    <definedName name="wrn.FAC._.SUMMARY." hidden="1">{"FAC_SUMMARY",#N/A,FALSE,"Summaries"}</definedName>
    <definedName name="wrn.FERC._.FAC._.CALC." localSheetId="8" hidden="1">{"FERC_FAC",#N/A,FALSE,"FERC_Fuel&amp;Rev"}</definedName>
    <definedName name="wrn.FERC._.FAC._.CALC." localSheetId="10" hidden="1">{"FERC_FAC",#N/A,FALSE,"FERC_Fuel&amp;Rev"}</definedName>
    <definedName name="wrn.FERC._.FAC._.CALC." localSheetId="11" hidden="1">{"FERC_FAC",#N/A,FALSE,"FERC_Fuel&amp;Rev"}</definedName>
    <definedName name="wrn.FERC._.FAC._.CALC." hidden="1">{"FERC_FAC",#N/A,FALSE,"FERC_Fuel&amp;Rev"}</definedName>
    <definedName name="wrn.FERC._.WEATHER._.and._.JURIS._.FUEL." localSheetId="8" hidden="1">{"FERC_WEATHER_AND_FUEL",#N/A,FALSE,"FERC_Fuel&amp;Rev"}</definedName>
    <definedName name="wrn.FERC._.WEATHER._.and._.JURIS._.FUEL." localSheetId="10" hidden="1">{"FERC_WEATHER_AND_FUEL",#N/A,FALSE,"FERC_Fuel&amp;Rev"}</definedName>
    <definedName name="wrn.FERC._.WEATHER._.and._.JURIS._.FUEL." localSheetId="11" hidden="1">{"FERC_WEATHER_AND_FUEL",#N/A,FALSE,"FERC_Fuel&amp;Rev"}</definedName>
    <definedName name="wrn.FERC._.WEATHER._.and._.JURIS._.FUEL." hidden="1">{"FERC_WEATHER_AND_FUEL",#N/A,FALSE,"FERC_Fuel&amp;Rev"}</definedName>
    <definedName name="wrn.Filing."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or._.filling._.out._.assessments." hidden="1">{"Print Empty Template",#N/A,FALSE,"Input"}</definedName>
    <definedName name="wrn.full._.print." localSheetId="8" hidden="1">{#N/A,#N/A,FALSE,"ror";#N/A,#N/A,FALSE,"coc";"cwctot",#N/A,FALSE,"cwc";"cwcelec",#N/A,FALSE,"cwc";"cwcgas",#N/A,FALSE,"cwc";"cwctherm",#N/A,FALSE,"cwc";"om",#N/A,FALSE,"cwc";"vacpay",#N/A,FALSE,"cwc";"precwctot",#N/A,FALSE,"precwc";"precwcelec",#N/A,FALSE,"precwc";"precwcgas",#N/A,FALSE,"precwc";"precwctherm",#N/A,FALSE,"precwc";#N/A,#N/A,FALSE,"erb";#N/A,#N/A,FALSE,"grb";#N/A,#N/A,FALSE,"trb";#N/A,#N/A,FALSE,"deftax";#N/A,#N/A,FALSE,"cocsup";"fsv1",#N/A,FALSE,"fsv";"fsv2",#N/A,FALSE,"fsv"}</definedName>
    <definedName name="wrn.full._.print." localSheetId="10" hidden="1">{#N/A,#N/A,FALSE,"ror";#N/A,#N/A,FALSE,"coc";"cwctot",#N/A,FALSE,"cwc";"cwcelec",#N/A,FALSE,"cwc";"cwcgas",#N/A,FALSE,"cwc";"cwctherm",#N/A,FALSE,"cwc";"om",#N/A,FALSE,"cwc";"vacpay",#N/A,FALSE,"cwc";"precwctot",#N/A,FALSE,"precwc";"precwcelec",#N/A,FALSE,"precwc";"precwcgas",#N/A,FALSE,"precwc";"precwctherm",#N/A,FALSE,"precwc";#N/A,#N/A,FALSE,"erb";#N/A,#N/A,FALSE,"grb";#N/A,#N/A,FALSE,"trb";#N/A,#N/A,FALSE,"deftax";#N/A,#N/A,FALSE,"cocsup";"fsv1",#N/A,FALSE,"fsv";"fsv2",#N/A,FALSE,"fsv"}</definedName>
    <definedName name="wrn.full._.print." localSheetId="11" hidden="1">{#N/A,#N/A,FALSE,"ror";#N/A,#N/A,FALSE,"coc";"cwctot",#N/A,FALSE,"cwc";"cwcelec",#N/A,FALSE,"cwc";"cwcgas",#N/A,FALSE,"cwc";"cwctherm",#N/A,FALSE,"cwc";"om",#N/A,FALSE,"cwc";"vacpay",#N/A,FALSE,"cwc";"precwctot",#N/A,FALSE,"precwc";"precwcelec",#N/A,FALSE,"precwc";"precwcgas",#N/A,FALSE,"precwc";"precwctherm",#N/A,FALSE,"precwc";#N/A,#N/A,FALSE,"erb";#N/A,#N/A,FALSE,"grb";#N/A,#N/A,FALSE,"trb";#N/A,#N/A,FALSE,"deftax";#N/A,#N/A,FALSE,"cocsup";"fsv1",#N/A,FALSE,"fsv";"fsv2",#N/A,FALSE,"fsv"}</definedName>
    <definedName name="wrn.full._.print." hidden="1">{#N/A,#N/A,FALSE,"ror";#N/A,#N/A,FALSE,"coc";"cwctot",#N/A,FALSE,"cwc";"cwcelec",#N/A,FALSE,"cwc";"cwcgas",#N/A,FALSE,"cwc";"cwctherm",#N/A,FALSE,"cwc";"om",#N/A,FALSE,"cwc";"vacpay",#N/A,FALSE,"cwc";"precwctot",#N/A,FALSE,"precwc";"precwcelec",#N/A,FALSE,"precwc";"precwcgas",#N/A,FALSE,"precwc";"precwctherm",#N/A,FALSE,"precwc";#N/A,#N/A,FALSE,"erb";#N/A,#N/A,FALSE,"grb";#N/A,#N/A,FALSE,"trb";#N/A,#N/A,FALSE,"deftax";#N/A,#N/A,FALSE,"cocsup";"fsv1",#N/A,FALSE,"fsv";"fsv2",#N/A,FALSE,"fsv"}</definedName>
    <definedName name="wrn.go." localSheetId="8" hidden="1">{"wp_h4.2",#N/A,FALSE,"WP_H4.2";"wp_h4.3",#N/A,FALSE,"WP_H4.3"}</definedName>
    <definedName name="wrn.go." localSheetId="10" hidden="1">{"wp_h4.2",#N/A,FALSE,"WP_H4.2";"wp_h4.3",#N/A,FALSE,"WP_H4.3"}</definedName>
    <definedName name="wrn.go." localSheetId="11" hidden="1">{"wp_h4.2",#N/A,FALSE,"WP_H4.2";"wp_h4.3",#N/A,FALSE,"WP_H4.3"}</definedName>
    <definedName name="wrn.go." hidden="1">{"wp_h4.2",#N/A,FALSE,"WP_H4.2";"wp_h4.3",#N/A,FALSE,"WP_H4.3"}</definedName>
    <definedName name="wrn.HLP._.Detail." hidden="1">{"2002 - 2006 Detail Income Statement",#N/A,FALSE,"TUB Income Statement wo DW";"BGS Deferral",#N/A,FALSE,"BGS Deferral";"NNC Deferral",#N/A,FALSE,"NNC Deferral";"MTC Deferral",#N/A,FALSE,"MTC Deferral";#N/A,#N/A,FALSE,"Schedule D"}</definedName>
    <definedName name="wrn.matdtl." localSheetId="8" hidden="1">{"MATALL",#N/A,FALSE,"Sheet4";"matclass",#N/A,FALSE,"Sheet4"}</definedName>
    <definedName name="wrn.matdtl." localSheetId="10" hidden="1">{"MATALL",#N/A,FALSE,"Sheet4";"matclass",#N/A,FALSE,"Sheet4"}</definedName>
    <definedName name="wrn.matdtl." localSheetId="11" hidden="1">{"MATALL",#N/A,FALSE,"Sheet4";"matclass",#N/A,FALSE,"Sheet4"}</definedName>
    <definedName name="wrn.matdtl." hidden="1">{"MATALL",#N/A,FALSE,"Sheet4";"matclass",#N/A,FALSE,"Sheet4"}</definedName>
    <definedName name="wrn.matdtla" localSheetId="8" hidden="1">{"MATALL",#N/A,FALSE,"Sheet4";"matclass",#N/A,FALSE,"Sheet4"}</definedName>
    <definedName name="wrn.matdtla" localSheetId="10" hidden="1">{"MATALL",#N/A,FALSE,"Sheet4";"matclass",#N/A,FALSE,"Sheet4"}</definedName>
    <definedName name="wrn.matdtla" localSheetId="11" hidden="1">{"MATALL",#N/A,FALSE,"Sheet4";"matclass",#N/A,FALSE,"Sheet4"}</definedName>
    <definedName name="wrn.matdtla" hidden="1">{"MATALL",#N/A,FALSE,"Sheet4";"matclass",#N/A,FALSE,"Sheet4"}</definedName>
    <definedName name="wrn.MFR." localSheetId="8" hidden="1">{#N/A,#N/A,FALSE,"Index";#N/A,#N/A,FALSE,"SCH_B1";#N/A,#N/A,FALSE,"SCH_B2";#N/A,#N/A,FALSE,"SCH_B2.1";#N/A,#N/A,FALSE,"SCH_B2.2";#N/A,#N/A,FALSE,"SCH_B2.3";#N/A,#N/A,FALSE,"SCH_B2.4";#N/A,#N/A,FALSE,"SCH_B3";#N/A,#N/A,FALSE,"SCH_B3.1";#N/A,#N/A,FALSE,"SCH_C1-a";#N/A,#N/A,FALSE,"SCH_C2";#N/A,#N/A,FALSE,"SCH_C2.1";#N/A,#N/A,FALSE,"SCH_D1A";#N/A,#N/A,FALSE,"SCH_D2";#N/A,#N/A,FALSE,"SCH_D2.1";#N/A,#N/A,FALSE,"SCH_E1";#N/A,#N/A,FALSE,"SCH_F1";#N/A,#N/A,FALSE,"SCH_F-2";#N/A,#N/A,FALSE,"SCH_F-3";#N/A,#N/A,FALSE,"SCH_H1";#N/A,#N/A,FALSE,"SCH_H2";#N/A,#N/A,FALSE,"SCH_H2.1";#N/A,#N/A,FALSE,"SCH_I1";#N/A,#N/A,FALSE,"SCH_I1a";#N/A,#N/A,FALSE,"SCH_J1";#N/A,#N/A,FALSE,"SCH_J3";#N/A,#N/A,FALSE,"SCH_J4"}</definedName>
    <definedName name="wrn.MFR." localSheetId="10" hidden="1">{#N/A,#N/A,FALSE,"Index";#N/A,#N/A,FALSE,"SCH_B1";#N/A,#N/A,FALSE,"SCH_B2";#N/A,#N/A,FALSE,"SCH_B2.1";#N/A,#N/A,FALSE,"SCH_B2.2";#N/A,#N/A,FALSE,"SCH_B2.3";#N/A,#N/A,FALSE,"SCH_B2.4";#N/A,#N/A,FALSE,"SCH_B3";#N/A,#N/A,FALSE,"SCH_B3.1";#N/A,#N/A,FALSE,"SCH_C1-a";#N/A,#N/A,FALSE,"SCH_C2";#N/A,#N/A,FALSE,"SCH_C2.1";#N/A,#N/A,FALSE,"SCH_D1A";#N/A,#N/A,FALSE,"SCH_D2";#N/A,#N/A,FALSE,"SCH_D2.1";#N/A,#N/A,FALSE,"SCH_E1";#N/A,#N/A,FALSE,"SCH_F1";#N/A,#N/A,FALSE,"SCH_F-2";#N/A,#N/A,FALSE,"SCH_F-3";#N/A,#N/A,FALSE,"SCH_H1";#N/A,#N/A,FALSE,"SCH_H2";#N/A,#N/A,FALSE,"SCH_H2.1";#N/A,#N/A,FALSE,"SCH_I1";#N/A,#N/A,FALSE,"SCH_I1a";#N/A,#N/A,FALSE,"SCH_J1";#N/A,#N/A,FALSE,"SCH_J3";#N/A,#N/A,FALSE,"SCH_J4"}</definedName>
    <definedName name="wrn.MFR." localSheetId="11" hidden="1">{#N/A,#N/A,FALSE,"Index";#N/A,#N/A,FALSE,"SCH_B1";#N/A,#N/A,FALSE,"SCH_B2";#N/A,#N/A,FALSE,"SCH_B2.1";#N/A,#N/A,FALSE,"SCH_B2.2";#N/A,#N/A,FALSE,"SCH_B2.3";#N/A,#N/A,FALSE,"SCH_B2.4";#N/A,#N/A,FALSE,"SCH_B3";#N/A,#N/A,FALSE,"SCH_B3.1";#N/A,#N/A,FALSE,"SCH_C1-a";#N/A,#N/A,FALSE,"SCH_C2";#N/A,#N/A,FALSE,"SCH_C2.1";#N/A,#N/A,FALSE,"SCH_D1A";#N/A,#N/A,FALSE,"SCH_D2";#N/A,#N/A,FALSE,"SCH_D2.1";#N/A,#N/A,FALSE,"SCH_E1";#N/A,#N/A,FALSE,"SCH_F1";#N/A,#N/A,FALSE,"SCH_F-2";#N/A,#N/A,FALSE,"SCH_F-3";#N/A,#N/A,FALSE,"SCH_H1";#N/A,#N/A,FALSE,"SCH_H2";#N/A,#N/A,FALSE,"SCH_H2.1";#N/A,#N/A,FALSE,"SCH_I1";#N/A,#N/A,FALSE,"SCH_I1a";#N/A,#N/A,FALSE,"SCH_J1";#N/A,#N/A,FALSE,"SCH_J3";#N/A,#N/A,FALSE,"SCH_J4"}</definedName>
    <definedName name="wrn.MFR." hidden="1">{#N/A,#N/A,FALSE,"Index";#N/A,#N/A,FALSE,"SCH_B1";#N/A,#N/A,FALSE,"SCH_B2";#N/A,#N/A,FALSE,"SCH_B2.1";#N/A,#N/A,FALSE,"SCH_B2.2";#N/A,#N/A,FALSE,"SCH_B2.3";#N/A,#N/A,FALSE,"SCH_B2.4";#N/A,#N/A,FALSE,"SCH_B3";#N/A,#N/A,FALSE,"SCH_B3.1";#N/A,#N/A,FALSE,"SCH_C1-a";#N/A,#N/A,FALSE,"SCH_C2";#N/A,#N/A,FALSE,"SCH_C2.1";#N/A,#N/A,FALSE,"SCH_D1A";#N/A,#N/A,FALSE,"SCH_D2";#N/A,#N/A,FALSE,"SCH_D2.1";#N/A,#N/A,FALSE,"SCH_E1";#N/A,#N/A,FALSE,"SCH_F1";#N/A,#N/A,FALSE,"SCH_F-2";#N/A,#N/A,FALSE,"SCH_F-3";#N/A,#N/A,FALSE,"SCH_H1";#N/A,#N/A,FALSE,"SCH_H2";#N/A,#N/A,FALSE,"SCH_H2.1";#N/A,#N/A,FALSE,"SCH_I1";#N/A,#N/A,FALSE,"SCH_I1a";#N/A,#N/A,FALSE,"SCH_J1";#N/A,#N/A,FALSE,"SCH_J3";#N/A,#N/A,FALSE,"SCH_J4"}</definedName>
    <definedName name="wrn.OK._.FUEL._.COMPARISON." localSheetId="8" hidden="1">{"OK_FUEL_COMPARISON",#N/A,FALSE,"Ok_Fuel&amp;Rev"}</definedName>
    <definedName name="wrn.OK._.FUEL._.COMPARISON." localSheetId="10" hidden="1">{"OK_FUEL_COMPARISON",#N/A,FALSE,"Ok_Fuel&amp;Rev"}</definedName>
    <definedName name="wrn.OK._.FUEL._.COMPARISON." localSheetId="11" hidden="1">{"OK_FUEL_COMPARISON",#N/A,FALSE,"Ok_Fuel&amp;Rev"}</definedName>
    <definedName name="wrn.OK._.FUEL._.COMPARISON." hidden="1">{"OK_FUEL_COMPARISON",#N/A,FALSE,"Ok_Fuel&amp;Rev"}</definedName>
    <definedName name="wrn.OK._.JURIS._.FAC._.CALCULATION." localSheetId="8" hidden="1">{"OK_JURIS_FAC",#N/A,FALSE,"Ok_Fuel&amp;Rev"}</definedName>
    <definedName name="wrn.OK._.JURIS._.FAC._.CALCULATION." localSheetId="10" hidden="1">{"OK_JURIS_FAC",#N/A,FALSE,"Ok_Fuel&amp;Rev"}</definedName>
    <definedName name="wrn.OK._.JURIS._.FAC._.CALCULATION." localSheetId="11" hidden="1">{"OK_JURIS_FAC",#N/A,FALSE,"Ok_Fuel&amp;Rev"}</definedName>
    <definedName name="wrn.OK._.JURIS._.FAC._.CALCULATION." hidden="1">{"OK_JURIS_FAC",#N/A,FALSE,"Ok_Fuel&amp;Rev"}</definedName>
    <definedName name="wrn.OK._.JURIS._.FUEL._.COST." localSheetId="8" hidden="1">{"OK_JURIS_FUEL",#N/A,FALSE,"Ok_Fuel&amp;Rev"}</definedName>
    <definedName name="wrn.OK._.JURIS._.FUEL._.COST." localSheetId="10" hidden="1">{"OK_JURIS_FUEL",#N/A,FALSE,"Ok_Fuel&amp;Rev"}</definedName>
    <definedName name="wrn.OK._.JURIS._.FUEL._.COST." localSheetId="11" hidden="1">{"OK_JURIS_FUEL",#N/A,FALSE,"Ok_Fuel&amp;Rev"}</definedName>
    <definedName name="wrn.OK._.JURIS._.FUEL._.COST." hidden="1">{"OK_JURIS_FUEL",#N/A,FALSE,"Ok_Fuel&amp;Rev"}</definedName>
    <definedName name="wrn.OKLA._.PRO._.FORMA._.FUEL." localSheetId="8" hidden="1">{"OK_PRO_FORMA_FUEL",#N/A,FALSE,"Ok_Fuel&amp;Rev"}</definedName>
    <definedName name="wrn.OKLA._.PRO._.FORMA._.FUEL." localSheetId="10" hidden="1">{"OK_PRO_FORMA_FUEL",#N/A,FALSE,"Ok_Fuel&amp;Rev"}</definedName>
    <definedName name="wrn.OKLA._.PRO._.FORMA._.FUEL." localSheetId="11" hidden="1">{"OK_PRO_FORMA_FUEL",#N/A,FALSE,"Ok_Fuel&amp;Rev"}</definedName>
    <definedName name="wrn.OKLA._.PRO._.FORMA._.FUEL." hidden="1">{"OK_PRO_FORMA_FUEL",#N/A,FALSE,"Ok_Fuel&amp;Rev"}</definedName>
    <definedName name="wrn.OMPA._.FAC." localSheetId="8" hidden="1">{"OMPA_FAC",#N/A,FALSE,"OMPA FAC"}</definedName>
    <definedName name="wrn.OMPA._.FAC." localSheetId="10" hidden="1">{"OMPA_FAC",#N/A,FALSE,"OMPA FAC"}</definedName>
    <definedName name="wrn.OMPA._.FAC." localSheetId="11" hidden="1">{"OMPA_FAC",#N/A,FALSE,"OMPA FAC"}</definedName>
    <definedName name="wrn.OMPA._.FAC." hidden="1">{"OMPA_FAC",#N/A,FALSE,"OMPA FAC"}</definedName>
    <definedName name="wrn.OTHER._.DATA." localSheetId="8" hidden="1">{"OTHER_DATA",#N/A,FALSE,"Ok_Fuel&amp;Rev"}</definedName>
    <definedName name="wrn.OTHER._.DATA." localSheetId="10" hidden="1">{"OTHER_DATA",#N/A,FALSE,"Ok_Fuel&amp;Rev"}</definedName>
    <definedName name="wrn.OTHER._.DATA." localSheetId="11" hidden="1">{"OTHER_DATA",#N/A,FALSE,"Ok_Fuel&amp;Rev"}</definedName>
    <definedName name="wrn.OTHER._.DATA." hidden="1">{"OTHER_DATA",#N/A,FALSE,"Ok_Fuel&amp;Rev"}</definedName>
    <definedName name="wrn.PPJOURNAL._.ENTRY." localSheetId="8" hidden="1">{"PPDEFERREDBAL",#N/A,FALSE,"PRIOR PERIOD ADJMT";#N/A,#N/A,FALSE,"PRIOR PERIOD ADJMT";"PPJOURNALENTRY",#N/A,FALSE,"PRIOR PERIOD ADJMT"}</definedName>
    <definedName name="wrn.PPJOURNAL._.ENTRY." localSheetId="10" hidden="1">{"PPDEFERREDBAL",#N/A,FALSE,"PRIOR PERIOD ADJMT";#N/A,#N/A,FALSE,"PRIOR PERIOD ADJMT";"PPJOURNALENTRY",#N/A,FALSE,"PRIOR PERIOD ADJMT"}</definedName>
    <definedName name="wrn.PPJOURNAL._.ENTRY." localSheetId="11" hidden="1">{"PPDEFERREDBAL",#N/A,FALSE,"PRIOR PERIOD ADJMT";#N/A,#N/A,FALSE,"PRIOR PERIOD ADJMT";"PPJOURNALENTRY",#N/A,FALSE,"PRIOR PERIOD ADJMT"}</definedName>
    <definedName name="wrn.PPJOURNAL._.ENTRY." hidden="1">{"PPDEFERREDBAL",#N/A,FALSE,"PRIOR PERIOD ADJMT";#N/A,#N/A,FALSE,"PRIOR PERIOD ADJMT";"PPJOURNALENTRY",#N/A,FALSE,"PRIOR PERIOD ADJMT"}</definedName>
    <definedName name="wrn.print." localSheetId="7" hidden="1">{#N/A,#N/A,FALSE,"WP_B3.1";#N/A,#N/A,FALSE,"WP_B3.2";#N/A,#N/A,FALSE,"WP_B3.3";#N/A,#N/A,FALSE,"WP_B3.4";#N/A,#N/A,FALSE,"WP_B3.5";#N/A,#N/A,FALSE,"WP_B3.6";#N/A,#N/A,FALSE,"WP_B3.7";#N/A,#N/A,FALSE,"WP_B3.8";#N/A,#N/A,FALSE,"WPB3.9";#N/A,#N/A,FALSE,"WP_B3.10";#N/A,#N/A,FALSE,"WP_B3.11";#N/A,#N/A,FALSE,"WP_B3.12";#N/A,#N/A,FALSE,"WP_H2.12";#N/A,#N/A,FALSE,"WP_H2.13";#N/A,#N/A,FALSE,"WP_H2.14";#N/A,#N/A,FALSE,"WP_H2.15";#N/A,#N/A,FALSE,"WP_H2.16.1";#N/A,#N/A,FALSE,"WP_H2.16.2";#N/A,#N/A,FALSE,"WP_H2.16.3";#N/A,#N/A,FALSE,"WP_H2.17";#N/A,#N/A,FALSE,"WP_H2.18";#N/A,#N/A,FALSE,"WP_H2.19";#N/A,#N/A,FALSE,"WP_H2.20";#N/A,#N/A,FALSE,"WP_H2.21";#N/A,#N/A,FALSE,"WP_H2.22";#N/A,#N/A,FALSE,"WP-H2.23";#N/A,#N/A,FALSE,"WP_H2.24"}</definedName>
    <definedName name="wrn.PRINT." localSheetId="8" hidden="1">{"SUM",#N/A,FALSE,"SUM";"BASE",#N/A,FALSE,"BASE";"RIDERS",#N/A,FALSE,"RIDERS";"ROLL_IN1",#N/A,FALSE,"ROLL_IN1";"ROLL_IN2",#N/A,FALSE,"ROLL_IN2";"RATECASE",#N/A,FALSE,"RATECASE";"ECA",#N/A,FALSE,"ECA";"ISOA",#N/A,FALSE,"ISOA";"FERCPUC1",#N/A,FALSE,"FERCPUC1";"FERCPUC2",#N/A,FALSE,"FERCPUC2";"FERCPUC3",#N/A,FALSE,"FERCPUC3";"PEAKING",#N/A,FALSE,"PEAKING";"OMEXP",#N/A,FALSE,"O&amp;MEXP";"FERCPUC4",#N/A,FALSE,"FERCPUC4";"DISTLOSS",#N/A,FALSE,"DISTLOSS";"PPENG",#N/A,FALSE,"PPENG%";"PPANAL",#N/A,FALSE,"PPANAL";"PPADJ",#N/A,FALSE,"PPADJ2";"QFADJ",#N/A,FALSE,"QFADJ";"FUELADJ",#N/A,FALSE,"FUELADJ";"FUELADJ2",#N/A,FALSE,"FUELADJ2";"DSM",#N/A,FALSE,"DSM";"WHEELDET",#N/A,FALSE,"WHEELDET";"WHEELING",#N/A,FALSE,"WHEELING";"REBILL",#N/A,FALSE,"REBILL";"CENTER",#N/A,FALSE,"CENTER";"BURLJULE",#N/A,FALSE,"BURLJULE";"IREA",#N/A,FALSE,"IREA";"HCEA",#N/A,FALSE,"HCEA";"GVRPL",#N/A,FALSE,"GVRPL";"YVEA",#N/A,FALSE,"YVEA";"WESTPLAINS",#N/A,FALSE,"WESTPLAINS"}</definedName>
    <definedName name="wrn.PRINT." localSheetId="10" hidden="1">{"SUM",#N/A,FALSE,"SUM";"BASE",#N/A,FALSE,"BASE";"RIDERS",#N/A,FALSE,"RIDERS";"ROLL_IN1",#N/A,FALSE,"ROLL_IN1";"ROLL_IN2",#N/A,FALSE,"ROLL_IN2";"RATECASE",#N/A,FALSE,"RATECASE";"ECA",#N/A,FALSE,"ECA";"ISOA",#N/A,FALSE,"ISOA";"FERCPUC1",#N/A,FALSE,"FERCPUC1";"FERCPUC2",#N/A,FALSE,"FERCPUC2";"FERCPUC3",#N/A,FALSE,"FERCPUC3";"PEAKING",#N/A,FALSE,"PEAKING";"OMEXP",#N/A,FALSE,"O&amp;MEXP";"FERCPUC4",#N/A,FALSE,"FERCPUC4";"DISTLOSS",#N/A,FALSE,"DISTLOSS";"PPENG",#N/A,FALSE,"PPENG%";"PPANAL",#N/A,FALSE,"PPANAL";"PPADJ",#N/A,FALSE,"PPADJ2";"QFADJ",#N/A,FALSE,"QFADJ";"FUELADJ",#N/A,FALSE,"FUELADJ";"FUELADJ2",#N/A,FALSE,"FUELADJ2";"DSM",#N/A,FALSE,"DSM";"WHEELDET",#N/A,FALSE,"WHEELDET";"WHEELING",#N/A,FALSE,"WHEELING";"REBILL",#N/A,FALSE,"REBILL";"CENTER",#N/A,FALSE,"CENTER";"BURLJULE",#N/A,FALSE,"BURLJULE";"IREA",#N/A,FALSE,"IREA";"HCEA",#N/A,FALSE,"HCEA";"GVRPL",#N/A,FALSE,"GVRPL";"YVEA",#N/A,FALSE,"YVEA";"WESTPLAINS",#N/A,FALSE,"WESTPLAINS"}</definedName>
    <definedName name="wrn.PRINT." localSheetId="11" hidden="1">{"SUM",#N/A,FALSE,"SUM";"BASE",#N/A,FALSE,"BASE";"RIDERS",#N/A,FALSE,"RIDERS";"ROLL_IN1",#N/A,FALSE,"ROLL_IN1";"ROLL_IN2",#N/A,FALSE,"ROLL_IN2";"RATECASE",#N/A,FALSE,"RATECASE";"ECA",#N/A,FALSE,"ECA";"ISOA",#N/A,FALSE,"ISOA";"FERCPUC1",#N/A,FALSE,"FERCPUC1";"FERCPUC2",#N/A,FALSE,"FERCPUC2";"FERCPUC3",#N/A,FALSE,"FERCPUC3";"PEAKING",#N/A,FALSE,"PEAKING";"OMEXP",#N/A,FALSE,"O&amp;MEXP";"FERCPUC4",#N/A,FALSE,"FERCPUC4";"DISTLOSS",#N/A,FALSE,"DISTLOSS";"PPENG",#N/A,FALSE,"PPENG%";"PPANAL",#N/A,FALSE,"PPANAL";"PPADJ",#N/A,FALSE,"PPADJ2";"QFADJ",#N/A,FALSE,"QFADJ";"FUELADJ",#N/A,FALSE,"FUELADJ";"FUELADJ2",#N/A,FALSE,"FUELADJ2";"DSM",#N/A,FALSE,"DSM";"WHEELDET",#N/A,FALSE,"WHEELDET";"WHEELING",#N/A,FALSE,"WHEELING";"REBILL",#N/A,FALSE,"REBILL";"CENTER",#N/A,FALSE,"CENTER";"BURLJULE",#N/A,FALSE,"BURLJULE";"IREA",#N/A,FALSE,"IREA";"HCEA",#N/A,FALSE,"HCEA";"GVRPL",#N/A,FALSE,"GVRPL";"YVEA",#N/A,FALSE,"YVEA";"WESTPLAINS",#N/A,FALSE,"WESTPLAINS"}</definedName>
    <definedName name="wrn.PRINT." hidden="1">{"SUM",#N/A,FALSE,"SUM";"BASE",#N/A,FALSE,"BASE";"RIDERS",#N/A,FALSE,"RIDERS";"ROLL_IN1",#N/A,FALSE,"ROLL_IN1";"ROLL_IN2",#N/A,FALSE,"ROLL_IN2";"RATECASE",#N/A,FALSE,"RATECASE";"ECA",#N/A,FALSE,"ECA";"ISOA",#N/A,FALSE,"ISOA";"FERCPUC1",#N/A,FALSE,"FERCPUC1";"FERCPUC2",#N/A,FALSE,"FERCPUC2";"FERCPUC3",#N/A,FALSE,"FERCPUC3";"PEAKING",#N/A,FALSE,"PEAKING";"OMEXP",#N/A,FALSE,"O&amp;MEXP";"FERCPUC4",#N/A,FALSE,"FERCPUC4";"DISTLOSS",#N/A,FALSE,"DISTLOSS";"PPENG",#N/A,FALSE,"PPENG%";"PPANAL",#N/A,FALSE,"PPANAL";"PPADJ",#N/A,FALSE,"PPADJ2";"QFADJ",#N/A,FALSE,"QFADJ";"FUELADJ",#N/A,FALSE,"FUELADJ";"FUELADJ2",#N/A,FALSE,"FUELADJ2";"DSM",#N/A,FALSE,"DSM";"WHEELDET",#N/A,FALSE,"WHEELDET";"WHEELING",#N/A,FALSE,"WHEELING";"REBILL",#N/A,FALSE,"REBILL";"CENTER",#N/A,FALSE,"CENTER";"BURLJULE",#N/A,FALSE,"BURLJULE";"IREA",#N/A,FALSE,"IREA";"HCEA",#N/A,FALSE,"HCEA";"GVRPL",#N/A,FALSE,"GVRPL";"YVEA",#N/A,FALSE,"YVEA";"WESTPLAINS",#N/A,FALSE,"WESTPLAINS"}</definedName>
    <definedName name="wrn.PRIOR._.PERIOD._.ADJMT." localSheetId="8" hidden="1">{#N/A,#N/A,FALSE,"PRIOR PERIOD ADJMT"}</definedName>
    <definedName name="wrn.PRIOR._.PERIOD._.ADJMT." localSheetId="10" hidden="1">{#N/A,#N/A,FALSE,"PRIOR PERIOD ADJMT"}</definedName>
    <definedName name="wrn.PRIOR._.PERIOD._.ADJMT." localSheetId="11" hidden="1">{#N/A,#N/A,FALSE,"PRIOR PERIOD ADJMT"}</definedName>
    <definedName name="wrn.PRIOR._.PERIOD._.ADJMT." hidden="1">{#N/A,#N/A,FALSE,"PRIOR PERIOD ADJMT"}</definedName>
    <definedName name="wrn.Production." localSheetId="8" hidden="1">{"Production",#N/A,FALSE,"Electric O&amp;M Functionalization"}</definedName>
    <definedName name="wrn.Production." localSheetId="10" hidden="1">{"Production",#N/A,FALSE,"Electric O&amp;M Functionalization"}</definedName>
    <definedName name="wrn.Production." localSheetId="11" hidden="1">{"Production",#N/A,FALSE,"Electric O&amp;M Functionalization"}</definedName>
    <definedName name="wrn.Production." hidden="1">{"Production",#N/A,FALSE,"Electric O&amp;M Functionalization"}</definedName>
    <definedName name="wrn.Report." hidden="1">{#N/A,#N/A,FALSE,"Work performed";#N/A,#N/A,FALSE,"Resources"}</definedName>
    <definedName name="wrn.Revenue._.Analysis."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SPA._.FAC." localSheetId="8" hidden="1">{"SPA_FAC",#N/A,FALSE,"OMPA SPA FAC"}</definedName>
    <definedName name="wrn.SPA._.FAC." localSheetId="10" hidden="1">{"SPA_FAC",#N/A,FALSE,"OMPA SPA FAC"}</definedName>
    <definedName name="wrn.SPA._.FAC." localSheetId="11" hidden="1">{"SPA_FAC",#N/A,FALSE,"OMPA SPA FAC"}</definedName>
    <definedName name="wrn.SPA._.FAC." hidden="1">{"SPA_FAC",#N/A,FALSE,"OMPA SPA FAC"}</definedName>
    <definedName name="wrn.SUP." localSheetId="8" hidden="1">{#N/A,#N/A,FALSE,"WP_B5";#N/A,#N/A,FALSE,"WP_B6";#N/A,#N/A,FALSE,"WP_B6.1";#N/A,#N/A,FALSE,"WP_B6.2";#N/A,#N/A,FALSE,"WP_B7";#N/A,#N/A,FALSE,"WP_B8";#N/A,#N/A,FALSE,"WP_B9";#N/A,#N/A,FALSE,"WP_C1";#N/A,#N/A,FALSE,"WP_C1.1";"WP_C1.2.1",#N/A,FALSE,"WP_C1.2";"WP_C1.2.2",#N/A,FALSE,"WP_C1.2";"WP_C1.2.3",#N/A,FALSE,"WP_C1.2";"WP_C1.2.4",#N/A,FALSE,"WP_C1.2";"WP_C1.2.5",#N/A,FALSE,"WP_C1.2";#N/A,#N/A,FALSE,"WP_C4";#N/A,#N/A,FALSE,"WP_C4a";#N/A,#N/A,FALSE,"WP_C4.1";#N/A,#N/A,FALSE,"WP_C4.2";#N/A,#N/A,FALSE,"WP_C4.3";#N/A,#N/A,FALSE,"WP_C5";#N/A,#N/A,FALSE,"WP_C7";#N/A,#N/A,FALSE,"WP_C8";#N/A,#N/A,FALSE,"WP_C9";#N/A,#N/A,FALSE,"WP_C10";#N/A,#N/A,FALSE,"WP_C11";#N/A,#N/A,FALSE,"WP_C12";#N/A,#N/A,FALSE,"WP_C13";#N/A,#N/A,FALSE,"WP_C14";"WP_D1.1",#N/A,FALSE,"WP_D1";"WP_D1.2",#N/A,FALSE,"WP_D1";"WP_D1.3",#N/A,FALSE,"WP_D1";"WP_D1.4",#N/A,FALSE,"WP_D1";"WP_D1.5",#N/A,FALSE,"WP_D1";#N/A,#N/A,FALSE,"WP_E1 ";#N/A,#N/A,FALSE,"WP_E1.1";#N/A,#N/A,FALSE,"WP_E2";#N/A,#N/A,FALSE,"WP_E3";#N/A,#N/A,FALSE,"WP_E4";#N/A,#N/A,FALSE,"WP_F1";#N/A,#N/A,FALSE,"WP_F-2";#N/A,#N/A,FALSE,"WP_F-2-1";#N/A,#N/A,FALSE,"WP_F-2-2";#N/A,#N/A,FALSE,"WP_F-3";#N/A,#N/A,FALSE,"WP_F-3-1";#N/A,#N/A,FALSE,"WP_F-3-2";#N/A,#N/A,FALSE,"WP_F-4";#N/A,#N/A,FALSE,"WP_F-4.1";#N/A,#N/A,FALSE,"WP_F-4.2";#N/A,#N/A,FALSE,"WP_F-5";#N/A,#N/A,FALSE,"WP_F-6";#N/A,#N/A,FALSE,"WP_F-7"}</definedName>
    <definedName name="wrn.SUP." localSheetId="10" hidden="1">{#N/A,#N/A,FALSE,"WP_B5";#N/A,#N/A,FALSE,"WP_B6";#N/A,#N/A,FALSE,"WP_B6.1";#N/A,#N/A,FALSE,"WP_B6.2";#N/A,#N/A,FALSE,"WP_B7";#N/A,#N/A,FALSE,"WP_B8";#N/A,#N/A,FALSE,"WP_B9";#N/A,#N/A,FALSE,"WP_C1";#N/A,#N/A,FALSE,"WP_C1.1";"WP_C1.2.1",#N/A,FALSE,"WP_C1.2";"WP_C1.2.2",#N/A,FALSE,"WP_C1.2";"WP_C1.2.3",#N/A,FALSE,"WP_C1.2";"WP_C1.2.4",#N/A,FALSE,"WP_C1.2";"WP_C1.2.5",#N/A,FALSE,"WP_C1.2";#N/A,#N/A,FALSE,"WP_C4";#N/A,#N/A,FALSE,"WP_C4a";#N/A,#N/A,FALSE,"WP_C4.1";#N/A,#N/A,FALSE,"WP_C4.2";#N/A,#N/A,FALSE,"WP_C4.3";#N/A,#N/A,FALSE,"WP_C5";#N/A,#N/A,FALSE,"WP_C7";#N/A,#N/A,FALSE,"WP_C8";#N/A,#N/A,FALSE,"WP_C9";#N/A,#N/A,FALSE,"WP_C10";#N/A,#N/A,FALSE,"WP_C11";#N/A,#N/A,FALSE,"WP_C12";#N/A,#N/A,FALSE,"WP_C13";#N/A,#N/A,FALSE,"WP_C14";"WP_D1.1",#N/A,FALSE,"WP_D1";"WP_D1.2",#N/A,FALSE,"WP_D1";"WP_D1.3",#N/A,FALSE,"WP_D1";"WP_D1.4",#N/A,FALSE,"WP_D1";"WP_D1.5",#N/A,FALSE,"WP_D1";#N/A,#N/A,FALSE,"WP_E1 ";#N/A,#N/A,FALSE,"WP_E1.1";#N/A,#N/A,FALSE,"WP_E2";#N/A,#N/A,FALSE,"WP_E3";#N/A,#N/A,FALSE,"WP_E4";#N/A,#N/A,FALSE,"WP_F1";#N/A,#N/A,FALSE,"WP_F-2";#N/A,#N/A,FALSE,"WP_F-2-1";#N/A,#N/A,FALSE,"WP_F-2-2";#N/A,#N/A,FALSE,"WP_F-3";#N/A,#N/A,FALSE,"WP_F-3-1";#N/A,#N/A,FALSE,"WP_F-3-2";#N/A,#N/A,FALSE,"WP_F-4";#N/A,#N/A,FALSE,"WP_F-4.1";#N/A,#N/A,FALSE,"WP_F-4.2";#N/A,#N/A,FALSE,"WP_F-5";#N/A,#N/A,FALSE,"WP_F-6";#N/A,#N/A,FALSE,"WP_F-7"}</definedName>
    <definedName name="wrn.SUP." localSheetId="11" hidden="1">{#N/A,#N/A,FALSE,"WP_B5";#N/A,#N/A,FALSE,"WP_B6";#N/A,#N/A,FALSE,"WP_B6.1";#N/A,#N/A,FALSE,"WP_B6.2";#N/A,#N/A,FALSE,"WP_B7";#N/A,#N/A,FALSE,"WP_B8";#N/A,#N/A,FALSE,"WP_B9";#N/A,#N/A,FALSE,"WP_C1";#N/A,#N/A,FALSE,"WP_C1.1";"WP_C1.2.1",#N/A,FALSE,"WP_C1.2";"WP_C1.2.2",#N/A,FALSE,"WP_C1.2";"WP_C1.2.3",#N/A,FALSE,"WP_C1.2";"WP_C1.2.4",#N/A,FALSE,"WP_C1.2";"WP_C1.2.5",#N/A,FALSE,"WP_C1.2";#N/A,#N/A,FALSE,"WP_C4";#N/A,#N/A,FALSE,"WP_C4a";#N/A,#N/A,FALSE,"WP_C4.1";#N/A,#N/A,FALSE,"WP_C4.2";#N/A,#N/A,FALSE,"WP_C4.3";#N/A,#N/A,FALSE,"WP_C5";#N/A,#N/A,FALSE,"WP_C7";#N/A,#N/A,FALSE,"WP_C8";#N/A,#N/A,FALSE,"WP_C9";#N/A,#N/A,FALSE,"WP_C10";#N/A,#N/A,FALSE,"WP_C11";#N/A,#N/A,FALSE,"WP_C12";#N/A,#N/A,FALSE,"WP_C13";#N/A,#N/A,FALSE,"WP_C14";"WP_D1.1",#N/A,FALSE,"WP_D1";"WP_D1.2",#N/A,FALSE,"WP_D1";"WP_D1.3",#N/A,FALSE,"WP_D1";"WP_D1.4",#N/A,FALSE,"WP_D1";"WP_D1.5",#N/A,FALSE,"WP_D1";#N/A,#N/A,FALSE,"WP_E1 ";#N/A,#N/A,FALSE,"WP_E1.1";#N/A,#N/A,FALSE,"WP_E2";#N/A,#N/A,FALSE,"WP_E3";#N/A,#N/A,FALSE,"WP_E4";#N/A,#N/A,FALSE,"WP_F1";#N/A,#N/A,FALSE,"WP_F-2";#N/A,#N/A,FALSE,"WP_F-2-1";#N/A,#N/A,FALSE,"WP_F-2-2";#N/A,#N/A,FALSE,"WP_F-3";#N/A,#N/A,FALSE,"WP_F-3-1";#N/A,#N/A,FALSE,"WP_F-3-2";#N/A,#N/A,FALSE,"WP_F-4";#N/A,#N/A,FALSE,"WP_F-4.1";#N/A,#N/A,FALSE,"WP_F-4.2";#N/A,#N/A,FALSE,"WP_F-5";#N/A,#N/A,FALSE,"WP_F-6";#N/A,#N/A,FALSE,"WP_F-7"}</definedName>
    <definedName name="wrn.SUP." hidden="1">{#N/A,#N/A,FALSE,"WP_B5";#N/A,#N/A,FALSE,"WP_B6";#N/A,#N/A,FALSE,"WP_B6.1";#N/A,#N/A,FALSE,"WP_B6.2";#N/A,#N/A,FALSE,"WP_B7";#N/A,#N/A,FALSE,"WP_B8";#N/A,#N/A,FALSE,"WP_B9";#N/A,#N/A,FALSE,"WP_C1";#N/A,#N/A,FALSE,"WP_C1.1";"WP_C1.2.1",#N/A,FALSE,"WP_C1.2";"WP_C1.2.2",#N/A,FALSE,"WP_C1.2";"WP_C1.2.3",#N/A,FALSE,"WP_C1.2";"WP_C1.2.4",#N/A,FALSE,"WP_C1.2";"WP_C1.2.5",#N/A,FALSE,"WP_C1.2";#N/A,#N/A,FALSE,"WP_C4";#N/A,#N/A,FALSE,"WP_C4a";#N/A,#N/A,FALSE,"WP_C4.1";#N/A,#N/A,FALSE,"WP_C4.2";#N/A,#N/A,FALSE,"WP_C4.3";#N/A,#N/A,FALSE,"WP_C5";#N/A,#N/A,FALSE,"WP_C7";#N/A,#N/A,FALSE,"WP_C8";#N/A,#N/A,FALSE,"WP_C9";#N/A,#N/A,FALSE,"WP_C10";#N/A,#N/A,FALSE,"WP_C11";#N/A,#N/A,FALSE,"WP_C12";#N/A,#N/A,FALSE,"WP_C13";#N/A,#N/A,FALSE,"WP_C14";"WP_D1.1",#N/A,FALSE,"WP_D1";"WP_D1.2",#N/A,FALSE,"WP_D1";"WP_D1.3",#N/A,FALSE,"WP_D1";"WP_D1.4",#N/A,FALSE,"WP_D1";"WP_D1.5",#N/A,FALSE,"WP_D1";#N/A,#N/A,FALSE,"WP_E1 ";#N/A,#N/A,FALSE,"WP_E1.1";#N/A,#N/A,FALSE,"WP_E2";#N/A,#N/A,FALSE,"WP_E3";#N/A,#N/A,FALSE,"WP_E4";#N/A,#N/A,FALSE,"WP_F1";#N/A,#N/A,FALSE,"WP_F-2";#N/A,#N/A,FALSE,"WP_F-2-1";#N/A,#N/A,FALSE,"WP_F-2-2";#N/A,#N/A,FALSE,"WP_F-3";#N/A,#N/A,FALSE,"WP_F-3-1";#N/A,#N/A,FALSE,"WP_F-3-2";#N/A,#N/A,FALSE,"WP_F-4";#N/A,#N/A,FALSE,"WP_F-4.1";#N/A,#N/A,FALSE,"WP_F-4.2";#N/A,#N/A,FALSE,"WP_F-5";#N/A,#N/A,FALSE,"WP_F-6";#N/A,#N/A,FALSE,"WP_F-7"}</definedName>
    <definedName name="wrn.SUP2." localSheetId="8" hidden="1">{#N/A,#N/A,FALSE,"SECT_G";#N/A,#N/A,FALSE,"WP_G6";#N/A,#N/A,FALSE,"WP_G14";#N/A,#N/A,FALSE,"WP_G15";#N/A,#N/A,FALSE,"WP_G-16";#N/A,#N/A,FALSE,"WP_G-17";#N/A,#N/A,FALSE,"WP_G-18a";#N/A,#N/A,FALSE,"WP_G-18b";#N/A,#N/A,FALSE,"WP_H1";#N/A,#N/A,FALSE,"WP_H1.1";#N/A,#N/A,FALSE,"WP_H1.2";#N/A,#N/A,FALSE,"WP_H3";#N/A,#N/A,FALSE,"WP_H3.1";#N/A,#N/A,FALSE,"WP_H4";#N/A,#N/A,FALSE,"WP_H4.1";#N/A,#N/A,FALSE,"WP_H4.2";#N/A,#N/A,FALSE,"WP_H4.3";#N/A,#N/A,FALSE,"WP_H4.4";#N/A,#N/A,FALSE,"WP_H4.5";#N/A,#N/A,FALSE,"WP_H4.6";#N/A,#N/A,FALSE,"WP_H5";#N/A,#N/A,FALSE,"WP_H6";#N/A,#N/A,FALSE,"WP_H7";#N/A,#N/A,FALSE,"WP_H8";#N/A,#N/A,FALSE,"WP_H8.1";#N/A,#N/A,FALSE,"WP_H8.2";#N/A,#N/A,FALSE,"WP_H9";#N/A,#N/A,FALSE,"WP_H9.1";#N/A,#N/A,FALSE,"WP_H9.2";#N/A,#N/A,FALSE,"WP_H10";#N/A,#N/A,FALSE,"WP_H10.1";#N/A,#N/A,FALSE,"WP_H10.2";#N/A,#N/A,FALSE,"WP_H11";#N/A,#N/A,FALSE,"WP_H12";#N/A,#N/A,FALSE,"WP_H13";#N/A,#N/A,FALSE,"WP_H14";#N/A,#N/A,FALSE,"WP_H15";#N/A,#N/A,FALSE,"WP_H16";#N/A,#N/A,FALSE,"WP_H17";#N/A,#N/A,FALSE,"WP_H18";#N/A,#N/A,FALSE,"WP_H19";#N/A,#N/A,FALSE,"WP_H20";#N/A,#N/A,FALSE,"WP_H21";#N/A,#N/A,FALSE,"WP_H22";#N/A,#N/A,FALSE,"WP_I1";#N/A,#N/A,FALSE,"WP_I2";#N/A,#N/A,FALSE,"WP_I3";#N/A,#N/A,FALSE,"WP_J1";#N/A,#N/A,FALSE,"WP_J2";#N/A,#N/A,FALSE,"WP_J3";#N/A,#N/A,FALSE,"WP_J4";#N/A,#N/A,FALSE,"WP_J5";#N/A,#N/A,FALSE,"WP_J6";#N/A,#N/A,FALSE,"SECT_K";#N/A,#N/A,FALSE,"SECT_L"}</definedName>
    <definedName name="wrn.SUP2." localSheetId="10" hidden="1">{#N/A,#N/A,FALSE,"SECT_G";#N/A,#N/A,FALSE,"WP_G6";#N/A,#N/A,FALSE,"WP_G14";#N/A,#N/A,FALSE,"WP_G15";#N/A,#N/A,FALSE,"WP_G-16";#N/A,#N/A,FALSE,"WP_G-17";#N/A,#N/A,FALSE,"WP_G-18a";#N/A,#N/A,FALSE,"WP_G-18b";#N/A,#N/A,FALSE,"WP_H1";#N/A,#N/A,FALSE,"WP_H1.1";#N/A,#N/A,FALSE,"WP_H1.2";#N/A,#N/A,FALSE,"WP_H3";#N/A,#N/A,FALSE,"WP_H3.1";#N/A,#N/A,FALSE,"WP_H4";#N/A,#N/A,FALSE,"WP_H4.1";#N/A,#N/A,FALSE,"WP_H4.2";#N/A,#N/A,FALSE,"WP_H4.3";#N/A,#N/A,FALSE,"WP_H4.4";#N/A,#N/A,FALSE,"WP_H4.5";#N/A,#N/A,FALSE,"WP_H4.6";#N/A,#N/A,FALSE,"WP_H5";#N/A,#N/A,FALSE,"WP_H6";#N/A,#N/A,FALSE,"WP_H7";#N/A,#N/A,FALSE,"WP_H8";#N/A,#N/A,FALSE,"WP_H8.1";#N/A,#N/A,FALSE,"WP_H8.2";#N/A,#N/A,FALSE,"WP_H9";#N/A,#N/A,FALSE,"WP_H9.1";#N/A,#N/A,FALSE,"WP_H9.2";#N/A,#N/A,FALSE,"WP_H10";#N/A,#N/A,FALSE,"WP_H10.1";#N/A,#N/A,FALSE,"WP_H10.2";#N/A,#N/A,FALSE,"WP_H11";#N/A,#N/A,FALSE,"WP_H12";#N/A,#N/A,FALSE,"WP_H13";#N/A,#N/A,FALSE,"WP_H14";#N/A,#N/A,FALSE,"WP_H15";#N/A,#N/A,FALSE,"WP_H16";#N/A,#N/A,FALSE,"WP_H17";#N/A,#N/A,FALSE,"WP_H18";#N/A,#N/A,FALSE,"WP_H19";#N/A,#N/A,FALSE,"WP_H20";#N/A,#N/A,FALSE,"WP_H21";#N/A,#N/A,FALSE,"WP_H22";#N/A,#N/A,FALSE,"WP_I1";#N/A,#N/A,FALSE,"WP_I2";#N/A,#N/A,FALSE,"WP_I3";#N/A,#N/A,FALSE,"WP_J1";#N/A,#N/A,FALSE,"WP_J2";#N/A,#N/A,FALSE,"WP_J3";#N/A,#N/A,FALSE,"WP_J4";#N/A,#N/A,FALSE,"WP_J5";#N/A,#N/A,FALSE,"WP_J6";#N/A,#N/A,FALSE,"SECT_K";#N/A,#N/A,FALSE,"SECT_L"}</definedName>
    <definedName name="wrn.SUP2." localSheetId="11" hidden="1">{#N/A,#N/A,FALSE,"SECT_G";#N/A,#N/A,FALSE,"WP_G6";#N/A,#N/A,FALSE,"WP_G14";#N/A,#N/A,FALSE,"WP_G15";#N/A,#N/A,FALSE,"WP_G-16";#N/A,#N/A,FALSE,"WP_G-17";#N/A,#N/A,FALSE,"WP_G-18a";#N/A,#N/A,FALSE,"WP_G-18b";#N/A,#N/A,FALSE,"WP_H1";#N/A,#N/A,FALSE,"WP_H1.1";#N/A,#N/A,FALSE,"WP_H1.2";#N/A,#N/A,FALSE,"WP_H3";#N/A,#N/A,FALSE,"WP_H3.1";#N/A,#N/A,FALSE,"WP_H4";#N/A,#N/A,FALSE,"WP_H4.1";#N/A,#N/A,FALSE,"WP_H4.2";#N/A,#N/A,FALSE,"WP_H4.3";#N/A,#N/A,FALSE,"WP_H4.4";#N/A,#N/A,FALSE,"WP_H4.5";#N/A,#N/A,FALSE,"WP_H4.6";#N/A,#N/A,FALSE,"WP_H5";#N/A,#N/A,FALSE,"WP_H6";#N/A,#N/A,FALSE,"WP_H7";#N/A,#N/A,FALSE,"WP_H8";#N/A,#N/A,FALSE,"WP_H8.1";#N/A,#N/A,FALSE,"WP_H8.2";#N/A,#N/A,FALSE,"WP_H9";#N/A,#N/A,FALSE,"WP_H9.1";#N/A,#N/A,FALSE,"WP_H9.2";#N/A,#N/A,FALSE,"WP_H10";#N/A,#N/A,FALSE,"WP_H10.1";#N/A,#N/A,FALSE,"WP_H10.2";#N/A,#N/A,FALSE,"WP_H11";#N/A,#N/A,FALSE,"WP_H12";#N/A,#N/A,FALSE,"WP_H13";#N/A,#N/A,FALSE,"WP_H14";#N/A,#N/A,FALSE,"WP_H15";#N/A,#N/A,FALSE,"WP_H16";#N/A,#N/A,FALSE,"WP_H17";#N/A,#N/A,FALSE,"WP_H18";#N/A,#N/A,FALSE,"WP_H19";#N/A,#N/A,FALSE,"WP_H20";#N/A,#N/A,FALSE,"WP_H21";#N/A,#N/A,FALSE,"WP_H22";#N/A,#N/A,FALSE,"WP_I1";#N/A,#N/A,FALSE,"WP_I2";#N/A,#N/A,FALSE,"WP_I3";#N/A,#N/A,FALSE,"WP_J1";#N/A,#N/A,FALSE,"WP_J2";#N/A,#N/A,FALSE,"WP_J3";#N/A,#N/A,FALSE,"WP_J4";#N/A,#N/A,FALSE,"WP_J5";#N/A,#N/A,FALSE,"WP_J6";#N/A,#N/A,FALSE,"SECT_K";#N/A,#N/A,FALSE,"SECT_L"}</definedName>
    <definedName name="wrn.SUP2." hidden="1">{#N/A,#N/A,FALSE,"SECT_G";#N/A,#N/A,FALSE,"WP_G6";#N/A,#N/A,FALSE,"WP_G14";#N/A,#N/A,FALSE,"WP_G15";#N/A,#N/A,FALSE,"WP_G-16";#N/A,#N/A,FALSE,"WP_G-17";#N/A,#N/A,FALSE,"WP_G-18a";#N/A,#N/A,FALSE,"WP_G-18b";#N/A,#N/A,FALSE,"WP_H1";#N/A,#N/A,FALSE,"WP_H1.1";#N/A,#N/A,FALSE,"WP_H1.2";#N/A,#N/A,FALSE,"WP_H3";#N/A,#N/A,FALSE,"WP_H3.1";#N/A,#N/A,FALSE,"WP_H4";#N/A,#N/A,FALSE,"WP_H4.1";#N/A,#N/A,FALSE,"WP_H4.2";#N/A,#N/A,FALSE,"WP_H4.3";#N/A,#N/A,FALSE,"WP_H4.4";#N/A,#N/A,FALSE,"WP_H4.5";#N/A,#N/A,FALSE,"WP_H4.6";#N/A,#N/A,FALSE,"WP_H5";#N/A,#N/A,FALSE,"WP_H6";#N/A,#N/A,FALSE,"WP_H7";#N/A,#N/A,FALSE,"WP_H8";#N/A,#N/A,FALSE,"WP_H8.1";#N/A,#N/A,FALSE,"WP_H8.2";#N/A,#N/A,FALSE,"WP_H9";#N/A,#N/A,FALSE,"WP_H9.1";#N/A,#N/A,FALSE,"WP_H9.2";#N/A,#N/A,FALSE,"WP_H10";#N/A,#N/A,FALSE,"WP_H10.1";#N/A,#N/A,FALSE,"WP_H10.2";#N/A,#N/A,FALSE,"WP_H11";#N/A,#N/A,FALSE,"WP_H12";#N/A,#N/A,FALSE,"WP_H13";#N/A,#N/A,FALSE,"WP_H14";#N/A,#N/A,FALSE,"WP_H15";#N/A,#N/A,FALSE,"WP_H16";#N/A,#N/A,FALSE,"WP_H17";#N/A,#N/A,FALSE,"WP_H18";#N/A,#N/A,FALSE,"WP_H19";#N/A,#N/A,FALSE,"WP_H20";#N/A,#N/A,FALSE,"WP_H21";#N/A,#N/A,FALSE,"WP_H22";#N/A,#N/A,FALSE,"WP_I1";#N/A,#N/A,FALSE,"WP_I2";#N/A,#N/A,FALSE,"WP_I3";#N/A,#N/A,FALSE,"WP_J1";#N/A,#N/A,FALSE,"WP_J2";#N/A,#N/A,FALSE,"WP_J3";#N/A,#N/A,FALSE,"WP_J4";#N/A,#N/A,FALSE,"WP_J5";#N/A,#N/A,FALSE,"WP_J6";#N/A,#N/A,FALSE,"SECT_K";#N/A,#N/A,FALSE,"SECT_L"}</definedName>
    <definedName name="wrn.Supporting._.Calculations." hidden="1">{#N/A,#N/A,FALSE,"Work performed";#N/A,#N/A,FALSE,"Resources"}</definedName>
    <definedName name="wrn.Tax._.Accrual." hidden="1">{#N/A,#N/A,TRUE,"TAXPROV";#N/A,#N/A,TRUE,"FLOWTHRU";#N/A,#N/A,TRUE,"SCHEDULE M'S";#N/A,#N/A,TRUE,"PLANT M'S";#N/A,#N/A,TRUE,"TAXJE"}</definedName>
    <definedName name="wrn.Transmission." localSheetId="8" hidden="1">{"Transmission",#N/A,FALSE,"Electric O&amp;M Functionalization"}</definedName>
    <definedName name="wrn.Transmission." localSheetId="10" hidden="1">{"Transmission",#N/A,FALSE,"Electric O&amp;M Functionalization"}</definedName>
    <definedName name="wrn.Transmission." localSheetId="11" hidden="1">{"Transmission",#N/A,FALSE,"Electric O&amp;M Functionalization"}</definedName>
    <definedName name="wrn.Transmission." hidden="1">{"Transmission",#N/A,FALSE,"Electric O&amp;M Functionalization"}</definedName>
    <definedName name="wrn.WEATHER._.AND._.YR._.END._.CUST._.ADJ." localSheetId="8" hidden="1">{"WEATHER_CUSTOMERS",#N/A,FALSE,"Ok_Fuel&amp;Rev"}</definedName>
    <definedName name="wrn.WEATHER._.AND._.YR._.END._.CUST._.ADJ." localSheetId="10" hidden="1">{"WEATHER_CUSTOMERS",#N/A,FALSE,"Ok_Fuel&amp;Rev"}</definedName>
    <definedName name="wrn.WEATHER._.AND._.YR._.END._.CUST._.ADJ." localSheetId="11" hidden="1">{"WEATHER_CUSTOMERS",#N/A,FALSE,"Ok_Fuel&amp;Rev"}</definedName>
    <definedName name="wrn.WEATHER._.AND._.YR._.END._.CUST._.ADJ." hidden="1">{"WEATHER_CUSTOMERS",#N/A,FALSE,"Ok_Fuel&amp;Rev"}</definedName>
    <definedName name="wrn.WORKCAP." localSheetId="8" hidden="1">{"WCCWCLL",#N/A,FALSE,"Sheet3";"PP",#N/A,FALSE,"Sheet3";"MAT1",#N/A,FALSE,"Sheet3";"MAT2",#N/A,FALSE,"Sheet3"}</definedName>
    <definedName name="wrn.WORKCAP." localSheetId="10" hidden="1">{"WCCWCLL",#N/A,FALSE,"Sheet3";"PP",#N/A,FALSE,"Sheet3";"MAT1",#N/A,FALSE,"Sheet3";"MAT2",#N/A,FALSE,"Sheet3"}</definedName>
    <definedName name="wrn.WORKCAP." localSheetId="11" hidden="1">{"WCCWCLL",#N/A,FALSE,"Sheet3";"PP",#N/A,FALSE,"Sheet3";"MAT1",#N/A,FALSE,"Sheet3";"MAT2",#N/A,FALSE,"Sheet3"}</definedName>
    <definedName name="wrn.WORKCAP." hidden="1">{"WCCWCLL",#N/A,FALSE,"Sheet3";"PP",#N/A,FALSE,"Sheet3";"MAT1",#N/A,FALSE,"Sheet3";"MAT2",#N/A,FALSE,"Sheet3"}</definedName>
    <definedName name="WS">#REF!</definedName>
    <definedName name="wvu.DATABASE." localSheetId="8" hidden="1">{TRUE,TRUE,-1.25,-15.5,484.5,279.75,FALSE,FALSE,TRUE,TRUE,0,1,#N/A,1,#N/A,4.39094650205761,21.0666666666667,1,FALSE,FALSE,3,TRUE,1,FALSE,75,"Swvu.DATABASE.","ACwvu.DATABASE.",1,FALSE,FALSE,0.5,0.5,0.5,0.77,2,"","&amp;L&amp;""""&amp;8PREPARED: N. WINTER  &amp;D &amp;T&amp;C&amp;""""&amp;8&amp;P OF &amp;N&amp;R&amp;""""&amp;8J:INCTAX\94MTHEND\&amp;F",FALSE,FALSE,FALSE,FALSE,1,68,#N/A,#N/A,"=R6C1:R142C8","=R1:R5",#N/A,#N/A,FALSE,FALSE}</definedName>
    <definedName name="wvu.DATABASE." localSheetId="10" hidden="1">{TRUE,TRUE,-1.25,-15.5,484.5,279.75,FALSE,FALSE,TRUE,TRUE,0,1,#N/A,1,#N/A,4.39094650205761,21.0666666666667,1,FALSE,FALSE,3,TRUE,1,FALSE,75,"Swvu.DATABASE.","ACwvu.DATABASE.",1,FALSE,FALSE,0.5,0.5,0.5,0.77,2,"","&amp;L&amp;""""&amp;8PREPARED: N. WINTER  &amp;D &amp;T&amp;C&amp;""""&amp;8&amp;P OF &amp;N&amp;R&amp;""""&amp;8J:INCTAX\94MTHEND\&amp;F",FALSE,FALSE,FALSE,FALSE,1,68,#N/A,#N/A,"=R6C1:R142C8","=R1:R5",#N/A,#N/A,FALSE,FALSE}</definedName>
    <definedName name="wvu.DATABASE." localSheetId="11" hidden="1">{TRUE,TRUE,-1.25,-15.5,484.5,279.75,FALSE,FALSE,TRUE,TRUE,0,1,#N/A,1,#N/A,4.39094650205761,21.0666666666667,1,FALSE,FALSE,3,TRUE,1,FALSE,75,"Swvu.DATABASE.","ACwvu.DATABASE.",1,FALSE,FALSE,0.5,0.5,0.5,0.77,2,"","&amp;L&amp;""""&amp;8PREPARED: N. WINTER  &amp;D &amp;T&amp;C&amp;""""&amp;8&amp;P OF &amp;N&amp;R&amp;""""&amp;8J:INCTAX\94MTHEND\&amp;F",FALSE,FALSE,FALSE,FALSE,1,68,#N/A,#N/A,"=R6C1:R142C8","=R1:R5",#N/A,#N/A,FALSE,FALSE}</definedName>
    <definedName name="wvu.DATABASE." hidden="1">{TRUE,TRUE,-1.25,-15.5,484.5,279.75,FALSE,FALSE,TRUE,TRUE,0,1,#N/A,1,#N/A,4.39094650205761,21.0666666666667,1,FALSE,FALSE,3,TRUE,1,FALSE,75,"Swvu.DATABASE.","ACwvu.DATABASE.",1,FALSE,FALSE,0.5,0.5,0.5,0.77,2,"","&amp;L&amp;""""&amp;8PREPARED: N. WINTER  &amp;D &amp;T&amp;C&amp;""""&amp;8&amp;P OF &amp;N&amp;R&amp;""""&amp;8J:INCTAX\94MTHEND\&amp;F",FALSE,FALSE,FALSE,FALSE,1,68,#N/A,#N/A,"=R6C1:R142C8","=R1:R5",#N/A,#N/A,FALSE,FALSE}</definedName>
    <definedName name="wvu.OP." localSheetId="8" hidden="1">{TRUE,TRUE,-1.25,-15.5,484.5,279.75,FALSE,FALSE,TRUE,TRUE,0,1,#N/A,1,#N/A,5.69105691056911,21.0666666666667,1,FALSE,FALSE,3,TRUE,1,FALSE,75,"Swvu.OP.","ACwvu.OP.",1,FALSE,FALSE,0.535,0.535,0,0.73,2,"","&amp;L&amp;""Courier New""&amp;8PREPARED BY N. WINTER &amp;D &amp;T &amp;C&amp;""Courier New""&amp;8&amp;P OF &amp;N&amp;R&amp;""Courier New""&amp;8J:INCTAX\94MTHEND\&amp;F",FALSE,FALSE,FALSE,FALSE,1,#N/A,1,3,"=R11C1:R77C7","=R2:R10",#N/A,#N/A,FALSE,FALSE}</definedName>
    <definedName name="wvu.OP." localSheetId="10" hidden="1">{TRUE,TRUE,-1.25,-15.5,484.5,279.75,FALSE,FALSE,TRUE,TRUE,0,1,#N/A,1,#N/A,5.69105691056911,21.0666666666667,1,FALSE,FALSE,3,TRUE,1,FALSE,75,"Swvu.OP.","ACwvu.OP.",1,FALSE,FALSE,0.535,0.535,0,0.73,2,"","&amp;L&amp;""Courier New""&amp;8PREPARED BY N. WINTER &amp;D &amp;T &amp;C&amp;""Courier New""&amp;8&amp;P OF &amp;N&amp;R&amp;""Courier New""&amp;8J:INCTAX\94MTHEND\&amp;F",FALSE,FALSE,FALSE,FALSE,1,#N/A,1,3,"=R11C1:R77C7","=R2:R10",#N/A,#N/A,FALSE,FALSE}</definedName>
    <definedName name="wvu.OP." localSheetId="11" hidden="1">{TRUE,TRUE,-1.25,-15.5,484.5,279.75,FALSE,FALSE,TRUE,TRUE,0,1,#N/A,1,#N/A,5.69105691056911,21.0666666666667,1,FALSE,FALSE,3,TRUE,1,FALSE,75,"Swvu.OP.","ACwvu.OP.",1,FALSE,FALSE,0.535,0.535,0,0.73,2,"","&amp;L&amp;""Courier New""&amp;8PREPARED BY N. WINTER &amp;D &amp;T &amp;C&amp;""Courier New""&amp;8&amp;P OF &amp;N&amp;R&amp;""Courier New""&amp;8J:INCTAX\94MTHEND\&amp;F",FALSE,FALSE,FALSE,FALSE,1,#N/A,1,3,"=R11C1:R77C7","=R2:R10",#N/A,#N/A,FALSE,FALSE}</definedName>
    <definedName name="wvu.OP." hidden="1">{TRUE,TRUE,-1.25,-15.5,484.5,279.75,FALSE,FALSE,TRUE,TRUE,0,1,#N/A,1,#N/A,5.69105691056911,21.0666666666667,1,FALSE,FALSE,3,TRUE,1,FALSE,75,"Swvu.OP.","ACwvu.OP.",1,FALSE,FALSE,0.535,0.535,0,0.73,2,"","&amp;L&amp;""Courier New""&amp;8PREPARED BY N. WINTER &amp;D &amp;T &amp;C&amp;""Courier New""&amp;8&amp;P OF &amp;N&amp;R&amp;""Courier New""&amp;8J:INCTAX\94MTHEND\&amp;F",FALSE,FALSE,FALSE,FALSE,1,#N/A,1,3,"=R11C1:R77C7","=R2:R10",#N/A,#N/A,FALSE,FALSE}</definedName>
    <definedName name="wvu.WP1." localSheetId="8" hidden="1">{TRUE,TRUE,-1.25,-15.5,484.5,279.75,FALSE,FALSE,TRUE,TRUE,0,3,#N/A,1,#N/A,6.54545454545454,15.55,1,FALSE,FALSE,3,TRUE,1,FALSE,100,"Swvu.WP1.","ACwvu.WP1.",1,FALSE,FALSE,0.25,0.25,0.25,0.25,1,"","&amp;L&amp;D &amp;T NBW&amp;C&amp;P&amp;R&amp;F",FALSE,FALSE,FALSE,FALSE,1,100,#N/A,#N/A,FALSE,FALSE,#N/A,#N/A,FALSE,FALSE}</definedName>
    <definedName name="wvu.WP1." localSheetId="10" hidden="1">{TRUE,TRUE,-1.25,-15.5,484.5,279.75,FALSE,FALSE,TRUE,TRUE,0,3,#N/A,1,#N/A,6.54545454545454,15.55,1,FALSE,FALSE,3,TRUE,1,FALSE,100,"Swvu.WP1.","ACwvu.WP1.",1,FALSE,FALSE,0.25,0.25,0.25,0.25,1,"","&amp;L&amp;D &amp;T NBW&amp;C&amp;P&amp;R&amp;F",FALSE,FALSE,FALSE,FALSE,1,100,#N/A,#N/A,FALSE,FALSE,#N/A,#N/A,FALSE,FALSE}</definedName>
    <definedName name="wvu.WP1." localSheetId="11" hidden="1">{TRUE,TRUE,-1.25,-15.5,484.5,279.75,FALSE,FALSE,TRUE,TRUE,0,3,#N/A,1,#N/A,6.54545454545454,15.55,1,FALSE,FALSE,3,TRUE,1,FALSE,100,"Swvu.WP1.","ACwvu.WP1.",1,FALSE,FALSE,0.25,0.25,0.25,0.25,1,"","&amp;L&amp;D &amp;T NBW&amp;C&amp;P&amp;R&amp;F",FALSE,FALSE,FALSE,FALSE,1,100,#N/A,#N/A,FALSE,FALSE,#N/A,#N/A,FALSE,FALSE}</definedName>
    <definedName name="wvu.WP1." hidden="1">{TRUE,TRUE,-1.25,-15.5,484.5,279.75,FALSE,FALSE,TRUE,TRUE,0,3,#N/A,1,#N/A,6.54545454545454,15.55,1,FALSE,FALSE,3,TRUE,1,FALSE,100,"Swvu.WP1.","ACwvu.WP1.",1,FALSE,FALSE,0.25,0.25,0.25,0.25,1,"","&amp;L&amp;D &amp;T NBW&amp;C&amp;P&amp;R&amp;F",FALSE,FALSE,FALSE,FALSE,1,100,#N/A,#N/A,FALSE,FALSE,#N/A,#N/A,FALSE,FALSE}</definedName>
    <definedName name="Xcel" localSheetId="11">#REF!</definedName>
    <definedName name="Xcel">#REF!</definedName>
    <definedName name="Xcel_COS" localSheetId="11">#REF!</definedName>
    <definedName name="Xcel_COS">#REF!</definedName>
    <definedName name="xxx" hidden="1">{#N/A,#N/A,FALSE,"O&amp;M by processes";#N/A,#N/A,FALSE,"Elec Act vs Bud";#N/A,#N/A,FALSE,"G&amp;A";#N/A,#N/A,FALSE,"BGS";#N/A,#N/A,FALSE,"Res Cost"}</definedName>
    <definedName name="xxxx" hidden="1">{#N/A,#N/A,FALSE,"O&amp;M by processes";#N/A,#N/A,FALSE,"Elec Act vs Bud";#N/A,#N/A,FALSE,"G&amp;A";#N/A,#N/A,FALSE,"BGS";#N/A,#N/A,FALSE,"Res Cost"}</definedName>
    <definedName name="Z_3768C7C8_9953_11DA_B318_000FB55D51DC_.wvu.PrintArea" localSheetId="18" hidden="1">'9 - Revenue Credits'!$A$5:$E$37</definedName>
    <definedName name="Z_3BDD6235_B127_4929_8311_BDAF7BB89818_.wvu.PrintArea" localSheetId="18" hidden="1">'9 - Revenue Credits'!$A$5:$E$37</definedName>
    <definedName name="Z_63AFAF34_E340_4B5E_A289_FFB7051CA9B6_.wvu.PrintArea" localSheetId="1" hidden="1">'1-Project Rev Req'!$A$1:$W$86</definedName>
    <definedName name="Z_63AFAF34_E340_4B5E_A289_FFB7051CA9B6_.wvu.PrintArea" localSheetId="3" hidden="1">'3-Project True-up'!$A$1:$L$48</definedName>
    <definedName name="Z_63AFAF34_E340_4B5E_A289_FFB7051CA9B6_.wvu.PrintArea" localSheetId="5" hidden="1">'4- Rate Base'!$A$1:$K$83</definedName>
    <definedName name="Z_63AFAF34_E340_4B5E_A289_FFB7051CA9B6_.wvu.PrintArea" localSheetId="12" hidden="1">'5- Cap Structure'!$A$1:$L$48</definedName>
    <definedName name="Z_63AFAF34_E340_4B5E_A289_FFB7051CA9B6_.wvu.PrintArea" localSheetId="15" hidden="1">'6a - True-up Interest Rate'!$A$1:$H$35</definedName>
    <definedName name="Z_63AFAF34_E340_4B5E_A289_FFB7051CA9B6_.wvu.PrintArea" localSheetId="17" hidden="1">'8-Corrections'!$A$1:$G$31</definedName>
    <definedName name="Z_63AFAF34_E340_4B5E_A289_FFB7051CA9B6_.wvu.PrintArea" localSheetId="18" hidden="1">'9 - Revenue Credits'!$A$1:$G$42</definedName>
    <definedName name="Z_B0241363_5C8A_48FC_89A6_56D55586BABE_.wvu.PrintArea" localSheetId="18" hidden="1">'9 - Revenue Credits'!$A$5:$E$37</definedName>
    <definedName name="Z_C0EA0F9F_7310_4201_82C9_7B8FC8DB9137_.wvu.PrintArea" localSheetId="18" hidden="1">'9 - Revenue Credits'!$A$5:$E$37</definedName>
    <definedName name="Z_F04A2B9A_C6FE_4FEB_AD1E_2CF9AC309BE4_.wvu.PrintArea" localSheetId="1" hidden="1">'1-Project Rev Req'!$A$1:$T$84</definedName>
    <definedName name="Z_F04A2B9A_C6FE_4FEB_AD1E_2CF9AC309BE4_.wvu.PrintArea" localSheetId="3" hidden="1">'3-Project True-up'!$A$1:$M$24</definedName>
    <definedName name="Z_F04A2B9A_C6FE_4FEB_AD1E_2CF9AC309BE4_.wvu.PrintArea" localSheetId="5" hidden="1">'4- Rate Base'!$A$1:$L$68</definedName>
    <definedName name="Z_F04A2B9A_C6FE_4FEB_AD1E_2CF9AC309BE4_.wvu.PrintArea" localSheetId="0" hidden="1">'Attachment H-39A'!$A$1:$J$244</definedName>
    <definedName name="Z_F1DC5514_577A_46EB_866C_26F0BED2C286_.wvu.PrintArea" localSheetId="1" hidden="1">'1-Project Rev Req'!$A$1:$W$85</definedName>
    <definedName name="Z_F1DC5514_577A_46EB_866C_26F0BED2C286_.wvu.PrintArea" localSheetId="3" hidden="1">'3-Project True-up'!$A$1:$L$46</definedName>
    <definedName name="Z_F1DC5514_577A_46EB_866C_26F0BED2C286_.wvu.PrintArea" localSheetId="5" hidden="1">'4- Rate Base'!$A$1:$J$82</definedName>
    <definedName name="Z_F1DC5514_577A_46EB_866C_26F0BED2C286_.wvu.PrintArea" localSheetId="12" hidden="1">'5- Cap Structure'!$A$1:$J$48</definedName>
    <definedName name="Z_F1DC5514_577A_46EB_866C_26F0BED2C286_.wvu.PrintArea" localSheetId="15" hidden="1">'6a - True-up Interest Rate'!$A$1:$H$35</definedName>
    <definedName name="Z_F1DC5514_577A_46EB_866C_26F0BED2C286_.wvu.PrintArea" localSheetId="17" hidden="1">'8-Corrections'!$A$1:$G$35</definedName>
    <definedName name="Z_F1DC5514_577A_46EB_866C_26F0BED2C286_.wvu.PrintArea" localSheetId="18" hidden="1">'9 - Revenue Credits'!$A$1:$G$38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1" i="27" l="1"/>
  <c r="Q21" i="27" l="1"/>
  <c r="D48" i="27"/>
  <c r="G48" i="27"/>
  <c r="D49" i="27"/>
  <c r="G49" i="27"/>
  <c r="S63" i="2" l="1"/>
  <c r="M63" i="2"/>
  <c r="S62" i="2"/>
  <c r="M61" i="2"/>
  <c r="M60" i="2"/>
  <c r="L64" i="2"/>
  <c r="L63" i="2"/>
  <c r="L62" i="2"/>
  <c r="L61" i="2"/>
  <c r="L60" i="2"/>
  <c r="D84" i="27" l="1"/>
  <c r="C72" i="27"/>
  <c r="C73" i="27" s="1"/>
  <c r="C74" i="27" s="1"/>
  <c r="C75" i="27" s="1"/>
  <c r="C76" i="27" s="1"/>
  <c r="C77" i="27" s="1"/>
  <c r="C78" i="27" s="1"/>
  <c r="C79" i="27" s="1"/>
  <c r="C80" i="27" s="1"/>
  <c r="C81" i="27" s="1"/>
  <c r="C82" i="27" s="1"/>
  <c r="C83" i="27" s="1"/>
  <c r="G204" i="1"/>
  <c r="F68" i="25"/>
  <c r="F66" i="25"/>
  <c r="F26" i="25"/>
  <c r="F24" i="25"/>
  <c r="T71" i="2"/>
  <c r="C130" i="1"/>
  <c r="D129" i="1"/>
  <c r="C129" i="1"/>
  <c r="M63" i="27"/>
  <c r="O62" i="27"/>
  <c r="O61" i="27"/>
  <c r="H21" i="31"/>
  <c r="F21" i="31"/>
  <c r="H22" i="30"/>
  <c r="F22" i="30"/>
  <c r="B35" i="27"/>
  <c r="B34" i="3" l="1"/>
  <c r="B33" i="3"/>
  <c r="D24" i="3"/>
  <c r="D23" i="3"/>
  <c r="D22" i="3"/>
  <c r="D12" i="3"/>
  <c r="C5" i="3"/>
  <c r="C83" i="2"/>
  <c r="F40" i="2"/>
  <c r="F36" i="2"/>
  <c r="F30" i="2"/>
  <c r="F27" i="2"/>
  <c r="F23" i="2"/>
  <c r="F19" i="2"/>
  <c r="F16" i="2"/>
  <c r="F15" i="2"/>
  <c r="C13" i="12"/>
  <c r="L86" i="2" l="1"/>
  <c r="L78" i="2"/>
  <c r="M78" i="2"/>
  <c r="I56" i="22" l="1"/>
  <c r="B27" i="3"/>
  <c r="I130" i="22"/>
  <c r="G42" i="5"/>
  <c r="C42" i="5"/>
  <c r="I40" i="22"/>
  <c r="G88" i="1"/>
  <c r="C12" i="6"/>
  <c r="C209" i="1" l="1"/>
  <c r="C211" i="1"/>
  <c r="C125" i="22" l="1"/>
  <c r="C85" i="22"/>
  <c r="C47" i="22"/>
  <c r="C86" i="22" s="1"/>
  <c r="C126" i="22" s="1"/>
  <c r="C46" i="22"/>
  <c r="D47" i="22"/>
  <c r="D46" i="22"/>
  <c r="I88" i="22"/>
  <c r="I50" i="22" l="1"/>
  <c r="D9" i="31" l="1"/>
  <c r="D10" i="31" s="1"/>
  <c r="D11" i="31" s="1"/>
  <c r="D12" i="31" s="1"/>
  <c r="D13" i="31" s="1"/>
  <c r="D14" i="31" s="1"/>
  <c r="D15" i="31" s="1"/>
  <c r="D16" i="31" s="1"/>
  <c r="D17" i="31" s="1"/>
  <c r="D18" i="31" s="1"/>
  <c r="D19" i="31" s="1"/>
  <c r="E8" i="31"/>
  <c r="D8" i="31"/>
  <c r="A7" i="31"/>
  <c r="A8" i="31" s="1"/>
  <c r="A9" i="31" s="1"/>
  <c r="A10" i="31" s="1"/>
  <c r="A11" i="31" s="1"/>
  <c r="A12" i="31" s="1"/>
  <c r="A13" i="31" s="1"/>
  <c r="A14" i="31" s="1"/>
  <c r="A15" i="31" s="1"/>
  <c r="A16" i="31" s="1"/>
  <c r="A17" i="31" s="1"/>
  <c r="A18" i="31" s="1"/>
  <c r="A19" i="31" s="1"/>
  <c r="A20" i="31" s="1"/>
  <c r="E9" i="30"/>
  <c r="F9" i="30" s="1"/>
  <c r="D9" i="30"/>
  <c r="D10" i="30" s="1"/>
  <c r="D11" i="30" s="1"/>
  <c r="D12" i="30" s="1"/>
  <c r="D13" i="30" s="1"/>
  <c r="D14" i="30" s="1"/>
  <c r="D15" i="30" s="1"/>
  <c r="D16" i="30" s="1"/>
  <c r="D17" i="30" s="1"/>
  <c r="D18" i="30" s="1"/>
  <c r="D19" i="30" s="1"/>
  <c r="D20" i="30" s="1"/>
  <c r="A8" i="30"/>
  <c r="A9" i="30" s="1"/>
  <c r="A10" i="30" s="1"/>
  <c r="A11" i="30" s="1"/>
  <c r="A12" i="30" s="1"/>
  <c r="A13" i="30" s="1"/>
  <c r="A14" i="30" s="1"/>
  <c r="A15" i="30" s="1"/>
  <c r="A16" i="30" s="1"/>
  <c r="A17" i="30" s="1"/>
  <c r="A18" i="30" s="1"/>
  <c r="A19" i="30" s="1"/>
  <c r="A20" i="30" s="1"/>
  <c r="A21" i="30" s="1"/>
  <c r="I124" i="1"/>
  <c r="A126" i="1"/>
  <c r="F8" i="31" l="1"/>
  <c r="H8" i="31"/>
  <c r="C20" i="31"/>
  <c r="H9" i="30"/>
  <c r="C21" i="30"/>
  <c r="E9" i="31" l="1"/>
  <c r="E10" i="30"/>
  <c r="F10" i="30" s="1"/>
  <c r="F9" i="31" l="1"/>
  <c r="H10" i="30"/>
  <c r="H9" i="31" l="1"/>
  <c r="E11" i="30"/>
  <c r="F11" i="30" s="1"/>
  <c r="E10" i="31" l="1"/>
  <c r="F10" i="31" l="1"/>
  <c r="H10" i="31"/>
  <c r="H11" i="30"/>
  <c r="E11" i="31" l="1"/>
  <c r="E12" i="30"/>
  <c r="F12" i="30" s="1"/>
  <c r="F11" i="31" l="1"/>
  <c r="H11" i="31" s="1"/>
  <c r="H12" i="30"/>
  <c r="E12" i="31" l="1"/>
  <c r="E13" i="30"/>
  <c r="F13" i="30" s="1"/>
  <c r="F12" i="31" l="1"/>
  <c r="H12" i="31" s="1"/>
  <c r="H13" i="30"/>
  <c r="E13" i="31" l="1"/>
  <c r="E14" i="30"/>
  <c r="F14" i="30" s="1"/>
  <c r="F13" i="31" l="1"/>
  <c r="H13" i="31"/>
  <c r="E14" i="31" s="1"/>
  <c r="H14" i="30"/>
  <c r="E15" i="30" s="1"/>
  <c r="F15" i="30" s="1"/>
  <c r="F14" i="31" l="1"/>
  <c r="H14" i="31" s="1"/>
  <c r="E15" i="31" s="1"/>
  <c r="H15" i="30"/>
  <c r="E16" i="30" s="1"/>
  <c r="F16" i="30" s="1"/>
  <c r="F15" i="31" l="1"/>
  <c r="H15" i="31" s="1"/>
  <c r="E16" i="31" s="1"/>
  <c r="H16" i="30"/>
  <c r="E17" i="30" s="1"/>
  <c r="F17" i="30" s="1"/>
  <c r="F16" i="31" l="1"/>
  <c r="H16" i="31" s="1"/>
  <c r="E17" i="31" s="1"/>
  <c r="H17" i="30"/>
  <c r="E18" i="30" s="1"/>
  <c r="F18" i="30" s="1"/>
  <c r="F17" i="31" l="1"/>
  <c r="H17" i="31" s="1"/>
  <c r="E18" i="31" s="1"/>
  <c r="H18" i="30"/>
  <c r="E19" i="30" s="1"/>
  <c r="F19" i="30" s="1"/>
  <c r="F18" i="31" l="1"/>
  <c r="H18" i="31" s="1"/>
  <c r="E19" i="31" s="1"/>
  <c r="H19" i="30"/>
  <c r="E20" i="30" s="1"/>
  <c r="F20" i="30" s="1"/>
  <c r="F21" i="30" s="1"/>
  <c r="F19" i="31" l="1"/>
  <c r="F20" i="31" s="1"/>
  <c r="D135" i="1" s="1"/>
  <c r="D125" i="1"/>
  <c r="D130" i="1" s="1"/>
  <c r="D97" i="1" s="1"/>
  <c r="I135" i="1" l="1"/>
  <c r="D136" i="1"/>
  <c r="M62" i="2" s="1"/>
  <c r="I125" i="1"/>
  <c r="H19" i="31"/>
  <c r="H20" i="31" s="1"/>
  <c r="D91" i="1" s="1"/>
  <c r="I91" i="1" s="1"/>
  <c r="H20" i="30"/>
  <c r="H21" i="30" s="1"/>
  <c r="D90" i="1" s="1"/>
  <c r="I90" i="1" s="1"/>
  <c r="D147" i="1" l="1"/>
  <c r="M23" i="5"/>
  <c r="D71" i="1" s="1"/>
  <c r="K23" i="5"/>
  <c r="D69" i="1" s="1"/>
  <c r="E23" i="5"/>
  <c r="D64" i="1" s="1"/>
  <c r="D23" i="5"/>
  <c r="C23" i="5"/>
  <c r="D62" i="1" s="1"/>
  <c r="D78" i="1" l="1"/>
  <c r="D76" i="1"/>
  <c r="I69" i="1"/>
  <c r="I62" i="1"/>
  <c r="M54" i="27" l="1"/>
  <c r="F23" i="5" l="1"/>
  <c r="K19" i="4"/>
  <c r="D3" i="29" l="1"/>
  <c r="D3" i="24"/>
  <c r="I99" i="22"/>
  <c r="B74" i="22"/>
  <c r="J73" i="29"/>
  <c r="E73" i="29"/>
  <c r="K71" i="29"/>
  <c r="F71" i="29"/>
  <c r="K69" i="29"/>
  <c r="F69" i="29"/>
  <c r="K67" i="29"/>
  <c r="F67" i="29"/>
  <c r="I56" i="29"/>
  <c r="E56" i="29"/>
  <c r="F54" i="29"/>
  <c r="F52" i="29"/>
  <c r="F50" i="29"/>
  <c r="K31" i="29"/>
  <c r="I31" i="29"/>
  <c r="G31" i="29"/>
  <c r="E31" i="29"/>
  <c r="C31" i="29"/>
  <c r="K30" i="29"/>
  <c r="I30" i="29"/>
  <c r="G30" i="29"/>
  <c r="E30" i="29"/>
  <c r="C30" i="29"/>
  <c r="C29" i="29"/>
  <c r="F27" i="29"/>
  <c r="H27" i="29" s="1"/>
  <c r="J27" i="29" s="1"/>
  <c r="L27" i="29" s="1"/>
  <c r="F26" i="29"/>
  <c r="H26" i="29" s="1"/>
  <c r="J26" i="29" s="1"/>
  <c r="L26" i="29" s="1"/>
  <c r="K23" i="29"/>
  <c r="G69" i="29" s="1"/>
  <c r="H69" i="29" s="1"/>
  <c r="I23" i="29"/>
  <c r="G23" i="29"/>
  <c r="E23" i="29"/>
  <c r="C23" i="29"/>
  <c r="K22" i="29"/>
  <c r="I22" i="29"/>
  <c r="G22" i="29"/>
  <c r="E22" i="29"/>
  <c r="C22" i="29"/>
  <c r="C21" i="29"/>
  <c r="F19" i="29"/>
  <c r="H19" i="29" s="1"/>
  <c r="J19" i="29" s="1"/>
  <c r="L19" i="29" s="1"/>
  <c r="F18" i="29"/>
  <c r="H18" i="29" s="1"/>
  <c r="J18" i="29" s="1"/>
  <c r="L18" i="29" s="1"/>
  <c r="K15" i="29"/>
  <c r="I15" i="29"/>
  <c r="G15" i="29"/>
  <c r="E15" i="29"/>
  <c r="C15" i="29"/>
  <c r="K14" i="29"/>
  <c r="I14" i="29"/>
  <c r="G14" i="29"/>
  <c r="E14" i="29"/>
  <c r="C14" i="29"/>
  <c r="C13" i="29"/>
  <c r="F11" i="29"/>
  <c r="H11" i="29" s="1"/>
  <c r="J11" i="29" s="1"/>
  <c r="L11" i="29" s="1"/>
  <c r="F10" i="29"/>
  <c r="H10" i="29" s="1"/>
  <c r="J10" i="29" s="1"/>
  <c r="L10" i="29" s="1"/>
  <c r="I46" i="24"/>
  <c r="E46" i="24"/>
  <c r="F44" i="24"/>
  <c r="F42" i="24"/>
  <c r="F40" i="24"/>
  <c r="F46" i="24" s="1"/>
  <c r="K25" i="24"/>
  <c r="I25" i="24"/>
  <c r="G44" i="24" s="1"/>
  <c r="H44" i="24" s="1"/>
  <c r="J44" i="24" s="1"/>
  <c r="K44" i="24" s="1"/>
  <c r="G25" i="24"/>
  <c r="E25" i="24"/>
  <c r="C25" i="24"/>
  <c r="C24" i="24"/>
  <c r="F22" i="24"/>
  <c r="H22" i="24" s="1"/>
  <c r="J22" i="24" s="1"/>
  <c r="L22" i="24" s="1"/>
  <c r="K19" i="24"/>
  <c r="I19" i="24"/>
  <c r="G19" i="24"/>
  <c r="E19" i="24"/>
  <c r="G42" i="24" s="1"/>
  <c r="H42" i="24" s="1"/>
  <c r="J42" i="24" s="1"/>
  <c r="K42" i="24" s="1"/>
  <c r="C19" i="24"/>
  <c r="C18" i="24"/>
  <c r="F16" i="24"/>
  <c r="H16" i="24" s="1"/>
  <c r="J16" i="24" s="1"/>
  <c r="L16" i="24" s="1"/>
  <c r="K13" i="24"/>
  <c r="I13" i="24"/>
  <c r="G13" i="24"/>
  <c r="E13" i="24"/>
  <c r="C13" i="24"/>
  <c r="G40" i="24" s="1"/>
  <c r="C12" i="24"/>
  <c r="H10" i="24"/>
  <c r="J10" i="24" s="1"/>
  <c r="L10" i="24" s="1"/>
  <c r="F10" i="24"/>
  <c r="E3" i="28"/>
  <c r="K3" i="27"/>
  <c r="B10" i="28"/>
  <c r="F20" i="28"/>
  <c r="L20" i="28" s="1"/>
  <c r="G11" i="4" s="1"/>
  <c r="L19" i="28"/>
  <c r="L18" i="28"/>
  <c r="L17" i="28"/>
  <c r="L16" i="28"/>
  <c r="L15" i="28"/>
  <c r="L14" i="28"/>
  <c r="L13" i="28"/>
  <c r="L12" i="28"/>
  <c r="L11" i="28"/>
  <c r="L10" i="28"/>
  <c r="L9" i="28"/>
  <c r="L8" i="28"/>
  <c r="F5" i="28"/>
  <c r="H5" i="28" s="1"/>
  <c r="J5" i="28" s="1"/>
  <c r="L5" i="28" s="1"/>
  <c r="I23" i="27"/>
  <c r="O54" i="27"/>
  <c r="K54" i="27"/>
  <c r="W53" i="27"/>
  <c r="Q53" i="27"/>
  <c r="K26" i="27" s="1"/>
  <c r="G53" i="27"/>
  <c r="D53" i="27"/>
  <c r="B53" i="27"/>
  <c r="A53" i="27"/>
  <c r="W52" i="27"/>
  <c r="Q52" i="27"/>
  <c r="S52" i="27" s="1"/>
  <c r="Y52" i="27" s="1"/>
  <c r="U25" i="27" s="1"/>
  <c r="G52" i="27"/>
  <c r="D52" i="27"/>
  <c r="B52" i="27"/>
  <c r="A52" i="27"/>
  <c r="W51" i="27"/>
  <c r="Q51" i="27"/>
  <c r="S51" i="27" s="1"/>
  <c r="Y51" i="27" s="1"/>
  <c r="U24" i="27" s="1"/>
  <c r="G51" i="27"/>
  <c r="D51" i="27"/>
  <c r="B51" i="27"/>
  <c r="A51" i="27"/>
  <c r="W50" i="27"/>
  <c r="Q50" i="27"/>
  <c r="S50" i="27" s="1"/>
  <c r="Y50" i="27" s="1"/>
  <c r="U23" i="27" s="1"/>
  <c r="G50" i="27"/>
  <c r="D50" i="27"/>
  <c r="B50" i="27"/>
  <c r="A50" i="27"/>
  <c r="W49" i="27"/>
  <c r="Q49" i="27"/>
  <c r="S49" i="27" s="1"/>
  <c r="Y49" i="27" s="1"/>
  <c r="U22" i="27" s="1"/>
  <c r="B49" i="27"/>
  <c r="A49" i="27"/>
  <c r="B48" i="27"/>
  <c r="A48" i="27"/>
  <c r="C41" i="27"/>
  <c r="C19" i="27" s="1"/>
  <c r="M27" i="27"/>
  <c r="Q26" i="27"/>
  <c r="I26" i="27"/>
  <c r="Q25" i="27"/>
  <c r="I25" i="27"/>
  <c r="Q24" i="27"/>
  <c r="I24" i="27"/>
  <c r="Q23" i="27"/>
  <c r="Q22" i="27"/>
  <c r="I22" i="27"/>
  <c r="D203" i="1"/>
  <c r="G203" i="1" s="1"/>
  <c r="D3" i="6"/>
  <c r="K25" i="6"/>
  <c r="I25" i="6"/>
  <c r="H25" i="6"/>
  <c r="G25" i="6"/>
  <c r="F25" i="6"/>
  <c r="E25" i="6"/>
  <c r="J23" i="6"/>
  <c r="J22" i="6"/>
  <c r="J21" i="6"/>
  <c r="J20" i="6"/>
  <c r="J19" i="6"/>
  <c r="J18" i="6"/>
  <c r="J17" i="6"/>
  <c r="J16" i="6"/>
  <c r="J15" i="6"/>
  <c r="J14" i="6"/>
  <c r="J13" i="6"/>
  <c r="J12" i="6"/>
  <c r="J11" i="6"/>
  <c r="C13" i="6"/>
  <c r="C14" i="6" s="1"/>
  <c r="C15" i="6" s="1"/>
  <c r="C16" i="6" s="1"/>
  <c r="C17" i="6" s="1"/>
  <c r="C18" i="6" s="1"/>
  <c r="C19" i="6" s="1"/>
  <c r="C20" i="6" s="1"/>
  <c r="C21" i="6" s="1"/>
  <c r="C22" i="6" s="1"/>
  <c r="C23" i="6" s="1"/>
  <c r="I98" i="1"/>
  <c r="D202" i="1" l="1"/>
  <c r="I48" i="27"/>
  <c r="Q27" i="27"/>
  <c r="S21" i="27" s="1"/>
  <c r="K73" i="29"/>
  <c r="F56" i="29"/>
  <c r="G54" i="29"/>
  <c r="H54" i="29" s="1"/>
  <c r="G71" i="29"/>
  <c r="H71" i="29" s="1"/>
  <c r="G52" i="29"/>
  <c r="H52" i="29" s="1"/>
  <c r="I69" i="29" s="1"/>
  <c r="L69" i="29" s="1"/>
  <c r="G50" i="29"/>
  <c r="G67" i="29"/>
  <c r="F73" i="29"/>
  <c r="J52" i="29"/>
  <c r="K52" i="29" s="1"/>
  <c r="H50" i="29"/>
  <c r="G56" i="29"/>
  <c r="H67" i="29"/>
  <c r="G46" i="24"/>
  <c r="H40" i="24"/>
  <c r="K25" i="27"/>
  <c r="K23" i="27"/>
  <c r="S53" i="27"/>
  <c r="Y53" i="27" s="1"/>
  <c r="U26" i="27" s="1"/>
  <c r="K22" i="27"/>
  <c r="K24" i="27"/>
  <c r="J25" i="6"/>
  <c r="D204" i="1" s="1"/>
  <c r="D205" i="1" s="1"/>
  <c r="Q48" i="27" l="1"/>
  <c r="I54" i="27"/>
  <c r="W48" i="27"/>
  <c r="W54" i="27" s="1"/>
  <c r="I21" i="27"/>
  <c r="I27" i="27" s="1"/>
  <c r="E203" i="1"/>
  <c r="G73" i="29"/>
  <c r="I71" i="29"/>
  <c r="L71" i="29" s="1"/>
  <c r="M71" i="29" s="1"/>
  <c r="J54" i="29"/>
  <c r="K54" i="29" s="1"/>
  <c r="C116" i="22"/>
  <c r="F116" i="22" s="1"/>
  <c r="M69" i="29"/>
  <c r="C74" i="22"/>
  <c r="G74" i="22" s="1"/>
  <c r="H73" i="29"/>
  <c r="J50" i="29"/>
  <c r="I67" i="29"/>
  <c r="I73" i="29" s="1"/>
  <c r="H56" i="29"/>
  <c r="H46" i="24"/>
  <c r="J40" i="24"/>
  <c r="S26" i="27"/>
  <c r="W26" i="27" s="1"/>
  <c r="S24" i="27"/>
  <c r="W24" i="27" s="1"/>
  <c r="S22" i="27"/>
  <c r="W22" i="27" s="1"/>
  <c r="S23" i="27"/>
  <c r="W23" i="27" s="1"/>
  <c r="S25" i="27"/>
  <c r="W25" i="27" s="1"/>
  <c r="S48" i="27" l="1"/>
  <c r="Y48" i="27" s="1"/>
  <c r="U21" i="27" s="1"/>
  <c r="W21" i="27" s="1"/>
  <c r="W27" i="27" s="1"/>
  <c r="G202" i="1" s="1"/>
  <c r="I202" i="1" s="1"/>
  <c r="K21" i="27"/>
  <c r="Q54" i="27"/>
  <c r="K50" i="29"/>
  <c r="K56" i="29" s="1"/>
  <c r="J56" i="29"/>
  <c r="L67" i="29"/>
  <c r="C155" i="22" s="1"/>
  <c r="F155" i="22" s="1"/>
  <c r="J46" i="24"/>
  <c r="K40" i="24"/>
  <c r="K46" i="24" s="1"/>
  <c r="S27" i="27"/>
  <c r="L73" i="29" l="1"/>
  <c r="M67" i="29"/>
  <c r="M73" i="29" s="1"/>
  <c r="B9" i="28" l="1"/>
  <c r="B11" i="28" s="1"/>
  <c r="B12" i="28" s="1"/>
  <c r="B13" i="28" s="1"/>
  <c r="B14" i="28" s="1"/>
  <c r="B15" i="28" s="1"/>
  <c r="B16" i="28" s="1"/>
  <c r="B17" i="28" s="1"/>
  <c r="B18" i="28" s="1"/>
  <c r="B19" i="28" s="1"/>
  <c r="B20" i="28" s="1"/>
  <c r="D30" i="14" l="1"/>
  <c r="F27" i="14"/>
  <c r="C72" i="22" l="1"/>
  <c r="H15" i="23"/>
  <c r="F30" i="14" l="1"/>
  <c r="C73" i="22"/>
  <c r="I52" i="22"/>
  <c r="F67" i="2"/>
  <c r="E32" i="8"/>
  <c r="I142" i="22" l="1"/>
  <c r="I138" i="22"/>
  <c r="I134" i="22"/>
  <c r="I144" i="22"/>
  <c r="I141" i="22"/>
  <c r="I140" i="22"/>
  <c r="I137" i="22"/>
  <c r="I136" i="22"/>
  <c r="I133" i="22"/>
  <c r="I132" i="22"/>
  <c r="I129" i="22"/>
  <c r="A66" i="23"/>
  <c r="A67" i="23" s="1"/>
  <c r="A68" i="23" s="1"/>
  <c r="A69" i="23" s="1"/>
  <c r="A70" i="23" s="1"/>
  <c r="A71" i="23" s="1"/>
  <c r="A72" i="23" s="1"/>
  <c r="A73" i="23" s="1"/>
  <c r="A74" i="23" s="1"/>
  <c r="A75" i="23" s="1"/>
  <c r="I95" i="22" l="1"/>
  <c r="I103" i="22"/>
  <c r="I131" i="22"/>
  <c r="I135" i="22"/>
  <c r="I139" i="22"/>
  <c r="I145" i="22"/>
  <c r="I57" i="22"/>
  <c r="I96" i="22"/>
  <c r="I100" i="22"/>
  <c r="I104" i="22"/>
  <c r="I90" i="22"/>
  <c r="I98" i="22"/>
  <c r="I55" i="22"/>
  <c r="I59" i="22"/>
  <c r="I97" i="22"/>
  <c r="I101" i="22"/>
  <c r="I58" i="22" l="1"/>
  <c r="I143" i="22"/>
  <c r="I102" i="22"/>
  <c r="A56" i="22" l="1"/>
  <c r="A55" i="22"/>
  <c r="D24" i="26"/>
  <c r="D16" i="26"/>
  <c r="A13" i="26"/>
  <c r="A14" i="26" s="1"/>
  <c r="A15" i="26" s="1"/>
  <c r="A16" i="26" s="1"/>
  <c r="A17" i="26" s="1"/>
  <c r="A19" i="26" s="1"/>
  <c r="A20" i="26" s="1"/>
  <c r="A21" i="26" s="1"/>
  <c r="A22" i="26" s="1"/>
  <c r="A23" i="26" s="1"/>
  <c r="A24" i="26" s="1"/>
  <c r="A26" i="26" s="1"/>
  <c r="A27" i="26" s="1"/>
  <c r="A28" i="26" s="1"/>
  <c r="A29" i="26" s="1"/>
  <c r="A30" i="26" s="1"/>
  <c r="A31" i="26" s="1"/>
  <c r="A33" i="26" s="1"/>
  <c r="A34" i="26" s="1"/>
  <c r="A35" i="26" s="1"/>
  <c r="A36" i="26" s="1"/>
  <c r="A37" i="26" s="1"/>
  <c r="A38" i="26" s="1"/>
  <c r="A40" i="26" s="1"/>
  <c r="H66" i="25"/>
  <c r="H68" i="25" s="1"/>
  <c r="G66" i="25"/>
  <c r="G68" i="25" s="1"/>
  <c r="E66" i="25"/>
  <c r="E68" i="25" s="1"/>
  <c r="D66" i="25"/>
  <c r="D68" i="25" s="1"/>
  <c r="H24" i="25"/>
  <c r="H26" i="25" s="1"/>
  <c r="E24" i="25"/>
  <c r="E26" i="25" s="1"/>
  <c r="D24" i="25"/>
  <c r="D26" i="25" s="1"/>
  <c r="A15" i="25"/>
  <c r="A16" i="25" s="1"/>
  <c r="A17" i="25" s="1"/>
  <c r="A18" i="25" s="1"/>
  <c r="A19" i="25" s="1"/>
  <c r="A20" i="25" s="1"/>
  <c r="A21" i="25" s="1"/>
  <c r="A22" i="25" s="1"/>
  <c r="A23" i="25" s="1"/>
  <c r="A24" i="25" s="1"/>
  <c r="A14" i="25"/>
  <c r="F122" i="23"/>
  <c r="C122" i="23"/>
  <c r="C124" i="23" s="1"/>
  <c r="E82" i="23"/>
  <c r="B82" i="23"/>
  <c r="F12" i="23"/>
  <c r="C12" i="23"/>
  <c r="A10" i="23"/>
  <c r="A11" i="23" s="1"/>
  <c r="A12" i="23" s="1"/>
  <c r="A14" i="23" s="1"/>
  <c r="A15" i="23" s="1"/>
  <c r="A16" i="23" s="1"/>
  <c r="A17" i="23" s="1"/>
  <c r="C154" i="22"/>
  <c r="E152" i="22"/>
  <c r="E156" i="22" s="1"/>
  <c r="E158" i="22" s="1"/>
  <c r="D152" i="22"/>
  <c r="D156" i="22" s="1"/>
  <c r="D158" i="22" s="1"/>
  <c r="J127" i="22"/>
  <c r="I127" i="22"/>
  <c r="H127" i="22"/>
  <c r="G127" i="22"/>
  <c r="F127" i="22"/>
  <c r="D127" i="22"/>
  <c r="B127" i="22"/>
  <c r="I126" i="22"/>
  <c r="H126" i="22"/>
  <c r="G126" i="22"/>
  <c r="F126" i="22"/>
  <c r="D126" i="22"/>
  <c r="I125" i="22"/>
  <c r="F125" i="22"/>
  <c r="D125" i="22"/>
  <c r="J124" i="22"/>
  <c r="I124" i="22"/>
  <c r="H124" i="22"/>
  <c r="G124" i="22"/>
  <c r="F124" i="22"/>
  <c r="E124" i="22"/>
  <c r="D124" i="22"/>
  <c r="C124" i="22"/>
  <c r="B124" i="22"/>
  <c r="C115" i="22"/>
  <c r="H113" i="22"/>
  <c r="H117" i="22" s="1"/>
  <c r="H119" i="22" s="1"/>
  <c r="G113" i="22"/>
  <c r="G117" i="22" s="1"/>
  <c r="G119" i="22" s="1"/>
  <c r="E113" i="22"/>
  <c r="E117" i="22" s="1"/>
  <c r="E119" i="22" s="1"/>
  <c r="D113" i="22"/>
  <c r="D117" i="22" s="1"/>
  <c r="D119" i="22" s="1"/>
  <c r="J87" i="22"/>
  <c r="I87" i="22"/>
  <c r="H87" i="22"/>
  <c r="G87" i="22"/>
  <c r="F87" i="22"/>
  <c r="D87" i="22"/>
  <c r="B87" i="22"/>
  <c r="I86" i="22"/>
  <c r="H86" i="22"/>
  <c r="G86" i="22"/>
  <c r="F86" i="22"/>
  <c r="D86" i="22"/>
  <c r="I85" i="22"/>
  <c r="F85" i="22"/>
  <c r="D85" i="22"/>
  <c r="J84" i="22"/>
  <c r="I84" i="22"/>
  <c r="H84" i="22"/>
  <c r="G84" i="22"/>
  <c r="F84" i="22"/>
  <c r="E84" i="22"/>
  <c r="D84" i="22"/>
  <c r="C84" i="22"/>
  <c r="B84" i="22"/>
  <c r="B76" i="22"/>
  <c r="B118" i="22" s="1"/>
  <c r="B157" i="22" s="1"/>
  <c r="B116" i="22"/>
  <c r="B155" i="22" s="1"/>
  <c r="B73" i="22"/>
  <c r="B115" i="22" s="1"/>
  <c r="B154" i="22" s="1"/>
  <c r="B72" i="22"/>
  <c r="B114" i="22" s="1"/>
  <c r="B153" i="22" s="1"/>
  <c r="H71" i="22"/>
  <c r="H75" i="22" s="1"/>
  <c r="H77" i="22" s="1"/>
  <c r="F71" i="22"/>
  <c r="F75" i="22" s="1"/>
  <c r="F77" i="22" s="1"/>
  <c r="E71" i="22"/>
  <c r="E75" i="22" s="1"/>
  <c r="E77" i="22" s="1"/>
  <c r="D71" i="22"/>
  <c r="D75" i="22" s="1"/>
  <c r="D77" i="22" s="1"/>
  <c r="J48" i="22"/>
  <c r="I48" i="22"/>
  <c r="H48" i="22"/>
  <c r="G48" i="22"/>
  <c r="F48" i="22"/>
  <c r="D48" i="22"/>
  <c r="B48" i="22"/>
  <c r="I47" i="22"/>
  <c r="H47" i="22"/>
  <c r="G47" i="22"/>
  <c r="F47" i="22"/>
  <c r="I46" i="22"/>
  <c r="F46" i="22"/>
  <c r="J45" i="22"/>
  <c r="I45" i="22"/>
  <c r="H45" i="22"/>
  <c r="G45" i="22"/>
  <c r="F45" i="22"/>
  <c r="E45" i="22"/>
  <c r="D45" i="22"/>
  <c r="B45" i="22"/>
  <c r="C36" i="22"/>
  <c r="C35" i="22"/>
  <c r="H34" i="22"/>
  <c r="H38" i="22" s="1"/>
  <c r="G34" i="22"/>
  <c r="G38" i="22" s="1"/>
  <c r="F34" i="22"/>
  <c r="F38" i="22" s="1"/>
  <c r="F40" i="22" s="1"/>
  <c r="E34" i="22"/>
  <c r="E38" i="22" s="1"/>
  <c r="E40" i="22" s="1"/>
  <c r="D34" i="22"/>
  <c r="D38" i="22" s="1"/>
  <c r="D40" i="22" s="1"/>
  <c r="C34" i="22"/>
  <c r="A13" i="22"/>
  <c r="A14" i="22" s="1"/>
  <c r="A15" i="22" s="1"/>
  <c r="A16" i="22" s="1"/>
  <c r="A17" i="22" s="1"/>
  <c r="A18" i="22" s="1"/>
  <c r="A19" i="22" s="1"/>
  <c r="A20" i="22" s="1"/>
  <c r="A21" i="22" s="1"/>
  <c r="A22" i="22" s="1"/>
  <c r="A23" i="22" s="1"/>
  <c r="A24" i="22" s="1"/>
  <c r="A25" i="22" s="1"/>
  <c r="A26" i="22" s="1"/>
  <c r="A27" i="22" s="1"/>
  <c r="A28" i="22" s="1"/>
  <c r="A29" i="22" s="1"/>
  <c r="A30" i="22" s="1"/>
  <c r="A31" i="22" s="1"/>
  <c r="A32" i="22" s="1"/>
  <c r="A33" i="22" s="1"/>
  <c r="A34" i="22" s="1"/>
  <c r="A12" i="22"/>
  <c r="I68" i="25" l="1"/>
  <c r="I94" i="22"/>
  <c r="H40" i="26"/>
  <c r="G40" i="22"/>
  <c r="H40" i="22"/>
  <c r="I93" i="22"/>
  <c r="H122" i="23"/>
  <c r="A18" i="23"/>
  <c r="A19" i="23" s="1"/>
  <c r="A20" i="23" s="1"/>
  <c r="A21" i="23" s="1"/>
  <c r="A22" i="23" s="1"/>
  <c r="A23" i="23" s="1"/>
  <c r="A24" i="23" s="1"/>
  <c r="A25" i="23" s="1"/>
  <c r="A26" i="23" s="1"/>
  <c r="H12" i="23"/>
  <c r="I51" i="22"/>
  <c r="I91" i="22"/>
  <c r="C77" i="23"/>
  <c r="C53" i="23"/>
  <c r="C29" i="23"/>
  <c r="F53" i="23"/>
  <c r="F29" i="23"/>
  <c r="I89" i="22"/>
  <c r="A25" i="25"/>
  <c r="A2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35" i="22"/>
  <c r="A36" i="22" s="1"/>
  <c r="A37" i="22" s="1"/>
  <c r="A38" i="22" s="1"/>
  <c r="H33" i="23"/>
  <c r="C103" i="23"/>
  <c r="F89" i="25"/>
  <c r="H85" i="23"/>
  <c r="F103" i="23"/>
  <c r="F77" i="23"/>
  <c r="J24" i="26"/>
  <c r="G24" i="26"/>
  <c r="I24" i="26" s="1"/>
  <c r="H57" i="23"/>
  <c r="I128" i="22" s="1"/>
  <c r="E89" i="25"/>
  <c r="F124" i="23"/>
  <c r="H124" i="23" s="1"/>
  <c r="C126" i="23"/>
  <c r="I49" i="22" l="1"/>
  <c r="I53" i="22"/>
  <c r="C114" i="22"/>
  <c r="I92" i="22"/>
  <c r="I54" i="22"/>
  <c r="C66" i="25"/>
  <c r="D15" i="26"/>
  <c r="D17" i="26" s="1"/>
  <c r="D29" i="26"/>
  <c r="D31" i="26" s="1"/>
  <c r="D38" i="26"/>
  <c r="J38" i="26" s="1"/>
  <c r="B38" i="22"/>
  <c r="H77" i="23"/>
  <c r="A27" i="23"/>
  <c r="A28" i="23" s="1"/>
  <c r="A29" i="23" s="1"/>
  <c r="A31" i="23" s="1"/>
  <c r="A33" i="23" s="1"/>
  <c r="A34" i="23" s="1"/>
  <c r="A35" i="23" s="1"/>
  <c r="A36" i="23" s="1"/>
  <c r="A37" i="23" s="1"/>
  <c r="G152" i="22"/>
  <c r="G156" i="22" s="1"/>
  <c r="G158" i="22" s="1"/>
  <c r="H53" i="23"/>
  <c r="H29" i="23"/>
  <c r="C71" i="22"/>
  <c r="C153" i="22"/>
  <c r="C152" i="22"/>
  <c r="C89" i="25"/>
  <c r="H103" i="23"/>
  <c r="A39" i="22"/>
  <c r="A40" i="22" s="1"/>
  <c r="A49" i="22" s="1"/>
  <c r="C24" i="25"/>
  <c r="C113" i="22"/>
  <c r="B26" i="25"/>
  <c r="F126" i="23"/>
  <c r="H126" i="23" s="1"/>
  <c r="A67" i="25"/>
  <c r="A68" i="25" s="1"/>
  <c r="A79" i="25" s="1"/>
  <c r="C156" i="22" l="1"/>
  <c r="C117" i="22"/>
  <c r="G71" i="22"/>
  <c r="J31" i="26"/>
  <c r="G31" i="26"/>
  <c r="I31" i="26" s="1"/>
  <c r="J17" i="26"/>
  <c r="G17" i="26"/>
  <c r="I17" i="26" s="1"/>
  <c r="G38" i="26"/>
  <c r="I38" i="26" s="1"/>
  <c r="D40" i="26"/>
  <c r="A50" i="22"/>
  <c r="A51" i="22" s="1"/>
  <c r="A52" i="22" s="1"/>
  <c r="A53" i="22" s="1"/>
  <c r="A54" i="22" s="1"/>
  <c r="A57" i="22" s="1"/>
  <c r="A58" i="22" s="1"/>
  <c r="A59" i="22" s="1"/>
  <c r="A60" i="22" s="1"/>
  <c r="A61" i="22" s="1"/>
  <c r="A62" i="22" s="1"/>
  <c r="A63" i="22" s="1"/>
  <c r="A64" i="22" s="1"/>
  <c r="A65" i="22" s="1"/>
  <c r="A66" i="22" s="1"/>
  <c r="A67" i="22" s="1"/>
  <c r="A68" i="22" s="1"/>
  <c r="A69" i="22" s="1"/>
  <c r="A70" i="22" s="1"/>
  <c r="A71" i="22" s="1"/>
  <c r="A72" i="22" s="1"/>
  <c r="A73" i="22" s="1"/>
  <c r="A74" i="22" s="1"/>
  <c r="A75" i="22" s="1"/>
  <c r="B40" i="22"/>
  <c r="A38" i="23"/>
  <c r="A39" i="23" s="1"/>
  <c r="A40" i="23" s="1"/>
  <c r="A41" i="23" s="1"/>
  <c r="A42" i="23" s="1"/>
  <c r="A43" i="23" s="1"/>
  <c r="A44" i="23" s="1"/>
  <c r="A45" i="23" s="1"/>
  <c r="A46" i="23" s="1"/>
  <c r="A47" i="23" s="1"/>
  <c r="A48" i="23" s="1"/>
  <c r="A49" i="23" s="1"/>
  <c r="A50" i="23" s="1"/>
  <c r="A51" i="23" s="1"/>
  <c r="A52" i="23" s="1"/>
  <c r="A53" i="23" s="1"/>
  <c r="A55" i="23" s="1"/>
  <c r="A57" i="23" s="1"/>
  <c r="F152" i="22"/>
  <c r="F156" i="22" s="1"/>
  <c r="F158" i="22" s="1"/>
  <c r="I158" i="22" s="1"/>
  <c r="F42" i="5" s="1"/>
  <c r="F113" i="22"/>
  <c r="F117" i="22" s="1"/>
  <c r="F119" i="22" s="1"/>
  <c r="I119" i="22" s="1"/>
  <c r="E42" i="5" s="1"/>
  <c r="D89" i="25"/>
  <c r="G89" i="25"/>
  <c r="A80" i="25"/>
  <c r="A81" i="25" s="1"/>
  <c r="A82" i="25" s="1"/>
  <c r="A84" i="25" s="1"/>
  <c r="A85" i="25" s="1"/>
  <c r="A86" i="25" s="1"/>
  <c r="A87" i="25" s="1"/>
  <c r="A89" i="25" s="1"/>
  <c r="B68" i="25"/>
  <c r="G24" i="25"/>
  <c r="G26" i="25" s="1"/>
  <c r="I26" i="25" s="1"/>
  <c r="H152" i="22"/>
  <c r="H156" i="22" s="1"/>
  <c r="H158" i="22" s="1"/>
  <c r="B89" i="25" l="1"/>
  <c r="J40" i="26"/>
  <c r="I40" i="26"/>
  <c r="G40" i="26"/>
  <c r="A58" i="23"/>
  <c r="A59" i="23" s="1"/>
  <c r="A60" i="23" s="1"/>
  <c r="A61" i="23" s="1"/>
  <c r="A62" i="23" s="1"/>
  <c r="A63" i="23" s="1"/>
  <c r="A64" i="23" s="1"/>
  <c r="A65" i="23" s="1"/>
  <c r="A76" i="23" s="1"/>
  <c r="A77" i="23" s="1"/>
  <c r="A83" i="23" s="1"/>
  <c r="A85" i="23" s="1"/>
  <c r="A86" i="23" s="1"/>
  <c r="A87" i="23" s="1"/>
  <c r="A88" i="23" s="1"/>
  <c r="A89" i="23" s="1"/>
  <c r="A90" i="23" s="1"/>
  <c r="A91" i="23" s="1"/>
  <c r="A92" i="23" s="1"/>
  <c r="A93" i="23" s="1"/>
  <c r="A94" i="23" s="1"/>
  <c r="A95" i="23" s="1"/>
  <c r="A96" i="23" s="1"/>
  <c r="A97" i="23" s="1"/>
  <c r="A98" i="23" s="1"/>
  <c r="A99" i="23" s="1"/>
  <c r="A100" i="23" s="1"/>
  <c r="A101" i="23" s="1"/>
  <c r="A102" i="23" s="1"/>
  <c r="A103" i="23" s="1"/>
  <c r="A105" i="23" s="1"/>
  <c r="A107" i="23" s="1"/>
  <c r="A108" i="23" s="1"/>
  <c r="A109" i="23" s="1"/>
  <c r="A110" i="23" s="1"/>
  <c r="A111" i="23" s="1"/>
  <c r="A112" i="23" s="1"/>
  <c r="A113" i="23" s="1"/>
  <c r="A114" i="23" s="1"/>
  <c r="A115" i="23" s="1"/>
  <c r="A116" i="23" s="1"/>
  <c r="A117" i="23" s="1"/>
  <c r="A118" i="23" s="1"/>
  <c r="A119" i="23" s="1"/>
  <c r="A120" i="23" s="1"/>
  <c r="A121" i="23" s="1"/>
  <c r="A122" i="23" s="1"/>
  <c r="A124" i="23" s="1"/>
  <c r="A126" i="23" s="1"/>
  <c r="B75" i="22"/>
  <c r="A76" i="22"/>
  <c r="A77" i="22" s="1"/>
  <c r="A88" i="22" s="1"/>
  <c r="A89" i="22" s="1"/>
  <c r="A90" i="22" s="1"/>
  <c r="A91" i="22" s="1"/>
  <c r="A92" i="22" s="1"/>
  <c r="A93" i="22" s="1"/>
  <c r="A94" i="22" s="1"/>
  <c r="A95" i="22" s="1"/>
  <c r="A96" i="22" s="1"/>
  <c r="A97" i="22" s="1"/>
  <c r="A98" i="22" s="1"/>
  <c r="A99" i="22" s="1"/>
  <c r="A100" i="22" s="1"/>
  <c r="A101" i="22" s="1"/>
  <c r="A102" i="22" s="1"/>
  <c r="A103" i="22" s="1"/>
  <c r="A104" i="22" s="1"/>
  <c r="A105" i="22" s="1"/>
  <c r="A106" i="22" s="1"/>
  <c r="A107" i="22" s="1"/>
  <c r="A108" i="22" s="1"/>
  <c r="A109" i="22" s="1"/>
  <c r="A110" i="22" s="1"/>
  <c r="A111" i="22" s="1"/>
  <c r="A112" i="22" s="1"/>
  <c r="A113" i="22" s="1"/>
  <c r="A114" i="22" l="1"/>
  <c r="A115" i="22" s="1"/>
  <c r="A116" i="22" s="1"/>
  <c r="A117" i="22" s="1"/>
  <c r="B77" i="22"/>
  <c r="B117" i="22" l="1"/>
  <c r="A118" i="22"/>
  <c r="A119" i="22" s="1"/>
  <c r="A128" i="22" s="1"/>
  <c r="A129" i="22" s="1"/>
  <c r="A130" i="22" s="1"/>
  <c r="A131" i="22" s="1"/>
  <c r="A132" i="22" s="1"/>
  <c r="A133" i="22" s="1"/>
  <c r="A134" i="22" s="1"/>
  <c r="A135" i="22" s="1"/>
  <c r="A136" i="22" s="1"/>
  <c r="A137" i="22" s="1"/>
  <c r="A138" i="22" s="1"/>
  <c r="A139" i="22" s="1"/>
  <c r="A140" i="22" s="1"/>
  <c r="A141" i="22" s="1"/>
  <c r="A142" i="22" s="1"/>
  <c r="A143" i="22" s="1"/>
  <c r="A144" i="22" s="1"/>
  <c r="A145" i="22" s="1"/>
  <c r="A146" i="22" s="1"/>
  <c r="A147" i="22" s="1"/>
  <c r="A148" i="22" s="1"/>
  <c r="A149" i="22" s="1"/>
  <c r="A150" i="22" s="1"/>
  <c r="A151" i="22" s="1"/>
  <c r="A152" i="22" s="1"/>
  <c r="B119" i="22" l="1"/>
  <c r="A153" i="22"/>
  <c r="A154" i="22" s="1"/>
  <c r="A155" i="22" s="1"/>
  <c r="A156" i="22" s="1"/>
  <c r="B156" i="22" l="1"/>
  <c r="A157" i="22"/>
  <c r="A158" i="22" s="1"/>
  <c r="B158" i="22" l="1"/>
  <c r="C38" i="22" l="1"/>
  <c r="C75" i="22"/>
  <c r="D86" i="1"/>
  <c r="G75" i="22" l="1"/>
  <c r="G77" i="22" s="1"/>
  <c r="I77" i="22" s="1"/>
  <c r="D42" i="5" s="1"/>
  <c r="H12" i="3" l="1"/>
  <c r="I204" i="1"/>
  <c r="E66" i="5"/>
  <c r="E21" i="14" l="1"/>
  <c r="D21" i="14"/>
  <c r="F20" i="14"/>
  <c r="F19" i="14"/>
  <c r="F21" i="14" l="1"/>
  <c r="F5" i="2" l="1"/>
  <c r="D215" i="1" l="1"/>
  <c r="D171" i="1"/>
  <c r="D108" i="1"/>
  <c r="D53" i="1"/>
  <c r="E46" i="5" l="1"/>
  <c r="E45" i="5"/>
  <c r="B3" i="5"/>
  <c r="E47" i="5" s="1"/>
  <c r="B3" i="3"/>
  <c r="B41" i="7" l="1"/>
  <c r="B38" i="7"/>
  <c r="B23" i="7"/>
  <c r="B42" i="7" l="1"/>
  <c r="F31" i="14"/>
  <c r="E14" i="14" l="1"/>
  <c r="E29" i="14"/>
  <c r="E32" i="14" s="1"/>
  <c r="E34" i="14" s="1"/>
  <c r="F28" i="14"/>
  <c r="F26" i="14"/>
  <c r="F25" i="14"/>
  <c r="F24" i="14"/>
  <c r="F9" i="14"/>
  <c r="F10" i="14"/>
  <c r="F11" i="14"/>
  <c r="F12" i="14"/>
  <c r="F13" i="14"/>
  <c r="F8" i="14"/>
  <c r="D14" i="14"/>
  <c r="A8" i="14"/>
  <c r="A9" i="14" s="1"/>
  <c r="A10" i="14" s="1"/>
  <c r="A11" i="14" s="1"/>
  <c r="A12" i="14" s="1"/>
  <c r="A13" i="14" s="1"/>
  <c r="A14" i="14" s="1"/>
  <c r="A19" i="14" l="1"/>
  <c r="A20" i="14" s="1"/>
  <c r="F14" i="14"/>
  <c r="I209" i="1" l="1"/>
  <c r="D14" i="1" s="1"/>
  <c r="A3" i="14"/>
  <c r="F19" i="13" l="1"/>
  <c r="F21" i="13" s="1"/>
  <c r="L77" i="2" l="1"/>
  <c r="D6" i="7" l="1"/>
  <c r="A3" i="7"/>
  <c r="B43" i="7"/>
  <c r="B44" i="7" s="1"/>
  <c r="B45" i="7" s="1"/>
  <c r="B46" i="7" s="1"/>
  <c r="B47" i="7" s="1"/>
  <c r="B48" i="7" s="1"/>
  <c r="B49" i="7" s="1"/>
  <c r="B50" i="7" s="1"/>
  <c r="B51" i="7" s="1"/>
  <c r="B52" i="7" s="1"/>
  <c r="G24" i="7"/>
  <c r="G25" i="7" s="1"/>
  <c r="G26" i="7" s="1"/>
  <c r="G27" i="7" s="1"/>
  <c r="G28" i="7" s="1"/>
  <c r="G29" i="7" s="1"/>
  <c r="G30" i="7" s="1"/>
  <c r="G31" i="7" s="1"/>
  <c r="G32" i="7" s="1"/>
  <c r="G33" i="7" s="1"/>
  <c r="G34" i="7" s="1"/>
  <c r="B24" i="7"/>
  <c r="B25" i="7" s="1"/>
  <c r="B26" i="7" s="1"/>
  <c r="B27" i="7" s="1"/>
  <c r="B28" i="7" s="1"/>
  <c r="B29" i="7" s="1"/>
  <c r="B30" i="7" s="1"/>
  <c r="B31" i="7" s="1"/>
  <c r="B32" i="7" s="1"/>
  <c r="B33" i="7" s="1"/>
  <c r="B34" i="7" s="1"/>
  <c r="A53" i="5" l="1"/>
  <c r="A54" i="5" s="1"/>
  <c r="A55" i="5" s="1"/>
  <c r="A56" i="5" s="1"/>
  <c r="A57" i="5" s="1"/>
  <c r="A58" i="5" s="1"/>
  <c r="A59" i="5" s="1"/>
  <c r="A60" i="5" s="1"/>
  <c r="A61" i="5" s="1"/>
  <c r="A62" i="5" s="1"/>
  <c r="A63" i="5" s="1"/>
  <c r="A64" i="5" s="1"/>
  <c r="A65" i="5" s="1"/>
  <c r="D66" i="5"/>
  <c r="A73" i="5" l="1"/>
  <c r="A72" i="5"/>
  <c r="A71" i="5"/>
  <c r="A27" i="4" l="1"/>
  <c r="A29" i="4" s="1"/>
  <c r="K25" i="4"/>
  <c r="E25" i="4"/>
  <c r="L79" i="2"/>
  <c r="M79" i="2"/>
  <c r="L80" i="2"/>
  <c r="M80" i="2"/>
  <c r="L81" i="2"/>
  <c r="M81" i="2"/>
  <c r="L82" i="2"/>
  <c r="M82" i="2"/>
  <c r="L83" i="2"/>
  <c r="L84" i="2"/>
  <c r="M84" i="2"/>
  <c r="L85" i="2"/>
  <c r="M85" i="2"/>
  <c r="L69" i="2"/>
  <c r="L65" i="2"/>
  <c r="L68" i="2"/>
  <c r="L67" i="2"/>
  <c r="L59" i="2"/>
  <c r="A71" i="2"/>
  <c r="L71" i="2" s="1"/>
  <c r="M69" i="2"/>
  <c r="I69" i="2"/>
  <c r="F69" i="2"/>
  <c r="A73" i="2" l="1"/>
  <c r="L73" i="2" s="1"/>
  <c r="A31" i="4"/>
  <c r="C19" i="1"/>
  <c r="A23" i="8"/>
  <c r="A24" i="8" s="1"/>
  <c r="A25" i="8" s="1"/>
  <c r="A26" i="8" s="1"/>
  <c r="A27" i="8" s="1"/>
  <c r="A28" i="8" s="1"/>
  <c r="A29" i="8" s="1"/>
  <c r="A30" i="8" s="1"/>
  <c r="A32" i="8" s="1"/>
  <c r="A33" i="8" s="1"/>
  <c r="A14" i="13" l="1"/>
  <c r="A15" i="13" s="1"/>
  <c r="A16" i="13" s="1"/>
  <c r="A17" i="13" s="1"/>
  <c r="A18" i="13" s="1"/>
  <c r="A19" i="13" s="1"/>
  <c r="A20" i="13" s="1"/>
  <c r="A21" i="13" s="1"/>
  <c r="A22" i="13" s="1"/>
  <c r="A23" i="13" s="1"/>
  <c r="A24" i="13" s="1"/>
  <c r="A25" i="13" s="1"/>
  <c r="A26" i="13" s="1"/>
  <c r="A27" i="13" s="1"/>
  <c r="A28" i="13" s="1"/>
  <c r="A29" i="13" s="1"/>
  <c r="A30" i="13" s="1"/>
  <c r="F24" i="13"/>
  <c r="F28" i="13" s="1"/>
  <c r="A3" i="13"/>
  <c r="E24" i="3"/>
  <c r="F30" i="13" l="1"/>
  <c r="A38" i="4"/>
  <c r="B36" i="4"/>
  <c r="F4" i="4"/>
  <c r="D18" i="1" l="1"/>
  <c r="I18" i="1" s="1"/>
  <c r="D38" i="4"/>
  <c r="K21" i="4" l="1"/>
  <c r="K29" i="4" s="1"/>
  <c r="A3" i="12" l="1"/>
  <c r="I64" i="1" l="1"/>
  <c r="K72" i="5" l="1"/>
  <c r="K71" i="5"/>
  <c r="I76" i="1" l="1"/>
  <c r="K73" i="5" l="1"/>
  <c r="D88" i="1" s="1"/>
  <c r="I88" i="1" s="1"/>
  <c r="F73" i="5"/>
  <c r="F50" i="2" l="1"/>
  <c r="P50" i="2" s="1"/>
  <c r="F49" i="2"/>
  <c r="P49" i="2" s="1"/>
  <c r="F48" i="2"/>
  <c r="P48" i="2" s="1"/>
  <c r="A7" i="3"/>
  <c r="A10" i="3" s="1"/>
  <c r="A11" i="3" s="1"/>
  <c r="A12" i="3" s="1"/>
  <c r="A13" i="3" s="1"/>
  <c r="A14" i="3" s="1"/>
  <c r="D3" i="8"/>
  <c r="F124" i="1"/>
  <c r="L23" i="5"/>
  <c r="D70" i="1" s="1"/>
  <c r="H23" i="5"/>
  <c r="D94" i="1" s="1"/>
  <c r="D63" i="1"/>
  <c r="I180" i="1" s="1"/>
  <c r="I185" i="1" s="1"/>
  <c r="D55" i="1"/>
  <c r="D110" i="1" s="1"/>
  <c r="D173" i="1" s="1"/>
  <c r="D217" i="1" s="1"/>
  <c r="F117" i="1"/>
  <c r="F118" i="1" s="1"/>
  <c r="E23" i="3"/>
  <c r="D193" i="1"/>
  <c r="A181" i="1"/>
  <c r="A182" i="1" s="1"/>
  <c r="A183" i="1" s="1"/>
  <c r="A185" i="1" s="1"/>
  <c r="A187" i="1" s="1"/>
  <c r="A189" i="1" s="1"/>
  <c r="A117" i="1"/>
  <c r="A118" i="1" s="1"/>
  <c r="A119" i="1" s="1"/>
  <c r="A14" i="1"/>
  <c r="A63" i="1"/>
  <c r="C180" i="1" s="1"/>
  <c r="F90" i="1"/>
  <c r="F89" i="1" s="1"/>
  <c r="G192" i="1"/>
  <c r="G191" i="1"/>
  <c r="G189" i="1"/>
  <c r="G71" i="1"/>
  <c r="I71" i="1" s="1"/>
  <c r="I78" i="1" s="1"/>
  <c r="J108" i="1"/>
  <c r="J171" i="1"/>
  <c r="J215" i="1"/>
  <c r="J53" i="1"/>
  <c r="D77" i="1" l="1"/>
  <c r="A120" i="1"/>
  <c r="A121" i="1" s="1"/>
  <c r="A15" i="1"/>
  <c r="A16" i="1" s="1"/>
  <c r="A16" i="3"/>
  <c r="A17" i="3" s="1"/>
  <c r="B21" i="3" s="1"/>
  <c r="A190" i="1"/>
  <c r="A191" i="1" s="1"/>
  <c r="A192" i="1" s="1"/>
  <c r="A193" i="1" s="1"/>
  <c r="A198" i="1" s="1"/>
  <c r="A202" i="1" s="1"/>
  <c r="A64" i="1"/>
  <c r="A65" i="1" s="1"/>
  <c r="A66" i="1" s="1"/>
  <c r="I183" i="1"/>
  <c r="I127" i="1"/>
  <c r="C16" i="1" l="1"/>
  <c r="A122" i="1"/>
  <c r="A123" i="1" s="1"/>
  <c r="A18" i="3"/>
  <c r="B25" i="3" s="1"/>
  <c r="C193" i="1"/>
  <c r="A68" i="1"/>
  <c r="A69" i="1" s="1"/>
  <c r="C76" i="1" s="1"/>
  <c r="A124" i="1" l="1"/>
  <c r="A127" i="1" s="1"/>
  <c r="A128" i="1" s="1"/>
  <c r="A129" i="1" s="1"/>
  <c r="A130" i="1" s="1"/>
  <c r="A19" i="3"/>
  <c r="A20" i="3" s="1"/>
  <c r="A21" i="3" s="1"/>
  <c r="A22" i="3" s="1"/>
  <c r="A23" i="3" s="1"/>
  <c r="A24" i="3" s="1"/>
  <c r="A25" i="3" s="1"/>
  <c r="A18" i="1"/>
  <c r="A19" i="1" s="1"/>
  <c r="A21" i="1" s="1"/>
  <c r="A203" i="1"/>
  <c r="A204" i="1" s="1"/>
  <c r="A70" i="1"/>
  <c r="A71" i="1" s="1"/>
  <c r="G123" i="1"/>
  <c r="G14" i="1"/>
  <c r="I14" i="1" s="1"/>
  <c r="G118" i="1"/>
  <c r="G94" i="1"/>
  <c r="G133" i="1"/>
  <c r="G117" i="1"/>
  <c r="G70" i="1"/>
  <c r="G128" i="1"/>
  <c r="G116" i="1"/>
  <c r="I116" i="1" s="1"/>
  <c r="G63" i="1"/>
  <c r="I63" i="1" s="1"/>
  <c r="G15" i="1"/>
  <c r="G99" i="1"/>
  <c r="E190" i="1"/>
  <c r="G190" i="1" s="1"/>
  <c r="G193" i="1" s="1"/>
  <c r="A132" i="1" l="1"/>
  <c r="A133" i="1" s="1"/>
  <c r="A134" i="1" s="1"/>
  <c r="C21" i="1"/>
  <c r="A205" i="1"/>
  <c r="F11" i="3"/>
  <c r="C77" i="1"/>
  <c r="C205" i="1"/>
  <c r="A135" i="1"/>
  <c r="A72" i="1"/>
  <c r="C78" i="1"/>
  <c r="I193" i="1"/>
  <c r="I70" i="1"/>
  <c r="I77" i="1" s="1"/>
  <c r="B26" i="3"/>
  <c r="B28" i="3"/>
  <c r="I94" i="1"/>
  <c r="A26" i="3"/>
  <c r="A27" i="3" s="1"/>
  <c r="A28" i="3" s="1"/>
  <c r="A29" i="3" s="1"/>
  <c r="C136" i="1" l="1"/>
  <c r="A207" i="1"/>
  <c r="A209" i="1" s="1"/>
  <c r="C151" i="1"/>
  <c r="M83" i="2"/>
  <c r="A31" i="3"/>
  <c r="A33" i="3" s="1"/>
  <c r="D31" i="3"/>
  <c r="G122" i="1"/>
  <c r="G121" i="1"/>
  <c r="A136" i="1"/>
  <c r="C79" i="1"/>
  <c r="A73" i="1"/>
  <c r="G141" i="1"/>
  <c r="I141" i="1" s="1"/>
  <c r="G140" i="1"/>
  <c r="I140" i="1" s="1"/>
  <c r="G65" i="1"/>
  <c r="G134" i="1"/>
  <c r="G120" i="1"/>
  <c r="G119" i="1"/>
  <c r="I119" i="1" s="1"/>
  <c r="G72" i="1"/>
  <c r="B29" i="3"/>
  <c r="A211" i="1" l="1"/>
  <c r="C15" i="1" s="1"/>
  <c r="C14" i="1"/>
  <c r="A34" i="3"/>
  <c r="A35" i="3" s="1"/>
  <c r="A36" i="3" s="1"/>
  <c r="A37" i="3" s="1"/>
  <c r="A38" i="3" s="1"/>
  <c r="A138" i="1"/>
  <c r="A139" i="1" s="1"/>
  <c r="A140" i="1" s="1"/>
  <c r="A75" i="1"/>
  <c r="A76" i="1" s="1"/>
  <c r="I120" i="1"/>
  <c r="A77" i="1" l="1"/>
  <c r="A78" i="1" s="1"/>
  <c r="A79" i="1" s="1"/>
  <c r="A80" i="1" s="1"/>
  <c r="A141" i="1"/>
  <c r="A142" i="1" s="1"/>
  <c r="A143" i="1" s="1"/>
  <c r="A144" i="1" s="1"/>
  <c r="A145" i="1" s="1"/>
  <c r="A146" i="1" s="1"/>
  <c r="A147" i="1" s="1"/>
  <c r="D36" i="3"/>
  <c r="D35" i="3"/>
  <c r="C147" i="1" l="1"/>
  <c r="C80" i="1"/>
  <c r="A149" i="1"/>
  <c r="A150" i="1" s="1"/>
  <c r="A82" i="1"/>
  <c r="A83" i="1" s="1"/>
  <c r="A84" i="1" s="1"/>
  <c r="A85" i="1" s="1"/>
  <c r="A86" i="1" s="1"/>
  <c r="A87" i="1" s="1"/>
  <c r="C154" i="1" l="1"/>
  <c r="B154" i="1"/>
  <c r="A151" i="1"/>
  <c r="A152" i="1" s="1"/>
  <c r="A153" i="1" s="1"/>
  <c r="A154" i="1" s="1"/>
  <c r="A155" i="1" s="1"/>
  <c r="A156" i="1" l="1"/>
  <c r="A88" i="1"/>
  <c r="A89" i="1" s="1"/>
  <c r="C159" i="1"/>
  <c r="C160" i="1"/>
  <c r="A157" i="1" l="1"/>
  <c r="A90" i="1"/>
  <c r="A91" i="1" l="1"/>
  <c r="A158" i="1"/>
  <c r="C161" i="1"/>
  <c r="A92" i="1"/>
  <c r="C92" i="1" l="1"/>
  <c r="A159" i="1"/>
  <c r="A160" i="1" s="1"/>
  <c r="A161" i="1" s="1"/>
  <c r="A162" i="1" s="1"/>
  <c r="A94" i="1"/>
  <c r="A96" i="1" s="1"/>
  <c r="A97" i="1" s="1"/>
  <c r="C162" i="1" l="1"/>
  <c r="A164" i="1"/>
  <c r="A165" i="1" s="1"/>
  <c r="A98" i="1"/>
  <c r="C97" i="1" s="1"/>
  <c r="A21" i="14"/>
  <c r="C167" i="1" l="1"/>
  <c r="A167" i="1"/>
  <c r="C158" i="1"/>
  <c r="A99" i="1"/>
  <c r="A24" i="14"/>
  <c r="A25" i="14" s="1"/>
  <c r="A26" i="14" s="1"/>
  <c r="A27" i="14" s="1"/>
  <c r="A28" i="14" s="1"/>
  <c r="A29" i="14" s="1"/>
  <c r="A100" i="1" l="1"/>
  <c r="A101" i="1" s="1"/>
  <c r="C103" i="1" s="1"/>
  <c r="A30" i="14"/>
  <c r="A31" i="14" s="1"/>
  <c r="A32" i="14" s="1"/>
  <c r="C101" i="1" l="1"/>
  <c r="A103" i="1"/>
  <c r="C165" i="1" s="1"/>
  <c r="C32" i="14"/>
  <c r="A34" i="14"/>
  <c r="C34" i="14"/>
  <c r="I123" i="1" l="1"/>
  <c r="D85" i="1" l="1"/>
  <c r="D84" i="1" l="1"/>
  <c r="D83" i="1" l="1"/>
  <c r="I83" i="1" s="1"/>
  <c r="I122" i="1" l="1"/>
  <c r="I121" i="1"/>
  <c r="F65" i="5"/>
  <c r="G22" i="5" s="1"/>
  <c r="F64" i="5"/>
  <c r="G21" i="5" s="1"/>
  <c r="F63" i="5"/>
  <c r="G20" i="5" s="1"/>
  <c r="F62" i="5"/>
  <c r="G19" i="5" s="1"/>
  <c r="F61" i="5"/>
  <c r="G18" i="5" s="1"/>
  <c r="F60" i="5"/>
  <c r="G17" i="5" s="1"/>
  <c r="F59" i="5"/>
  <c r="G16" i="5" s="1"/>
  <c r="F58" i="5"/>
  <c r="G15" i="5" s="1"/>
  <c r="F57" i="5"/>
  <c r="G14" i="5" s="1"/>
  <c r="F56" i="5"/>
  <c r="G13" i="5" s="1"/>
  <c r="F55" i="5"/>
  <c r="G12" i="5" s="1"/>
  <c r="F54" i="5"/>
  <c r="G11" i="5" s="1"/>
  <c r="F53" i="5"/>
  <c r="G10" i="5" s="1"/>
  <c r="G23" i="5" l="1"/>
  <c r="I23" i="5"/>
  <c r="D99" i="1" s="1"/>
  <c r="I133" i="1"/>
  <c r="M59" i="2"/>
  <c r="J23" i="5"/>
  <c r="D100" i="1" s="1"/>
  <c r="E22" i="3"/>
  <c r="D87" i="1"/>
  <c r="F66" i="5"/>
  <c r="C66" i="5" s="1"/>
  <c r="M65" i="2" l="1"/>
  <c r="M73" i="2" s="1"/>
  <c r="I99" i="1"/>
  <c r="D101" i="1"/>
  <c r="E11" i="3" l="1"/>
  <c r="D150" i="1" l="1"/>
  <c r="D154" i="1" s="1"/>
  <c r="E17" i="3"/>
  <c r="E21" i="3" s="1"/>
  <c r="E27" i="3" s="1"/>
  <c r="H11" i="3"/>
  <c r="I11" i="3" s="1"/>
  <c r="I203" i="1"/>
  <c r="I205" i="1" s="1"/>
  <c r="E21" i="4"/>
  <c r="E29" i="4" s="1"/>
  <c r="F19" i="4" s="1"/>
  <c r="G19" i="4" s="1"/>
  <c r="I19" i="4" s="1"/>
  <c r="D159" i="1" l="1"/>
  <c r="D161" i="1"/>
  <c r="D160" i="1"/>
  <c r="D151" i="1"/>
  <c r="E26" i="3"/>
  <c r="E28" i="3"/>
  <c r="F23" i="4"/>
  <c r="F20" i="4"/>
  <c r="F24" i="4"/>
  <c r="F17" i="4"/>
  <c r="E33" i="8" l="1"/>
  <c r="F17" i="7" s="1"/>
  <c r="F23" i="7" s="1"/>
  <c r="F24" i="7" s="1"/>
  <c r="F25" i="7" s="1"/>
  <c r="F26" i="7" s="1"/>
  <c r="F27" i="7" s="1"/>
  <c r="F28" i="7" s="1"/>
  <c r="F29" i="7" s="1"/>
  <c r="F30" i="7" s="1"/>
  <c r="F31" i="7" s="1"/>
  <c r="F32" i="7" s="1"/>
  <c r="F33" i="7" s="1"/>
  <c r="F34" i="7" s="1"/>
  <c r="F38" i="7" s="1"/>
  <c r="A9" i="7"/>
  <c r="G23" i="4"/>
  <c r="G17" i="4"/>
  <c r="G24" i="4"/>
  <c r="G20" i="4"/>
  <c r="F29" i="4"/>
  <c r="F41" i="7" l="1"/>
  <c r="F42" i="7" s="1"/>
  <c r="F43" i="7" s="1"/>
  <c r="F44" i="7" s="1"/>
  <c r="F45" i="7" s="1"/>
  <c r="F46" i="7" s="1"/>
  <c r="F47" i="7" s="1"/>
  <c r="F48" i="7" s="1"/>
  <c r="F49" i="7" s="1"/>
  <c r="F50" i="7" s="1"/>
  <c r="F51" i="7" s="1"/>
  <c r="F52" i="7" s="1"/>
  <c r="G25" i="4"/>
  <c r="I23" i="4"/>
  <c r="G21" i="4"/>
  <c r="G29" i="4" l="1"/>
  <c r="D89" i="1" l="1"/>
  <c r="I89" i="1" s="1"/>
  <c r="D92" i="1" l="1"/>
  <c r="I15" i="2" l="1"/>
  <c r="I16" i="2"/>
  <c r="I62" i="2" l="1"/>
  <c r="I63" i="2"/>
  <c r="I61" i="2"/>
  <c r="I60" i="2"/>
  <c r="I59" i="2"/>
  <c r="I65" i="2" l="1"/>
  <c r="I73" i="2" s="1"/>
  <c r="F65" i="2"/>
  <c r="F73" i="2" s="1"/>
  <c r="H10" i="3"/>
  <c r="I118" i="1"/>
  <c r="I117" i="1"/>
  <c r="N23" i="5" l="1"/>
  <c r="D72" i="1" s="1"/>
  <c r="I134" i="1"/>
  <c r="D29" i="14"/>
  <c r="D32" i="14" s="1"/>
  <c r="D65" i="1"/>
  <c r="D34" i="14" l="1"/>
  <c r="F32" i="14"/>
  <c r="I211" i="1" s="1"/>
  <c r="D15" i="1" s="1"/>
  <c r="D16" i="1" s="1"/>
  <c r="D79" i="1"/>
  <c r="D80" i="1" s="1"/>
  <c r="D103" i="1" s="1"/>
  <c r="D165" i="1" s="1"/>
  <c r="E12" i="3"/>
  <c r="D66" i="1"/>
  <c r="I65" i="1"/>
  <c r="I23" i="2"/>
  <c r="I136" i="1"/>
  <c r="F29" i="14"/>
  <c r="E10" i="3"/>
  <c r="D73" i="1"/>
  <c r="I72" i="1"/>
  <c r="I73" i="1" s="1"/>
  <c r="E13" i="3" l="1"/>
  <c r="D158" i="1"/>
  <c r="D162" i="1" s="1"/>
  <c r="D167" i="1" s="1"/>
  <c r="I24" i="2"/>
  <c r="K24" i="2" s="1"/>
  <c r="I79" i="1"/>
  <c r="I80" i="1" s="1"/>
  <c r="G80" i="1" s="1"/>
  <c r="I66" i="1"/>
  <c r="G66" i="1" s="1"/>
  <c r="F12" i="3"/>
  <c r="I12" i="3" s="1"/>
  <c r="G84" i="1" l="1"/>
  <c r="G87" i="1"/>
  <c r="I87" i="1" s="1"/>
  <c r="H26" i="3"/>
  <c r="G159" i="1"/>
  <c r="I159" i="1" s="1"/>
  <c r="G161" i="1"/>
  <c r="I161" i="1" s="1"/>
  <c r="G160" i="1"/>
  <c r="I160" i="1" s="1"/>
  <c r="F34" i="14"/>
  <c r="G100" i="1"/>
  <c r="I100" i="1" s="1"/>
  <c r="G145" i="1"/>
  <c r="I145" i="1" s="1"/>
  <c r="G146" i="1"/>
  <c r="I146" i="1" s="1"/>
  <c r="G143" i="1"/>
  <c r="I143" i="1" s="1"/>
  <c r="F10" i="3"/>
  <c r="I10" i="3" s="1"/>
  <c r="I13" i="3" s="1"/>
  <c r="G85" i="1" l="1"/>
  <c r="I84" i="1"/>
  <c r="I147" i="1"/>
  <c r="I27" i="2" s="1"/>
  <c r="I28" i="2" s="1"/>
  <c r="K28" i="2" s="1"/>
  <c r="I15" i="1"/>
  <c r="I16" i="1" s="1"/>
  <c r="I30" i="2" s="1"/>
  <c r="I31" i="2" s="1"/>
  <c r="K31" i="2" s="1"/>
  <c r="E18" i="3"/>
  <c r="H27" i="3"/>
  <c r="I26" i="3"/>
  <c r="G86" i="1" l="1"/>
  <c r="I86" i="1" s="1"/>
  <c r="I85" i="1"/>
  <c r="H28" i="3"/>
  <c r="I28" i="3" s="1"/>
  <c r="I27" i="3"/>
  <c r="I92" i="1" l="1"/>
  <c r="I128" i="1"/>
  <c r="I129" i="1" s="1"/>
  <c r="I130" i="1" l="1"/>
  <c r="I19" i="2" s="1"/>
  <c r="I20" i="2" s="1"/>
  <c r="I97" i="1" l="1"/>
  <c r="I101" i="1" s="1"/>
  <c r="I103" i="1" s="1"/>
  <c r="K20" i="2"/>
  <c r="K33" i="2" s="1"/>
  <c r="G63" i="2" l="1"/>
  <c r="H63" i="2" s="1"/>
  <c r="G62" i="2"/>
  <c r="H62" i="2" s="1"/>
  <c r="G61" i="2"/>
  <c r="H61" i="2" s="1"/>
  <c r="G60" i="2"/>
  <c r="H60" i="2" s="1"/>
  <c r="I165" i="1"/>
  <c r="I158" i="1" s="1"/>
  <c r="I162" i="1" s="1"/>
  <c r="I167" i="1" s="1"/>
  <c r="I11" i="1" s="1"/>
  <c r="J5" i="3"/>
  <c r="J14" i="3" s="1"/>
  <c r="I25" i="3" s="1"/>
  <c r="I29" i="3" s="1"/>
  <c r="J29" i="3" s="1"/>
  <c r="J31" i="3" s="1"/>
  <c r="G67" i="2"/>
  <c r="H67" i="2" s="1"/>
  <c r="G68" i="2"/>
  <c r="H68" i="2" s="1"/>
  <c r="G59" i="2"/>
  <c r="H59" i="2" s="1"/>
  <c r="G64" i="2"/>
  <c r="H64" i="2" s="1"/>
  <c r="J37" i="3" l="1"/>
  <c r="H65" i="2"/>
  <c r="I40" i="2"/>
  <c r="I41" i="2" s="1"/>
  <c r="K41" i="2" s="1"/>
  <c r="J33" i="3"/>
  <c r="H69" i="2"/>
  <c r="J34" i="3"/>
  <c r="I36" i="2"/>
  <c r="I37" i="2" s="1"/>
  <c r="K37" i="2" s="1"/>
  <c r="J35" i="3" l="1"/>
  <c r="J36" i="3" s="1"/>
  <c r="J38" i="3" s="1"/>
  <c r="H73" i="2"/>
  <c r="I43" i="2"/>
  <c r="K43" i="2"/>
  <c r="P59" i="2" l="1"/>
  <c r="P62" i="2"/>
  <c r="P61" i="2"/>
  <c r="P60" i="2"/>
  <c r="P63" i="2"/>
  <c r="J59" i="2"/>
  <c r="K59" i="2" s="1"/>
  <c r="N59" i="2" s="1"/>
  <c r="J60" i="2"/>
  <c r="K60" i="2" s="1"/>
  <c r="J63" i="2"/>
  <c r="K63" i="2" s="1"/>
  <c r="N63" i="2" s="1"/>
  <c r="J61" i="2"/>
  <c r="K61" i="2" s="1"/>
  <c r="N61" i="2" s="1"/>
  <c r="J62" i="2"/>
  <c r="K62" i="2" s="1"/>
  <c r="N62" i="2" s="1"/>
  <c r="J67" i="2"/>
  <c r="K67" i="2" s="1"/>
  <c r="N67" i="2" s="1"/>
  <c r="P64" i="2"/>
  <c r="P68" i="2"/>
  <c r="P67" i="2"/>
  <c r="J64" i="2"/>
  <c r="K64" i="2" s="1"/>
  <c r="N64" i="2" s="1"/>
  <c r="J68" i="2"/>
  <c r="K68" i="2" s="1"/>
  <c r="N68" i="2" s="1"/>
  <c r="R62" i="2" l="1"/>
  <c r="T62" i="2" s="1"/>
  <c r="R59" i="2"/>
  <c r="R61" i="2"/>
  <c r="R63" i="2"/>
  <c r="T63" i="2" s="1"/>
  <c r="P65" i="2"/>
  <c r="I17" i="4"/>
  <c r="K65" i="2"/>
  <c r="N60" i="2"/>
  <c r="R60" i="2" s="1"/>
  <c r="R68" i="2"/>
  <c r="H24" i="4" s="1"/>
  <c r="R64" i="2"/>
  <c r="R67" i="2"/>
  <c r="P69" i="2"/>
  <c r="K69" i="2"/>
  <c r="P73" i="2" l="1"/>
  <c r="N65" i="2"/>
  <c r="R65" i="2"/>
  <c r="H20" i="4"/>
  <c r="I20" i="4" s="1"/>
  <c r="I21" i="4" s="1"/>
  <c r="R69" i="2"/>
  <c r="I24" i="4"/>
  <c r="I25" i="4" s="1"/>
  <c r="H25" i="4"/>
  <c r="N69" i="2"/>
  <c r="K73" i="2"/>
  <c r="R73" i="2" l="1"/>
  <c r="H21" i="4"/>
  <c r="H29" i="4" s="1"/>
  <c r="G9" i="7" s="1"/>
  <c r="N73" i="2"/>
  <c r="I29" i="4"/>
  <c r="I56" i="7" l="1"/>
  <c r="D23" i="7"/>
  <c r="D24" i="7" l="1"/>
  <c r="H23" i="7"/>
  <c r="K23" i="7" l="1"/>
  <c r="H24" i="7"/>
  <c r="K24" i="7" s="1"/>
  <c r="D25" i="7"/>
  <c r="D26" i="7" l="1"/>
  <c r="H25" i="7"/>
  <c r="K25" i="7" s="1"/>
  <c r="D27" i="7" l="1"/>
  <c r="H26" i="7"/>
  <c r="K26" i="7" l="1"/>
  <c r="H27" i="7"/>
  <c r="K27" i="7" s="1"/>
  <c r="D28" i="7"/>
  <c r="D29" i="7" l="1"/>
  <c r="H28" i="7"/>
  <c r="K28" i="7" s="1"/>
  <c r="D30" i="7" l="1"/>
  <c r="H29" i="7"/>
  <c r="K29" i="7" l="1"/>
  <c r="H30" i="7"/>
  <c r="K30" i="7" s="1"/>
  <c r="D31" i="7"/>
  <c r="D32" i="7" l="1"/>
  <c r="H31" i="7"/>
  <c r="K31" i="7" s="1"/>
  <c r="D33" i="7" l="1"/>
  <c r="H32" i="7"/>
  <c r="K32" i="7" s="1"/>
  <c r="D34" i="7" l="1"/>
  <c r="H34" i="7" s="1"/>
  <c r="H33" i="7"/>
  <c r="K33" i="7" s="1"/>
  <c r="K34" i="7" l="1"/>
  <c r="K35" i="7" s="1"/>
  <c r="D38" i="7" s="1"/>
  <c r="H38" i="7" s="1"/>
  <c r="K38" i="7" s="1"/>
  <c r="H35" i="7"/>
  <c r="D41" i="7" l="1"/>
  <c r="I41" i="7"/>
  <c r="I42" i="7" s="1"/>
  <c r="I43" i="7" s="1"/>
  <c r="I44" i="7" s="1"/>
  <c r="I45" i="7" s="1"/>
  <c r="I46" i="7" s="1"/>
  <c r="I47" i="7" s="1"/>
  <c r="I48" i="7" s="1"/>
  <c r="I49" i="7" s="1"/>
  <c r="I50" i="7" s="1"/>
  <c r="I51" i="7" s="1"/>
  <c r="I52" i="7" s="1"/>
  <c r="I55" i="7" s="1"/>
  <c r="I57" i="7" s="1"/>
  <c r="J31" i="4" s="1"/>
  <c r="J19" i="4" s="1"/>
  <c r="L19" i="4" s="1"/>
  <c r="J20" i="4" l="1"/>
  <c r="L20" i="4" s="1"/>
  <c r="J17" i="4"/>
  <c r="J23" i="4"/>
  <c r="J24" i="4"/>
  <c r="L24" i="4" s="1"/>
  <c r="S68" i="2" s="1"/>
  <c r="T68" i="2" s="1"/>
  <c r="K41" i="7"/>
  <c r="D42" i="7" s="1"/>
  <c r="H41" i="7"/>
  <c r="S64" i="2" l="1"/>
  <c r="T64" i="2" s="1"/>
  <c r="S60" i="2"/>
  <c r="T60" i="2" s="1"/>
  <c r="K42" i="7"/>
  <c r="D43" i="7" s="1"/>
  <c r="H42" i="7"/>
  <c r="L23" i="4"/>
  <c r="J25" i="4"/>
  <c r="J21" i="4"/>
  <c r="L17" i="4"/>
  <c r="J29" i="4" l="1"/>
  <c r="D19" i="1" s="1"/>
  <c r="I19" i="1" s="1"/>
  <c r="I21" i="1" s="1"/>
  <c r="S59" i="2"/>
  <c r="T59" i="2" s="1"/>
  <c r="L21" i="4"/>
  <c r="S61" i="2" s="1"/>
  <c r="L25" i="4"/>
  <c r="S67" i="2"/>
  <c r="K43" i="7"/>
  <c r="D44" i="7" s="1"/>
  <c r="H43" i="7"/>
  <c r="S65" i="2" l="1"/>
  <c r="T61" i="2"/>
  <c r="T65" i="2" s="1"/>
  <c r="L29" i="4"/>
  <c r="H44" i="7"/>
  <c r="K44" i="7"/>
  <c r="D45" i="7" s="1"/>
  <c r="S69" i="2"/>
  <c r="T67" i="2"/>
  <c r="T69" i="2" s="1"/>
  <c r="T73" i="2" l="1"/>
  <c r="S73" i="2"/>
  <c r="K45" i="7"/>
  <c r="D46" i="7" s="1"/>
  <c r="H45" i="7"/>
  <c r="K46" i="7" l="1"/>
  <c r="D47" i="7" s="1"/>
  <c r="H46" i="7"/>
  <c r="H47" i="7" l="1"/>
  <c r="K47" i="7"/>
  <c r="D48" i="7" s="1"/>
  <c r="K48" i="7" l="1"/>
  <c r="D49" i="7" s="1"/>
  <c r="H48" i="7"/>
  <c r="K49" i="7" l="1"/>
  <c r="D50" i="7" s="1"/>
  <c r="H49" i="7"/>
  <c r="H50" i="7" l="1"/>
  <c r="K50" i="7"/>
  <c r="D51" i="7" s="1"/>
  <c r="K51" i="7" l="1"/>
  <c r="D52" i="7" s="1"/>
  <c r="H51" i="7"/>
  <c r="H52" i="7" l="1"/>
  <c r="H53" i="7" s="1"/>
  <c r="K52" i="7"/>
</calcChain>
</file>

<file path=xl/sharedStrings.xml><?xml version="1.0" encoding="utf-8"?>
<sst xmlns="http://schemas.openxmlformats.org/spreadsheetml/2006/main" count="1871" uniqueCount="1057">
  <si>
    <t>O&amp;M</t>
  </si>
  <si>
    <t xml:space="preserve">Formula Rate - Non-Levelized </t>
  </si>
  <si>
    <t xml:space="preserve"> </t>
  </si>
  <si>
    <t>(1)</t>
  </si>
  <si>
    <t>(2)</t>
  </si>
  <si>
    <t>(3)</t>
  </si>
  <si>
    <t>(4)</t>
  </si>
  <si>
    <t>(5)</t>
  </si>
  <si>
    <t>Line</t>
  </si>
  <si>
    <t>Allocated</t>
  </si>
  <si>
    <t>No.</t>
  </si>
  <si>
    <t>Amount</t>
  </si>
  <si>
    <t xml:space="preserve">REVENUE CREDITS </t>
  </si>
  <si>
    <t>Total</t>
  </si>
  <si>
    <t>Allocator</t>
  </si>
  <si>
    <t>TP</t>
  </si>
  <si>
    <t>Transmission</t>
  </si>
  <si>
    <t>Page, Line, Col.</t>
  </si>
  <si>
    <t>Company Total</t>
  </si>
  <si>
    <t xml:space="preserve">                  Allocator</t>
  </si>
  <si>
    <t>(Col 3 times Col 4)</t>
  </si>
  <si>
    <t>NA</t>
  </si>
  <si>
    <t xml:space="preserve">  Transmission</t>
  </si>
  <si>
    <t>W/S</t>
  </si>
  <si>
    <t>NET PLANT IN SERVICE</t>
  </si>
  <si>
    <t>NP</t>
  </si>
  <si>
    <t>GP</t>
  </si>
  <si>
    <t xml:space="preserve">  Transmission </t>
  </si>
  <si>
    <t xml:space="preserve">     Less Account 565</t>
  </si>
  <si>
    <t xml:space="preserve">  LABOR RELATED</t>
  </si>
  <si>
    <t xml:space="preserve">          Payroll</t>
  </si>
  <si>
    <t xml:space="preserve">          Highway and vehicle</t>
  </si>
  <si>
    <t xml:space="preserve">  PLANT RELATED</t>
  </si>
  <si>
    <t xml:space="preserve">         Property</t>
  </si>
  <si>
    <t xml:space="preserve">         Gross Receipts</t>
  </si>
  <si>
    <t xml:space="preserve">         Other</t>
  </si>
  <si>
    <t xml:space="preserve">         Payments in lieu of taxes</t>
  </si>
  <si>
    <t xml:space="preserve">INCOME TAXES          </t>
  </si>
  <si>
    <t xml:space="preserve">     CIT=(T/1-T) * (1-(WCLTD/R)) =</t>
  </si>
  <si>
    <t>Total Income Taxes</t>
  </si>
  <si>
    <t xml:space="preserve">RETURN </t>
  </si>
  <si>
    <t xml:space="preserve">                SUPPORTING CALCULATIONS AND NOTES</t>
  </si>
  <si>
    <t>TRANSMISSION PLANT INCLUDED IN ISO RATES</t>
  </si>
  <si>
    <t>TP=</t>
  </si>
  <si>
    <t>Form 1 Reference</t>
  </si>
  <si>
    <t>$</t>
  </si>
  <si>
    <t>Allocation</t>
  </si>
  <si>
    <t>354.20.b</t>
  </si>
  <si>
    <t>W&amp;S Allocator</t>
  </si>
  <si>
    <t xml:space="preserve">  Other</t>
  </si>
  <si>
    <t>($ / Allocation)</t>
  </si>
  <si>
    <t>=</t>
  </si>
  <si>
    <t>WS</t>
  </si>
  <si>
    <t>RETURN (R)</t>
  </si>
  <si>
    <t>Cost</t>
  </si>
  <si>
    <t>%</t>
  </si>
  <si>
    <t>Weighted</t>
  </si>
  <si>
    <t>A</t>
  </si>
  <si>
    <t>B</t>
  </si>
  <si>
    <t>C</t>
  </si>
  <si>
    <t>D</t>
  </si>
  <si>
    <t>E</t>
  </si>
  <si>
    <t>F</t>
  </si>
  <si>
    <t>G</t>
  </si>
  <si>
    <t>H</t>
  </si>
  <si>
    <t>I</t>
  </si>
  <si>
    <t>J</t>
  </si>
  <si>
    <t xml:space="preserve">         Inputs Required:</t>
  </si>
  <si>
    <t>SIT=</t>
  </si>
  <si>
    <t>p =</t>
  </si>
  <si>
    <t>May</t>
  </si>
  <si>
    <t>April</t>
  </si>
  <si>
    <t>DA</t>
  </si>
  <si>
    <t>December</t>
  </si>
  <si>
    <t>November</t>
  </si>
  <si>
    <t>September</t>
  </si>
  <si>
    <t>August</t>
  </si>
  <si>
    <t>July</t>
  </si>
  <si>
    <t>March</t>
  </si>
  <si>
    <t>February</t>
  </si>
  <si>
    <t>January</t>
  </si>
  <si>
    <t>October</t>
  </si>
  <si>
    <t xml:space="preserve">  CWIP</t>
  </si>
  <si>
    <t xml:space="preserve">  General &amp; Intangible</t>
  </si>
  <si>
    <t xml:space="preserve">  Account No. 255 (enter negative)</t>
  </si>
  <si>
    <t xml:space="preserve">  Prepayments (Account 165)</t>
  </si>
  <si>
    <t xml:space="preserve">  Amortization of Abandoned Plant</t>
  </si>
  <si>
    <t>June</t>
  </si>
  <si>
    <t>354.23.b</t>
  </si>
  <si>
    <t xml:space="preserve">     Less Account 566 (Misc Trans Expense)</t>
  </si>
  <si>
    <t>Account 566</t>
  </si>
  <si>
    <t>Total Account 566</t>
  </si>
  <si>
    <t>Utilizing FERC Form 1 Data</t>
  </si>
  <si>
    <t>True-up Adjustment with Interest</t>
  </si>
  <si>
    <t>K</t>
  </si>
  <si>
    <t xml:space="preserve">  Unamortized Regulatory Asset </t>
  </si>
  <si>
    <t xml:space="preserve">  Unamortized Abandoned Plant  </t>
  </si>
  <si>
    <t xml:space="preserve">  Account No. 454</t>
  </si>
  <si>
    <t>(Note D)</t>
  </si>
  <si>
    <t xml:space="preserve">     Less FERC Annual Fees</t>
  </si>
  <si>
    <t>Permanent Differences Tax Adjustment</t>
  </si>
  <si>
    <t>WAGES &amp; SALARY ALLOCATOR  (W&amp;S)</t>
  </si>
  <si>
    <t xml:space="preserve">  Preferred Stock  (112.3.c)</t>
  </si>
  <si>
    <t>REVENUE CREDITS</t>
  </si>
  <si>
    <t>References to data from FERC Form 1 are indicated as:  #.y.x  (page, line, column)</t>
  </si>
  <si>
    <t>(State Income Tax Rate or Composite SIT)</t>
  </si>
  <si>
    <t>(percent of federal income tax deductible for state purposes)</t>
  </si>
  <si>
    <t>TEP =</t>
  </si>
  <si>
    <t>(percent of the tax exempt ownership)</t>
  </si>
  <si>
    <t>M</t>
  </si>
  <si>
    <t>Removes transmission plant determined by Commission order to be state-jurisdictional according to the seven-factor test (until Form 1 balances are adjusted to reflect application of seven-factor test).</t>
  </si>
  <si>
    <t>P</t>
  </si>
  <si>
    <t>Q</t>
  </si>
  <si>
    <t>R</t>
  </si>
  <si>
    <t>O&amp;M EXPENSE</t>
  </si>
  <si>
    <t>Total O&amp;M Allocated to Transmission</t>
  </si>
  <si>
    <t>Annual Allocation Factor for O&amp;M</t>
  </si>
  <si>
    <t>(line 3 divided by line 1 col 3)</t>
  </si>
  <si>
    <t>5</t>
  </si>
  <si>
    <t>6</t>
  </si>
  <si>
    <t>(line 5 divided by line 1 col 3)</t>
  </si>
  <si>
    <t>TAXES OTHER THAN INCOME TAXES</t>
  </si>
  <si>
    <t>7</t>
  </si>
  <si>
    <t>Total Other Taxes</t>
  </si>
  <si>
    <t>8</t>
  </si>
  <si>
    <t>Annual Allocation Factor for Other Taxes</t>
  </si>
  <si>
    <t>(line 7 divided by line 1 col 3)</t>
  </si>
  <si>
    <t>9</t>
  </si>
  <si>
    <t>Annual Allocation Factor for Expense</t>
  </si>
  <si>
    <t>INCOME TAXES</t>
  </si>
  <si>
    <t>10</t>
  </si>
  <si>
    <t>11</t>
  </si>
  <si>
    <t>Annual Allocation Factor for Income Taxes</t>
  </si>
  <si>
    <t>12</t>
  </si>
  <si>
    <t>Return on Rate Base</t>
  </si>
  <si>
    <t>13</t>
  </si>
  <si>
    <t>Annual Allocation Factor for Return on Rate Base</t>
  </si>
  <si>
    <t>(line 12 divided by line 2 col 3)</t>
  </si>
  <si>
    <t>14</t>
  </si>
  <si>
    <t>Annual Allocation Factor for Return</t>
  </si>
  <si>
    <t>Page 2 of 2</t>
  </si>
  <si>
    <t>Line No.</t>
  </si>
  <si>
    <t xml:space="preserve">Project Gross Plant </t>
  </si>
  <si>
    <t>Annual Expense Charge</t>
  </si>
  <si>
    <t xml:space="preserve">Project Net Plant </t>
  </si>
  <si>
    <t>Annual Return Charge</t>
  </si>
  <si>
    <t>Annual Revenue Requirement</t>
  </si>
  <si>
    <t>True-Up Adjustment</t>
  </si>
  <si>
    <t>(Col. 3 * Col. 4)</t>
  </si>
  <si>
    <t>(Col. 6 * Col. 7)</t>
  </si>
  <si>
    <t>(Sum Col. 5, 8 &amp; 9)</t>
  </si>
  <si>
    <t>(Note F)</t>
  </si>
  <si>
    <t>Annual Totals</t>
  </si>
  <si>
    <t>Month</t>
  </si>
  <si>
    <t>Held for Future Use</t>
  </si>
  <si>
    <t xml:space="preserve">  Materials &amp; Supplies</t>
  </si>
  <si>
    <t xml:space="preserve">  Prepayments</t>
  </si>
  <si>
    <t xml:space="preserve">March </t>
  </si>
  <si>
    <t xml:space="preserve">August </t>
  </si>
  <si>
    <t>General &amp; Intangible</t>
  </si>
  <si>
    <t>15</t>
  </si>
  <si>
    <t>16</t>
  </si>
  <si>
    <t>(line 9 divided by line 1 col 3)</t>
  </si>
  <si>
    <t>Sum of line 4, 6, 8, and 10</t>
  </si>
  <si>
    <t>Sum of line 13 and 15</t>
  </si>
  <si>
    <t>Project Depreciation/Amortization Expense</t>
  </si>
  <si>
    <t>Incentive Return</t>
  </si>
  <si>
    <t>Less Revenue Credits</t>
  </si>
  <si>
    <t>Notes:</t>
  </si>
  <si>
    <t xml:space="preserve">A </t>
  </si>
  <si>
    <t>Total Annual Revenue Requirement</t>
  </si>
  <si>
    <t>Attachment 1</t>
  </si>
  <si>
    <t>Attachment 3</t>
  </si>
  <si>
    <t>Attachment 4</t>
  </si>
  <si>
    <t>Attachment 5</t>
  </si>
  <si>
    <t>Attachment 6</t>
  </si>
  <si>
    <t>December Prior Year</t>
  </si>
  <si>
    <t xml:space="preserve">December </t>
  </si>
  <si>
    <t>(a)</t>
  </si>
  <si>
    <t>(b)</t>
  </si>
  <si>
    <t>(c)</t>
  </si>
  <si>
    <t>(d)</t>
  </si>
  <si>
    <t>(f)</t>
  </si>
  <si>
    <t>(e)</t>
  </si>
  <si>
    <t>(g)</t>
  </si>
  <si>
    <t>(h)</t>
  </si>
  <si>
    <t>(i)</t>
  </si>
  <si>
    <t>Source</t>
  </si>
  <si>
    <t>Accumulated Depreciation</t>
  </si>
  <si>
    <t>Gross Plant In Service</t>
  </si>
  <si>
    <t>Working Capital</t>
  </si>
  <si>
    <t>CWIP</t>
  </si>
  <si>
    <t>Adjustments to Rate Base</t>
  </si>
  <si>
    <t xml:space="preserve">ACCOUNT 454 (RENT FROM ELECTRIC PROPERTY) </t>
  </si>
  <si>
    <t>GROSS REVENUE REQUIREMENT</t>
  </si>
  <si>
    <t xml:space="preserve">     Plus Transmission Related Reg. Comm. Exp.  </t>
  </si>
  <si>
    <t xml:space="preserve">TOTAL DEPRECIATION </t>
  </si>
  <si>
    <t>TOTAL OTHER TAXES</t>
  </si>
  <si>
    <t>TOTAL GROSS PLANT</t>
  </si>
  <si>
    <t xml:space="preserve">TOTAL ACCUM. DEPRECIATION </t>
  </si>
  <si>
    <t xml:space="preserve">TOTAL ADJUSTMENTS </t>
  </si>
  <si>
    <t>TOTAL NET PLANT</t>
  </si>
  <si>
    <t xml:space="preserve">TOTAL REVENUE CREDITS </t>
  </si>
  <si>
    <t xml:space="preserve">TOTAL WORKING CAPITAL  </t>
  </si>
  <si>
    <t xml:space="preserve">RATE BASE </t>
  </si>
  <si>
    <t>TOTAL O&amp;M</t>
  </si>
  <si>
    <t xml:space="preserve">Total </t>
  </si>
  <si>
    <t xml:space="preserve">Total Transmission plant  </t>
  </si>
  <si>
    <t xml:space="preserve">Less Transmission plant excluded from ISO rates  </t>
  </si>
  <si>
    <t>(Line 1 minus Lines 2 &amp; 3)</t>
  </si>
  <si>
    <t>Transmission plant included in ISO rates</t>
  </si>
  <si>
    <t xml:space="preserve">Percentage of Transmission plant included in ISO Rates  </t>
  </si>
  <si>
    <t>(Sum of Lines 7 through 10)</t>
  </si>
  <si>
    <t xml:space="preserve">  Long Term Debt </t>
  </si>
  <si>
    <t>Amortized Investment Tax Credit</t>
  </si>
  <si>
    <t xml:space="preserve">Income Tax Calculation </t>
  </si>
  <si>
    <t xml:space="preserve">ITC adjustment </t>
  </si>
  <si>
    <t xml:space="preserve">Total Income Taxes </t>
  </si>
  <si>
    <t xml:space="preserve">     FIT &amp; SIT &amp; P</t>
  </si>
  <si>
    <t>(Note G)</t>
  </si>
  <si>
    <t xml:space="preserve">     T=1 - {[(1 - SIT) * (1 - FIT)] / (1 - SIT * FIT * p)} * (1-TEP)</t>
  </si>
  <si>
    <t>Attachment 2</t>
  </si>
  <si>
    <t>100 Basis Point Incentive Return</t>
  </si>
  <si>
    <t>Amortized Investment Tax Credit (266.8f) (enter negative)</t>
  </si>
  <si>
    <t xml:space="preserve">Rate Base Worksheet </t>
  </si>
  <si>
    <t xml:space="preserve">Average of the 13 Monthly Balances </t>
  </si>
  <si>
    <t>Account No. 255
Accumulated Deferred Investment Credit</t>
  </si>
  <si>
    <t xml:space="preserve">  Production </t>
  </si>
  <si>
    <t xml:space="preserve">  Distribution </t>
  </si>
  <si>
    <t>Attachment 4, Line 14, Col. (b)</t>
  </si>
  <si>
    <t>Attachment 4, Line 14, Col. (c)</t>
  </si>
  <si>
    <t>205.46.g for end of year, records for other months</t>
  </si>
  <si>
    <t>207.75.g for end of year, records for other months</t>
  </si>
  <si>
    <t>219.20-24.c for end of year, records for other months</t>
  </si>
  <si>
    <t>219.26.c for end of year, records for other months</t>
  </si>
  <si>
    <t xml:space="preserve">ADJUSTMENTS TO RATE BASE </t>
  </si>
  <si>
    <t>Attachment 4, Line 14, Col. (g)</t>
  </si>
  <si>
    <t>354.21.b</t>
  </si>
  <si>
    <t>354.24,25,26.b</t>
  </si>
  <si>
    <t>(14)</t>
  </si>
  <si>
    <t>(15)</t>
  </si>
  <si>
    <t xml:space="preserve">  Common Stock</t>
  </si>
  <si>
    <t>Tax Effect of Permanent Differences</t>
  </si>
  <si>
    <t>(Page 1 line 11)</t>
  </si>
  <si>
    <t>(Page 1 line 16)</t>
  </si>
  <si>
    <t xml:space="preserve">Notes: </t>
  </si>
  <si>
    <t>The Tax Effect of Permanent Differences captures the differences in the income taxes due under the Federal and State calculations and the income taxes calculated</t>
  </si>
  <si>
    <t>Rate Base times Return</t>
  </si>
  <si>
    <t>Interest</t>
  </si>
  <si>
    <t>Common Stock</t>
  </si>
  <si>
    <t>207.58.g for end of year, records for other months</t>
  </si>
  <si>
    <t>219.25.c for end of year, records for other months</t>
  </si>
  <si>
    <t>219.28.c &amp; 200.21.c for end of year, records for other months</t>
  </si>
  <si>
    <t>227.8.c &amp; 227.16.c for end of year, records for other months</t>
  </si>
  <si>
    <t>Revenue</t>
  </si>
  <si>
    <t>Under/(Over)</t>
  </si>
  <si>
    <t>Rate Base</t>
  </si>
  <si>
    <t xml:space="preserve">  Preferred Stock  </t>
  </si>
  <si>
    <t xml:space="preserve">      WCLTD = Line 3</t>
  </si>
  <si>
    <t>Tax Effect of Permanent Differences  (Note B)</t>
  </si>
  <si>
    <t>Rate Base (line 1)</t>
  </si>
  <si>
    <t>(Attachment 2, Line 28 Incentive Return * Col. 6)</t>
  </si>
  <si>
    <t>Incentive ROE</t>
  </si>
  <si>
    <t>205.5.g &amp; 207.99.g for end of year, records for other months</t>
  </si>
  <si>
    <t>Note A</t>
  </si>
  <si>
    <t>Note B</t>
  </si>
  <si>
    <t>List of all reserves:</t>
  </si>
  <si>
    <t xml:space="preserve">Allocation (Plant or Labor Allocator) </t>
  </si>
  <si>
    <t>Amount Allocated, col. c x col. d x col. e x col. f x col. g</t>
  </si>
  <si>
    <t>Reserve 1</t>
  </si>
  <si>
    <t>Reserve 2</t>
  </si>
  <si>
    <t>Page 1 of 3</t>
  </si>
  <si>
    <t>Requirement Calculation</t>
  </si>
  <si>
    <t>Requirement</t>
  </si>
  <si>
    <t>Annual True-Up Calculation</t>
  </si>
  <si>
    <t>% of</t>
  </si>
  <si>
    <t>Net Revenue</t>
  </si>
  <si>
    <t>Income</t>
  </si>
  <si>
    <t>Project Name</t>
  </si>
  <si>
    <t>Received</t>
  </si>
  <si>
    <t xml:space="preserve"> Project #</t>
  </si>
  <si>
    <t>Page 3 of 3</t>
  </si>
  <si>
    <t>Page 2 of 3</t>
  </si>
  <si>
    <t>Prior Period</t>
  </si>
  <si>
    <t xml:space="preserve"> Total  (W&amp; S Allocator is 1 if lines 7-10 are zero)</t>
  </si>
  <si>
    <t>Prior Period Adjustment</t>
  </si>
  <si>
    <t>(line 14 divided by line 2 col 3)</t>
  </si>
  <si>
    <t>3a</t>
  </si>
  <si>
    <t>3b</t>
  </si>
  <si>
    <t>Total True-Up</t>
  </si>
  <si>
    <t xml:space="preserve">(Federal Income Tax Rate) </t>
  </si>
  <si>
    <t>Recovery of abandoned plant is limited to any abandoned plant recovery authorized by FERC.</t>
  </si>
  <si>
    <t>CWIP in Rate Base</t>
  </si>
  <si>
    <t xml:space="preserve">  Unfunded Reserves (enter negative)</t>
  </si>
  <si>
    <t>Annual Allocation Factor for Revenue Credits</t>
  </si>
  <si>
    <t xml:space="preserve">Revenue </t>
  </si>
  <si>
    <t xml:space="preserve">Net </t>
  </si>
  <si>
    <t>Attachment 8</t>
  </si>
  <si>
    <t>Attachment 9</t>
  </si>
  <si>
    <t>(Line 4 divided by Line 1) (If line 1 is zero, enter 1)</t>
  </si>
  <si>
    <t>NET ANNUAL TRANSMISSION REVENUE REQUIREMENT</t>
  </si>
  <si>
    <t>General Note:  References to pages in this formula rate template are indicated as:  (page#, line#, col.#)</t>
  </si>
  <si>
    <t>Other</t>
  </si>
  <si>
    <t>Page 1 of 1</t>
  </si>
  <si>
    <t>True-Up Interest Rate Calculation</t>
  </si>
  <si>
    <t>Rate Year January</t>
  </si>
  <si>
    <t>Rate Year February</t>
  </si>
  <si>
    <t>Rate Year March</t>
  </si>
  <si>
    <t>Rate Year April</t>
  </si>
  <si>
    <t>Rate Year May</t>
  </si>
  <si>
    <t>Rate Year June</t>
  </si>
  <si>
    <t>Rate Year July</t>
  </si>
  <si>
    <t>Rate Year August</t>
  </si>
  <si>
    <t>Rate Year September</t>
  </si>
  <si>
    <t>Rate Year October</t>
  </si>
  <si>
    <t>Rate Year November</t>
  </si>
  <si>
    <t>Rate Year December</t>
  </si>
  <si>
    <t xml:space="preserve">321.112.b </t>
  </si>
  <si>
    <t>321.97.b</t>
  </si>
  <si>
    <t>321.96.b</t>
  </si>
  <si>
    <t>336.7.b&amp;d</t>
  </si>
  <si>
    <t>336.10.b&amp;d, 336.1.b&amp;d</t>
  </si>
  <si>
    <t>266.8f (enter negative)</t>
  </si>
  <si>
    <t>Applicable FERC Interest Rate (Note A):</t>
  </si>
  <si>
    <t>This Attachment is used to compute the interest rate to be applied to each year's revenue requirement true-up.</t>
  </si>
  <si>
    <t>Long Term Debt</t>
  </si>
  <si>
    <t>Monthly Average rate</t>
  </si>
  <si>
    <t>Description</t>
  </si>
  <si>
    <t>Total Annual Revenue Requirements</t>
  </si>
  <si>
    <t>Adjustment with</t>
  </si>
  <si>
    <t>Adjustment</t>
  </si>
  <si>
    <t>Correction</t>
  </si>
  <si>
    <t>True-Up</t>
  </si>
  <si>
    <r>
      <t>(Expense)</t>
    </r>
    <r>
      <rPr>
        <vertAlign val="superscript"/>
        <sz val="8"/>
        <rFont val="Times New Roman"/>
        <family val="1"/>
      </rPr>
      <t>4</t>
    </r>
  </si>
  <si>
    <r>
      <rPr>
        <sz val="10"/>
        <rFont val="Times New Roman"/>
        <family val="1"/>
      </rPr>
      <t>Interest</t>
    </r>
    <r>
      <rPr>
        <sz val="8"/>
        <rFont val="Times New Roman"/>
        <family val="1"/>
      </rPr>
      <t xml:space="preserve"> </t>
    </r>
    <r>
      <rPr>
        <vertAlign val="superscript"/>
        <sz val="10"/>
        <rFont val="Times New Roman"/>
        <family val="1"/>
      </rPr>
      <t>5</t>
    </r>
  </si>
  <si>
    <t>(Note 5)</t>
  </si>
  <si>
    <t>Actual True-Up Year</t>
  </si>
  <si>
    <t>Projected True-Up Year Revenue</t>
  </si>
  <si>
    <t>(Note E)</t>
  </si>
  <si>
    <t>Calendar Year</t>
  </si>
  <si>
    <t>Impact of</t>
  </si>
  <si>
    <t>Corrected Revenue Requirement</t>
  </si>
  <si>
    <t>Attachment 10</t>
  </si>
  <si>
    <t>Attachment 11</t>
  </si>
  <si>
    <t>Filing Name and Date</t>
  </si>
  <si>
    <t>Description of Correction 2</t>
  </si>
  <si>
    <t>Total Corrections</t>
  </si>
  <si>
    <t>Interest on Correction</t>
  </si>
  <si>
    <t>Incentive Return in Basis Points</t>
  </si>
  <si>
    <t>Gross Transmission Plant plus CWIP</t>
  </si>
  <si>
    <t>Net Transmission Plant plus CWIP and Abandoned Plant</t>
  </si>
  <si>
    <t xml:space="preserve">Project Gross Plant is the total capital investment including CWIP for the project calculated from Company books and records in the same method as the gross plant value in line 1.  This value includes subsequent capital investments required to maintain the facilities to their original capabilities. </t>
  </si>
  <si>
    <t>Requires approval by FERC of incentive return applicable to the specified project(s).</t>
  </si>
  <si>
    <t>1a</t>
  </si>
  <si>
    <t>1b</t>
  </si>
  <si>
    <t>(Note A)</t>
  </si>
  <si>
    <t xml:space="preserve">Recovery of a Regulatory Asset is permitted only for pre-commercial and formation expenses, and is subject to FERC approval before the amortization of the Regulatory Asset can be included in rates.  Recovery of any other regulatory assets requires authorization from the Commission. </t>
  </si>
  <si>
    <t>(Sum of Lines 1 through 4)</t>
  </si>
  <si>
    <t>Total G &amp; I Depreciation Expense</t>
  </si>
  <si>
    <t>GENERAL AND INTANGIBLE (G &amp; I) DEPRECIATION EXPENSE</t>
  </si>
  <si>
    <t>Total  (sum lines 3-5)</t>
  </si>
  <si>
    <t xml:space="preserve">Attachment 4, Line 14, Col. (f) </t>
  </si>
  <si>
    <t xml:space="preserve">Page 3, Line 8-Add back Regulatory Commission Expenses directly related to transmission service, ISO filings, or transmission siting itemized at 351.h. </t>
  </si>
  <si>
    <t>Notes</t>
  </si>
  <si>
    <t xml:space="preserve">    Amortization of Regulatory Asset</t>
  </si>
  <si>
    <t>Plant In Service, Accumulated Depreciation, and Depreciation Expenses shall exclude Asset Retirement Obligation amounts.</t>
  </si>
  <si>
    <t>N</t>
  </si>
  <si>
    <t xml:space="preserve">DEPRECIATION EXPENSE </t>
  </si>
  <si>
    <t>WORKING CAPITAL</t>
  </si>
  <si>
    <t xml:space="preserve">ACCUMULATED DEPRECIATION </t>
  </si>
  <si>
    <t xml:space="preserve">GROSS PLANT IN SERVICE </t>
  </si>
  <si>
    <t>O</t>
  </si>
  <si>
    <t>Less Transmission plant included in OATT Ancillary Service rates</t>
  </si>
  <si>
    <t>S</t>
  </si>
  <si>
    <t>T</t>
  </si>
  <si>
    <t>U</t>
  </si>
  <si>
    <t>Includes only income related to transmission facilities, such as pole attachments, rentals and special use from general ledger.</t>
  </si>
  <si>
    <t xml:space="preserve">Removes dollar amount of transmission plant to be included in the development of OATT ancillary services rates and generation step-up facilities, which are deemed to be included in OATT ancillary services.  For these purposes, generation step-up facilities are those facilities at a generator substation on which there is no through-flow when the generator is shut down.  </t>
  </si>
  <si>
    <t>RTEP Project Number Or Other Identifier</t>
  </si>
  <si>
    <t>(Note I)</t>
  </si>
  <si>
    <t>Formula Rate True-Up</t>
  </si>
  <si>
    <t>Revenue Req.</t>
  </si>
  <si>
    <t>(E, Line 2 ) x (D)</t>
  </si>
  <si>
    <t>Collection  (F)-(E)</t>
  </si>
  <si>
    <t>(G) + (H) + (I)</t>
  </si>
  <si>
    <t>Allocation of</t>
  </si>
  <si>
    <t xml:space="preserve">     Less: Non-safety Advertising account 930.1</t>
  </si>
  <si>
    <t xml:space="preserve">     Less Reg. Commission Expense Account 928</t>
  </si>
  <si>
    <t xml:space="preserve">    Misc. Transmission Expense (less amort. of regulatory asset)</t>
  </si>
  <si>
    <t xml:space="preserve">     Plus Transmission Lease Payments in Acct 565</t>
  </si>
  <si>
    <t>Net Revenue Requirement</t>
  </si>
  <si>
    <t>Average rate</t>
  </si>
  <si>
    <t>Rate Year Plus 1 January</t>
  </si>
  <si>
    <t>Rate Year Plus 1 February</t>
  </si>
  <si>
    <t>Rate Year Plus 1 March</t>
  </si>
  <si>
    <t>Rate Year Plus 1 April</t>
  </si>
  <si>
    <t>Rate Year Plus 1 May</t>
  </si>
  <si>
    <t xml:space="preserve">Add back any lease expense of transmission assets used to provide service under this tariff included in account 565. Amount to be obtained from company books and records. </t>
  </si>
  <si>
    <t>Identified in FERC Form 1, or Company records if not so indicated on the FERC Form 1, as being transmission related.</t>
  </si>
  <si>
    <t>Project Revenue Requirement Worksheet</t>
  </si>
  <si>
    <t>PJM Category</t>
  </si>
  <si>
    <t>Zonal</t>
  </si>
  <si>
    <t>Total Schedule 12</t>
  </si>
  <si>
    <t>Total Zonal</t>
  </si>
  <si>
    <t>Or Other</t>
  </si>
  <si>
    <t>Identifier</t>
  </si>
  <si>
    <t>True-Up Adjustment is calculated on the Project True-up Schedule for the relevant true-up year.</t>
  </si>
  <si>
    <t>This Attachment 3 is used to calculate the annual formula rate true-up. Any projects for which the RTO requires a true-up on an individual project basis, as shown on Attachment 1, will be computed separately. The remainder of the revenue requirement will also be trued up. The utility will individually enter the projected true-up year revenue requirements in Column C. A percentage of total will be calculated in Column D. Actual revenue received during the true-up year is entered into Column E, line 2 and allocated using the Column D percentage. The utility will prepare this formula rate template with the actual inputs for the true-up year, with the resulting revenue requirement for each line being separately entered in Column F.  In Col. G, Col. F is subtracted from Col. E to calculate the true-up adjustment. Interest on the true-up is computed in Column H. Any adjustments to prior period true-ups are entered in Col. I. Col. J computes the total true-up as the sum of Cols. G, H and I.</t>
  </si>
  <si>
    <t>4a</t>
  </si>
  <si>
    <t>4b</t>
  </si>
  <si>
    <t>6a</t>
  </si>
  <si>
    <t>6b</t>
  </si>
  <si>
    <t>Line:</t>
  </si>
  <si>
    <t>216.b for end of year, records for other months</t>
  </si>
  <si>
    <t>Total CWIP</t>
  </si>
  <si>
    <t>Company records</t>
  </si>
  <si>
    <t>CWIP Allowed in Rate Base</t>
  </si>
  <si>
    <t>Page 1 of 2</t>
  </si>
  <si>
    <t>Attachment 4, Line 43, Col. (h)</t>
  </si>
  <si>
    <t>Note B - page 2, column C</t>
  </si>
  <si>
    <t>Over (Under) Recovery</t>
  </si>
  <si>
    <t>Less</t>
  </si>
  <si>
    <t>Equals</t>
  </si>
  <si>
    <t>Interest Rate on Amount of Refunds or Surcharges</t>
  </si>
  <si>
    <t>Over (Under) Recovery Plus Interest</t>
  </si>
  <si>
    <t>Months</t>
  </si>
  <si>
    <t>Calculated Interest</t>
  </si>
  <si>
    <t>Amortization</t>
  </si>
  <si>
    <t>Surcharge (Refund) Owed</t>
  </si>
  <si>
    <t xml:space="preserve">An over or under collection will be recovered prorata over year collected, held for one year and returned prorata over next year </t>
  </si>
  <si>
    <t>Calculation of Interest</t>
  </si>
  <si>
    <t>Monthly</t>
  </si>
  <si>
    <t>Annual</t>
  </si>
  <si>
    <t>Over (Under) Recovery Plus Interest Amortized and Recovered Over 12 Months</t>
  </si>
  <si>
    <t>Total Amount of True-Up Adjustment</t>
  </si>
  <si>
    <t>Less Over (Under) Recovery</t>
  </si>
  <si>
    <t>Total Interest</t>
  </si>
  <si>
    <t>Interest on True-Up</t>
  </si>
  <si>
    <t>Attachment 6a</t>
  </si>
  <si>
    <t xml:space="preserve">Total Interest on True-Up - Attachment 6 </t>
  </si>
  <si>
    <t xml:space="preserve">  Cash Working Capital</t>
  </si>
  <si>
    <t>Page 3 of 5</t>
  </si>
  <si>
    <t>Page 2 of 5</t>
  </si>
  <si>
    <t>Page 1 of 5</t>
  </si>
  <si>
    <t>Page 4 of 5</t>
  </si>
  <si>
    <t>Page 5 of 5</t>
  </si>
  <si>
    <t>Unamortized Abandoned Plant and Amortization of Abandoned Plant will be zero until the Commission accepts or approves recovery of the cost of Abandoned Plant.  Utility must submit a Section 205 filing to recover the cost of abandoned plant.</t>
  </si>
  <si>
    <t>General and Intangible Depreciation and Amortization Expense includes all expense not directly associated with a project, which is entered on page 3 , column 9.</t>
  </si>
  <si>
    <t>For example, if the Commission were to grant a 150 basis point ROE incentive, the increase in return and taxes for a 100 basis point</t>
  </si>
  <si>
    <t>increase in ROE would be multiplied by 1.5 on Attachment 1 column 12.</t>
  </si>
  <si>
    <t>Enter 1 if the accrual account is included in the formula rate, enter (0) if the accrual account is NOT included in the formula rate</t>
  </si>
  <si>
    <t xml:space="preserve">The interest rate on corrections will be the average monthly FERC interest rate for the period from the beginning of the year being corrected through the most recent  month available as of the time the correction is computed and included in an annual filing. </t>
  </si>
  <si>
    <t>Original Revenue Requirement</t>
  </si>
  <si>
    <t>Line 7</t>
  </si>
  <si>
    <t>Line 4 + 5</t>
  </si>
  <si>
    <t>line 2 + 7</t>
  </si>
  <si>
    <t>Total Annual Refunds Due to Customers</t>
  </si>
  <si>
    <t>Line 12+16</t>
  </si>
  <si>
    <t>The number of months interest due on the correction will be the number of months from the beginning of the year being corrected through June of the year in which the correction will be reflected in rates. In this manner the interest computed will reflect all years prior to when the correction is reflected in rates plus interest on the average unrefunded balance of the correction during the year the correction is reflected in rates.</t>
  </si>
  <si>
    <t>Number of Months of Interest</t>
  </si>
  <si>
    <t>Line 12 x 14 x 15</t>
  </si>
  <si>
    <t>Average Monthly FERC Refund Rate</t>
  </si>
  <si>
    <t>1)</t>
  </si>
  <si>
    <t>2)</t>
  </si>
  <si>
    <t>3)</t>
  </si>
  <si>
    <t>4)</t>
  </si>
  <si>
    <t>5)</t>
  </si>
  <si>
    <t xml:space="preserve"> Corrections to true-ups for previous rate years including interest will be computed on Attachment 11 and entered on the appropriate line 3-8 above.</t>
  </si>
  <si>
    <t xml:space="preserve">LAND HELD FOR FUTURE USE </t>
  </si>
  <si>
    <t>Any hypothetical amounts or project names in a filed template will be removed and replaced with actual amounts in the first year actual values are available without the need for a section 205 filing to modify the template.</t>
  </si>
  <si>
    <t>FIT=</t>
  </si>
  <si>
    <t>Account 454 - Rent from Electric Property</t>
  </si>
  <si>
    <t>Note 1</t>
  </si>
  <si>
    <t>Joint pole attachments - telephone</t>
  </si>
  <si>
    <t>Joint pole attachments - cable</t>
  </si>
  <si>
    <t>Underground rentals</t>
  </si>
  <si>
    <t>Transmission tower wireless rentals</t>
  </si>
  <si>
    <t>Other rentals</t>
  </si>
  <si>
    <t>Revenue Credit Detail</t>
  </si>
  <si>
    <t>Monthly Interest Rate on Attachment 6a</t>
  </si>
  <si>
    <t>Company books</t>
  </si>
  <si>
    <t>Over/Under recovery deferral</t>
  </si>
  <si>
    <t>PJM NITS</t>
  </si>
  <si>
    <t>PJM Point to Point</t>
  </si>
  <si>
    <t>Form 1 300.19.b</t>
  </si>
  <si>
    <t>Form 1 330.n</t>
  </si>
  <si>
    <t>Account 454 Revenue Credit</t>
  </si>
  <si>
    <t>Transmission-related</t>
  </si>
  <si>
    <t>Less: Non Transmission</t>
  </si>
  <si>
    <t>(c ) = (a)- (b)</t>
  </si>
  <si>
    <t>Other PJM revenues</t>
  </si>
  <si>
    <t>(Note 1)</t>
  </si>
  <si>
    <t>Less: revenues received pursuant to this Formula Rate</t>
  </si>
  <si>
    <t xml:space="preserve">  Total Per Books</t>
  </si>
  <si>
    <t>Account 456.1 Revenue Credit</t>
  </si>
  <si>
    <t>Less: Over/Under recovery deferral</t>
  </si>
  <si>
    <t>Actual Net Revenue Requirement  (Note B)</t>
  </si>
  <si>
    <t>Projected Revenue Requirement (Note A)</t>
  </si>
  <si>
    <t>Prior Period Adjustments</t>
  </si>
  <si>
    <t>Reconciliation of CWIP in Rate Base to FERC Form 1 - Note B</t>
  </si>
  <si>
    <t>Recovery of CWIP in rate base must be approved by FERC.  Lines 29-41 of page 2 provide a reconciliation of the Company's total CWIP to the CWIP allowed in rate base. The annual report filed pursuant to the Protocols will include for each project under construction (i) the CWIP balance eligible for inclusion in rate base; (ii) the CWIP balance ineligible for inclusion in rate base; and  (iii) a demonstration that AFUDC is only applied to the CWIP balance that is not included in rate base.  The annual report will also describe the reconciliation prepared on this Attachment.</t>
  </si>
  <si>
    <t>January through December</t>
  </si>
  <si>
    <t>True-Up Year</t>
  </si>
  <si>
    <t>Line 
No</t>
  </si>
  <si>
    <t>321.97b less line 14</t>
  </si>
  <si>
    <t xml:space="preserve">263.i </t>
  </si>
  <si>
    <t>214.c for end of year, records for other months</t>
  </si>
  <si>
    <t>The FERC's annual charges for the year assessed the Transmission Owner for service under this tariff. To the extent the charges are separately identified on the FERC Form 1 page 350, column I, the line number will be added to the source in Column 2 for reference. Line item references can change from year to year. Items not specifically identified on the FERC Form 1 page 350 will be obtained from Company books and records.</t>
  </si>
  <si>
    <t>Annual Allocation Factor for G &amp; I Depreciation Expense</t>
  </si>
  <si>
    <t xml:space="preserve">     T=1 - {[(1 - SIT) * (1 - FIT)] / (1 - SIT * FIT * p)} = * (1-TEP)</t>
  </si>
  <si>
    <t>Prior Period Adjustments or Corrections</t>
  </si>
  <si>
    <t>From the Attachment 1, Page 3 of 3, line 1 or 3, col. 16 from the template in which the true-up year revenue requirement was initially projected.</t>
  </si>
  <si>
    <t>From True-Up revenue requirement template Attachment 1, page 3 of 3, line 1 or 3, col. 14.</t>
  </si>
  <si>
    <t>Interest due on the true up is calculated for the 24 month period from the start of the true-up year until the end of the year following the true-up year when the true up will be included in rates. Total True up Interest calculated on Attachment 6 and allocated to projects based on the percentage in Column D.</t>
  </si>
  <si>
    <t>Return and Income Taxes with 100 basis point increase in ROE</t>
  </si>
  <si>
    <t>Return and Income Taxes without 100 basis point increase in ROE</t>
  </si>
  <si>
    <t>Incremental Return and Income Taxes for 100 basis point increase in ROE</t>
  </si>
  <si>
    <t>Incremental Return and Income Taxes for 100 basis point increase in ROE divided by Rate Base</t>
  </si>
  <si>
    <t>Line 5 includes a 100 basis point increase in ROE that is used only to determine the increase in return and income taxes associated with</t>
  </si>
  <si>
    <t>a 100 basis point increase in ROE.  Any ROE actual incentive must be approved by the Commission.</t>
  </si>
  <si>
    <t>100 Basis Point Incentive Return multiplied by Rate Base (line 1 * line 6)</t>
  </si>
  <si>
    <t>Rate Year Plus 1 June</t>
  </si>
  <si>
    <t>Rate Year Plus 1 July</t>
  </si>
  <si>
    <t>Rate Year Plus 1 August</t>
  </si>
  <si>
    <t>Note A - Lines 1-20 are the FERC interest rates under section 35.19a  of the regulations for the period shown. Line 21 is the average of lines 1-20.</t>
  </si>
  <si>
    <t>(b.i)</t>
  </si>
  <si>
    <t>(b.ii)</t>
  </si>
  <si>
    <t>FERC balance sheet account where reserves are recorded</t>
  </si>
  <si>
    <t>FERC income statement account where reserves are recorded</t>
  </si>
  <si>
    <t>Balance of Account 255 will be reduced by prior flow throughs and excluded if the utility chooses to utilize amortization of tax credits against taxable income.</t>
  </si>
  <si>
    <t>Beginning Balance</t>
  </si>
  <si>
    <t>Ending Balance</t>
  </si>
  <si>
    <t xml:space="preserve">Recovery of Regulatory Asset permitted only for pre-commercial and formation expenses as authorized by the Commission.  Recovery of any other regulatory assets requires authorization from the Commission. A carrying charge equal to the AFUDC rate will be applied to the Regulatory Asset prior to the rate year when costs are first recovered. </t>
  </si>
  <si>
    <t xml:space="preserve">  Accounts 456.0 and 456.1</t>
  </si>
  <si>
    <t>The revenues credited on page 1 lines 2-6 shall include revenues related to the Transmission Owner's integrated transmission facilities, including revenues for any load which is not included in the divisor used to derive the annual rate.  They do not include revenues associated with FERC annual charges, gross receipts taxes, or facilities not included in this template (e.g., direct assignment facilities and GSUs) which are not recovered under this Rate Formula Template.</t>
  </si>
  <si>
    <t>Account 456.0 Other Operating Revenues</t>
  </si>
  <si>
    <t>Form 1 300.21.b</t>
  </si>
  <si>
    <t>Account 456.1 Revenues from Transmission of Electricity for Others</t>
  </si>
  <si>
    <t>Total 456.0 and 456.1 Revenue Credits</t>
  </si>
  <si>
    <t>Account 456.0 Revenue Credit</t>
  </si>
  <si>
    <t xml:space="preserve">All 454, 456.0 and 456.1 revenues will be detailed from Company books and records or FERC Form 1, and additional rows added if necessary. Non-transmission related amounts will be deducted to determine transmission-related amounts. Revenues that are not derived from PJM rates which are based on this transmission formula rate will be included as a revenue credit.   </t>
  </si>
  <si>
    <t>ACCOUNTS 456.0 AND 456.1 (OTHER ELECTRIC REVENUES)</t>
  </si>
  <si>
    <t xml:space="preserve">Plant </t>
  </si>
  <si>
    <t>Labor</t>
  </si>
  <si>
    <t>Related</t>
  </si>
  <si>
    <t>(A)</t>
  </si>
  <si>
    <t>(B)</t>
  </si>
  <si>
    <t>(D)</t>
  </si>
  <si>
    <t>(E)</t>
  </si>
  <si>
    <t>(F)</t>
  </si>
  <si>
    <t>(G)</t>
  </si>
  <si>
    <t>(H)</t>
  </si>
  <si>
    <t>Overpayments of Income Taxes shall be excluded from Prepayments if the overpayments are not used to reduce future tax liability.</t>
  </si>
  <si>
    <t>Project Net Plant is the Project Gross Plant Identified in Column 3 less the associated Accumulated Depreciation plus CWIP in rate base, if applicable and Unamortized Abandoned Plant, if applicable.</t>
  </si>
  <si>
    <t>Less: CWIP Excluded from Rate Base</t>
  </si>
  <si>
    <t>Less: AFUDC Excluded from Rate Base</t>
  </si>
  <si>
    <t>( d )= (a) - (b) - ( c )</t>
  </si>
  <si>
    <t>Account No. 281
Accumulated Deferred Income Taxes (Note E)</t>
  </si>
  <si>
    <t>Account No. 282
Accumulated Deferred Income Taxes (Note E)</t>
  </si>
  <si>
    <t>Account No. 283
Accumulated Deferred Income Taxes (Note E)</t>
  </si>
  <si>
    <t>Account No. 190
Accumulated Deferred Income Taxes (Note E)</t>
  </si>
  <si>
    <t>Att. 4a &amp; Att. 4b</t>
  </si>
  <si>
    <t xml:space="preserve">  Account No. 281 (enter negative)</t>
  </si>
  <si>
    <t xml:space="preserve">  Account No. 282 (enter negative)</t>
  </si>
  <si>
    <t xml:space="preserve">  Account No. 283 (enter negative)</t>
  </si>
  <si>
    <t xml:space="preserve">  Account No. 190 </t>
  </si>
  <si>
    <t>Consistent with 266.8.b &amp; 267.8.h</t>
  </si>
  <si>
    <t>Calculate using 13 month average balance, except ADIT which is calculated as described in Note E.</t>
  </si>
  <si>
    <t>Balances in Accounts 190, 281, 282 and 283 classified in the FERC Form 1 as Electric-related, as adjusted by any amounts in contra accounts identified as regulatory assets or liabilities related to FASB 106 or 109.  Excludes ARO-related items. Balance of Account 255 will be reduced by prior flow throughs and excluded if the utility chooses to utilize amortization of tax credits against taxable income.  Account 281 is not allocated to Transmission. For rate projections, the ADIT calculation will include a proration of accelerated tax depreciation-related deferred taxes in accordance with Section 1.167(l)-1(h)(6)(ii) of the IRS regulations.</t>
  </si>
  <si>
    <t>Recovery of CWIP in rate base must be approved by FERC.  Attachment 4 provides a reconciliation of the Company's total CWIP to the CWIP allowed in rate base. The annual report filed pursuant to the Protocols will include for each project under construction (i) the CWIP balance eligible for inclusion in rate base; (ii) the CWIP balance ineligible for inclusion in rate base; and  (iii) a demonstration that AFUDC is only applied to the CWIP balance that is not included in rate base.  The annual report will also describe the reconciliation prepared on Attachment 4.</t>
  </si>
  <si>
    <t>Worksheet 4a - ADIT Average Balances</t>
  </si>
  <si>
    <t>I.  Account 281 - ADIT - Accelerated Amortization Property</t>
  </si>
  <si>
    <t>(C)</t>
  </si>
  <si>
    <t>(I)</t>
  </si>
  <si>
    <t>100%</t>
  </si>
  <si>
    <t>Total Included</t>
  </si>
  <si>
    <t>Non-Transmission</t>
  </si>
  <si>
    <t>Related to Facilities</t>
  </si>
  <si>
    <t>in Ratebase</t>
  </si>
  <si>
    <t>Identification</t>
  </si>
  <si>
    <t>Worksheet 4b</t>
  </si>
  <si>
    <t>Excluded</t>
  </si>
  <si>
    <t>(E)+(F)+(G)</t>
  </si>
  <si>
    <t>Description / Justification</t>
  </si>
  <si>
    <t>Net Total Property and Accumulated Depreciation</t>
  </si>
  <si>
    <t>Subtotal - Form 1, Avg. (272.17.b &amp; 273.17.k)</t>
  </si>
  <si>
    <t>Less FASB 109 Above if not separately removed</t>
  </si>
  <si>
    <t>Less FASB 106 and Other Excludable Items Above if not separately removed</t>
  </si>
  <si>
    <t>Transmission Allocator [ GP or W/S ]</t>
  </si>
  <si>
    <t>II.  Account 282 - ADIT - Other Property</t>
  </si>
  <si>
    <t>Subtotal - Form 1, Avg. (274.9.b &amp; 275.9.k)</t>
  </si>
  <si>
    <t>III.  Account 283 - ADIT - Other</t>
  </si>
  <si>
    <t>Subtotal - Form 1, Avg. (276.19.b &amp; 277.19.k)</t>
  </si>
  <si>
    <t>IV.  Account 190 - ADIT</t>
  </si>
  <si>
    <t>Subtotal - Form 1, Avg. (234.17.b &amp; 234.17.c)</t>
  </si>
  <si>
    <t>Worksheet 4b - Beginning &amp; Ending Balances</t>
  </si>
  <si>
    <t>AVG Bal</t>
  </si>
  <si>
    <t>Dr. (Cr.)</t>
  </si>
  <si>
    <t>to Worksheet 4a</t>
  </si>
  <si>
    <t>Acct 281</t>
  </si>
  <si>
    <t>Form 1 p. 272.17.b</t>
  </si>
  <si>
    <t>Form 1 p. 273.17.k</t>
  </si>
  <si>
    <t>Acct 282</t>
  </si>
  <si>
    <t>Form 1 p. 274.9.b</t>
  </si>
  <si>
    <t>Form 1 p. 275.9.k</t>
  </si>
  <si>
    <t>Acct 283</t>
  </si>
  <si>
    <t>Form 1 p. 276.19.b</t>
  </si>
  <si>
    <t>Form 1 p. 277.19.k</t>
  </si>
  <si>
    <t>Acct 190</t>
  </si>
  <si>
    <t>Form 1 p. 234.18.b</t>
  </si>
  <si>
    <t>Form 1 p. 234.18.c</t>
  </si>
  <si>
    <t>Acct 254</t>
  </si>
  <si>
    <t>Total Acct 254 Grossed Up - Form 1, p. 278.b</t>
  </si>
  <si>
    <t>Total Acct 254 Grossed Up - Form 1, p. 278.f</t>
  </si>
  <si>
    <t>Acct 182.3</t>
  </si>
  <si>
    <t>Acct 182.3 Gross Up</t>
  </si>
  <si>
    <t>Total Acct 182.3 Grossed Up - Form 1, p. 232.b</t>
  </si>
  <si>
    <t>Total Acct 182.3 Grossed Up - Form 1, p. 232.f</t>
  </si>
  <si>
    <t>Note 1: Excess or deficient ADIT balances resulting from corporate income tax rate changes, including future federal, state, and local tax rate changes, are to be recorded to Accounts 254 or 182.3, respectively.</t>
  </si>
  <si>
    <t>Account 282</t>
  </si>
  <si>
    <t>Account 283</t>
  </si>
  <si>
    <t>Account 190</t>
  </si>
  <si>
    <t>Account 281</t>
  </si>
  <si>
    <t>(j)</t>
  </si>
  <si>
    <t>Amortization Account</t>
  </si>
  <si>
    <t>Remaining</t>
  </si>
  <si>
    <t>in Income Tax Expense</t>
  </si>
  <si>
    <t>410.1 / 411.1</t>
  </si>
  <si>
    <t>Total (Note 1)</t>
  </si>
  <si>
    <t>(e)+(f)+(g)</t>
  </si>
  <si>
    <t>Period (Note 2)</t>
  </si>
  <si>
    <t>Subtotal</t>
  </si>
  <si>
    <t>Transmission Allocator [GP or W/S ]</t>
  </si>
  <si>
    <t>Beginning of Year</t>
  </si>
  <si>
    <t>Total Company</t>
  </si>
  <si>
    <t>Balances</t>
  </si>
  <si>
    <t>Return to Provision</t>
  </si>
  <si>
    <t xml:space="preserve">Current Year </t>
  </si>
  <si>
    <t>End of Year</t>
  </si>
  <si>
    <t>Regulatory Asset/Liability Balances</t>
  </si>
  <si>
    <t>Adjustments</t>
  </si>
  <si>
    <t>Balance</t>
  </si>
  <si>
    <t>Reason for Tax Remeasurement:</t>
  </si>
  <si>
    <t>Remeasurement</t>
  </si>
  <si>
    <t>Post-remeasurement</t>
  </si>
  <si>
    <t xml:space="preserve">Pre-remeasurement </t>
  </si>
  <si>
    <t>190/283 Reclass</t>
  </si>
  <si>
    <t>Utility Account</t>
  </si>
  <si>
    <t>Percentage</t>
  </si>
  <si>
    <t>(e)=(c)*(d)</t>
  </si>
  <si>
    <t>(NOTE 2)</t>
  </si>
  <si>
    <t>(g)=(e)+(f)</t>
  </si>
  <si>
    <t xml:space="preserve"> (h)=(c)+(f)</t>
  </si>
  <si>
    <t xml:space="preserve">Pre-remeasurement Electric Utility Balance </t>
  </si>
  <si>
    <t xml:space="preserve">234.8.b </t>
  </si>
  <si>
    <t xml:space="preserve">   Less Deferred SIT</t>
  </si>
  <si>
    <t>Company Records</t>
  </si>
  <si>
    <t>Federal ADIT Excluded from Remeasurement</t>
  </si>
  <si>
    <t>Line 2</t>
  </si>
  <si>
    <t>Deferred SIT to be Remeasured</t>
  </si>
  <si>
    <t>Line 3</t>
  </si>
  <si>
    <t>Total including adjustments</t>
  </si>
  <si>
    <t>272.8.b</t>
  </si>
  <si>
    <t>282.1 (Enter Negative)</t>
  </si>
  <si>
    <t>274.5.b</t>
  </si>
  <si>
    <t>Line 14</t>
  </si>
  <si>
    <t>Line 15</t>
  </si>
  <si>
    <t>276.9.b</t>
  </si>
  <si>
    <t>Line 20</t>
  </si>
  <si>
    <t>ADSIT Adjustment to Calculate Remeasurement</t>
  </si>
  <si>
    <t>283.1 (Enter Negative)</t>
  </si>
  <si>
    <t>Note 1: This sheet only to be used in years which have a change in corporate income tax rates.</t>
  </si>
  <si>
    <t>Note 2: As part of the remeasurement calculation, the remeasurement ADIT balances in account 1901001 were reclassed to account 2831001 to group nonproperty utility deferrals together as one timing difference.</t>
  </si>
  <si>
    <t>Note 3: Use blank rows in each account for any additional adjustments needed prior to remeasurement.</t>
  </si>
  <si>
    <t xml:space="preserve">Company Records </t>
  </si>
  <si>
    <t>Capital Structure Calculation</t>
  </si>
  <si>
    <t>[1]</t>
  </si>
  <si>
    <t>[2]</t>
  </si>
  <si>
    <t>[3]</t>
  </si>
  <si>
    <t>[4]</t>
  </si>
  <si>
    <t>[5]</t>
  </si>
  <si>
    <t>[6]</t>
  </si>
  <si>
    <t>[7]</t>
  </si>
  <si>
    <t>Proprietary</t>
  </si>
  <si>
    <t>Preferred Stock</t>
  </si>
  <si>
    <t>Account 216.1</t>
  </si>
  <si>
    <t>Account 219</t>
  </si>
  <si>
    <t>Goodwill</t>
  </si>
  <si>
    <t>Capital</t>
  </si>
  <si>
    <t>[A]</t>
  </si>
  <si>
    <t>112.16.c</t>
  </si>
  <si>
    <t>112.3.c</t>
  </si>
  <si>
    <t>112.12.c</t>
  </si>
  <si>
    <t>112.15.c</t>
  </si>
  <si>
    <t>(1) - (2) - (3) - (4) - (5)</t>
  </si>
  <si>
    <t>112.18-21.c</t>
  </si>
  <si>
    <t>13-month Average</t>
  </si>
  <si>
    <t>Reference for December balances as would be reported in FERC Form 1.</t>
  </si>
  <si>
    <t>Capital Structure</t>
  </si>
  <si>
    <t>Preferred Dividends  (118.29c) (positive number)</t>
  </si>
  <si>
    <t>Debt Cost Calculation</t>
  </si>
  <si>
    <t xml:space="preserve">TABLE 1:  Summary Cost of Long Term Debt  </t>
  </si>
  <si>
    <t>CALCULATION OF COST OF DEBT</t>
  </si>
  <si>
    <t>YEAR ENDED</t>
  </si>
  <si>
    <t>Net</t>
  </si>
  <si>
    <t>Average Net</t>
  </si>
  <si>
    <t>Outstanding</t>
  </si>
  <si>
    <t>Effective</t>
  </si>
  <si>
    <t>Debt Cost</t>
  </si>
  <si>
    <t>ORIGINAL</t>
  </si>
  <si>
    <t>Net Proceeds</t>
  </si>
  <si>
    <t>in Year*</t>
  </si>
  <si>
    <t>Cost Rate</t>
  </si>
  <si>
    <t>at t = N</t>
  </si>
  <si>
    <t>t=N</t>
  </si>
  <si>
    <t>Issue Date</t>
  </si>
  <si>
    <t>Maturity Date</t>
  </si>
  <si>
    <t>ISSUANCE</t>
  </si>
  <si>
    <t>At Issuance</t>
  </si>
  <si>
    <t>at t=N</t>
  </si>
  <si>
    <t>z*</t>
  </si>
  <si>
    <t>Ratios</t>
  </si>
  <si>
    <t>(Table 2, Col. kk)</t>
  </si>
  <si>
    <t>(h) * (i)</t>
  </si>
  <si>
    <t>Long Term Debt Cost at Year Ended:</t>
  </si>
  <si>
    <t>(table 2, col. cc)</t>
  </si>
  <si>
    <t>(table 2, col. gg)</t>
  </si>
  <si>
    <t>((col e. * col. F)/12)</t>
  </si>
  <si>
    <t>(col. g/col. g total)</t>
  </si>
  <si>
    <t>First Mortgage Bonds:</t>
  </si>
  <si>
    <t>**</t>
  </si>
  <si>
    <t>t = time</t>
  </si>
  <si>
    <t>The current portion of long term debt is included in the Net Amount Outstanding at t = N in these calculations.</t>
  </si>
  <si>
    <t>The outstanding amount (column (e)) for debt retired during the year is the outstanding amount at the last month it was outstanding.</t>
  </si>
  <si>
    <t>Interim (individual debenture) debt cost calculations shall be taken to four decimals in percentages (7.2300%, 5.2582%); Final Total Weighted Average Debt Cost for the Formula Rate shall be rounded to two decimals of a percent (7.03%).</t>
  </si>
  <si>
    <t>TABLE 2:  Effective Cost Rates For Traditional Front-Loaded Debt Issuances:</t>
  </si>
  <si>
    <t>(aa)</t>
  </si>
  <si>
    <t>(bb)</t>
  </si>
  <si>
    <t>(cc)</t>
  </si>
  <si>
    <t>(dd)</t>
  </si>
  <si>
    <t>(ee)</t>
  </si>
  <si>
    <t>(ff)</t>
  </si>
  <si>
    <t>(gg)</t>
  </si>
  <si>
    <t>(hh)</t>
  </si>
  <si>
    <t>(ii)</t>
  </si>
  <si>
    <t>(jj)</t>
  </si>
  <si>
    <t>(kk)</t>
  </si>
  <si>
    <t>(Discount)</t>
  </si>
  <si>
    <t xml:space="preserve">Loss/Gain on </t>
  </si>
  <si>
    <t>Effective Cost Rate*</t>
  </si>
  <si>
    <t>Issue</t>
  </si>
  <si>
    <t>Maturity</t>
  </si>
  <si>
    <t>Premium</t>
  </si>
  <si>
    <t>Issuance</t>
  </si>
  <si>
    <t>Reacquired</t>
  </si>
  <si>
    <t>Proceeds</t>
  </si>
  <si>
    <t>Coupon</t>
  </si>
  <si>
    <t xml:space="preserve">Annual </t>
  </si>
  <si>
    <t>(Yield to Maturity</t>
  </si>
  <si>
    <t xml:space="preserve">Long Term Debt Issuances </t>
  </si>
  <si>
    <t>Affiliate</t>
  </si>
  <si>
    <t>Date</t>
  </si>
  <si>
    <t>Issued</t>
  </si>
  <si>
    <t>at Issuance</t>
  </si>
  <si>
    <t>Expense</t>
  </si>
  <si>
    <t>Debt</t>
  </si>
  <si>
    <t>Ratio</t>
  </si>
  <si>
    <t>Rate</t>
  </si>
  <si>
    <t>at Issuance, t = 0)</t>
  </si>
  <si>
    <t>(col. cc + col. dd - col. ee - col. ff)</t>
  </si>
  <si>
    <t>((col. gg / col. cc)*100)</t>
  </si>
  <si>
    <t>Percentage (%)</t>
  </si>
  <si>
    <t>(col. cc * col. ii)</t>
  </si>
  <si>
    <t>TOTALS</t>
  </si>
  <si>
    <t>* YTM at issuance calculated from an acceptable bond table or from YTM = Internal Rate of Return (IRR) calculation</t>
  </si>
  <si>
    <t>PJM Bill</t>
  </si>
  <si>
    <t>-</t>
  </si>
  <si>
    <t>True-up (a)</t>
  </si>
  <si>
    <t>Other (b)</t>
  </si>
  <si>
    <t>TEC Charge Code</t>
  </si>
  <si>
    <t xml:space="preserve">(a) The PJM TEC charges will include a true-up for the over/under recovery from a prior rate period. </t>
  </si>
  <si>
    <t>Attachment 5a</t>
  </si>
  <si>
    <t>Attachment 3a</t>
  </si>
  <si>
    <t>PJM Billings</t>
  </si>
  <si>
    <t>Beginning 190 (including adjustments)</t>
  </si>
  <si>
    <t>Q1 Activity</t>
  </si>
  <si>
    <t>Ending Q1</t>
  </si>
  <si>
    <t>Q2 Activity</t>
  </si>
  <si>
    <t xml:space="preserve">Ending Q2 </t>
  </si>
  <si>
    <t>Q3 Activity</t>
  </si>
  <si>
    <t xml:space="preserve">Ending Q3 </t>
  </si>
  <si>
    <t>Q4 Activity</t>
  </si>
  <si>
    <t>Ending Q4</t>
  </si>
  <si>
    <t>PTRR</t>
  </si>
  <si>
    <t>Pro-rated Q1</t>
  </si>
  <si>
    <t>Pro-rated Q2</t>
  </si>
  <si>
    <t>Pro-rated Q3</t>
  </si>
  <si>
    <t>Pro-rated Q4</t>
  </si>
  <si>
    <t xml:space="preserve">Beginning 282 (including adjustments) </t>
  </si>
  <si>
    <t xml:space="preserve">Beginning 283 (Including adjustments) </t>
  </si>
  <si>
    <t>L</t>
  </si>
  <si>
    <t>Page 1, B+D+F+H</t>
  </si>
  <si>
    <t>Page 1, row 2,4,6 Column A+B+D+F+H</t>
  </si>
  <si>
    <t>J-L</t>
  </si>
  <si>
    <t>M-N</t>
  </si>
  <si>
    <t>Line 7= J-N-O                               Lines 8-9= -J+N+O</t>
  </si>
  <si>
    <t>Account</t>
  </si>
  <si>
    <t xml:space="preserve">Estimated  Ending Balance (Before Adjustments) </t>
  </si>
  <si>
    <t xml:space="preserve">Projected Activity </t>
  </si>
  <si>
    <t>Prorated Ending Balance</t>
  </si>
  <si>
    <t>Prorated - Estimated End (Before Adjustments)</t>
  </si>
  <si>
    <t>Sum of end ADIT Adjustments</t>
  </si>
  <si>
    <t xml:space="preserve">Normalization </t>
  </si>
  <si>
    <t xml:space="preserve">Ending ADIT Balance Included in Formula Rate </t>
  </si>
  <si>
    <t>Total Account 190</t>
  </si>
  <si>
    <t>Total Account 282</t>
  </si>
  <si>
    <t>Total Account 283</t>
  </si>
  <si>
    <t>Total ADIT Subject to Normalization</t>
  </si>
  <si>
    <t xml:space="preserve"> Notes:</t>
  </si>
  <si>
    <t xml:space="preserve">2. Normalization is calculated using transmission ADIT balances/adjustments only. </t>
  </si>
  <si>
    <t xml:space="preserve">Beginning 190 (including adjustments) </t>
  </si>
  <si>
    <t>ATRR</t>
  </si>
  <si>
    <t>Page 1, row 3,7,11 Column A+B+D+F+H</t>
  </si>
  <si>
    <t>A-C</t>
  </si>
  <si>
    <t>D-E</t>
  </si>
  <si>
    <t>Line 1= A-E-F                               Lines 2-3= -A+E+F</t>
  </si>
  <si>
    <t>Page 1, row 4,8,12 column   A+B+D+F+H</t>
  </si>
  <si>
    <t>H-J</t>
  </si>
  <si>
    <t>D-K</t>
  </si>
  <si>
    <t>E-M</t>
  </si>
  <si>
    <t>K+L-M-N</t>
  </si>
  <si>
    <t>Line 5= H-M-O                               Lines 6-7= -H+M+O</t>
  </si>
  <si>
    <t xml:space="preserve">Actual  Ending Balance (Before Adjustments) </t>
  </si>
  <si>
    <t>Actual Activity</t>
  </si>
  <si>
    <t>Prorated - Actual End (Before Adjustments)</t>
  </si>
  <si>
    <t>Prorated Activity  Not Projected</t>
  </si>
  <si>
    <t>ADIT Adjustments not projected</t>
  </si>
  <si>
    <t>Attachment 4c</t>
  </si>
  <si>
    <t xml:space="preserve">ADIT PTRR Proration </t>
  </si>
  <si>
    <t>Attachment 4d</t>
  </si>
  <si>
    <t xml:space="preserve">ADIT ATRR Proration </t>
  </si>
  <si>
    <t>1. Attachment 4c will only be populated within the PTRR</t>
  </si>
  <si>
    <t>1. Attachment 4d will only be populated within the ATRR</t>
  </si>
  <si>
    <t>1</t>
  </si>
  <si>
    <t>2</t>
  </si>
  <si>
    <t>3</t>
  </si>
  <si>
    <t>4</t>
  </si>
  <si>
    <t xml:space="preserve">Note A - Revenue Received from Attachment 3a - PJM Billings. </t>
  </si>
  <si>
    <t>(13)</t>
  </si>
  <si>
    <t xml:space="preserve">Sum Col. 13 &amp; 14 
</t>
  </si>
  <si>
    <t xml:space="preserve">The Revenue Received is input on line 2, Col. E from Attachment 3a - PJM Billings (PTRR). </t>
  </si>
  <si>
    <t>Production</t>
  </si>
  <si>
    <t>Distribution</t>
  </si>
  <si>
    <t>(k)</t>
  </si>
  <si>
    <t>(l)</t>
  </si>
  <si>
    <t>(m)</t>
  </si>
  <si>
    <t>Attachment 4, Line 14, Col. (d)</t>
  </si>
  <si>
    <t>Attachment 4, Line 14, Col. (e)</t>
  </si>
  <si>
    <t>Attachment 4, Line 14, Col. (j)</t>
  </si>
  <si>
    <t>Attachment 4, Line 14, Col. (k)</t>
  </si>
  <si>
    <t>Attachment 4, Line 14, Col. (l)</t>
  </si>
  <si>
    <t>Attachment 4, Line 14, Col. (m)</t>
  </si>
  <si>
    <t xml:space="preserve">Page 3, Lines 6 &amp; 7 - Subtract all Regulatory Commission Expenses in account 928 itemized at 351.h, and non-safety related advertising included in Account 930.1.  </t>
  </si>
  <si>
    <t>Account 407.3 Amortization of Regulatory Assets</t>
  </si>
  <si>
    <t>Monthly Balance</t>
  </si>
  <si>
    <t>Months Remaining In Amortization Period</t>
  </si>
  <si>
    <t>BegInning Balance</t>
  </si>
  <si>
    <t>Amortization Expense                             (Company Records)</t>
  </si>
  <si>
    <t>Additions   (Deductions)</t>
  </si>
  <si>
    <t>p232 (and Notes)</t>
  </si>
  <si>
    <t>FERC Account 182.3</t>
  </si>
  <si>
    <t xml:space="preserve">June </t>
  </si>
  <si>
    <t xml:space="preserve">October </t>
  </si>
  <si>
    <t xml:space="preserve">p232 (and Notes) </t>
  </si>
  <si>
    <t>Ending Balance 13-Month Average</t>
  </si>
  <si>
    <t>Reg Asset</t>
  </si>
  <si>
    <t>Abandoned Plant</t>
  </si>
  <si>
    <t>Amortization Expense                               ( p114.10.c)</t>
  </si>
  <si>
    <t>p111.71.d (and Notes)</t>
  </si>
  <si>
    <t>FERC Account 182.2</t>
  </si>
  <si>
    <t>p111.71.c (and Notes) Detail on p230b</t>
  </si>
  <si>
    <t xml:space="preserve">Ending Balance 13-Month Average </t>
  </si>
  <si>
    <t>Note:</t>
  </si>
  <si>
    <t>Recovery of abandoned plant is limited to any abandoned plant recovery authorized by FERC and will be zero until the Commission accepts or approves recovery of the cost of abandoned plant</t>
  </si>
  <si>
    <t>AVG Bal/Year-end only</t>
  </si>
  <si>
    <t>Note 2: For purposes of the ADIT adjustments to rate base, any specific prorated ADIT balance in Accounts 190, 282, and 283 will utilize a prorated year-end balance; any non-prorated balances will utilize a beginning/ending average balance.  The net balance of the components will be the adjustment to rate base.</t>
  </si>
  <si>
    <t>Avg. Balance/</t>
  </si>
  <si>
    <t>Year-end only (Note A)</t>
  </si>
  <si>
    <t>For purposes of the ADIT adjustments to rate base, any specific prorated ADIT balance in Accounts 190, 282, and 283 will utilize a prorated year-end balance; any non-prorated balances will utilize a beginning/ending average balance.  The net balance of the components will be the adjustment to rate base. Only depreciation-related components are eligible for pro-rating, including, but not limited to, Net Operating Losses (NOLs).</t>
  </si>
  <si>
    <t>Worksheet 4e - (Excess)/Deficient ADIT Amortization (Note 1)</t>
  </si>
  <si>
    <t>Worksheet 4f - Tax Remeasurement</t>
  </si>
  <si>
    <t>Attachment 7</t>
  </si>
  <si>
    <t>Attachment 10, Line 15, Col. 5</t>
  </si>
  <si>
    <t>Attachment 10, Line 15, Col. 7 (Note D)</t>
  </si>
  <si>
    <t>Attachment 11, Line 15, Col. 5 Note E</t>
  </si>
  <si>
    <t>Attachment 11, Line 15, Col. 7 (Note E)</t>
  </si>
  <si>
    <t>(Note O)</t>
  </si>
  <si>
    <t>(Note Q)</t>
  </si>
  <si>
    <t>(Note U)</t>
  </si>
  <si>
    <t xml:space="preserve">RATE BASE: </t>
  </si>
  <si>
    <t>(Note B)</t>
  </si>
  <si>
    <t xml:space="preserve">  A&amp;G </t>
  </si>
  <si>
    <t>(Note J)</t>
  </si>
  <si>
    <t>(Note S)</t>
  </si>
  <si>
    <t>(Note L)</t>
  </si>
  <si>
    <t xml:space="preserve">TAXES OTHER THAN INCOME TAXES   </t>
  </si>
  <si>
    <t>(Note M)</t>
  </si>
  <si>
    <t xml:space="preserve">INCOME TAXES    </t>
  </si>
  <si>
    <t>V</t>
  </si>
  <si>
    <t>(Note P) (Note V)</t>
  </si>
  <si>
    <t>(page 3, line 47) (Note V)</t>
  </si>
  <si>
    <t xml:space="preserve">GROSS REVENUE REQUIREMENT, without incentives </t>
  </si>
  <si>
    <t>Average Balances Attachment 4a, Col. (h)</t>
  </si>
  <si>
    <t>Worksheet 4e - (Excess) / Deficient Deferred Taxes - Calculated End of Year Balance</t>
  </si>
  <si>
    <t>Excess/Deficient ADIT</t>
  </si>
  <si>
    <t>(16)</t>
  </si>
  <si>
    <t>Competitive Concession</t>
  </si>
  <si>
    <t>(Sum Col. 10 &amp; 12 Less Col. 13)</t>
  </si>
  <si>
    <t>(Note H)</t>
  </si>
  <si>
    <t xml:space="preserve">  Service Company Depreciation/Amortization Exclusion</t>
  </si>
  <si>
    <t>LAND AND LAND RIGHTS</t>
  </si>
  <si>
    <t>Stated-Value Inputs</t>
  </si>
  <si>
    <t>FERC Account</t>
  </si>
  <si>
    <t>Depr %</t>
  </si>
  <si>
    <t>Will not be changed absent a FERC order.</t>
  </si>
  <si>
    <t>1. Rate of Return on Common Equity ("ROE")(a)</t>
  </si>
  <si>
    <t>2. Depreciation Rates (a)</t>
  </si>
  <si>
    <t>a</t>
  </si>
  <si>
    <t>STRUCTURES AND IMPROVEMENTS</t>
  </si>
  <si>
    <t>STATION EQUIPMENT</t>
  </si>
  <si>
    <t>TOWERS AND FIXTURES</t>
  </si>
  <si>
    <t>OVERHEAD CONDUCTORS AND DEVICES</t>
  </si>
  <si>
    <t>350.00</t>
  </si>
  <si>
    <t>352.00</t>
  </si>
  <si>
    <t>353.00</t>
  </si>
  <si>
    <t>354.00</t>
  </si>
  <si>
    <t>356.00</t>
  </si>
  <si>
    <t>50 basis point adder for RTO participation</t>
  </si>
  <si>
    <t>Enter the percentage paid for by customers less the percent associated with an offsetting liability on the balance sheet</t>
  </si>
  <si>
    <t xml:space="preserve">The Formula Rate shall include a credit to rate base for all unfunded reserves related to Workers Compensation and General Liability. Each unfunded reserve will be included on lines 42 above.  The allocator in Col. (g) will be the same allocator used in the formula for the cost accruals to the account that is recovered under the Formula Rate. </t>
  </si>
  <si>
    <t>XXXX PTRR</t>
  </si>
  <si>
    <t>XXXX ATRR</t>
  </si>
  <si>
    <t>Rate Formula Template - Attachment H-39A</t>
  </si>
  <si>
    <t>(Note U from Attachment H-39A)</t>
  </si>
  <si>
    <t>Remaining Attachment H-39</t>
  </si>
  <si>
    <t>Valley Link Transmission West Virginia, LLC</t>
  </si>
  <si>
    <t xml:space="preserve">Valley Link Transmission West Virginia, LLC stated ROE is set to: </t>
  </si>
  <si>
    <t>Final Valley Link Transmission West Virginia, LLC ROE</t>
  </si>
  <si>
    <t xml:space="preserve">To the extent that the formula rate is not effective at the start of the rate year Valley Link Transmission West Virginia, LLC will utilize the following method for implementation in the first year only. The proposed method for the first rate year only will be as follows: 1) for items using a 13-point average, a pro-rated point average based on month the rate first becomes effective will be utilized. 2) for items using a beginning/ending average, the beginning balance will be the month the rate first becomes effective. 3) The aggregate average rate base will then be multiplied by the prorated rate of return reflecting total months of operations. </t>
  </si>
  <si>
    <t>(b) Valley Link Transmission West Virginia, LLC to include any necessary prior period adjustments including those identified through the discovery or challenge procedures, as defined within the protocols.</t>
  </si>
  <si>
    <t xml:space="preserve">Page 1 of 2 </t>
  </si>
  <si>
    <t xml:space="preserve">Page 2 of 2 </t>
  </si>
  <si>
    <t>Imputed Debt Rate Calculation</t>
  </si>
  <si>
    <t>303.00</t>
  </si>
  <si>
    <t>INTANGIBLE PLANT</t>
  </si>
  <si>
    <t>303.10</t>
  </si>
  <si>
    <t>INTANGIBLE PLANT - LARGE</t>
  </si>
  <si>
    <t>391.10</t>
  </si>
  <si>
    <t xml:space="preserve">OFFICE FURNITURE </t>
  </si>
  <si>
    <t>391.20</t>
  </si>
  <si>
    <t xml:space="preserve">OFFICE EQUIPMENT </t>
  </si>
  <si>
    <t>391.30</t>
  </si>
  <si>
    <t xml:space="preserve">COMPUTER EQUIPMENT </t>
  </si>
  <si>
    <t>393.00</t>
  </si>
  <si>
    <t xml:space="preserve">STORES EQUIPMENT </t>
  </si>
  <si>
    <t>394.00</t>
  </si>
  <si>
    <t xml:space="preserve">TOOLS, SHOP AND GARAGE EQUIPMENT </t>
  </si>
  <si>
    <t>395.00</t>
  </si>
  <si>
    <t xml:space="preserve">LABORATORY EQUIPMENT </t>
  </si>
  <si>
    <t>397.00</t>
  </si>
  <si>
    <t xml:space="preserve">COMMUNICATION EQUIPMENT </t>
  </si>
  <si>
    <t>398.00</t>
  </si>
  <si>
    <t xml:space="preserve">MISCELLANEOUS EQUIPMENT </t>
  </si>
  <si>
    <t xml:space="preserve">Unprotected -  (Excess) / Deficient ADIT Amortization </t>
  </si>
  <si>
    <t xml:space="preserve">Protected -  (Excess) / Deficient ADIT Amortization </t>
  </si>
  <si>
    <t>281.1 (Enter Negative)</t>
  </si>
  <si>
    <t xml:space="preserve">January                                                                                                                         </t>
  </si>
  <si>
    <t xml:space="preserve">TP "Transmission Plant" </t>
  </si>
  <si>
    <t xml:space="preserve">DA "Directly Assigned" </t>
  </si>
  <si>
    <t>NA "Not Applicable"</t>
  </si>
  <si>
    <t>W/S "Wages &amp; Salaries"</t>
  </si>
  <si>
    <t>GP= "Gross Plant"</t>
  </si>
  <si>
    <t>NP= "Net Plant"</t>
  </si>
  <si>
    <t>Attachment 4, Line 28, Col. (b)  (Note C)</t>
  </si>
  <si>
    <t>Attachment 4, Line 28, Col. (c) (Note C)</t>
  </si>
  <si>
    <t>Attachment 4, Line 28, Col. (d) (Note C)</t>
  </si>
  <si>
    <t>Attachment 4, Line 28, Col. (e) (Note C)</t>
  </si>
  <si>
    <t>Attachment 4, Line 28, Col. (f) (Note C)</t>
  </si>
  <si>
    <t>Attachment 4, Line 14, Col. (d) (Note T)</t>
  </si>
  <si>
    <t>Attachment 4, Line 14, Col. (e) (Note F)</t>
  </si>
  <si>
    <t>323.197.b (Note K)</t>
  </si>
  <si>
    <t>350.h (Note H)</t>
  </si>
  <si>
    <t xml:space="preserve">Excess / (Deficient) Deferred Income Taxes </t>
  </si>
  <si>
    <t>Attachment 4e , Col. (h) (Note N)</t>
  </si>
  <si>
    <t>Company Books and Records - (Note N)</t>
  </si>
  <si>
    <t xml:space="preserve">Excess / (Deficient) Deferred Income Tax Adjustment </t>
  </si>
  <si>
    <t>Attachment 5, (Note U)</t>
  </si>
  <si>
    <t>Cash Working Capital assigned to transmission is one-eighth of O&amp;M allocated to transmission at page 3, line 15, column 5 minus amortization of Regulatory Asset at page 3, lines 10 and 12, column 5 minus service company depreciation/amortization at page 2, line 32, column 5.  Prepayments are the electric related prepayments booked to Account No. 165 and reported on page 111, line 57 in the Form 1.</t>
  </si>
  <si>
    <t>Includes only FICA, unemployment, highway, property, and other assessments charged in the current year.  Taxes related to income, franchise taxes, and sales and use taxes are excluded. Gross receipts taxes are not included in transmission revenue requirement in the Rate Formula Template, since they are recovered elsewhere. To the extent individual types of taxes are separately identified on the FERC Form 1 page 263, column L, the line number will be added to the source in Column 2 for reference. Line item references can change from year to year. Items not specifically identified on the FERC Form 1 page 263 will be obtained from Company books and records.</t>
  </si>
  <si>
    <t>The currently effective income tax rate,  where FIT is the Federal income tax rate; SIT is the State income tax rate, and p = "the percentage of federal income tax deductible for state income taxes" and TEP = "the tax exempt ownership interest".  If the utility is taxed in more than one state it must attach a work paper showing the name of each state and how the blended or composite SIT was developed.  Furthermore, a utility that elected to utilize amortization of tax credits against taxable income, rather than book tax credits to Account No. 255 and reduce rate base, must reduce its income tax expense by the amount of the Amortized Investment Tax Credit (Form 1, 266.8.f) multiplied by (1/1-T) (page 3, line 26).  Excess/Deficient Deferred Income Taxes adjust income tax expense by the amount of the expense multiplied by (T/1-T).</t>
  </si>
  <si>
    <t>Excess / (Deficit) Deferred Income Taxes will be amortized over the average remaining life of the assets to which it relates, including ARAM, unless the Commission requires a different amortization period. The Tax Effect of Permanent Differences captures the differences in the income taxes due under the Federal and State calculations and the income taxes calculated in Attachment H-39A that are not the result of a timing difference, including but not limited to depreciation related to capitalized AFUDC equity and meals and entertainment deductions.</t>
  </si>
  <si>
    <t>Calculate rate base using 13 month average balance, except ADIT which is calculated based on specific prorated ADIT balances in Accounts 190, 282, and 283 utilizing a prorated year-end balance; any non-prorated balances will utilize a beginning/ending average balance.  The net balance of the components will be the adjusted ADIT balances included in rate base.</t>
  </si>
  <si>
    <t>To be completed in conjunction with Attachment H-39A.</t>
  </si>
  <si>
    <t>Attachment H-39A</t>
  </si>
  <si>
    <t xml:space="preserve">This worksheet is used to compute project specific revenue requirements for any projects for which such calculation is required by PJM. This will generally include projects with specific incentives or competitive concessions, or projects with regional cost allocation in PJM. Projects will be listed as either Schedule 12,  Zonal, or other category defined by PJM. Other projects which comprise the remaining revenue requirement on Attachment H-39A will not be entered on this schedule. </t>
  </si>
  <si>
    <t>Gross Transmission Plant is that identified on page 2 line 2 of Attachment H-39A inclusive of any CWIP included in rate base when authorized by FERC order.</t>
  </si>
  <si>
    <t>Net Plant is that identified on page 2 line 14 of Attachment H-39A inclusive of any CWIP or unamortized Abandoned Plant included in rate base when authorized by FERC order less any prefunded AFUDC, if applicable.</t>
  </si>
  <si>
    <t xml:space="preserve">       and FIT, SIT &amp; p are as given in Attachment H-39A footnote N.</t>
  </si>
  <si>
    <t xml:space="preserve">Excess/Deficient Deferred Income Taxes </t>
  </si>
  <si>
    <t xml:space="preserve"> in Attachment H-39A that are not the result of a timing difference.</t>
  </si>
  <si>
    <r>
      <t>True-Up Year Revenue Received</t>
    </r>
    <r>
      <rPr>
        <vertAlign val="superscript"/>
        <sz val="10"/>
        <rFont val="Times New Roman"/>
        <family val="1"/>
      </rPr>
      <t>1</t>
    </r>
  </si>
  <si>
    <r>
      <t>Requirement</t>
    </r>
    <r>
      <rPr>
        <vertAlign val="superscript"/>
        <sz val="10"/>
        <rFont val="Times New Roman"/>
        <family val="1"/>
      </rPr>
      <t>2</t>
    </r>
  </si>
  <si>
    <r>
      <t>Requirement</t>
    </r>
    <r>
      <rPr>
        <vertAlign val="superscript"/>
        <sz val="10"/>
        <rFont val="Times New Roman"/>
        <family val="1"/>
      </rPr>
      <t>3</t>
    </r>
  </si>
  <si>
    <t>Note H - 111.57.c for end of year, records for other months</t>
  </si>
  <si>
    <t>Unfunded Reserves    (Notes A and F)</t>
  </si>
  <si>
    <t xml:space="preserve">Enter 1 if NOT in a trust or reserved account, enter zero (0) if included in a trust or reserved account </t>
  </si>
  <si>
    <t>For purposes of the ADIT adjustments to rate base on Line 28, any specific prorated ADIT balance in Accounts 190, 282, and 283 will utilize a prorated year-end balance; any non-prorated balances will utilize a beginning/ending average balance.  The net balance of the components will be the adjustments to rate base on Line 28. Attachments 4a and 4b are used to populate the average ADIT balances on lines 28 above. ADIT calculations will be  prorated to the extent required by Section 1.167(l)-1(h)(6)(ii) of the IRS regulations. Rate Projections and True-ups will use Attachment 4c &amp; Attachment 4d to calculate the proration adjustment. Only depreciation-related components are eligible for pro-rating, including, but not limited to, Net Operating Losses (NOLs).</t>
  </si>
  <si>
    <t>Less Proration Adjustment (from Worksheet 4c &amp; 4d)</t>
  </si>
  <si>
    <t>Note 1: Worksheet 4e presents total company amortization for excess / deficient ADIT amounts.  The amortization of the excess and deficient ADIT is recorded to accounts 411.1 and 410.1 respectively.</t>
  </si>
  <si>
    <t>Note 2: Further explanatory notes may be provided for future tax rate changes</t>
  </si>
  <si>
    <t>(Excess)/Deficient</t>
  </si>
  <si>
    <r>
      <t>233.</t>
    </r>
    <r>
      <rPr>
        <b/>
        <sz val="10"/>
        <rFont val="Calibri"/>
        <family val="2"/>
        <scheme val="minor"/>
      </rPr>
      <t>XX</t>
    </r>
    <r>
      <rPr>
        <sz val="10"/>
        <rFont val="Calibri"/>
        <family val="2"/>
        <scheme val="minor"/>
      </rPr>
      <t>.f</t>
    </r>
  </si>
  <si>
    <r>
      <t>Effective Cost Rate of Individual Debenture (YTM at issuance):  the t=0 Cashflow C</t>
    </r>
    <r>
      <rPr>
        <vertAlign val="subscript"/>
        <sz val="10"/>
        <rFont val="Arial"/>
        <family val="2"/>
      </rPr>
      <t xml:space="preserve">o </t>
    </r>
    <r>
      <rPr>
        <sz val="10"/>
        <rFont val="Arial"/>
        <family val="2"/>
      </rPr>
      <t>equals Net Proceeds column (gg); Semi-annual (or other) interest cashflows (C</t>
    </r>
    <r>
      <rPr>
        <vertAlign val="subscript"/>
        <sz val="10"/>
        <rFont val="Arial"/>
        <family val="2"/>
      </rPr>
      <t>t=1</t>
    </r>
    <r>
      <rPr>
        <sz val="10"/>
        <rFont val="Arial"/>
        <family val="2"/>
      </rPr>
      <t>, C</t>
    </r>
    <r>
      <rPr>
        <vertAlign val="subscript"/>
        <sz val="10"/>
        <rFont val="Arial"/>
        <family val="2"/>
      </rPr>
      <t>t=2</t>
    </r>
    <r>
      <rPr>
        <sz val="10"/>
        <rFont val="Arial"/>
        <family val="2"/>
      </rPr>
      <t>, etc.).</t>
    </r>
  </si>
  <si>
    <t>Note B - Actual Net ATRR for the true-up year from Page 1, Line 10 of True-Up Attachment H-39A.</t>
  </si>
  <si>
    <r>
      <t>ATRR Imputed Debt Calculation</t>
    </r>
    <r>
      <rPr>
        <b/>
        <vertAlign val="superscript"/>
        <sz val="12"/>
        <rFont val="Arial"/>
        <family val="2"/>
      </rPr>
      <t>1</t>
    </r>
  </si>
  <si>
    <r>
      <t>PTRR Imputed Debt Input</t>
    </r>
    <r>
      <rPr>
        <b/>
        <vertAlign val="superscript"/>
        <sz val="12"/>
        <rFont val="Arial"/>
        <family val="2"/>
      </rPr>
      <t>2</t>
    </r>
  </si>
  <si>
    <t>Year</t>
  </si>
  <si>
    <t>Bloomberg US Utility BBB- Index</t>
  </si>
  <si>
    <t>13-Month Average</t>
  </si>
  <si>
    <t xml:space="preserve">1 - For ATRR filings, the imputed debt rate will be the 13-month average of the Bloomberg US Utilities BBB- 10-Year index as of the last day of each month </t>
  </si>
  <si>
    <t xml:space="preserve">2 - For PTRR filings, imputed debt rate will be Bloomberg US Utilities BBB- 10-Year index as of August 31 of the year prior to the rate year </t>
  </si>
  <si>
    <t>Recoverable PBOP expense is based on actual annual PBOP costs. The PBOP amounts are included in the Administrative and General total, and are based on current year expenses. Valley Link Transmission West Virginia, LLC  will provide upon request, in connection with each Annual Update, a copy of the annual third-party actuarial valuation report supporting the derivation of the PBOP expense as charged to FERC account 926, and the amount of such expense included in total A&amp;G expenses.</t>
  </si>
  <si>
    <t>*  z = Average of monthly balances for months outstanding during the year (average of the balances for the 12 months of the year, with zero in months that the issuance is not outstanding in a month.).</t>
  </si>
  <si>
    <t>An imputed cost of debt will be utilized until such time as long-term debt is obtained by Valley Link Transmission West Virginia, LLC.  The imputed cost of debt will be based on a formula using publicly available indices which will be updated annually, see Attachment 5a page 2 of 2. Once debt is obtained, the long-term debt cost rate will be the weighted average of the rates for all outstanding debt instruments, calculated within Attachment 5a page 1 of 2, col. j.  There will be no preferred stock cost, consistent with Valley Link Transmission West Virginia, LLC’s commitment to use a hypothetical 60% equity and 40% debt capital structure until the earlier of December 31, 2030 or the following three components of the Project Portfolio are placed in service: the new 500 kV Kraken Substation; the 765 kV Joshua Fall – Yeat transmission line; and the 765 kV Amos to Welton Spring transmission line.  Thereafter, Preferred cost rate = preferred dividends (line 12) / preferred outstanding (line 14).  No change in ROE may be made absent a filing with FERC under Section 205 or Section 206 of the Federal Power Act.  Valley Link Transmission West Virginia, LLC’s stated ROE is set to 11.40% (10.9% base ROE plus 50 basis point adder for RTO participation).</t>
  </si>
  <si>
    <t>For  the 12 months ended 12/31/26</t>
  </si>
  <si>
    <t>For  the 12 months ended 12/31/2026</t>
  </si>
  <si>
    <t>2026 Quarterly Activity and Balances</t>
  </si>
  <si>
    <t>2026 PTRR</t>
  </si>
  <si>
    <t>Equity cap structure correction beginning 2026</t>
  </si>
  <si>
    <r>
      <t>Rate Formula Template - Attachment H-</t>
    </r>
    <r>
      <rPr>
        <sz val="12"/>
        <color rgb="FFFF0000"/>
        <rFont val="Times New Roman"/>
        <family val="1"/>
      </rPr>
      <t>39A</t>
    </r>
    <r>
      <rPr>
        <sz val="12"/>
        <rFont val="Times New Roman"/>
        <family val="1"/>
      </rPr>
      <t xml:space="preserve"> Filed 12/31/26</t>
    </r>
  </si>
  <si>
    <t>December 2025</t>
  </si>
  <si>
    <t>December 2026</t>
  </si>
  <si>
    <t>Regulatory Asset 1</t>
  </si>
  <si>
    <t>1c</t>
  </si>
  <si>
    <t>1d</t>
  </si>
  <si>
    <t>1e</t>
  </si>
  <si>
    <t>1f</t>
  </si>
  <si>
    <t>b4000.2</t>
  </si>
  <si>
    <t>b4000.3</t>
  </si>
  <si>
    <t>b4000.4</t>
  </si>
  <si>
    <t>b4000.5</t>
  </si>
  <si>
    <t>b4000.15</t>
  </si>
  <si>
    <t>Welton Spring 765kV Switchyard</t>
  </si>
  <si>
    <t>Welton Spring Substation MVAR</t>
  </si>
  <si>
    <t>Welton Spring - Rocky Point 765 kV line</t>
  </si>
  <si>
    <t>Amos - Welton Spring 765 kV line AEP</t>
  </si>
  <si>
    <t>Amos - Welton Spring 765 kV line APS/FE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</si>
</sst>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3">
    <numFmt numFmtId="5" formatCode="&quot;$&quot;#,##0_);\(&quot;$&quot;#,##0\)"/>
    <numFmt numFmtId="6" formatCode="&quot;$&quot;#,##0_);[Red]\(&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
    <numFmt numFmtId="165" formatCode="#,##0.00000"/>
    <numFmt numFmtId="166" formatCode="0.00000"/>
    <numFmt numFmtId="167" formatCode="#,##0.0000"/>
    <numFmt numFmtId="168" formatCode="#,##0.000"/>
    <numFmt numFmtId="169" formatCode="0.0000"/>
    <numFmt numFmtId="170" formatCode="&quot;$&quot;#,##0"/>
    <numFmt numFmtId="171" formatCode="0.0%"/>
    <numFmt numFmtId="172" formatCode="#,##0.0"/>
    <numFmt numFmtId="173" formatCode="&quot;$&quot;#,##0.000"/>
    <numFmt numFmtId="174" formatCode="&quot;$&quot;#,##0.00"/>
    <numFmt numFmtId="175" formatCode="_(* #,##0_);_(* \(#,##0\);_(* &quot;-&quot;??_);_(@_)"/>
    <numFmt numFmtId="176" formatCode="_(&quot;$&quot;* #,##0_);_(&quot;$&quot;* \(#,##0\);_(&quot;$&quot;* &quot;-&quot;??_);_(@_)"/>
    <numFmt numFmtId="177" formatCode="0_);\(0\)"/>
    <numFmt numFmtId="178" formatCode="&quot;$&quot;#,##0.0"/>
    <numFmt numFmtId="179" formatCode="#,##0.0_);\(#,##0.0\)"/>
    <numFmt numFmtId="180" formatCode="&quot;$&quot;#,##0.000_);\(&quot;$&quot;#,##0.000\)"/>
    <numFmt numFmtId="181" formatCode="&quot;$&quot;#,##0.0_);\(&quot;$&quot;#,##0.0\)"/>
    <numFmt numFmtId="182" formatCode="#,##0.000_);\(#,##0.000\)"/>
    <numFmt numFmtId="183" formatCode="_(* #,##0.0000_);_(* \(#,##0.0000\);_(* &quot;-&quot;??_);_(@_)"/>
    <numFmt numFmtId="184" formatCode="_(* #,##0.00000_);_(* \(#,##0.00000\);_(* &quot;-&quot;??_);_(@_)"/>
    <numFmt numFmtId="185" formatCode="_(* #,##0.0\¢_m;[Red]_(* \-#,##0.0\¢_m;[Green]_(* 0.0\¢_m;_(@_)_%"/>
    <numFmt numFmtId="186" formatCode="_(* #,##0.00\¢_m;[Red]_(* \-#,##0.00\¢_m;[Green]_(* 0.00\¢_m;_(@_)_%"/>
    <numFmt numFmtId="187" formatCode="_(* #,##0.000\¢_m;[Red]_(* \-#,##0.000\¢_m;[Green]_(* 0.000\¢_m;_(@_)_%"/>
    <numFmt numFmtId="188" formatCode="_(_(\£* #,##0_)_%;[Red]_(\(\£* #,##0\)_%;[Green]_(_(\£* #,##0_)_%;_(@_)_%"/>
    <numFmt numFmtId="189" formatCode="_(_(\£* #,##0.0_)_%;[Red]_(\(\£* #,##0.0\)_%;[Green]_(_(\£* #,##0.0_)_%;_(@_)_%"/>
    <numFmt numFmtId="190" formatCode="_(_(\£* #,##0.00_)_%;[Red]_(\(\£* #,##0.00\)_%;[Green]_(_(\£* #,##0.00_)_%;_(@_)_%"/>
    <numFmt numFmtId="191" formatCode="0.0%_);\(0.0%\)"/>
    <numFmt numFmtId="192" formatCode="\•\ \ @"/>
    <numFmt numFmtId="193" formatCode="_(_(\•_ #0_)_%;[Red]_(_(\•_ \-#0\)_%;[Green]_(_(\•_ #0_)_%;_(_(\•_ @_)_%"/>
    <numFmt numFmtId="194" formatCode="_(_(_•_ \•_ #0_)_%;[Red]_(_(_•_ \•_ \-#0\)_%;[Green]_(_(_•_ \•_ #0_)_%;_(_(_•_ \•_ @_)_%"/>
    <numFmt numFmtId="195" formatCode="_(_(_•_ _•_ \•_ #0_)_%;[Red]_(_(_•_ _•_ \•_ \-#0\)_%;[Green]_(_(_•_ _•_ \•_ #0_)_%;_(_(_•_ \•_ @_)_%"/>
    <numFmt numFmtId="196" formatCode="#,##0,_);\(#,##0,\)"/>
    <numFmt numFmtId="197" formatCode="0.0,_);\(0.0,\)"/>
    <numFmt numFmtId="198" formatCode="0.00,_);\(0.00,\)"/>
    <numFmt numFmtId="199" formatCode="_(_(_$* #,##0.0_)_%;[Red]_(\(_$* #,##0.0\)_%;[Green]_(_(_$* #,##0.0_)_%;_(@_)_%"/>
    <numFmt numFmtId="200" formatCode="_(_(_$* #,##0.00_)_%;[Red]_(\(_$* #,##0.00\)_%;[Green]_(_(_$* #,##0.00_)_%;_(@_)_%"/>
    <numFmt numFmtId="201" formatCode="_(_(_$* #,##0.000_)_%;[Red]_(\(_$* #,##0.000\)_%;[Green]_(_(_$* #,##0.000_)_%;_(@_)_%"/>
    <numFmt numFmtId="202" formatCode="_._.* #,##0.0_)_%;_._.* \(#,##0.0\)_%;_._.* \ ?_)_%"/>
    <numFmt numFmtId="203" formatCode="_._.* #,##0.00_)_%;_._.* \(#,##0.00\)_%;_._.* \ ?_)_%"/>
    <numFmt numFmtId="204" formatCode="_._.* #,##0.000_)_%;_._.* \(#,##0.000\)_%;_._.* \ ?_)_%"/>
    <numFmt numFmtId="205" formatCode="_._.* #,##0.0000_)_%;_._.* \(#,##0.0000\)_%;_._.* \ ?_)_%"/>
    <numFmt numFmtId="206" formatCode="_(_(&quot;$&quot;* #,##0.0_)_%;[Red]_(\(&quot;$&quot;* #,##0.0\)_%;[Green]_(_(&quot;$&quot;* #,##0.0_)_%;_(@_)_%"/>
    <numFmt numFmtId="207" formatCode="_(_(&quot;$&quot;* #,##0.00_)_%;[Red]_(\(&quot;$&quot;* #,##0.00\)_%;[Green]_(_(&quot;$&quot;* #,##0.00_)_%;_(@_)_%"/>
    <numFmt numFmtId="208" formatCode="_(_(&quot;$&quot;* #,##0.000_)_%;[Red]_(\(&quot;$&quot;* #,##0.000\)_%;[Green]_(_(&quot;$&quot;* #,##0.000_)_%;_(@_)_%"/>
    <numFmt numFmtId="209" formatCode="_._.&quot;$&quot;* #,##0.0_)_%;_._.&quot;$&quot;* \(#,##0.0\)_%;_._.&quot;$&quot;* \ ?_)_%"/>
    <numFmt numFmtId="210" formatCode="_._.&quot;$&quot;* #,##0.00_)_%;_._.&quot;$&quot;* \(#,##0.00\)_%;_._.&quot;$&quot;* \ ?_)_%"/>
    <numFmt numFmtId="211" formatCode="_._.&quot;$&quot;* #,##0.000_)_%;_._.&quot;$&quot;* \(#,##0.000\)_%;_._.&quot;$&quot;* \ ?_)_%"/>
    <numFmt numFmtId="212" formatCode="_._.&quot;$&quot;* #,##0.0000_)_%;_._.&quot;$&quot;* \(#,##0.0000\)_%;_._.&quot;$&quot;* \ ?_)_%"/>
    <numFmt numFmtId="213" formatCode="&quot;$&quot;#,##0,_);\(&quot;$&quot;#,##0,\)"/>
    <numFmt numFmtId="214" formatCode="&quot;$&quot;0.0,_);\(&quot;$&quot;0.0,\)"/>
    <numFmt numFmtId="215" formatCode="&quot;$&quot;0.00,_);\(&quot;$&quot;0.00,\)"/>
    <numFmt numFmtId="216" formatCode="_(* dd\-mmm\-yy_)_%"/>
    <numFmt numFmtId="217" formatCode="_(* dd\ mmmm\ yyyy_)_%"/>
    <numFmt numFmtId="218" formatCode="_(* mmmm\ dd\,\ yyyy_)_%"/>
    <numFmt numFmtId="219" formatCode="_(* dd\.mm\.yyyy_)_%"/>
    <numFmt numFmtId="220" formatCode="_(* mm/dd/yyyy_)_%"/>
    <numFmt numFmtId="221" formatCode="m/d/yy;@"/>
    <numFmt numFmtId="222" formatCode="#,##0.0\x_);\(#,##0.0\x\)"/>
    <numFmt numFmtId="223" formatCode="#,##0.00\x_);\(#,##0.00\x\)"/>
    <numFmt numFmtId="224" formatCode="[$€-2]\ #,##0_);\([$€-2]\ #,##0\)"/>
    <numFmt numFmtId="225" formatCode="[$€-2]\ #,##0.0_);\([$€-2]\ #,##0.0\)"/>
    <numFmt numFmtId="226" formatCode="_([$€-2]* #,##0.00_);_([$€-2]* \(#,##0.00\);_([$€-2]* &quot;-&quot;??_)"/>
    <numFmt numFmtId="227" formatCode="General_)_%"/>
    <numFmt numFmtId="228" formatCode="_(_(#0_)_%;[Red]_(_(\-#0\)_%;[Green]_(_(#0_)_%;_(_(@_)_%"/>
    <numFmt numFmtId="229" formatCode="_(_(_•_ #0_)_%;[Red]_(_(_•_ \-#0\)_%;[Green]_(_(_•_ #0_)_%;_(_(_•_ @_)_%"/>
    <numFmt numFmtId="230" formatCode="_(_(_•_ _•_ #0_)_%;[Red]_(_(_•_ _•_ \-#0\)_%;[Green]_(_(_•_ _•_ #0_)_%;_(_(_•_ _•_ @_)_%"/>
    <numFmt numFmtId="231" formatCode="_(_(_•_ _•_ _•_ #0_)_%;[Red]_(_(_•_ _•_ _•_ \-#0\)_%;[Green]_(_(_•_ _•_ _•_ #0_)_%;_(_(_•_ _•_ _•_ @_)_%"/>
    <numFmt numFmtId="232" formatCode="#,##0\x;\(#,##0\x\)"/>
    <numFmt numFmtId="233" formatCode="0.0\x;\(0.0\x\)"/>
    <numFmt numFmtId="234" formatCode="#,##0.00\x;\(#,##0.00\x\)"/>
    <numFmt numFmtId="235" formatCode="#,##0.000\x;\(#,##0.000\x\)"/>
    <numFmt numFmtId="236" formatCode="0.0_);\(0.0\)"/>
    <numFmt numFmtId="237" formatCode="0%;\(0%\)"/>
    <numFmt numFmtId="238" formatCode="0.00\ \x_);\(0.00\ \x\)"/>
    <numFmt numFmtId="239" formatCode="_(* #,##0_);_(* \(#,##0\);_(* &quot;-&quot;????_);_(@_)"/>
    <numFmt numFmtId="240" formatCode="0__"/>
    <numFmt numFmtId="241" formatCode="h:mmAM/PM"/>
    <numFmt numFmtId="242" formatCode="0&quot; E&quot;"/>
    <numFmt numFmtId="243" formatCode="yyyy"/>
    <numFmt numFmtId="244" formatCode="0.0%;\(0.0%\)"/>
    <numFmt numFmtId="245" formatCode="0.00%_);\(0.00%\)"/>
    <numFmt numFmtId="246" formatCode="0.000%_);\(0.000%\)"/>
    <numFmt numFmtId="247" formatCode="_(0_)%;\(0\)%;\ \ ?_)%"/>
    <numFmt numFmtId="248" formatCode="_._._(* 0_)%;_._.* \(0\)%;_._._(* \ ?_)%"/>
    <numFmt numFmtId="249" formatCode="0%_);\(0%\)"/>
    <numFmt numFmtId="250" formatCode="_(* #,##0_)_%;[Red]_(* \(#,##0\)_%;[Green]_(* 0_)_%;_(@_)_%"/>
    <numFmt numFmtId="251" formatCode="_(* #,##0.0%_);[Red]_(* \-#,##0.0%_);[Green]_(* 0.0%_);_(@_)_%"/>
    <numFmt numFmtId="252" formatCode="_(* #,##0.00%_);[Red]_(* \-#,##0.00%_);[Green]_(* 0.00%_);_(@_)_%"/>
    <numFmt numFmtId="253" formatCode="_(* #,##0.000%_);[Red]_(* \-#,##0.000%_);[Green]_(* 0.000%_);_(@_)_%"/>
    <numFmt numFmtId="254" formatCode="_(0.0_)%;\(0.0\)%;\ \ ?_)%"/>
    <numFmt numFmtId="255" formatCode="_._._(* 0.0_)%;_._.* \(0.0\)%;_._._(* \ ?_)%"/>
    <numFmt numFmtId="256" formatCode="_(0.00_)%;\(0.00\)%;\ \ ?_)%"/>
    <numFmt numFmtId="257" formatCode="_._._(* 0.00_)%;_._.* \(0.00\)%;_._._(* \ ?_)%"/>
    <numFmt numFmtId="258" formatCode="_(0.000_)%;\(0.000\)%;\ \ ?_)%"/>
    <numFmt numFmtId="259" formatCode="_._._(* 0.000_)%;_._.* \(0.000\)%;_._._(* \ ?_)%"/>
    <numFmt numFmtId="260" formatCode="_(0.0000_)%;\(0.0000\)%;\ \ ?_)%"/>
    <numFmt numFmtId="261" formatCode="_._._(* 0.0000_)%;_._.* \(0.0000\)%;_._._(* \ ?_)%"/>
    <numFmt numFmtId="262" formatCode="mmmm\ dd\,\ yy"/>
    <numFmt numFmtId="263" formatCode="0.0\x"/>
    <numFmt numFmtId="264" formatCode="_(* #,##0_);_(* \(#,##0\);_(* \ ?_)"/>
    <numFmt numFmtId="265" formatCode="_(* #,##0.0_);_(* \(#,##0.0\);_(* \ ?_)"/>
    <numFmt numFmtId="266" formatCode="_(* #,##0.00_);_(* \(#,##0.00\);_(* \ ?_)"/>
    <numFmt numFmtId="267" formatCode="_(* #,##0.000_);_(* \(#,##0.000\);_(* \ ?_)"/>
    <numFmt numFmtId="268" formatCode="_(&quot;$&quot;* #,##0_);_(&quot;$&quot;* \(#,##0\);_(&quot;$&quot;* \ ?_)"/>
    <numFmt numFmtId="269" formatCode="_(&quot;$&quot;* #,##0.0_);_(&quot;$&quot;* \(#,##0.0\);_(&quot;$&quot;* \ ?_)"/>
    <numFmt numFmtId="270" formatCode="_(&quot;$&quot;* #,##0.00_);_(&quot;$&quot;* \(#,##0.00\);_(&quot;$&quot;* \ ?_)"/>
    <numFmt numFmtId="271" formatCode="_(&quot;$&quot;* #,##0.000_);_(&quot;$&quot;* \(#,##0.000\);_(&quot;$&quot;* \ ?_)"/>
    <numFmt numFmtId="272" formatCode="0000&quot;A&quot;"/>
    <numFmt numFmtId="273" formatCode="0&quot;E&quot;"/>
    <numFmt numFmtId="274" formatCode="0000&quot;E&quot;"/>
    <numFmt numFmtId="275" formatCode="_(* #,##0.000_);_(* \(#,##0.000\);_(* &quot;-&quot;??_);_(@_)"/>
    <numFmt numFmtId="276" formatCode="0.0000%"/>
    <numFmt numFmtId="277" formatCode="&quot;$&quot;#,##0\ ;\(&quot;$&quot;#,##0\)"/>
    <numFmt numFmtId="278" formatCode="[$-409]m/d/yy\ h:mm\ AM/PM;@"/>
    <numFmt numFmtId="279" formatCode="0.0000000"/>
  </numFmts>
  <fonts count="183">
    <font>
      <sz val="12"/>
      <name val="Arial MT"/>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color indexed="8"/>
      <name val="Calibri"/>
      <family val="2"/>
    </font>
    <font>
      <sz val="8"/>
      <name val="Arial"/>
      <family val="2"/>
    </font>
    <font>
      <b/>
      <sz val="14"/>
      <name val="Arial"/>
      <family val="2"/>
    </font>
    <font>
      <sz val="10"/>
      <name val="Arial"/>
      <family val="2"/>
    </font>
    <font>
      <b/>
      <i/>
      <sz val="14"/>
      <name val="Arial"/>
      <family val="2"/>
    </font>
    <font>
      <b/>
      <sz val="12"/>
      <name val="Arial"/>
      <family val="2"/>
    </font>
    <font>
      <b/>
      <sz val="11"/>
      <name val="Arial"/>
      <family val="2"/>
    </font>
    <font>
      <b/>
      <sz val="24"/>
      <name val="Arial Narrow"/>
      <family val="2"/>
    </font>
    <font>
      <b/>
      <i/>
      <sz val="12"/>
      <name val="Arial"/>
      <family val="2"/>
    </font>
    <font>
      <i/>
      <sz val="12"/>
      <name val="Arial"/>
      <family val="2"/>
    </font>
    <font>
      <sz val="12"/>
      <name val="Arial"/>
      <family val="2"/>
    </font>
    <font>
      <sz val="9"/>
      <name val="Arial"/>
      <family val="2"/>
    </font>
    <font>
      <i/>
      <sz val="10"/>
      <name val="Arial"/>
      <family val="2"/>
    </font>
    <font>
      <sz val="10"/>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i/>
      <sz val="9"/>
      <color indexed="18"/>
      <name val="Arial"/>
      <family val="2"/>
    </font>
    <font>
      <b/>
      <sz val="18"/>
      <name val="Arial"/>
      <family val="2"/>
    </font>
    <font>
      <b/>
      <sz val="12"/>
      <name val="Arial"/>
      <family val="2"/>
    </font>
    <font>
      <b/>
      <sz val="14"/>
      <name val="Book Antiqua"/>
      <family val="1"/>
    </font>
    <font>
      <i/>
      <sz val="10"/>
      <name val="Book Antiqua"/>
      <family val="1"/>
    </font>
    <font>
      <sz val="12"/>
      <name val="Arial MT"/>
    </font>
    <font>
      <sz val="10"/>
      <name val="MS Sans Serif"/>
      <family val="2"/>
    </font>
    <font>
      <b/>
      <sz val="10"/>
      <name val="MS Sans Serif"/>
      <family val="2"/>
    </font>
    <font>
      <sz val="8"/>
      <color indexed="38"/>
      <name val="Arial"/>
      <family val="2"/>
    </font>
    <font>
      <b/>
      <sz val="9"/>
      <name val="Arial"/>
      <family val="2"/>
    </font>
    <font>
      <b/>
      <sz val="10"/>
      <name val="Arial"/>
      <family val="2"/>
    </font>
    <font>
      <b/>
      <i/>
      <sz val="16"/>
      <name val="Arial"/>
      <family val="2"/>
    </font>
    <font>
      <b/>
      <sz val="12"/>
      <color indexed="32"/>
      <name val="Arial"/>
      <family val="2"/>
    </font>
    <font>
      <i/>
      <sz val="11"/>
      <name val="Arial"/>
      <family val="2"/>
    </font>
    <font>
      <sz val="11"/>
      <name val="Arial"/>
      <family val="2"/>
    </font>
    <font>
      <sz val="12"/>
      <name val="Times New Roman"/>
      <family val="1"/>
    </font>
    <font>
      <b/>
      <sz val="10"/>
      <color indexed="10"/>
      <name val="Arial"/>
      <family val="2"/>
    </font>
    <font>
      <sz val="10"/>
      <color indexed="12"/>
      <name val="Arial"/>
      <family val="2"/>
    </font>
    <font>
      <b/>
      <sz val="10"/>
      <color indexed="8"/>
      <name val="Arial"/>
      <family val="2"/>
    </font>
    <font>
      <sz val="10"/>
      <name val="Arial"/>
      <family val="2"/>
    </font>
    <font>
      <b/>
      <sz val="10"/>
      <color indexed="12"/>
      <name val="Arial"/>
      <family val="2"/>
    </font>
    <font>
      <sz val="11"/>
      <name val="Times New Roman"/>
      <family val="1"/>
    </font>
    <font>
      <b/>
      <i/>
      <sz val="12"/>
      <name val="Times New Roman"/>
      <family val="1"/>
    </font>
    <font>
      <sz val="10"/>
      <name val="C Helvetica Condensed"/>
    </font>
    <font>
      <sz val="10"/>
      <color indexed="12"/>
      <name val="Times New Roman"/>
      <family val="1"/>
    </font>
    <font>
      <sz val="10"/>
      <name val="Times New Roman"/>
      <family val="1"/>
    </font>
    <font>
      <b/>
      <sz val="10"/>
      <color indexed="8"/>
      <name val="Times New Roman"/>
      <family val="1"/>
    </font>
    <font>
      <sz val="9"/>
      <color indexed="12"/>
      <name val="Arial"/>
      <family val="2"/>
    </font>
    <font>
      <sz val="9"/>
      <name val="Times New Roman"/>
      <family val="1"/>
    </font>
    <font>
      <sz val="12"/>
      <name val="Helv"/>
    </font>
    <font>
      <u val="singleAccounting"/>
      <sz val="11"/>
      <name val="Times New Roman"/>
      <family val="1"/>
    </font>
    <font>
      <sz val="8"/>
      <name val="Times New Roman"/>
      <family val="1"/>
    </font>
    <font>
      <b/>
      <sz val="10"/>
      <name val="Times New Roman"/>
      <family val="1"/>
    </font>
    <font>
      <i/>
      <sz val="8"/>
      <name val="Arial"/>
      <family val="2"/>
    </font>
    <font>
      <sz val="8"/>
      <color indexed="22"/>
      <name val="Arial"/>
      <family val="2"/>
    </font>
    <font>
      <sz val="10"/>
      <name val="Book Antiqua"/>
      <family val="1"/>
    </font>
    <font>
      <b/>
      <i/>
      <sz val="14"/>
      <name val="Tms Rmn"/>
    </font>
    <font>
      <sz val="10"/>
      <color indexed="42"/>
      <name val="Arial"/>
      <family val="2"/>
    </font>
    <font>
      <sz val="10"/>
      <color indexed="46"/>
      <name val="Arial"/>
      <family val="2"/>
    </font>
    <font>
      <b/>
      <sz val="10"/>
      <color indexed="22"/>
      <name val="Arial"/>
      <family val="2"/>
    </font>
    <font>
      <u/>
      <sz val="10"/>
      <color indexed="12"/>
      <name val="Arial"/>
      <family val="2"/>
    </font>
    <font>
      <sz val="10"/>
      <color indexed="12"/>
      <name val="Book Antiqua"/>
      <family val="1"/>
    </font>
    <font>
      <i/>
      <sz val="16"/>
      <name val="Times New Roman"/>
      <family val="1"/>
    </font>
    <font>
      <sz val="7"/>
      <name val="Small Fonts"/>
      <family val="2"/>
    </font>
    <font>
      <u/>
      <sz val="10"/>
      <name val="Times New Roman"/>
      <family val="1"/>
    </font>
    <font>
      <sz val="10"/>
      <color indexed="40"/>
      <name val="Arial"/>
      <family val="2"/>
    </font>
    <font>
      <sz val="10"/>
      <color indexed="8"/>
      <name val="Times New Roman"/>
      <family val="1"/>
    </font>
    <font>
      <sz val="10"/>
      <name val="Futura UBS Bk"/>
      <family val="2"/>
    </font>
    <font>
      <sz val="10"/>
      <color indexed="8"/>
      <name val="MS Sans Serif"/>
      <family val="2"/>
    </font>
    <font>
      <sz val="10"/>
      <color indexed="8"/>
      <name val="Arial"/>
      <family val="2"/>
    </font>
    <font>
      <b/>
      <sz val="9"/>
      <name val="Times New Roman"/>
      <family val="1"/>
    </font>
    <font>
      <i/>
      <sz val="8"/>
      <name val="Times New Roman"/>
      <family val="1"/>
    </font>
    <font>
      <sz val="10"/>
      <color indexed="21"/>
      <name val="Arial"/>
      <family val="2"/>
    </font>
    <font>
      <b/>
      <sz val="8"/>
      <name val="Arial"/>
      <family val="2"/>
    </font>
    <font>
      <strike/>
      <sz val="10"/>
      <name val="Times New Roman"/>
      <family val="1"/>
    </font>
    <font>
      <sz val="10"/>
      <color indexed="10"/>
      <name val="Times New Roman"/>
      <family val="1"/>
    </font>
    <font>
      <b/>
      <u/>
      <sz val="10"/>
      <name val="Times New Roman"/>
      <family val="1"/>
    </font>
    <font>
      <vertAlign val="superscript"/>
      <sz val="10"/>
      <name val="Times New Roman"/>
      <family val="1"/>
    </font>
    <font>
      <b/>
      <i/>
      <strike/>
      <sz val="10"/>
      <name val="Times New Roman"/>
      <family val="1"/>
    </font>
    <font>
      <sz val="10"/>
      <color indexed="8"/>
      <name val="Arial"/>
      <family val="2"/>
    </font>
    <font>
      <sz val="9"/>
      <name val="Helv"/>
    </font>
    <font>
      <sz val="10"/>
      <name val="Arial Narrow"/>
      <family val="2"/>
    </font>
    <font>
      <sz val="11"/>
      <color theme="1"/>
      <name val="Calibri"/>
      <family val="2"/>
      <scheme val="minor"/>
    </font>
    <font>
      <sz val="12"/>
      <name val="Arial"/>
      <family val="2"/>
    </font>
    <font>
      <vertAlign val="superscript"/>
      <sz val="8"/>
      <name val="Times New Roman"/>
      <family val="1"/>
    </font>
    <font>
      <sz val="10"/>
      <color theme="1"/>
      <name val="Arial"/>
      <family val="2"/>
    </font>
    <font>
      <sz val="11"/>
      <color indexed="8"/>
      <name val="Arial Narrow"/>
      <family val="2"/>
    </font>
    <font>
      <sz val="11"/>
      <color indexed="9"/>
      <name val="Arial Narrow"/>
      <family val="2"/>
    </font>
    <font>
      <sz val="11"/>
      <color indexed="20"/>
      <name val="Arial Narrow"/>
      <family val="2"/>
    </font>
    <font>
      <b/>
      <sz val="11"/>
      <color indexed="52"/>
      <name val="Arial Narrow"/>
      <family val="2"/>
    </font>
    <font>
      <b/>
      <sz val="11"/>
      <color indexed="9"/>
      <name val="Arial Narrow"/>
      <family val="2"/>
    </font>
    <font>
      <i/>
      <sz val="11"/>
      <color indexed="23"/>
      <name val="Arial Narrow"/>
      <family val="2"/>
    </font>
    <font>
      <sz val="11"/>
      <color indexed="17"/>
      <name val="Arial Narrow"/>
      <family val="2"/>
    </font>
    <font>
      <b/>
      <sz val="11"/>
      <color indexed="56"/>
      <name val="Arial Narrow"/>
      <family val="2"/>
    </font>
    <font>
      <sz val="11"/>
      <color indexed="62"/>
      <name val="Arial Narrow"/>
      <family val="2"/>
    </font>
    <font>
      <sz val="11"/>
      <color indexed="52"/>
      <name val="Arial Narrow"/>
      <family val="2"/>
    </font>
    <font>
      <sz val="11"/>
      <color indexed="60"/>
      <name val="Arial Narrow"/>
      <family val="2"/>
    </font>
    <font>
      <b/>
      <sz val="11"/>
      <color indexed="63"/>
      <name val="Arial Narrow"/>
      <family val="2"/>
    </font>
    <font>
      <b/>
      <sz val="18"/>
      <color indexed="56"/>
      <name val="Cambria"/>
      <family val="2"/>
    </font>
    <font>
      <sz val="11"/>
      <color indexed="10"/>
      <name val="Arial Narrow"/>
      <family val="2"/>
    </font>
    <font>
      <sz val="10"/>
      <name val="Arial"/>
      <family val="2"/>
    </font>
    <font>
      <sz val="12"/>
      <name val="Arial Narrow"/>
      <family val="2"/>
    </font>
    <font>
      <sz val="11"/>
      <name val="Arial Narrow"/>
      <family val="2"/>
    </font>
    <font>
      <sz val="9"/>
      <name val="Arial Narrow"/>
      <family val="2"/>
    </font>
    <font>
      <b/>
      <sz val="12"/>
      <name val="Times New Roman"/>
      <family val="1"/>
    </font>
    <font>
      <u/>
      <sz val="12"/>
      <name val="Times New Roman"/>
      <family val="1"/>
    </font>
    <font>
      <sz val="12"/>
      <color rgb="FF0000FF"/>
      <name val="Times New Roman"/>
      <family val="1"/>
    </font>
    <font>
      <sz val="12"/>
      <color rgb="FFFF0000"/>
      <name val="Times New Roman"/>
      <family val="1"/>
    </font>
    <font>
      <b/>
      <sz val="18"/>
      <color theme="3"/>
      <name val="Cambria"/>
      <family val="2"/>
      <scheme val="maj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4"/>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22"/>
      <name val="Arial"/>
      <family val="2"/>
    </font>
    <font>
      <i/>
      <sz val="11"/>
      <color indexed="23"/>
      <name val="Calibri"/>
      <family val="2"/>
    </font>
    <font>
      <sz val="11"/>
      <color indexed="17"/>
      <name val="Calibri"/>
      <family val="2"/>
    </font>
    <font>
      <b/>
      <sz val="18"/>
      <color indexed="22"/>
      <name val="Arial"/>
      <family val="2"/>
    </font>
    <font>
      <b/>
      <sz val="15"/>
      <color theme="3"/>
      <name val="Calibri"/>
      <family val="2"/>
      <scheme val="minor"/>
    </font>
    <font>
      <b/>
      <sz val="12"/>
      <color indexed="22"/>
      <name val="Arial"/>
      <family val="2"/>
    </font>
    <font>
      <b/>
      <sz val="13"/>
      <color theme="3"/>
      <name val="Calibri"/>
      <family val="2"/>
      <scheme val="minor"/>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Arial"/>
      <family val="2"/>
    </font>
    <font>
      <sz val="10"/>
      <name val="MS Sans Serif"/>
      <family val="2"/>
    </font>
    <font>
      <b/>
      <sz val="11"/>
      <color indexed="63"/>
      <name val="Calibri"/>
      <family val="2"/>
    </font>
    <font>
      <b/>
      <sz val="10"/>
      <name val="MS Sans Serif"/>
      <family val="2"/>
    </font>
    <font>
      <b/>
      <sz val="11"/>
      <color theme="1"/>
      <name val="Calibri"/>
      <family val="2"/>
      <scheme val="minor"/>
    </font>
    <font>
      <sz val="11"/>
      <color indexed="10"/>
      <name val="Calibri"/>
      <family val="2"/>
    </font>
    <font>
      <u/>
      <sz val="10"/>
      <name val="Arial"/>
      <family val="2"/>
    </font>
    <font>
      <b/>
      <sz val="16"/>
      <name val="Arial"/>
      <family val="2"/>
    </font>
    <font>
      <b/>
      <sz val="14"/>
      <name val="Times New Roman"/>
      <family val="1"/>
    </font>
    <font>
      <b/>
      <u/>
      <sz val="10"/>
      <name val="Arial"/>
      <family val="2"/>
    </font>
    <font>
      <b/>
      <sz val="12"/>
      <name val="Arial MT"/>
    </font>
    <font>
      <b/>
      <i/>
      <sz val="10"/>
      <name val="Arial"/>
      <family val="2"/>
    </font>
    <font>
      <b/>
      <u val="singleAccounting"/>
      <sz val="10"/>
      <name val="Arial"/>
      <family val="2"/>
    </font>
    <font>
      <b/>
      <sz val="10"/>
      <name val="Arial Narrow"/>
      <family val="2"/>
    </font>
    <font>
      <b/>
      <sz val="11"/>
      <name val="Times New Roman"/>
      <family val="1"/>
    </font>
    <font>
      <b/>
      <sz val="9"/>
      <name val="Segoe UI"/>
      <family val="2"/>
    </font>
    <font>
      <b/>
      <u/>
      <sz val="12"/>
      <name val="Times New Roman"/>
      <family val="1"/>
    </font>
    <font>
      <b/>
      <sz val="12"/>
      <name val="Calibri"/>
      <family val="2"/>
      <scheme val="minor"/>
    </font>
    <font>
      <sz val="11"/>
      <name val="Calibri"/>
      <family val="2"/>
      <scheme val="minor"/>
    </font>
    <font>
      <b/>
      <sz val="11"/>
      <name val="Calibri"/>
      <family val="2"/>
      <scheme val="minor"/>
    </font>
    <font>
      <sz val="12"/>
      <name val="Calibri"/>
      <family val="2"/>
      <scheme val="minor"/>
    </font>
    <font>
      <sz val="10"/>
      <name val="Calibri"/>
      <family val="2"/>
      <scheme val="minor"/>
    </font>
    <font>
      <b/>
      <sz val="10"/>
      <name val="Calibri"/>
      <family val="2"/>
      <scheme val="minor"/>
    </font>
    <font>
      <b/>
      <u/>
      <sz val="12"/>
      <name val="Arial"/>
      <family val="2"/>
    </font>
    <font>
      <u/>
      <sz val="12"/>
      <name val="Arial"/>
      <family val="2"/>
    </font>
    <font>
      <u val="singleAccounting"/>
      <sz val="12"/>
      <name val="Arial"/>
      <family val="2"/>
    </font>
    <font>
      <vertAlign val="subscript"/>
      <sz val="10"/>
      <name val="Arial"/>
      <family val="2"/>
    </font>
    <font>
      <strike/>
      <vertAlign val="superscript"/>
      <sz val="12"/>
      <name val="Arial"/>
      <family val="2"/>
    </font>
    <font>
      <strike/>
      <sz val="10"/>
      <name val="Arial"/>
      <family val="2"/>
    </font>
    <font>
      <sz val="10"/>
      <name val="Arial MT"/>
    </font>
    <font>
      <u val="singleAccounting"/>
      <sz val="12"/>
      <name val="Arial MT"/>
    </font>
    <font>
      <b/>
      <vertAlign val="superscript"/>
      <sz val="12"/>
      <name val="Arial"/>
      <family val="2"/>
    </font>
  </fonts>
  <fills count="71">
    <fill>
      <patternFill patternType="none"/>
    </fill>
    <fill>
      <patternFill patternType="gray125"/>
    </fill>
    <fill>
      <patternFill patternType="solid">
        <fgColor indexed="53"/>
        <bgColor indexed="64"/>
      </patternFill>
    </fill>
    <fill>
      <patternFill patternType="solid">
        <fgColor indexed="39"/>
        <bgColor indexed="64"/>
      </patternFill>
    </fill>
    <fill>
      <patternFill patternType="solid">
        <fgColor indexed="46"/>
        <bgColor indexed="64"/>
      </patternFill>
    </fill>
    <fill>
      <patternFill patternType="solid">
        <fgColor indexed="27"/>
        <bgColor indexed="64"/>
      </patternFill>
    </fill>
    <fill>
      <patternFill patternType="solid">
        <fgColor indexed="38"/>
        <bgColor indexed="64"/>
      </patternFill>
    </fill>
    <fill>
      <patternFill patternType="solid">
        <fgColor indexed="13"/>
        <bgColor indexed="64"/>
      </patternFill>
    </fill>
    <fill>
      <patternFill patternType="solid">
        <fgColor indexed="26"/>
        <bgColor indexed="64"/>
      </patternFill>
    </fill>
    <fill>
      <patternFill patternType="solid">
        <fgColor indexed="22"/>
        <bgColor indexed="64"/>
      </patternFill>
    </fill>
    <fill>
      <patternFill patternType="lightGray">
        <fgColor indexed="38"/>
        <bgColor indexed="23"/>
      </patternFill>
    </fill>
    <fill>
      <patternFill patternType="solid">
        <fgColor indexed="9"/>
        <bgColor indexed="64"/>
      </patternFill>
    </fill>
    <fill>
      <patternFill patternType="mediumGray">
        <fgColor indexed="22"/>
      </patternFill>
    </fill>
    <fill>
      <patternFill patternType="solid">
        <fgColor indexed="26"/>
        <bgColor indexed="9"/>
      </patternFill>
    </fill>
    <fill>
      <patternFill patternType="solid">
        <fgColor indexed="43"/>
        <bgColor indexed="64"/>
      </patternFill>
    </fill>
    <fill>
      <patternFill patternType="solid">
        <fgColor rgb="FFFFFF9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indexed="64"/>
      </patternFill>
    </fill>
    <fill>
      <patternFill patternType="solid">
        <fgColor theme="0"/>
        <bgColor indexed="64"/>
      </patternFill>
    </fill>
  </fills>
  <borders count="54">
    <border>
      <left/>
      <right/>
      <top/>
      <bottom/>
      <diagonal/>
    </border>
    <border>
      <left/>
      <right/>
      <top/>
      <bottom style="thin">
        <color indexed="64"/>
      </bottom>
      <diagonal/>
    </border>
    <border>
      <left/>
      <right/>
      <top style="double">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top/>
      <bottom style="hair">
        <color indexed="20"/>
      </bottom>
      <diagonal/>
    </border>
    <border>
      <left/>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ck">
        <color auto="1"/>
      </top>
      <bottom/>
      <diagonal/>
    </border>
    <border>
      <left/>
      <right/>
      <top style="medium">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auto="1"/>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style="thin">
        <color theme="4"/>
      </top>
      <bottom style="double">
        <color theme="4"/>
      </bottom>
      <diagonal/>
    </border>
    <border>
      <left/>
      <right style="thin">
        <color indexed="64"/>
      </right>
      <top style="thin">
        <color indexed="64"/>
      </top>
      <bottom style="thin">
        <color indexed="64"/>
      </bottom>
      <diagonal/>
    </border>
    <border>
      <left/>
      <right/>
      <top style="thin">
        <color auto="1"/>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9834">
    <xf numFmtId="174" fontId="0" fillId="0" borderId="0" applyProtection="0"/>
    <xf numFmtId="0" fontId="19" fillId="0" borderId="0"/>
    <xf numFmtId="185" fontId="57" fillId="0" borderId="0" applyFont="0" applyFill="0" applyBorder="0" applyAlignment="0" applyProtection="0"/>
    <xf numFmtId="186" fontId="57" fillId="0" borderId="0" applyFont="0" applyFill="0" applyBorder="0" applyAlignment="0" applyProtection="0"/>
    <xf numFmtId="187" fontId="57" fillId="0" borderId="0" applyFont="0" applyFill="0" applyBorder="0" applyAlignment="0" applyProtection="0"/>
    <xf numFmtId="188" fontId="57" fillId="0" borderId="0" applyFont="0" applyFill="0" applyBorder="0" applyAlignment="0" applyProtection="0"/>
    <xf numFmtId="189" fontId="57" fillId="0" borderId="0" applyFont="0" applyFill="0" applyBorder="0" applyAlignment="0" applyProtection="0"/>
    <xf numFmtId="190" fontId="57" fillId="0" borderId="0" applyFont="0" applyFill="0" applyBorder="0" applyAlignment="0" applyProtection="0"/>
    <xf numFmtId="0" fontId="27" fillId="0" borderId="0"/>
    <xf numFmtId="191" fontId="19" fillId="2" borderId="0" applyNumberFormat="0" applyFill="0" applyBorder="0" applyAlignment="0" applyProtection="0">
      <alignment horizontal="right" vertical="center"/>
    </xf>
    <xf numFmtId="191" fontId="51" fillId="0" borderId="0" applyNumberFormat="0" applyFill="0" applyBorder="0" applyAlignment="0" applyProtection="0"/>
    <xf numFmtId="0" fontId="19" fillId="0" borderId="1" applyNumberFormat="0" applyFont="0" applyFill="0" applyAlignment="0" applyProtection="0"/>
    <xf numFmtId="192" fontId="49" fillId="0" borderId="0" applyFont="0" applyFill="0" applyBorder="0" applyAlignment="0" applyProtection="0"/>
    <xf numFmtId="193" fontId="57" fillId="0" borderId="0" applyFont="0" applyFill="0" applyBorder="0" applyProtection="0">
      <alignment horizontal="left"/>
    </xf>
    <xf numFmtId="194" fontId="57" fillId="0" borderId="0" applyFont="0" applyFill="0" applyBorder="0" applyProtection="0">
      <alignment horizontal="left"/>
    </xf>
    <xf numFmtId="195" fontId="57" fillId="0" borderId="0" applyFont="0" applyFill="0" applyBorder="0" applyProtection="0">
      <alignment horizontal="left"/>
    </xf>
    <xf numFmtId="37" fontId="58" fillId="0" borderId="0" applyFont="0" applyFill="0" applyBorder="0" applyAlignment="0" applyProtection="0">
      <alignment vertical="center"/>
      <protection locked="0"/>
    </xf>
    <xf numFmtId="196" fontId="59" fillId="0" borderId="0" applyFont="0" applyFill="0" applyBorder="0" applyAlignment="0" applyProtection="0"/>
    <xf numFmtId="0" fontId="60" fillId="0" borderId="0"/>
    <xf numFmtId="0" fontId="60" fillId="0" borderId="0"/>
    <xf numFmtId="174" fontId="17" fillId="0" borderId="0" applyFill="0"/>
    <xf numFmtId="174" fontId="17" fillId="0" borderId="0">
      <alignment horizontal="center"/>
    </xf>
    <xf numFmtId="0" fontId="17" fillId="0" borderId="0" applyFill="0">
      <alignment horizontal="center"/>
    </xf>
    <xf numFmtId="174" fontId="18" fillId="0" borderId="2" applyFill="0"/>
    <xf numFmtId="0" fontId="19" fillId="0" borderId="0" applyFont="0" applyAlignment="0"/>
    <xf numFmtId="0" fontId="20" fillId="0" borderId="0" applyFill="0">
      <alignment vertical="top"/>
    </xf>
    <xf numFmtId="0" fontId="18" fillId="0" borderId="0" applyFill="0">
      <alignment horizontal="left" vertical="top"/>
    </xf>
    <xf numFmtId="174" fontId="21" fillId="0" borderId="3" applyFill="0"/>
    <xf numFmtId="0" fontId="19" fillId="0" borderId="0" applyNumberFormat="0" applyFont="0" applyAlignment="0"/>
    <xf numFmtId="0" fontId="20" fillId="0" borderId="0" applyFill="0">
      <alignment wrapText="1"/>
    </xf>
    <xf numFmtId="0" fontId="18" fillId="0" borderId="0" applyFill="0">
      <alignment horizontal="left" vertical="top" wrapText="1"/>
    </xf>
    <xf numFmtId="174" fontId="22" fillId="0" borderId="0" applyFill="0"/>
    <xf numFmtId="0" fontId="23" fillId="0" borderId="0" applyNumberFormat="0" applyFont="0" applyAlignment="0">
      <alignment horizontal="center"/>
    </xf>
    <xf numFmtId="0" fontId="24" fillId="0" borderId="0" applyFill="0">
      <alignment vertical="top" wrapText="1"/>
    </xf>
    <xf numFmtId="0" fontId="21" fillId="0" borderId="0" applyFill="0">
      <alignment horizontal="left" vertical="top" wrapText="1"/>
    </xf>
    <xf numFmtId="174" fontId="19" fillId="0" borderId="0" applyFill="0"/>
    <xf numFmtId="0" fontId="23" fillId="0" borderId="0" applyNumberFormat="0" applyFont="0" applyAlignment="0">
      <alignment horizontal="center"/>
    </xf>
    <xf numFmtId="0" fontId="25" fillId="0" borderId="0" applyFill="0">
      <alignment vertical="center" wrapText="1"/>
    </xf>
    <xf numFmtId="0" fontId="26" fillId="0" borderId="0">
      <alignment horizontal="left" vertical="center" wrapText="1"/>
    </xf>
    <xf numFmtId="174" fontId="27" fillId="0" borderId="0" applyFill="0"/>
    <xf numFmtId="0" fontId="23" fillId="0" borderId="0" applyNumberFormat="0" applyFont="0" applyAlignment="0">
      <alignment horizontal="center"/>
    </xf>
    <xf numFmtId="0" fontId="28" fillId="0" borderId="0" applyFill="0">
      <alignment horizontal="center" vertical="center" wrapText="1"/>
    </xf>
    <xf numFmtId="0" fontId="29" fillId="0" borderId="0" applyFill="0">
      <alignment horizontal="center" vertical="center" wrapText="1"/>
    </xf>
    <xf numFmtId="0" fontId="19" fillId="0" borderId="0" applyFill="0">
      <alignment horizontal="center" vertical="center" wrapText="1"/>
    </xf>
    <xf numFmtId="174" fontId="30" fillId="0" borderId="0" applyFill="0"/>
    <xf numFmtId="0" fontId="23" fillId="0" borderId="0" applyNumberFormat="0" applyFont="0" applyAlignment="0">
      <alignment horizontal="center"/>
    </xf>
    <xf numFmtId="0" fontId="31" fillId="0" borderId="0" applyFill="0">
      <alignment horizontal="center" vertical="center" wrapText="1"/>
    </xf>
    <xf numFmtId="0" fontId="32" fillId="0" borderId="0" applyFill="0">
      <alignment horizontal="center" vertical="center" wrapText="1"/>
    </xf>
    <xf numFmtId="174" fontId="33" fillId="0" borderId="0" applyFill="0"/>
    <xf numFmtId="0" fontId="23" fillId="0" borderId="0" applyNumberFormat="0" applyFont="0" applyAlignment="0">
      <alignment horizontal="center"/>
    </xf>
    <xf numFmtId="0" fontId="34" fillId="0" borderId="0">
      <alignment horizontal="center" wrapText="1"/>
    </xf>
    <xf numFmtId="0" fontId="30" fillId="0" borderId="0" applyFill="0">
      <alignment horizontal="center" wrapText="1"/>
    </xf>
    <xf numFmtId="179" fontId="61" fillId="0" borderId="0" applyFont="0" applyFill="0" applyBorder="0" applyAlignment="0" applyProtection="0">
      <protection locked="0"/>
    </xf>
    <xf numFmtId="197" fontId="61" fillId="0" borderId="0" applyFont="0" applyFill="0" applyBorder="0" applyAlignment="0" applyProtection="0">
      <protection locked="0"/>
    </xf>
    <xf numFmtId="39" fontId="19" fillId="0" borderId="0" applyFont="0" applyFill="0" applyBorder="0" applyAlignment="0" applyProtection="0"/>
    <xf numFmtId="198" fontId="62" fillId="0" borderId="0" applyFont="0" applyFill="0" applyBorder="0" applyAlignment="0" applyProtection="0"/>
    <xf numFmtId="182" fontId="59" fillId="0" borderId="0" applyFont="0" applyFill="0" applyBorder="0" applyAlignment="0" applyProtection="0"/>
    <xf numFmtId="0" fontId="19" fillId="0" borderId="1" applyNumberFormat="0" applyFont="0" applyFill="0" applyBorder="0" applyProtection="0">
      <alignment horizontal="centerContinuous" vertical="center"/>
    </xf>
    <xf numFmtId="0" fontId="43" fillId="0" borderId="0" applyFill="0" applyBorder="0" applyProtection="0">
      <alignment horizontal="center"/>
      <protection locked="0"/>
    </xf>
    <xf numFmtId="43" fontId="19" fillId="0" borderId="0" applyFont="0" applyFill="0" applyBorder="0" applyAlignment="0" applyProtection="0"/>
    <xf numFmtId="0" fontId="19"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41" fontId="19" fillId="0" borderId="0" applyFont="0" applyFill="0" applyBorder="0" applyAlignment="0" applyProtection="0"/>
    <xf numFmtId="199" fontId="57" fillId="0" borderId="0" applyFont="0" applyFill="0" applyBorder="0" applyAlignment="0" applyProtection="0"/>
    <xf numFmtId="200" fontId="57" fillId="0" borderId="0" applyFont="0" applyFill="0" applyBorder="0" applyAlignment="0" applyProtection="0"/>
    <xf numFmtId="201" fontId="57" fillId="0" borderId="0" applyFont="0" applyFill="0" applyBorder="0" applyAlignment="0" applyProtection="0"/>
    <xf numFmtId="202" fontId="55" fillId="0" borderId="0" applyFont="0" applyFill="0" applyBorder="0" applyAlignment="0" applyProtection="0"/>
    <xf numFmtId="203" fontId="64" fillId="0" borderId="0" applyFont="0" applyFill="0" applyBorder="0" applyAlignment="0" applyProtection="0"/>
    <xf numFmtId="204" fontId="64" fillId="0" borderId="0" applyFont="0" applyFill="0" applyBorder="0" applyAlignment="0" applyProtection="0"/>
    <xf numFmtId="205" fontId="22" fillId="0" borderId="0" applyFont="0" applyFill="0" applyBorder="0" applyAlignment="0" applyProtection="0">
      <protection locked="0"/>
    </xf>
    <xf numFmtId="43" fontId="15" fillId="0" borderId="0" applyFont="0" applyFill="0" applyBorder="0" applyAlignment="0" applyProtection="0"/>
    <xf numFmtId="43" fontId="39" fillId="0" borderId="0" applyFont="0" applyFill="0" applyBorder="0" applyAlignment="0" applyProtection="0"/>
    <xf numFmtId="43" fontId="29" fillId="0" borderId="0" applyFont="0" applyFill="0" applyBorder="0" applyAlignment="0" applyProtection="0"/>
    <xf numFmtId="43" fontId="19" fillId="0" borderId="0" applyFont="0" applyFill="0" applyBorder="0" applyAlignment="0" applyProtection="0"/>
    <xf numFmtId="43" fontId="5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6" fillId="0" borderId="0" applyFont="0" applyFill="0" applyBorder="0" applyAlignment="0" applyProtection="0"/>
    <xf numFmtId="43" fontId="15" fillId="0" borderId="0" applyFont="0" applyFill="0" applyBorder="0" applyAlignment="0" applyProtection="0"/>
    <xf numFmtId="43" fontId="93" fillId="0" borderId="0" applyFont="0" applyFill="0" applyBorder="0" applyAlignment="0" applyProtection="0"/>
    <xf numFmtId="37" fontId="65" fillId="0" borderId="0" applyFill="0" applyBorder="0" applyAlignment="0" applyProtection="0"/>
    <xf numFmtId="3" fontId="19" fillId="0" borderId="0" applyFont="0" applyFill="0" applyBorder="0" applyAlignment="0" applyProtection="0"/>
    <xf numFmtId="0" fontId="18" fillId="0" borderId="0" applyFill="0" applyBorder="0" applyAlignment="0" applyProtection="0">
      <protection locked="0"/>
    </xf>
    <xf numFmtId="0" fontId="19" fillId="0" borderId="4"/>
    <xf numFmtId="44" fontId="19" fillId="0" borderId="0" applyFont="0" applyFill="0" applyBorder="0" applyAlignment="0" applyProtection="0"/>
    <xf numFmtId="206" fontId="57" fillId="0" borderId="0" applyFont="0" applyFill="0" applyBorder="0" applyAlignment="0" applyProtection="0"/>
    <xf numFmtId="207" fontId="57" fillId="0" borderId="0" applyFont="0" applyFill="0" applyBorder="0" applyAlignment="0" applyProtection="0"/>
    <xf numFmtId="208" fontId="57" fillId="0" borderId="0" applyFont="0" applyFill="0" applyBorder="0" applyAlignment="0" applyProtection="0"/>
    <xf numFmtId="209" fontId="64" fillId="0" borderId="0" applyFont="0" applyFill="0" applyBorder="0" applyAlignment="0" applyProtection="0"/>
    <xf numFmtId="210" fontId="64" fillId="0" borderId="0" applyFont="0" applyFill="0" applyBorder="0" applyAlignment="0" applyProtection="0"/>
    <xf numFmtId="211" fontId="64" fillId="0" borderId="0" applyFont="0" applyFill="0" applyBorder="0" applyAlignment="0" applyProtection="0"/>
    <xf numFmtId="212" fontId="22" fillId="0" borderId="0" applyFont="0" applyFill="0" applyBorder="0" applyAlignment="0" applyProtection="0">
      <protection locked="0"/>
    </xf>
    <xf numFmtId="44" fontId="29" fillId="0" borderId="0" applyFont="0" applyFill="0" applyBorder="0" applyAlignment="0" applyProtection="0"/>
    <xf numFmtId="44" fontId="19" fillId="0" borderId="0" applyFont="0" applyFill="0" applyBorder="0" applyAlignment="0" applyProtection="0"/>
    <xf numFmtId="44" fontId="53"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5" fontId="65" fillId="0" borderId="0" applyFill="0" applyBorder="0" applyAlignment="0" applyProtection="0"/>
    <xf numFmtId="5" fontId="19" fillId="0" borderId="0" applyFont="0" applyFill="0" applyBorder="0" applyAlignment="0" applyProtection="0"/>
    <xf numFmtId="5" fontId="19" fillId="0" borderId="0" applyFont="0" applyFill="0" applyBorder="0" applyAlignment="0" applyProtection="0"/>
    <xf numFmtId="213" fontId="59" fillId="0" borderId="0" applyFont="0" applyFill="0" applyBorder="0" applyAlignment="0" applyProtection="0"/>
    <xf numFmtId="181" fontId="19" fillId="0" borderId="0" applyFont="0" applyFill="0" applyBorder="0" applyAlignment="0" applyProtection="0"/>
    <xf numFmtId="214" fontId="61" fillId="0" borderId="0" applyFont="0" applyFill="0" applyBorder="0" applyAlignment="0" applyProtection="0">
      <protection locked="0"/>
    </xf>
    <xf numFmtId="7" fontId="17" fillId="0" borderId="0" applyFont="0" applyFill="0" applyBorder="0" applyAlignment="0" applyProtection="0"/>
    <xf numFmtId="215" fontId="62" fillId="0" borderId="0" applyFont="0" applyFill="0" applyBorder="0" applyAlignment="0" applyProtection="0"/>
    <xf numFmtId="180" fontId="66" fillId="0" borderId="0" applyFont="0" applyFill="0" applyBorder="0" applyAlignment="0" applyProtection="0"/>
    <xf numFmtId="0" fontId="67" fillId="3" borderId="5" applyNumberFormat="0" applyFont="0" applyFill="0" applyAlignment="0" applyProtection="0">
      <alignment horizontal="left" indent="1"/>
    </xf>
    <xf numFmtId="14" fontId="19" fillId="0" borderId="0" applyFont="0" applyFill="0" applyBorder="0" applyAlignment="0" applyProtection="0"/>
    <xf numFmtId="216" fontId="57" fillId="0" borderId="0" applyFont="0" applyFill="0" applyBorder="0" applyProtection="0"/>
    <xf numFmtId="217" fontId="57" fillId="0" borderId="0" applyFont="0" applyFill="0" applyBorder="0" applyProtection="0"/>
    <xf numFmtId="218" fontId="57" fillId="0" borderId="0" applyFont="0" applyFill="0" applyBorder="0" applyAlignment="0" applyProtection="0"/>
    <xf numFmtId="219" fontId="57" fillId="0" borderId="0" applyFont="0" applyFill="0" applyBorder="0" applyAlignment="0" applyProtection="0"/>
    <xf numFmtId="220" fontId="57" fillId="0" borderId="0" applyFont="0" applyFill="0" applyBorder="0" applyAlignment="0" applyProtection="0"/>
    <xf numFmtId="221" fontId="68" fillId="0" borderId="0" applyFont="0" applyFill="0" applyBorder="0" applyAlignment="0" applyProtection="0"/>
    <xf numFmtId="5" fontId="69" fillId="0" borderId="0" applyBorder="0"/>
    <xf numFmtId="181" fontId="69" fillId="0" borderId="0" applyBorder="0"/>
    <xf numFmtId="7" fontId="69" fillId="0" borderId="0" applyBorder="0"/>
    <xf numFmtId="37" fontId="69" fillId="0" borderId="0" applyBorder="0"/>
    <xf numFmtId="179" fontId="69" fillId="0" borderId="0" applyBorder="0"/>
    <xf numFmtId="222" fontId="69" fillId="0" borderId="0" applyBorder="0"/>
    <xf numFmtId="39" fontId="69" fillId="0" borderId="0" applyBorder="0"/>
    <xf numFmtId="223" fontId="69" fillId="0" borderId="0" applyBorder="0"/>
    <xf numFmtId="7" fontId="19" fillId="0" borderId="0" applyFont="0" applyFill="0" applyBorder="0" applyAlignment="0" applyProtection="0"/>
    <xf numFmtId="224" fontId="59" fillId="0" borderId="0" applyFont="0" applyFill="0" applyBorder="0" applyAlignment="0" applyProtection="0"/>
    <xf numFmtId="225" fontId="59" fillId="0" borderId="0" applyFont="0" applyFill="0" applyAlignment="0" applyProtection="0"/>
    <xf numFmtId="224" fontId="59" fillId="0" borderId="0" applyFont="0" applyFill="0" applyBorder="0" applyAlignment="0" applyProtection="0"/>
    <xf numFmtId="226" fontId="17" fillId="0" borderId="0" applyFont="0" applyFill="0" applyBorder="0" applyAlignment="0" applyProtection="0"/>
    <xf numFmtId="2" fontId="19" fillId="0" borderId="0" applyFont="0" applyFill="0" applyBorder="0" applyAlignment="0" applyProtection="0"/>
    <xf numFmtId="0" fontId="70" fillId="0" borderId="0"/>
    <xf numFmtId="179" fontId="71" fillId="0" borderId="0" applyNumberFormat="0" applyFill="0" applyBorder="0" applyAlignment="0" applyProtection="0"/>
    <xf numFmtId="0" fontId="17" fillId="0" borderId="0" applyFont="0" applyFill="0" applyBorder="0" applyAlignment="0" applyProtection="0"/>
    <xf numFmtId="0" fontId="57" fillId="0" borderId="0" applyFont="0" applyFill="0" applyBorder="0" applyProtection="0">
      <alignment horizontal="center" wrapText="1"/>
    </xf>
    <xf numFmtId="227" fontId="57" fillId="0" borderId="0" applyFont="0" applyFill="0" applyBorder="0" applyProtection="0">
      <alignment horizontal="right"/>
    </xf>
    <xf numFmtId="0" fontId="71" fillId="0" borderId="0" applyNumberFormat="0" applyFill="0" applyBorder="0" applyAlignment="0" applyProtection="0"/>
    <xf numFmtId="0" fontId="72" fillId="4" borderId="0" applyNumberFormat="0" applyFill="0" applyBorder="0" applyAlignment="0" applyProtection="0"/>
    <xf numFmtId="0" fontId="21" fillId="0" borderId="6" applyNumberFormat="0" applyAlignment="0" applyProtection="0">
      <alignment horizontal="left" vertical="center"/>
    </xf>
    <xf numFmtId="0" fontId="21" fillId="0" borderId="7">
      <alignment horizontal="left" vertical="center"/>
    </xf>
    <xf numFmtId="14" fontId="44" fillId="5" borderId="8">
      <alignment horizontal="center" vertical="center" wrapText="1"/>
    </xf>
    <xf numFmtId="0" fontId="35" fillId="0" borderId="0" applyFont="0" applyFill="0" applyBorder="0" applyAlignment="0" applyProtection="0"/>
    <xf numFmtId="0" fontId="36" fillId="0" borderId="0" applyFont="0" applyFill="0" applyBorder="0" applyAlignment="0" applyProtection="0"/>
    <xf numFmtId="0" fontId="21" fillId="0" borderId="0" applyFont="0" applyFill="0" applyBorder="0" applyAlignment="0" applyProtection="0"/>
    <xf numFmtId="0" fontId="43" fillId="0" borderId="0" applyFill="0" applyAlignment="0" applyProtection="0">
      <protection locked="0"/>
    </xf>
    <xf numFmtId="0" fontId="43" fillId="0" borderId="1" applyFill="0" applyAlignment="0" applyProtection="0">
      <protection locked="0"/>
    </xf>
    <xf numFmtId="0" fontId="37" fillId="0" borderId="8"/>
    <xf numFmtId="0" fontId="38" fillId="0" borderId="0"/>
    <xf numFmtId="0" fontId="73" fillId="0" borderId="1" applyNumberFormat="0" applyFill="0" applyAlignment="0" applyProtection="0"/>
    <xf numFmtId="0" fontId="68" fillId="6" borderId="0" applyNumberFormat="0" applyFont="0" applyBorder="0" applyAlignment="0" applyProtection="0"/>
    <xf numFmtId="0" fontId="74" fillId="0" borderId="0" applyNumberFormat="0" applyFill="0" applyBorder="0" applyAlignment="0" applyProtection="0">
      <alignment vertical="top"/>
      <protection locked="0"/>
    </xf>
    <xf numFmtId="0" fontId="54" fillId="7" borderId="9" applyNumberFormat="0" applyAlignment="0" applyProtection="0"/>
    <xf numFmtId="228" fontId="57" fillId="0" borderId="0" applyFont="0" applyFill="0" applyBorder="0" applyProtection="0">
      <alignment horizontal="left"/>
    </xf>
    <xf numFmtId="229" fontId="57" fillId="0" borderId="0" applyFont="0" applyFill="0" applyBorder="0" applyProtection="0">
      <alignment horizontal="left"/>
    </xf>
    <xf numFmtId="230" fontId="57" fillId="0" borderId="0" applyFont="0" applyFill="0" applyBorder="0" applyProtection="0">
      <alignment horizontal="left"/>
    </xf>
    <xf numFmtId="231" fontId="57" fillId="0" borderId="0" applyFont="0" applyFill="0" applyBorder="0" applyProtection="0">
      <alignment horizontal="left"/>
    </xf>
    <xf numFmtId="10" fontId="17" fillId="8" borderId="9" applyNumberFormat="0" applyBorder="0" applyAlignment="0" applyProtection="0"/>
    <xf numFmtId="5" fontId="75" fillId="0" borderId="0" applyBorder="0"/>
    <xf numFmtId="181" fontId="75" fillId="0" borderId="0" applyBorder="0"/>
    <xf numFmtId="7" fontId="75" fillId="0" borderId="0" applyBorder="0"/>
    <xf numFmtId="37" fontId="75" fillId="0" borderId="0" applyBorder="0"/>
    <xf numFmtId="179" fontId="75" fillId="0" borderId="0" applyBorder="0"/>
    <xf numFmtId="222" fontId="75" fillId="0" borderId="0" applyBorder="0"/>
    <xf numFmtId="39" fontId="75" fillId="0" borderId="0" applyBorder="0"/>
    <xf numFmtId="223" fontId="75" fillId="0" borderId="0" applyBorder="0"/>
    <xf numFmtId="0" fontId="68" fillId="0" borderId="10" applyNumberFormat="0" applyFont="0" applyFill="0" applyAlignment="0" applyProtection="0"/>
    <xf numFmtId="0" fontId="76" fillId="0" borderId="0"/>
    <xf numFmtId="0" fontId="17" fillId="9" borderId="0"/>
    <xf numFmtId="232" fontId="19" fillId="0" borderId="0" applyFont="0" applyFill="0" applyBorder="0" applyAlignment="0" applyProtection="0"/>
    <xf numFmtId="233" fontId="19" fillId="0" borderId="0" applyFont="0" applyFill="0" applyBorder="0" applyAlignment="0" applyProtection="0"/>
    <xf numFmtId="234" fontId="19" fillId="0" borderId="0" applyFont="0" applyFill="0" applyBorder="0" applyAlignment="0" applyProtection="0"/>
    <xf numFmtId="235" fontId="19" fillId="0" borderId="0" applyFont="0" applyFill="0" applyBorder="0" applyAlignment="0" applyProtection="0"/>
    <xf numFmtId="0" fontId="19" fillId="0" borderId="0" applyFont="0" applyFill="0" applyBorder="0" applyAlignment="0" applyProtection="0">
      <alignment horizontal="right"/>
    </xf>
    <xf numFmtId="236" fontId="19" fillId="0" borderId="0" applyFont="0" applyFill="0" applyBorder="0" applyAlignment="0" applyProtection="0"/>
    <xf numFmtId="37" fontId="77" fillId="0" borderId="0"/>
    <xf numFmtId="0" fontId="59" fillId="0" borderId="0"/>
    <xf numFmtId="0" fontId="96" fillId="0" borderId="0"/>
    <xf numFmtId="7" fontId="94" fillId="0" borderId="0"/>
    <xf numFmtId="0" fontId="19" fillId="0" borderId="0"/>
    <xf numFmtId="0" fontId="55" fillId="0" borderId="0"/>
    <xf numFmtId="0" fontId="29" fillId="0" borderId="0"/>
    <xf numFmtId="0" fontId="19" fillId="0" borderId="0"/>
    <xf numFmtId="0" fontId="19" fillId="0" borderId="0"/>
    <xf numFmtId="0" fontId="53" fillId="0" borderId="0"/>
    <xf numFmtId="0" fontId="19" fillId="0" borderId="0"/>
    <xf numFmtId="0" fontId="19" fillId="0" borderId="0"/>
    <xf numFmtId="0" fontId="19"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174" fontId="39" fillId="0" borderId="0" applyProtection="0"/>
    <xf numFmtId="0" fontId="96" fillId="0" borderId="0"/>
    <xf numFmtId="0" fontId="96" fillId="0" borderId="0"/>
    <xf numFmtId="0" fontId="96" fillId="0" borderId="0"/>
    <xf numFmtId="0" fontId="96" fillId="0" borderId="0"/>
    <xf numFmtId="0" fontId="39" fillId="0" borderId="0" applyProtection="0"/>
    <xf numFmtId="174" fontId="39" fillId="0" borderId="0" applyProtection="0"/>
    <xf numFmtId="174" fontId="39" fillId="0" borderId="0" applyProtection="0"/>
    <xf numFmtId="174" fontId="39" fillId="0" borderId="0" applyProtection="0"/>
    <xf numFmtId="174" fontId="39" fillId="0" borderId="0" applyProtection="0"/>
    <xf numFmtId="0" fontId="19" fillId="0" borderId="0"/>
    <xf numFmtId="0" fontId="49" fillId="10" borderId="0" applyNumberFormat="0" applyFont="0" applyBorder="0" applyAlignment="0"/>
    <xf numFmtId="237" fontId="19" fillId="0" borderId="0" applyFont="0" applyFill="0" applyBorder="0" applyAlignment="0" applyProtection="0"/>
    <xf numFmtId="238" fontId="78" fillId="0" borderId="0"/>
    <xf numFmtId="237" fontId="19" fillId="0" borderId="0" applyFont="0" applyFill="0" applyBorder="0" applyAlignment="0" applyProtection="0"/>
    <xf numFmtId="237" fontId="19" fillId="0" borderId="0" applyFont="0" applyFill="0" applyBorder="0" applyAlignment="0" applyProtection="0"/>
    <xf numFmtId="237" fontId="19" fillId="0" borderId="0" applyFont="0" applyFill="0" applyBorder="0" applyAlignment="0" applyProtection="0"/>
    <xf numFmtId="239" fontId="19" fillId="0" borderId="0"/>
    <xf numFmtId="240" fontId="59" fillId="0" borderId="0"/>
    <xf numFmtId="240" fontId="59" fillId="0" borderId="0"/>
    <xf numFmtId="238" fontId="78" fillId="0" borderId="0"/>
    <xf numFmtId="0" fontId="59" fillId="0" borderId="0"/>
    <xf numFmtId="238" fontId="65" fillId="0" borderId="0"/>
    <xf numFmtId="239" fontId="19" fillId="0" borderId="0"/>
    <xf numFmtId="240" fontId="59" fillId="0" borderId="0"/>
    <xf numFmtId="240" fontId="59" fillId="0" borderId="0"/>
    <xf numFmtId="0" fontId="59" fillId="0" borderId="0"/>
    <xf numFmtId="0" fontId="59" fillId="0" borderId="0"/>
    <xf numFmtId="241" fontId="59" fillId="0" borderId="0"/>
    <xf numFmtId="170" fontId="59" fillId="0" borderId="0"/>
    <xf numFmtId="242" fontId="59" fillId="0" borderId="0"/>
    <xf numFmtId="241" fontId="59" fillId="0" borderId="0"/>
    <xf numFmtId="170" fontId="59" fillId="0" borderId="0"/>
    <xf numFmtId="243" fontId="59" fillId="0" borderId="0"/>
    <xf numFmtId="243" fontId="59" fillId="0" borderId="0"/>
    <xf numFmtId="178" fontId="59" fillId="0" borderId="0"/>
    <xf numFmtId="242" fontId="59" fillId="0" borderId="0"/>
    <xf numFmtId="169" fontId="59" fillId="0" borderId="0"/>
    <xf numFmtId="178" fontId="59" fillId="0" borderId="0"/>
    <xf numFmtId="178" fontId="59" fillId="0" borderId="0"/>
    <xf numFmtId="0" fontId="59" fillId="0" borderId="0"/>
    <xf numFmtId="237" fontId="19" fillId="0" borderId="0" applyFont="0" applyFill="0" applyBorder="0" applyAlignment="0" applyProtection="0"/>
    <xf numFmtId="237" fontId="19" fillId="0" borderId="0" applyFont="0" applyFill="0" applyBorder="0" applyAlignment="0" applyProtection="0"/>
    <xf numFmtId="237" fontId="19" fillId="0" borderId="0" applyFont="0" applyFill="0" applyBorder="0" applyAlignment="0" applyProtection="0"/>
    <xf numFmtId="238" fontId="78" fillId="0" borderId="0"/>
    <xf numFmtId="238" fontId="78" fillId="0" borderId="0"/>
    <xf numFmtId="237" fontId="19" fillId="0" borderId="0" applyFont="0" applyFill="0" applyBorder="0" applyAlignment="0" applyProtection="0"/>
    <xf numFmtId="238" fontId="78" fillId="0" borderId="0"/>
    <xf numFmtId="238" fontId="78" fillId="0" borderId="0"/>
    <xf numFmtId="241" fontId="59" fillId="0" borderId="0"/>
    <xf numFmtId="170" fontId="59" fillId="0" borderId="0"/>
    <xf numFmtId="242" fontId="59" fillId="0" borderId="0"/>
    <xf numFmtId="241" fontId="59" fillId="0" borderId="0"/>
    <xf numFmtId="170" fontId="59" fillId="0" borderId="0"/>
    <xf numFmtId="243" fontId="59" fillId="0" borderId="0"/>
    <xf numFmtId="243" fontId="59" fillId="0" borderId="0"/>
    <xf numFmtId="178" fontId="59" fillId="0" borderId="0"/>
    <xf numFmtId="242" fontId="59" fillId="0" borderId="0"/>
    <xf numFmtId="169" fontId="59" fillId="0" borderId="0"/>
    <xf numFmtId="178" fontId="59" fillId="0" borderId="0"/>
    <xf numFmtId="178" fontId="59" fillId="0" borderId="0"/>
    <xf numFmtId="244" fontId="27" fillId="11" borderId="0" applyFont="0" applyFill="0" applyBorder="0" applyAlignment="0" applyProtection="0"/>
    <xf numFmtId="245" fontId="27" fillId="11" borderId="0" applyFont="0" applyFill="0" applyBorder="0" applyAlignment="0" applyProtection="0"/>
    <xf numFmtId="246" fontId="19" fillId="0" borderId="0" applyFont="0" applyFill="0" applyBorder="0" applyAlignment="0" applyProtection="0"/>
    <xf numFmtId="9" fontId="19" fillId="0" borderId="0" applyFont="0" applyFill="0" applyBorder="0" applyAlignment="0" applyProtection="0"/>
    <xf numFmtId="247" fontId="64" fillId="0" borderId="0" applyFont="0" applyFill="0" applyBorder="0" applyAlignment="0" applyProtection="0"/>
    <xf numFmtId="248" fontId="55" fillId="0" borderId="0" applyFont="0" applyFill="0" applyBorder="0" applyAlignment="0" applyProtection="0"/>
    <xf numFmtId="249" fontId="19" fillId="0" borderId="0" applyFont="0" applyFill="0" applyBorder="0" applyAlignment="0" applyProtection="0"/>
    <xf numFmtId="250" fontId="57" fillId="0" borderId="0" applyFont="0" applyFill="0" applyBorder="0" applyAlignment="0" applyProtection="0"/>
    <xf numFmtId="251" fontId="57" fillId="0" borderId="0" applyFont="0" applyFill="0" applyBorder="0" applyAlignment="0" applyProtection="0"/>
    <xf numFmtId="252" fontId="57" fillId="0" borderId="0" applyFont="0" applyFill="0" applyBorder="0" applyAlignment="0" applyProtection="0"/>
    <xf numFmtId="253" fontId="57" fillId="0" borderId="0" applyFont="0" applyFill="0" applyBorder="0" applyAlignment="0" applyProtection="0"/>
    <xf numFmtId="254" fontId="64" fillId="0" borderId="0" applyFont="0" applyFill="0" applyBorder="0" applyAlignment="0" applyProtection="0"/>
    <xf numFmtId="255" fontId="55" fillId="0" borderId="0" applyFont="0" applyFill="0" applyBorder="0" applyAlignment="0" applyProtection="0"/>
    <xf numFmtId="256" fontId="64" fillId="0" borderId="0" applyFont="0" applyFill="0" applyBorder="0" applyAlignment="0" applyProtection="0"/>
    <xf numFmtId="257" fontId="55" fillId="0" borderId="0" applyFont="0" applyFill="0" applyBorder="0" applyAlignment="0" applyProtection="0"/>
    <xf numFmtId="258" fontId="64" fillId="0" borderId="0" applyFont="0" applyFill="0" applyBorder="0" applyAlignment="0" applyProtection="0"/>
    <xf numFmtId="259" fontId="55" fillId="0" borderId="0" applyFont="0" applyFill="0" applyBorder="0" applyAlignment="0" applyProtection="0"/>
    <xf numFmtId="260" fontId="22" fillId="0" borderId="0" applyFont="0" applyFill="0" applyBorder="0" applyAlignment="0" applyProtection="0">
      <protection locked="0"/>
    </xf>
    <xf numFmtId="261" fontId="55" fillId="0" borderId="0" applyFont="0" applyFill="0" applyBorder="0" applyAlignment="0" applyProtection="0"/>
    <xf numFmtId="9" fontId="29" fillId="0" borderId="0" applyFont="0" applyFill="0" applyBorder="0" applyAlignment="0" applyProtection="0"/>
    <xf numFmtId="9" fontId="19" fillId="0" borderId="0" applyFont="0" applyFill="0" applyBorder="0" applyAlignment="0" applyProtection="0"/>
    <xf numFmtId="9" fontId="5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5" fillId="0" borderId="0" applyFont="0" applyFill="0" applyBorder="0" applyAlignment="0" applyProtection="0"/>
    <xf numFmtId="9" fontId="19" fillId="0" borderId="0" applyFont="0" applyFill="0" applyBorder="0" applyAlignment="0" applyProtection="0"/>
    <xf numFmtId="191" fontId="65" fillId="0" borderId="0" applyFill="0" applyBorder="0" applyAlignment="0" applyProtection="0"/>
    <xf numFmtId="9" fontId="69" fillId="0" borderId="0" applyBorder="0"/>
    <xf numFmtId="171" fontId="69" fillId="0" borderId="0" applyBorder="0"/>
    <xf numFmtId="10" fontId="69" fillId="0" borderId="0" applyBorder="0"/>
    <xf numFmtId="0" fontId="40" fillId="0" borderId="0" applyNumberFormat="0" applyFont="0" applyFill="0" applyBorder="0" applyAlignment="0" applyProtection="0">
      <alignment horizontal="left"/>
    </xf>
    <xf numFmtId="15" fontId="40" fillId="0" borderId="0" applyFont="0" applyFill="0" applyBorder="0" applyAlignment="0" applyProtection="0"/>
    <xf numFmtId="4" fontId="40" fillId="0" borderId="0" applyFont="0" applyFill="0" applyBorder="0" applyAlignment="0" applyProtection="0"/>
    <xf numFmtId="3" fontId="19" fillId="0" borderId="0">
      <alignment horizontal="left" vertical="top"/>
    </xf>
    <xf numFmtId="0" fontId="41" fillId="0" borderId="8">
      <alignment horizontal="center"/>
    </xf>
    <xf numFmtId="3" fontId="40" fillId="0" borderId="0" applyFont="0" applyFill="0" applyBorder="0" applyAlignment="0" applyProtection="0"/>
    <xf numFmtId="0" fontId="40" fillId="12" borderId="0" applyNumberFormat="0" applyFont="0" applyBorder="0" applyAlignment="0" applyProtection="0"/>
    <xf numFmtId="3" fontId="19" fillId="0" borderId="0">
      <alignment horizontal="right" vertical="top"/>
    </xf>
    <xf numFmtId="41" fontId="26" fillId="9" borderId="11" applyFill="0"/>
    <xf numFmtId="0" fontId="42" fillId="0" borderId="0">
      <alignment horizontal="left" indent="7"/>
    </xf>
    <xf numFmtId="41" fontId="26" fillId="0" borderId="11" applyFill="0">
      <alignment horizontal="left" indent="2"/>
    </xf>
    <xf numFmtId="174" fontId="43" fillId="0" borderId="1" applyFill="0">
      <alignment horizontal="right"/>
    </xf>
    <xf numFmtId="0" fontId="44" fillId="0" borderId="9" applyNumberFormat="0" applyFont="0" applyBorder="0">
      <alignment horizontal="right"/>
    </xf>
    <xf numFmtId="0" fontId="45" fillId="0" borderId="0" applyFill="0"/>
    <xf numFmtId="0" fontId="21" fillId="0" borderId="0" applyFill="0"/>
    <xf numFmtId="4" fontId="43" fillId="0" borderId="1" applyFill="0"/>
    <xf numFmtId="0" fontId="19" fillId="0" borderId="0" applyNumberFormat="0" applyFont="0" applyBorder="0" applyAlignment="0"/>
    <xf numFmtId="0" fontId="24" fillId="0" borderId="0" applyFill="0">
      <alignment horizontal="left" indent="1"/>
    </xf>
    <xf numFmtId="0" fontId="46" fillId="0" borderId="0" applyFill="0">
      <alignment horizontal="left" indent="1"/>
    </xf>
    <xf numFmtId="4" fontId="27" fillId="0" borderId="0" applyFill="0"/>
    <xf numFmtId="0" fontId="19" fillId="0" borderId="0" applyNumberFormat="0" applyFont="0" applyFill="0" applyBorder="0" applyAlignment="0"/>
    <xf numFmtId="0" fontId="24" fillId="0" borderId="0" applyFill="0">
      <alignment horizontal="left" indent="2"/>
    </xf>
    <xf numFmtId="0" fontId="21" fillId="0" borderId="0" applyFill="0">
      <alignment horizontal="left" indent="2"/>
    </xf>
    <xf numFmtId="4" fontId="27" fillId="0" borderId="0" applyFill="0"/>
    <xf numFmtId="0" fontId="19" fillId="0" borderId="0" applyNumberFormat="0" applyFont="0" applyBorder="0" applyAlignment="0"/>
    <xf numFmtId="0" fontId="47" fillId="0" borderId="0">
      <alignment horizontal="left" indent="3"/>
    </xf>
    <xf numFmtId="0" fontId="48" fillId="0" borderId="0" applyFill="0">
      <alignment horizontal="left" indent="3"/>
    </xf>
    <xf numFmtId="4" fontId="27" fillId="0" borderId="0" applyFill="0"/>
    <xf numFmtId="0" fontId="19" fillId="0" borderId="0" applyNumberFormat="0" applyFont="0" applyBorder="0" applyAlignment="0"/>
    <xf numFmtId="0" fontId="28" fillId="0" borderId="0">
      <alignment horizontal="left" indent="4"/>
    </xf>
    <xf numFmtId="0" fontId="29" fillId="0" borderId="0" applyFill="0">
      <alignment horizontal="left" indent="4"/>
    </xf>
    <xf numFmtId="0" fontId="19" fillId="0" borderId="0" applyFill="0">
      <alignment horizontal="left" indent="4"/>
    </xf>
    <xf numFmtId="4" fontId="30" fillId="0" borderId="0" applyFill="0"/>
    <xf numFmtId="0" fontId="19" fillId="0" borderId="0" applyNumberFormat="0" applyFont="0" applyBorder="0" applyAlignment="0"/>
    <xf numFmtId="0" fontId="31" fillId="0" borderId="0">
      <alignment horizontal="left" indent="5"/>
    </xf>
    <xf numFmtId="0" fontId="32" fillId="0" borderId="0" applyFill="0">
      <alignment horizontal="left" indent="5"/>
    </xf>
    <xf numFmtId="4" fontId="33" fillId="0" borderId="0" applyFill="0"/>
    <xf numFmtId="0" fontId="19" fillId="0" borderId="0" applyNumberFormat="0" applyFont="0" applyFill="0" applyBorder="0" applyAlignment="0"/>
    <xf numFmtId="0" fontId="34" fillId="0" borderId="0" applyFill="0">
      <alignment horizontal="left" indent="6"/>
    </xf>
    <xf numFmtId="0" fontId="30" fillId="0" borderId="0" applyFill="0">
      <alignment horizontal="left" indent="6"/>
    </xf>
    <xf numFmtId="0" fontId="68" fillId="0" borderId="12" applyNumberFormat="0" applyFont="0" applyFill="0" applyAlignment="0" applyProtection="0"/>
    <xf numFmtId="0" fontId="79" fillId="0" borderId="0" applyNumberFormat="0" applyFill="0" applyBorder="0" applyAlignment="0" applyProtection="0"/>
    <xf numFmtId="0" fontId="80" fillId="0" borderId="0"/>
    <xf numFmtId="0" fontId="80" fillId="0" borderId="0"/>
    <xf numFmtId="0" fontId="56" fillId="0" borderId="8">
      <alignment horizontal="right"/>
    </xf>
    <xf numFmtId="0" fontId="18" fillId="13" borderId="0"/>
    <xf numFmtId="262" fontId="66" fillId="0" borderId="0">
      <alignment horizontal="center"/>
    </xf>
    <xf numFmtId="263" fontId="81" fillId="0" borderId="0">
      <alignment horizontal="center"/>
    </xf>
    <xf numFmtId="0" fontId="82" fillId="0" borderId="0" applyNumberFormat="0" applyFill="0" applyBorder="0" applyAlignment="0" applyProtection="0"/>
    <xf numFmtId="0" fontId="83" fillId="0" borderId="0" applyNumberFormat="0" applyBorder="0" applyAlignment="0"/>
    <xf numFmtId="0" fontId="52" fillId="0" borderId="0" applyNumberFormat="0" applyBorder="0" applyAlignment="0"/>
    <xf numFmtId="0" fontId="19" fillId="9" borderId="4" applyNumberFormat="0" applyFont="0" applyAlignment="0"/>
    <xf numFmtId="0" fontId="68" fillId="3" borderId="0" applyNumberFormat="0" applyFont="0" applyBorder="0" applyAlignment="0" applyProtection="0"/>
    <xf numFmtId="244" fontId="84" fillId="0" borderId="7" applyNumberFormat="0" applyFont="0" applyFill="0" applyAlignment="0" applyProtection="0"/>
    <xf numFmtId="0" fontId="50" fillId="0" borderId="0" applyFill="0" applyBorder="0" applyProtection="0">
      <alignment horizontal="left" vertical="top"/>
    </xf>
    <xf numFmtId="0" fontId="85" fillId="0" borderId="0" applyAlignment="0">
      <alignment horizontal="centerContinuous"/>
    </xf>
    <xf numFmtId="0" fontId="19" fillId="0" borderId="3" applyNumberFormat="0" applyFont="0" applyFill="0" applyAlignment="0" applyProtection="0"/>
    <xf numFmtId="0" fontId="19" fillId="0" borderId="0" applyFont="0" applyFill="0" applyBorder="0" applyAlignment="0" applyProtection="0"/>
    <xf numFmtId="0" fontId="86" fillId="0" borderId="0" applyNumberFormat="0" applyFill="0" applyBorder="0" applyAlignment="0" applyProtection="0"/>
    <xf numFmtId="264" fontId="55" fillId="0" borderId="0" applyFont="0" applyFill="0" applyBorder="0" applyAlignment="0" applyProtection="0"/>
    <xf numFmtId="265" fontId="55" fillId="0" borderId="0" applyFont="0" applyFill="0" applyBorder="0" applyAlignment="0" applyProtection="0"/>
    <xf numFmtId="266" fontId="55" fillId="0" borderId="0" applyFont="0" applyFill="0" applyBorder="0" applyAlignment="0" applyProtection="0"/>
    <xf numFmtId="267" fontId="55" fillId="0" borderId="0" applyFont="0" applyFill="0" applyBorder="0" applyAlignment="0" applyProtection="0"/>
    <xf numFmtId="268" fontId="55" fillId="0" borderId="0" applyFont="0" applyFill="0" applyBorder="0" applyAlignment="0" applyProtection="0"/>
    <xf numFmtId="269" fontId="55" fillId="0" borderId="0" applyFont="0" applyFill="0" applyBorder="0" applyAlignment="0" applyProtection="0"/>
    <xf numFmtId="270" fontId="55" fillId="0" borderId="0" applyFont="0" applyFill="0" applyBorder="0" applyAlignment="0" applyProtection="0"/>
    <xf numFmtId="271" fontId="55" fillId="0" borderId="0" applyFont="0" applyFill="0" applyBorder="0" applyAlignment="0" applyProtection="0"/>
    <xf numFmtId="272" fontId="87" fillId="3" borderId="13" applyFont="0" applyFill="0" applyBorder="0" applyAlignment="0" applyProtection="0"/>
    <xf numFmtId="272" fontId="59" fillId="0" borderId="0" applyFont="0" applyFill="0" applyBorder="0" applyAlignment="0" applyProtection="0"/>
    <xf numFmtId="273" fontId="62" fillId="0" borderId="0" applyFont="0" applyFill="0" applyBorder="0" applyAlignment="0" applyProtection="0"/>
    <xf numFmtId="274" fontId="66" fillId="0" borderId="7" applyFont="0" applyFill="0" applyBorder="0" applyAlignment="0" applyProtection="0">
      <alignment horizontal="right"/>
      <protection locked="0"/>
    </xf>
    <xf numFmtId="43" fontId="15" fillId="0" borderId="0" applyFont="0" applyFill="0" applyBorder="0" applyAlignment="0" applyProtection="0"/>
    <xf numFmtId="0" fontId="97" fillId="0" borderId="0"/>
    <xf numFmtId="43" fontId="83"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13"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99" fillId="0" borderId="0"/>
    <xf numFmtId="0" fontId="13" fillId="0" borderId="0"/>
    <xf numFmtId="0" fontId="13" fillId="0" borderId="0"/>
    <xf numFmtId="0" fontId="13" fillId="0" borderId="0"/>
    <xf numFmtId="0" fontId="13"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19" fillId="0" borderId="0"/>
    <xf numFmtId="0" fontId="40" fillId="0" borderId="0"/>
    <xf numFmtId="0" fontId="99" fillId="0" borderId="0"/>
    <xf numFmtId="0" fontId="99" fillId="0" borderId="0"/>
    <xf numFmtId="0" fontId="99" fillId="0" borderId="0"/>
    <xf numFmtId="0" fontId="99" fillId="0" borderId="0"/>
    <xf numFmtId="0" fontId="19" fillId="0" borderId="0"/>
    <xf numFmtId="0" fontId="1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19" fillId="0" borderId="0"/>
    <xf numFmtId="0" fontId="19" fillId="0" borderId="0"/>
    <xf numFmtId="0" fontId="19" fillId="0" borderId="0"/>
    <xf numFmtId="0" fontId="19" fillId="0" borderId="0"/>
    <xf numFmtId="0" fontId="19" fillId="0" borderId="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3" fillId="0" borderId="0" applyFont="0" applyFill="0" applyBorder="0" applyAlignment="0" applyProtection="0"/>
    <xf numFmtId="43" fontId="40"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00" fillId="16" borderId="0" applyNumberFormat="0" applyBorder="0" applyAlignment="0" applyProtection="0"/>
    <xf numFmtId="0" fontId="100" fillId="17" borderId="0" applyNumberFormat="0" applyBorder="0" applyAlignment="0" applyProtection="0"/>
    <xf numFmtId="0" fontId="100" fillId="18" borderId="0" applyNumberFormat="0" applyBorder="0" applyAlignment="0" applyProtection="0"/>
    <xf numFmtId="0" fontId="100" fillId="19" borderId="0" applyNumberFormat="0" applyBorder="0" applyAlignment="0" applyProtection="0"/>
    <xf numFmtId="0" fontId="100" fillId="20" borderId="0" applyNumberFormat="0" applyBorder="0" applyAlignment="0" applyProtection="0"/>
    <xf numFmtId="0" fontId="100" fillId="21" borderId="0" applyNumberFormat="0" applyBorder="0" applyAlignment="0" applyProtection="0"/>
    <xf numFmtId="0" fontId="100" fillId="22" borderId="0" applyNumberFormat="0" applyBorder="0" applyAlignment="0" applyProtection="0"/>
    <xf numFmtId="0" fontId="100" fillId="23" borderId="0" applyNumberFormat="0" applyBorder="0" applyAlignment="0" applyProtection="0"/>
    <xf numFmtId="0" fontId="100" fillId="24" borderId="0" applyNumberFormat="0" applyBorder="0" applyAlignment="0" applyProtection="0"/>
    <xf numFmtId="0" fontId="100" fillId="19" borderId="0" applyNumberFormat="0" applyBorder="0" applyAlignment="0" applyProtection="0"/>
    <xf numFmtId="0" fontId="100" fillId="22" borderId="0" applyNumberFormat="0" applyBorder="0" applyAlignment="0" applyProtection="0"/>
    <xf numFmtId="0" fontId="100" fillId="25" borderId="0" applyNumberFormat="0" applyBorder="0" applyAlignment="0" applyProtection="0"/>
    <xf numFmtId="0" fontId="101" fillId="26" borderId="0" applyNumberFormat="0" applyBorder="0" applyAlignment="0" applyProtection="0"/>
    <xf numFmtId="0" fontId="101" fillId="23" borderId="0" applyNumberFormat="0" applyBorder="0" applyAlignment="0" applyProtection="0"/>
    <xf numFmtId="0" fontId="101" fillId="24" borderId="0" applyNumberFormat="0" applyBorder="0" applyAlignment="0" applyProtection="0"/>
    <xf numFmtId="0" fontId="101" fillId="27" borderId="0" applyNumberFormat="0" applyBorder="0" applyAlignment="0" applyProtection="0"/>
    <xf numFmtId="0" fontId="101" fillId="28" borderId="0" applyNumberFormat="0" applyBorder="0" applyAlignment="0" applyProtection="0"/>
    <xf numFmtId="0" fontId="101" fillId="29" borderId="0" applyNumberFormat="0" applyBorder="0" applyAlignment="0" applyProtection="0"/>
    <xf numFmtId="0" fontId="101" fillId="30" borderId="0" applyNumberFormat="0" applyBorder="0" applyAlignment="0" applyProtection="0"/>
    <xf numFmtId="0" fontId="101" fillId="31" borderId="0" applyNumberFormat="0" applyBorder="0" applyAlignment="0" applyProtection="0"/>
    <xf numFmtId="0" fontId="101" fillId="32" borderId="0" applyNumberFormat="0" applyBorder="0" applyAlignment="0" applyProtection="0"/>
    <xf numFmtId="0" fontId="101" fillId="27" borderId="0" applyNumberFormat="0" applyBorder="0" applyAlignment="0" applyProtection="0"/>
    <xf numFmtId="0" fontId="101" fillId="28" borderId="0" applyNumberFormat="0" applyBorder="0" applyAlignment="0" applyProtection="0"/>
    <xf numFmtId="0" fontId="101" fillId="33" borderId="0" applyNumberFormat="0" applyBorder="0" applyAlignment="0" applyProtection="0"/>
    <xf numFmtId="0" fontId="102" fillId="17" borderId="0" applyNumberFormat="0" applyBorder="0" applyAlignment="0" applyProtection="0"/>
    <xf numFmtId="0" fontId="103" fillId="34" borderId="25" applyNumberFormat="0" applyAlignment="0" applyProtection="0"/>
    <xf numFmtId="0" fontId="104" fillId="35" borderId="26" applyNumberFormat="0" applyAlignment="0" applyProtection="0"/>
    <xf numFmtId="9" fontId="3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0" fontId="105" fillId="0" borderId="0" applyNumberFormat="0" applyFill="0" applyBorder="0" applyAlignment="0" applyProtection="0"/>
    <xf numFmtId="0" fontId="106" fillId="18" borderId="0" applyNumberFormat="0" applyBorder="0" applyAlignment="0" applyProtection="0"/>
    <xf numFmtId="43" fontId="40" fillId="0" borderId="0" applyFont="0" applyFill="0" applyBorder="0" applyAlignment="0" applyProtection="0"/>
    <xf numFmtId="0" fontId="107" fillId="0" borderId="27" applyNumberFormat="0" applyFill="0" applyAlignment="0" applyProtection="0"/>
    <xf numFmtId="0" fontId="107" fillId="0" borderId="0" applyNumberFormat="0" applyFill="0" applyBorder="0" applyAlignment="0" applyProtection="0"/>
    <xf numFmtId="0" fontId="108" fillId="21" borderId="25" applyNumberFormat="0" applyAlignment="0" applyProtection="0"/>
    <xf numFmtId="0" fontId="109" fillId="0" borderId="28" applyNumberFormat="0" applyFill="0" applyAlignment="0" applyProtection="0"/>
    <xf numFmtId="0" fontId="110" fillId="36" borderId="0" applyNumberFormat="0" applyBorder="0" applyAlignment="0" applyProtection="0"/>
    <xf numFmtId="43" fontId="12" fillId="0" borderId="0" applyFont="0" applyFill="0" applyBorder="0" applyAlignment="0" applyProtection="0"/>
    <xf numFmtId="0" fontId="19" fillId="0" borderId="0"/>
    <xf numFmtId="0" fontId="19" fillId="0" borderId="0"/>
    <xf numFmtId="0" fontId="19" fillId="0" borderId="0"/>
    <xf numFmtId="43" fontId="12" fillId="0" borderId="0" applyFont="0" applyFill="0" applyBorder="0" applyAlignment="0" applyProtection="0"/>
    <xf numFmtId="0" fontId="39" fillId="37" borderId="29" applyNumberFormat="0" applyFont="0" applyAlignment="0" applyProtection="0"/>
    <xf numFmtId="0" fontId="111" fillId="34" borderId="30" applyNumberFormat="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43" fontId="3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39" fillId="0" borderId="0" applyFont="0" applyFill="0" applyBorder="0" applyAlignment="0" applyProtection="0"/>
    <xf numFmtId="0" fontId="112" fillId="0" borderId="0" applyNumberFormat="0" applyFill="0" applyBorder="0" applyAlignment="0" applyProtection="0"/>
    <xf numFmtId="0" fontId="113" fillId="0" borderId="0" applyNumberFormat="0" applyFill="0" applyBorder="0" applyAlignment="0" applyProtection="0"/>
    <xf numFmtId="0" fontId="12" fillId="0" borderId="0"/>
    <xf numFmtId="0" fontId="12" fillId="0" borderId="0"/>
    <xf numFmtId="0" fontId="19" fillId="0" borderId="0"/>
    <xf numFmtId="0" fontId="95" fillId="0" borderId="0">
      <alignment vertical="top"/>
    </xf>
    <xf numFmtId="0" fontId="12" fillId="0" borderId="0"/>
    <xf numFmtId="174" fontId="39" fillId="0" borderId="0" applyProtection="0"/>
    <xf numFmtId="174" fontId="39" fillId="0" borderId="0" applyProtection="0"/>
    <xf numFmtId="0" fontId="19" fillId="0" borderId="0"/>
    <xf numFmtId="44" fontId="39" fillId="0" borderId="0" applyFont="0" applyFill="0" applyBorder="0" applyAlignment="0" applyProtection="0"/>
    <xf numFmtId="0" fontId="12" fillId="0" borderId="0"/>
    <xf numFmtId="9" fontId="39"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39" fillId="0" borderId="0" applyFont="0" applyFill="0" applyBorder="0" applyAlignment="0" applyProtection="0"/>
    <xf numFmtId="0" fontId="11" fillId="0" borderId="0"/>
    <xf numFmtId="0" fontId="11" fillId="0" borderId="0"/>
    <xf numFmtId="0" fontId="11" fillId="0" borderId="0"/>
    <xf numFmtId="0" fontId="11" fillId="0" borderId="0"/>
    <xf numFmtId="9" fontId="39" fillId="0" borderId="0" applyFont="0" applyFill="0" applyBorder="0" applyAlignment="0" applyProtection="0"/>
    <xf numFmtId="0" fontId="114" fillId="0" borderId="0"/>
    <xf numFmtId="9" fontId="114" fillId="0" borderId="0" applyFont="0" applyFill="0" applyBorder="0" applyAlignment="0" applyProtection="0"/>
    <xf numFmtId="0" fontId="108" fillId="21" borderId="25" applyNumberFormat="0" applyAlignment="0" applyProtection="0"/>
    <xf numFmtId="43" fontId="114" fillId="0" borderId="0" applyFont="0" applyFill="0" applyBorder="0" applyAlignment="0" applyProtection="0"/>
    <xf numFmtId="43" fontId="114" fillId="0" borderId="0" applyFont="0" applyFill="0" applyBorder="0" applyAlignment="0" applyProtection="0"/>
    <xf numFmtId="44" fontId="114" fillId="0" borderId="0" applyFont="0" applyFill="0" applyBorder="0" applyAlignment="0" applyProtection="0"/>
    <xf numFmtId="44" fontId="114" fillId="0" borderId="0" applyFont="0" applyFill="0" applyBorder="0" applyAlignment="0" applyProtection="0"/>
    <xf numFmtId="44" fontId="114" fillId="0" borderId="0" applyFont="0" applyFill="0" applyBorder="0" applyAlignment="0" applyProtection="0"/>
    <xf numFmtId="43" fontId="114" fillId="0" borderId="0" applyFont="0" applyFill="0" applyBorder="0" applyAlignment="0" applyProtection="0"/>
    <xf numFmtId="0" fontId="108" fillId="21" borderId="25" applyNumberFormat="0" applyAlignment="0" applyProtection="0"/>
    <xf numFmtId="0" fontId="114" fillId="0" borderId="0"/>
    <xf numFmtId="9" fontId="114" fillId="0" borderId="0" applyFont="0" applyFill="0" applyBorder="0" applyAlignment="0" applyProtection="0"/>
    <xf numFmtId="9" fontId="114" fillId="0" borderId="0" applyFont="0" applyFill="0" applyBorder="0" applyAlignment="0" applyProtection="0"/>
    <xf numFmtId="0" fontId="11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43" fontId="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43" fontId="9" fillId="0" borderId="0" applyFont="0" applyFill="0" applyBorder="0" applyAlignment="0" applyProtection="0"/>
    <xf numFmtId="44" fontId="39" fillId="0" borderId="0" applyFont="0" applyFill="0" applyBorder="0" applyAlignment="0" applyProtection="0"/>
    <xf numFmtId="44" fontId="39" fillId="0" borderId="0" applyFont="0" applyFill="0" applyBorder="0" applyAlignment="0" applyProtection="0"/>
    <xf numFmtId="44" fontId="39" fillId="0" borderId="0" applyFont="0" applyFill="0" applyBorder="0" applyAlignment="0" applyProtection="0"/>
    <xf numFmtId="44" fontId="39" fillId="0" borderId="0" applyFont="0" applyFill="0" applyBorder="0" applyAlignment="0" applyProtection="0"/>
    <xf numFmtId="44" fontId="39" fillId="0" borderId="0" applyFont="0" applyFill="0" applyBorder="0" applyAlignment="0" applyProtection="0"/>
    <xf numFmtId="0" fontId="9" fillId="0" borderId="0"/>
    <xf numFmtId="0" fontId="9" fillId="0" borderId="0"/>
    <xf numFmtId="0" fontId="9" fillId="0" borderId="0"/>
    <xf numFmtId="44" fontId="39" fillId="0" borderId="0" applyFont="0" applyFill="0" applyBorder="0" applyAlignment="0" applyProtection="0"/>
    <xf numFmtId="0" fontId="9" fillId="0" borderId="0"/>
    <xf numFmtId="44" fontId="39" fillId="0" borderId="0" applyFont="0" applyFill="0" applyBorder="0" applyAlignment="0" applyProtection="0"/>
    <xf numFmtId="44" fontId="39" fillId="0" borderId="0" applyFont="0" applyFill="0" applyBorder="0" applyAlignment="0" applyProtection="0"/>
    <xf numFmtId="44" fontId="39" fillId="0" borderId="0" applyFont="0" applyFill="0" applyBorder="0" applyAlignment="0" applyProtection="0"/>
    <xf numFmtId="44"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0" fontId="8" fillId="0" borderId="0"/>
    <xf numFmtId="0" fontId="8" fillId="0" borderId="0"/>
    <xf numFmtId="43" fontId="8"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0" fontId="8" fillId="0" borderId="0"/>
    <xf numFmtId="0" fontId="8" fillId="0" borderId="0"/>
    <xf numFmtId="0" fontId="19" fillId="0" borderId="0"/>
    <xf numFmtId="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0" fontId="1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3" fontId="8"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5" fillId="0" borderId="0"/>
    <xf numFmtId="43" fontId="5" fillId="0" borderId="0" applyFont="0" applyFill="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00" fillId="16" borderId="0" applyNumberFormat="0" applyBorder="0" applyAlignment="0" applyProtection="0"/>
    <xf numFmtId="0" fontId="4" fillId="46" borderId="0" applyNumberFormat="0" applyBorder="0" applyAlignment="0" applyProtection="0"/>
    <xf numFmtId="0" fontId="4" fillId="46" borderId="0" applyNumberFormat="0" applyBorder="0" applyAlignment="0" applyProtection="0"/>
    <xf numFmtId="0" fontId="4" fillId="46" borderId="0" applyNumberFormat="0" applyBorder="0" applyAlignment="0" applyProtection="0"/>
    <xf numFmtId="0" fontId="4" fillId="46" borderId="0" applyNumberFormat="0" applyBorder="0" applyAlignment="0" applyProtection="0"/>
    <xf numFmtId="0" fontId="4" fillId="46" borderId="0" applyNumberFormat="0" applyBorder="0" applyAlignment="0" applyProtection="0"/>
    <xf numFmtId="0" fontId="4" fillId="46" borderId="0" applyNumberFormat="0" applyBorder="0" applyAlignment="0" applyProtection="0"/>
    <xf numFmtId="0" fontId="4" fillId="46" borderId="0" applyNumberFormat="0" applyBorder="0" applyAlignment="0" applyProtection="0"/>
    <xf numFmtId="0" fontId="100" fillId="16" borderId="0" applyNumberFormat="0" applyBorder="0" applyAlignment="0" applyProtection="0"/>
    <xf numFmtId="0" fontId="100" fillId="16" borderId="0" applyNumberFormat="0" applyBorder="0" applyAlignment="0" applyProtection="0"/>
    <xf numFmtId="0" fontId="100" fillId="16" borderId="0" applyNumberFormat="0" applyBorder="0" applyAlignment="0" applyProtection="0"/>
    <xf numFmtId="0" fontId="100" fillId="16"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00" fillId="17"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100" fillId="17" borderId="0" applyNumberFormat="0" applyBorder="0" applyAlignment="0" applyProtection="0"/>
    <xf numFmtId="0" fontId="100" fillId="17" borderId="0" applyNumberFormat="0" applyBorder="0" applyAlignment="0" applyProtection="0"/>
    <xf numFmtId="0" fontId="100" fillId="17" borderId="0" applyNumberFormat="0" applyBorder="0" applyAlignment="0" applyProtection="0"/>
    <xf numFmtId="0" fontId="100" fillId="17"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00" fillId="18" borderId="0" applyNumberFormat="0" applyBorder="0" applyAlignment="0" applyProtection="0"/>
    <xf numFmtId="0" fontId="4" fillId="54" borderId="0" applyNumberFormat="0" applyBorder="0" applyAlignment="0" applyProtection="0"/>
    <xf numFmtId="0" fontId="4" fillId="54" borderId="0" applyNumberFormat="0" applyBorder="0" applyAlignment="0" applyProtection="0"/>
    <xf numFmtId="0" fontId="4" fillId="54" borderId="0" applyNumberFormat="0" applyBorder="0" applyAlignment="0" applyProtection="0"/>
    <xf numFmtId="0" fontId="4" fillId="54" borderId="0" applyNumberFormat="0" applyBorder="0" applyAlignment="0" applyProtection="0"/>
    <xf numFmtId="0" fontId="4" fillId="54" borderId="0" applyNumberFormat="0" applyBorder="0" applyAlignment="0" applyProtection="0"/>
    <xf numFmtId="0" fontId="4" fillId="54" borderId="0" applyNumberFormat="0" applyBorder="0" applyAlignment="0" applyProtection="0"/>
    <xf numFmtId="0" fontId="4" fillId="54" borderId="0" applyNumberFormat="0" applyBorder="0" applyAlignment="0" applyProtection="0"/>
    <xf numFmtId="0" fontId="100" fillId="18" borderId="0" applyNumberFormat="0" applyBorder="0" applyAlignment="0" applyProtection="0"/>
    <xf numFmtId="0" fontId="100" fillId="18" borderId="0" applyNumberFormat="0" applyBorder="0" applyAlignment="0" applyProtection="0"/>
    <xf numFmtId="0" fontId="100" fillId="18" borderId="0" applyNumberFormat="0" applyBorder="0" applyAlignment="0" applyProtection="0"/>
    <xf numFmtId="0" fontId="100" fillId="18"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00" fillId="19" borderId="0" applyNumberFormat="0" applyBorder="0" applyAlignment="0" applyProtection="0"/>
    <xf numFmtId="0" fontId="4" fillId="58" borderId="0" applyNumberFormat="0" applyBorder="0" applyAlignment="0" applyProtection="0"/>
    <xf numFmtId="0" fontId="4" fillId="58" borderId="0" applyNumberFormat="0" applyBorder="0" applyAlignment="0" applyProtection="0"/>
    <xf numFmtId="0" fontId="4" fillId="58" borderId="0" applyNumberFormat="0" applyBorder="0" applyAlignment="0" applyProtection="0"/>
    <xf numFmtId="0" fontId="4" fillId="58" borderId="0" applyNumberFormat="0" applyBorder="0" applyAlignment="0" applyProtection="0"/>
    <xf numFmtId="0" fontId="4" fillId="58" borderId="0" applyNumberFormat="0" applyBorder="0" applyAlignment="0" applyProtection="0"/>
    <xf numFmtId="0" fontId="4" fillId="58" borderId="0" applyNumberFormat="0" applyBorder="0" applyAlignment="0" applyProtection="0"/>
    <xf numFmtId="0" fontId="4" fillId="58" borderId="0" applyNumberFormat="0" applyBorder="0" applyAlignment="0" applyProtection="0"/>
    <xf numFmtId="0" fontId="100" fillId="19" borderId="0" applyNumberFormat="0" applyBorder="0" applyAlignment="0" applyProtection="0"/>
    <xf numFmtId="0" fontId="100" fillId="19" borderId="0" applyNumberFormat="0" applyBorder="0" applyAlignment="0" applyProtection="0"/>
    <xf numFmtId="0" fontId="100" fillId="19" borderId="0" applyNumberFormat="0" applyBorder="0" applyAlignment="0" applyProtection="0"/>
    <xf numFmtId="0" fontId="100" fillId="19"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00" fillId="20"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100" fillId="20" borderId="0" applyNumberFormat="0" applyBorder="0" applyAlignment="0" applyProtection="0"/>
    <xf numFmtId="0" fontId="100" fillId="20" borderId="0" applyNumberFormat="0" applyBorder="0" applyAlignment="0" applyProtection="0"/>
    <xf numFmtId="0" fontId="100" fillId="20" borderId="0" applyNumberFormat="0" applyBorder="0" applyAlignment="0" applyProtection="0"/>
    <xf numFmtId="0" fontId="100" fillId="20"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00" fillId="21" borderId="0" applyNumberFormat="0" applyBorder="0" applyAlignment="0" applyProtection="0"/>
    <xf numFmtId="0" fontId="4" fillId="66" borderId="0" applyNumberFormat="0" applyBorder="0" applyAlignment="0" applyProtection="0"/>
    <xf numFmtId="0" fontId="4" fillId="66" borderId="0" applyNumberFormat="0" applyBorder="0" applyAlignment="0" applyProtection="0"/>
    <xf numFmtId="0" fontId="4" fillId="66" borderId="0" applyNumberFormat="0" applyBorder="0" applyAlignment="0" applyProtection="0"/>
    <xf numFmtId="0" fontId="4" fillId="66" borderId="0" applyNumberFormat="0" applyBorder="0" applyAlignment="0" applyProtection="0"/>
    <xf numFmtId="0" fontId="4" fillId="66" borderId="0" applyNumberFormat="0" applyBorder="0" applyAlignment="0" applyProtection="0"/>
    <xf numFmtId="0" fontId="4" fillId="66" borderId="0" applyNumberFormat="0" applyBorder="0" applyAlignment="0" applyProtection="0"/>
    <xf numFmtId="0" fontId="4" fillId="66" borderId="0" applyNumberFormat="0" applyBorder="0" applyAlignment="0" applyProtection="0"/>
    <xf numFmtId="0" fontId="100" fillId="21" borderId="0" applyNumberFormat="0" applyBorder="0" applyAlignment="0" applyProtection="0"/>
    <xf numFmtId="0" fontId="100" fillId="21" borderId="0" applyNumberFormat="0" applyBorder="0" applyAlignment="0" applyProtection="0"/>
    <xf numFmtId="0" fontId="100" fillId="21" borderId="0" applyNumberFormat="0" applyBorder="0" applyAlignment="0" applyProtection="0"/>
    <xf numFmtId="0" fontId="100" fillId="21"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00" fillId="22" borderId="0" applyNumberFormat="0" applyBorder="0" applyAlignment="0" applyProtection="0"/>
    <xf numFmtId="0" fontId="4" fillId="47" borderId="0" applyNumberFormat="0" applyBorder="0" applyAlignment="0" applyProtection="0"/>
    <xf numFmtId="0" fontId="4" fillId="47" borderId="0" applyNumberFormat="0" applyBorder="0" applyAlignment="0" applyProtection="0"/>
    <xf numFmtId="0" fontId="4" fillId="47" borderId="0" applyNumberFormat="0" applyBorder="0" applyAlignment="0" applyProtection="0"/>
    <xf numFmtId="0" fontId="4" fillId="47" borderId="0" applyNumberFormat="0" applyBorder="0" applyAlignment="0" applyProtection="0"/>
    <xf numFmtId="0" fontId="4" fillId="47" borderId="0" applyNumberFormat="0" applyBorder="0" applyAlignment="0" applyProtection="0"/>
    <xf numFmtId="0" fontId="4" fillId="47" borderId="0" applyNumberFormat="0" applyBorder="0" applyAlignment="0" applyProtection="0"/>
    <xf numFmtId="0" fontId="4" fillId="47" borderId="0" applyNumberFormat="0" applyBorder="0" applyAlignment="0" applyProtection="0"/>
    <xf numFmtId="0" fontId="100" fillId="22" borderId="0" applyNumberFormat="0" applyBorder="0" applyAlignment="0" applyProtection="0"/>
    <xf numFmtId="0" fontId="100" fillId="22" borderId="0" applyNumberFormat="0" applyBorder="0" applyAlignment="0" applyProtection="0"/>
    <xf numFmtId="0" fontId="100" fillId="22" borderId="0" applyNumberFormat="0" applyBorder="0" applyAlignment="0" applyProtection="0"/>
    <xf numFmtId="0" fontId="100" fillId="22"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00" fillId="23" borderId="0" applyNumberFormat="0" applyBorder="0" applyAlignment="0" applyProtection="0"/>
    <xf numFmtId="0" fontId="4" fillId="51" borderId="0" applyNumberFormat="0" applyBorder="0" applyAlignment="0" applyProtection="0"/>
    <xf numFmtId="0" fontId="4" fillId="51" borderId="0" applyNumberFormat="0" applyBorder="0" applyAlignment="0" applyProtection="0"/>
    <xf numFmtId="0" fontId="4" fillId="51" borderId="0" applyNumberFormat="0" applyBorder="0" applyAlignment="0" applyProtection="0"/>
    <xf numFmtId="0" fontId="4" fillId="51" borderId="0" applyNumberFormat="0" applyBorder="0" applyAlignment="0" applyProtection="0"/>
    <xf numFmtId="0" fontId="4" fillId="51" borderId="0" applyNumberFormat="0" applyBorder="0" applyAlignment="0" applyProtection="0"/>
    <xf numFmtId="0" fontId="4" fillId="51" borderId="0" applyNumberFormat="0" applyBorder="0" applyAlignment="0" applyProtection="0"/>
    <xf numFmtId="0" fontId="4" fillId="51" borderId="0" applyNumberFormat="0" applyBorder="0" applyAlignment="0" applyProtection="0"/>
    <xf numFmtId="0" fontId="100" fillId="23" borderId="0" applyNumberFormat="0" applyBorder="0" applyAlignment="0" applyProtection="0"/>
    <xf numFmtId="0" fontId="100" fillId="23" borderId="0" applyNumberFormat="0" applyBorder="0" applyAlignment="0" applyProtection="0"/>
    <xf numFmtId="0" fontId="100" fillId="23" borderId="0" applyNumberFormat="0" applyBorder="0" applyAlignment="0" applyProtection="0"/>
    <xf numFmtId="0" fontId="100" fillId="23"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00" fillId="24" borderId="0" applyNumberFormat="0" applyBorder="0" applyAlignment="0" applyProtection="0"/>
    <xf numFmtId="0" fontId="4" fillId="55" borderId="0" applyNumberFormat="0" applyBorder="0" applyAlignment="0" applyProtection="0"/>
    <xf numFmtId="0" fontId="4" fillId="55" borderId="0" applyNumberFormat="0" applyBorder="0" applyAlignment="0" applyProtection="0"/>
    <xf numFmtId="0" fontId="4" fillId="55" borderId="0" applyNumberFormat="0" applyBorder="0" applyAlignment="0" applyProtection="0"/>
    <xf numFmtId="0" fontId="4" fillId="55" borderId="0" applyNumberFormat="0" applyBorder="0" applyAlignment="0" applyProtection="0"/>
    <xf numFmtId="0" fontId="4" fillId="55" borderId="0" applyNumberFormat="0" applyBorder="0" applyAlignment="0" applyProtection="0"/>
    <xf numFmtId="0" fontId="4" fillId="55" borderId="0" applyNumberFormat="0" applyBorder="0" applyAlignment="0" applyProtection="0"/>
    <xf numFmtId="0" fontId="4" fillId="55" borderId="0" applyNumberFormat="0" applyBorder="0" applyAlignment="0" applyProtection="0"/>
    <xf numFmtId="0" fontId="100" fillId="24" borderId="0" applyNumberFormat="0" applyBorder="0" applyAlignment="0" applyProtection="0"/>
    <xf numFmtId="0" fontId="100" fillId="24" borderId="0" applyNumberFormat="0" applyBorder="0" applyAlignment="0" applyProtection="0"/>
    <xf numFmtId="0" fontId="100" fillId="24" borderId="0" applyNumberFormat="0" applyBorder="0" applyAlignment="0" applyProtection="0"/>
    <xf numFmtId="0" fontId="100" fillId="24"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00" fillId="19" borderId="0" applyNumberFormat="0" applyBorder="0" applyAlignment="0" applyProtection="0"/>
    <xf numFmtId="0" fontId="4" fillId="59" borderId="0" applyNumberFormat="0" applyBorder="0" applyAlignment="0" applyProtection="0"/>
    <xf numFmtId="0" fontId="4" fillId="59" borderId="0" applyNumberFormat="0" applyBorder="0" applyAlignment="0" applyProtection="0"/>
    <xf numFmtId="0" fontId="4" fillId="59" borderId="0" applyNumberFormat="0" applyBorder="0" applyAlignment="0" applyProtection="0"/>
    <xf numFmtId="0" fontId="4" fillId="59" borderId="0" applyNumberFormat="0" applyBorder="0" applyAlignment="0" applyProtection="0"/>
    <xf numFmtId="0" fontId="4" fillId="59" borderId="0" applyNumberFormat="0" applyBorder="0" applyAlignment="0" applyProtection="0"/>
    <xf numFmtId="0" fontId="4" fillId="59" borderId="0" applyNumberFormat="0" applyBorder="0" applyAlignment="0" applyProtection="0"/>
    <xf numFmtId="0" fontId="4" fillId="59" borderId="0" applyNumberFormat="0" applyBorder="0" applyAlignment="0" applyProtection="0"/>
    <xf numFmtId="0" fontId="100" fillId="19" borderId="0" applyNumberFormat="0" applyBorder="0" applyAlignment="0" applyProtection="0"/>
    <xf numFmtId="0" fontId="100" fillId="19" borderId="0" applyNumberFormat="0" applyBorder="0" applyAlignment="0" applyProtection="0"/>
    <xf numFmtId="0" fontId="100" fillId="19" borderId="0" applyNumberFormat="0" applyBorder="0" applyAlignment="0" applyProtection="0"/>
    <xf numFmtId="0" fontId="100" fillId="19"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00" fillId="22"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100" fillId="22" borderId="0" applyNumberFormat="0" applyBorder="0" applyAlignment="0" applyProtection="0"/>
    <xf numFmtId="0" fontId="100" fillId="22" borderId="0" applyNumberFormat="0" applyBorder="0" applyAlignment="0" applyProtection="0"/>
    <xf numFmtId="0" fontId="100" fillId="22" borderId="0" applyNumberFormat="0" applyBorder="0" applyAlignment="0" applyProtection="0"/>
    <xf numFmtId="0" fontId="100" fillId="22"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00" fillId="25"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100" fillId="25" borderId="0" applyNumberFormat="0" applyBorder="0" applyAlignment="0" applyProtection="0"/>
    <xf numFmtId="0" fontId="100" fillId="25" borderId="0" applyNumberFormat="0" applyBorder="0" applyAlignment="0" applyProtection="0"/>
    <xf numFmtId="0" fontId="100" fillId="25" borderId="0" applyNumberFormat="0" applyBorder="0" applyAlignment="0" applyProtection="0"/>
    <xf numFmtId="0" fontId="100" fillId="25" borderId="0" applyNumberFormat="0" applyBorder="0" applyAlignment="0" applyProtection="0"/>
    <xf numFmtId="0" fontId="136" fillId="26" borderId="0" applyNumberFormat="0" applyBorder="0" applyAlignment="0" applyProtection="0"/>
    <xf numFmtId="0" fontId="136" fillId="26" borderId="0" applyNumberFormat="0" applyBorder="0" applyAlignment="0" applyProtection="0"/>
    <xf numFmtId="0" fontId="101" fillId="26" borderId="0" applyNumberFormat="0" applyBorder="0" applyAlignment="0" applyProtection="0"/>
    <xf numFmtId="0" fontId="134" fillId="48" borderId="0" applyNumberFormat="0" applyBorder="0" applyAlignment="0" applyProtection="0"/>
    <xf numFmtId="0" fontId="101" fillId="26" borderId="0" applyNumberFormat="0" applyBorder="0" applyAlignment="0" applyProtection="0"/>
    <xf numFmtId="0" fontId="101" fillId="26" borderId="0" applyNumberFormat="0" applyBorder="0" applyAlignment="0" applyProtection="0"/>
    <xf numFmtId="0" fontId="101" fillId="26" borderId="0" applyNumberFormat="0" applyBorder="0" applyAlignment="0" applyProtection="0"/>
    <xf numFmtId="0" fontId="101" fillId="26" borderId="0" applyNumberFormat="0" applyBorder="0" applyAlignment="0" applyProtection="0"/>
    <xf numFmtId="0" fontId="136" fillId="23" borderId="0" applyNumberFormat="0" applyBorder="0" applyAlignment="0" applyProtection="0"/>
    <xf numFmtId="0" fontId="136" fillId="23" borderId="0" applyNumberFormat="0" applyBorder="0" applyAlignment="0" applyProtection="0"/>
    <xf numFmtId="0" fontId="101" fillId="23" borderId="0" applyNumberFormat="0" applyBorder="0" applyAlignment="0" applyProtection="0"/>
    <xf numFmtId="0" fontId="134" fillId="52" borderId="0" applyNumberFormat="0" applyBorder="0" applyAlignment="0" applyProtection="0"/>
    <xf numFmtId="0" fontId="101" fillId="23" borderId="0" applyNumberFormat="0" applyBorder="0" applyAlignment="0" applyProtection="0"/>
    <xf numFmtId="0" fontId="101" fillId="23" borderId="0" applyNumberFormat="0" applyBorder="0" applyAlignment="0" applyProtection="0"/>
    <xf numFmtId="0" fontId="101" fillId="23" borderId="0" applyNumberFormat="0" applyBorder="0" applyAlignment="0" applyProtection="0"/>
    <xf numFmtId="0" fontId="101" fillId="23" borderId="0" applyNumberFormat="0" applyBorder="0" applyAlignment="0" applyProtection="0"/>
    <xf numFmtId="0" fontId="136" fillId="24" borderId="0" applyNumberFormat="0" applyBorder="0" applyAlignment="0" applyProtection="0"/>
    <xf numFmtId="0" fontId="136" fillId="24" borderId="0" applyNumberFormat="0" applyBorder="0" applyAlignment="0" applyProtection="0"/>
    <xf numFmtId="0" fontId="101" fillId="24" borderId="0" applyNumberFormat="0" applyBorder="0" applyAlignment="0" applyProtection="0"/>
    <xf numFmtId="0" fontId="134" fillId="56" borderId="0" applyNumberFormat="0" applyBorder="0" applyAlignment="0" applyProtection="0"/>
    <xf numFmtId="0" fontId="101" fillId="24" borderId="0" applyNumberFormat="0" applyBorder="0" applyAlignment="0" applyProtection="0"/>
    <xf numFmtId="0" fontId="101" fillId="24" borderId="0" applyNumberFormat="0" applyBorder="0" applyAlignment="0" applyProtection="0"/>
    <xf numFmtId="0" fontId="101" fillId="24" borderId="0" applyNumberFormat="0" applyBorder="0" applyAlignment="0" applyProtection="0"/>
    <xf numFmtId="0" fontId="101" fillId="24" borderId="0" applyNumberFormat="0" applyBorder="0" applyAlignment="0" applyProtection="0"/>
    <xf numFmtId="0" fontId="136" fillId="27" borderId="0" applyNumberFormat="0" applyBorder="0" applyAlignment="0" applyProtection="0"/>
    <xf numFmtId="0" fontId="136" fillId="27" borderId="0" applyNumberFormat="0" applyBorder="0" applyAlignment="0" applyProtection="0"/>
    <xf numFmtId="0" fontId="101" fillId="27" borderId="0" applyNumberFormat="0" applyBorder="0" applyAlignment="0" applyProtection="0"/>
    <xf numFmtId="0" fontId="134" fillId="60" borderId="0" applyNumberFormat="0" applyBorder="0" applyAlignment="0" applyProtection="0"/>
    <xf numFmtId="0" fontId="101" fillId="27" borderId="0" applyNumberFormat="0" applyBorder="0" applyAlignment="0" applyProtection="0"/>
    <xf numFmtId="0" fontId="101" fillId="27" borderId="0" applyNumberFormat="0" applyBorder="0" applyAlignment="0" applyProtection="0"/>
    <xf numFmtId="0" fontId="101" fillId="27" borderId="0" applyNumberFormat="0" applyBorder="0" applyAlignment="0" applyProtection="0"/>
    <xf numFmtId="0" fontId="101" fillId="27" borderId="0" applyNumberFormat="0" applyBorder="0" applyAlignment="0" applyProtection="0"/>
    <xf numFmtId="0" fontId="136" fillId="28" borderId="0" applyNumberFormat="0" applyBorder="0" applyAlignment="0" applyProtection="0"/>
    <xf numFmtId="0" fontId="136" fillId="28" borderId="0" applyNumberFormat="0" applyBorder="0" applyAlignment="0" applyProtection="0"/>
    <xf numFmtId="0" fontId="101" fillId="28" borderId="0" applyNumberFormat="0" applyBorder="0" applyAlignment="0" applyProtection="0"/>
    <xf numFmtId="0" fontId="134" fillId="64" borderId="0" applyNumberFormat="0" applyBorder="0" applyAlignment="0" applyProtection="0"/>
    <xf numFmtId="0" fontId="101" fillId="28" borderId="0" applyNumberFormat="0" applyBorder="0" applyAlignment="0" applyProtection="0"/>
    <xf numFmtId="0" fontId="101" fillId="28" borderId="0" applyNumberFormat="0" applyBorder="0" applyAlignment="0" applyProtection="0"/>
    <xf numFmtId="0" fontId="101" fillId="28" borderId="0" applyNumberFormat="0" applyBorder="0" applyAlignment="0" applyProtection="0"/>
    <xf numFmtId="0" fontId="101" fillId="28" borderId="0" applyNumberFormat="0" applyBorder="0" applyAlignment="0" applyProtection="0"/>
    <xf numFmtId="0" fontId="136" fillId="29" borderId="0" applyNumberFormat="0" applyBorder="0" applyAlignment="0" applyProtection="0"/>
    <xf numFmtId="0" fontId="136" fillId="29" borderId="0" applyNumberFormat="0" applyBorder="0" applyAlignment="0" applyProtection="0"/>
    <xf numFmtId="0" fontId="101" fillId="29" borderId="0" applyNumberFormat="0" applyBorder="0" applyAlignment="0" applyProtection="0"/>
    <xf numFmtId="0" fontId="134" fillId="68" borderId="0" applyNumberFormat="0" applyBorder="0" applyAlignment="0" applyProtection="0"/>
    <xf numFmtId="0" fontId="101" fillId="29" borderId="0" applyNumberFormat="0" applyBorder="0" applyAlignment="0" applyProtection="0"/>
    <xf numFmtId="0" fontId="101" fillId="29" borderId="0" applyNumberFormat="0" applyBorder="0" applyAlignment="0" applyProtection="0"/>
    <xf numFmtId="0" fontId="101" fillId="29" borderId="0" applyNumberFormat="0" applyBorder="0" applyAlignment="0" applyProtection="0"/>
    <xf numFmtId="0" fontId="101" fillId="29" borderId="0" applyNumberFormat="0" applyBorder="0" applyAlignment="0" applyProtection="0"/>
    <xf numFmtId="0" fontId="136" fillId="30" borderId="0" applyNumberFormat="0" applyBorder="0" applyAlignment="0" applyProtection="0"/>
    <xf numFmtId="0" fontId="136" fillId="30" borderId="0" applyNumberFormat="0" applyBorder="0" applyAlignment="0" applyProtection="0"/>
    <xf numFmtId="0" fontId="101" fillId="30" borderId="0" applyNumberFormat="0" applyBorder="0" applyAlignment="0" applyProtection="0"/>
    <xf numFmtId="0" fontId="134" fillId="45" borderId="0" applyNumberFormat="0" applyBorder="0" applyAlignment="0" applyProtection="0"/>
    <xf numFmtId="0" fontId="101" fillId="30" borderId="0" applyNumberFormat="0" applyBorder="0" applyAlignment="0" applyProtection="0"/>
    <xf numFmtId="0" fontId="101" fillId="30" borderId="0" applyNumberFormat="0" applyBorder="0" applyAlignment="0" applyProtection="0"/>
    <xf numFmtId="0" fontId="101" fillId="30" borderId="0" applyNumberFormat="0" applyBorder="0" applyAlignment="0" applyProtection="0"/>
    <xf numFmtId="0" fontId="101" fillId="30" borderId="0" applyNumberFormat="0" applyBorder="0" applyAlignment="0" applyProtection="0"/>
    <xf numFmtId="0" fontId="136" fillId="31" borderId="0" applyNumberFormat="0" applyBorder="0" applyAlignment="0" applyProtection="0"/>
    <xf numFmtId="0" fontId="136" fillId="31" borderId="0" applyNumberFormat="0" applyBorder="0" applyAlignment="0" applyProtection="0"/>
    <xf numFmtId="0" fontId="101" fillId="31" borderId="0" applyNumberFormat="0" applyBorder="0" applyAlignment="0" applyProtection="0"/>
    <xf numFmtId="0" fontId="134" fillId="49" borderId="0" applyNumberFormat="0" applyBorder="0" applyAlignment="0" applyProtection="0"/>
    <xf numFmtId="0" fontId="101" fillId="31" borderId="0" applyNumberFormat="0" applyBorder="0" applyAlignment="0" applyProtection="0"/>
    <xf numFmtId="0" fontId="101" fillId="31" borderId="0" applyNumberFormat="0" applyBorder="0" applyAlignment="0" applyProtection="0"/>
    <xf numFmtId="0" fontId="101" fillId="31" borderId="0" applyNumberFormat="0" applyBorder="0" applyAlignment="0" applyProtection="0"/>
    <xf numFmtId="0" fontId="101" fillId="31" borderId="0" applyNumberFormat="0" applyBorder="0" applyAlignment="0" applyProtection="0"/>
    <xf numFmtId="0" fontId="136" fillId="32" borderId="0" applyNumberFormat="0" applyBorder="0" applyAlignment="0" applyProtection="0"/>
    <xf numFmtId="0" fontId="136" fillId="32" borderId="0" applyNumberFormat="0" applyBorder="0" applyAlignment="0" applyProtection="0"/>
    <xf numFmtId="0" fontId="101" fillId="32" borderId="0" applyNumberFormat="0" applyBorder="0" applyAlignment="0" applyProtection="0"/>
    <xf numFmtId="0" fontId="134" fillId="53" borderId="0" applyNumberFormat="0" applyBorder="0" applyAlignment="0" applyProtection="0"/>
    <xf numFmtId="0" fontId="101" fillId="32" borderId="0" applyNumberFormat="0" applyBorder="0" applyAlignment="0" applyProtection="0"/>
    <xf numFmtId="0" fontId="101" fillId="32" borderId="0" applyNumberFormat="0" applyBorder="0" applyAlignment="0" applyProtection="0"/>
    <xf numFmtId="0" fontId="101" fillId="32" borderId="0" applyNumberFormat="0" applyBorder="0" applyAlignment="0" applyProtection="0"/>
    <xf numFmtId="0" fontId="101" fillId="32" borderId="0" applyNumberFormat="0" applyBorder="0" applyAlignment="0" applyProtection="0"/>
    <xf numFmtId="0" fontId="136" fillId="27" borderId="0" applyNumberFormat="0" applyBorder="0" applyAlignment="0" applyProtection="0"/>
    <xf numFmtId="0" fontId="136" fillId="27" borderId="0" applyNumberFormat="0" applyBorder="0" applyAlignment="0" applyProtection="0"/>
    <xf numFmtId="0" fontId="101" fillId="27" borderId="0" applyNumberFormat="0" applyBorder="0" applyAlignment="0" applyProtection="0"/>
    <xf numFmtId="0" fontId="134" fillId="57" borderId="0" applyNumberFormat="0" applyBorder="0" applyAlignment="0" applyProtection="0"/>
    <xf numFmtId="0" fontId="101" fillId="27" borderId="0" applyNumberFormat="0" applyBorder="0" applyAlignment="0" applyProtection="0"/>
    <xf numFmtId="0" fontId="101" fillId="27" borderId="0" applyNumberFormat="0" applyBorder="0" applyAlignment="0" applyProtection="0"/>
    <xf numFmtId="0" fontId="101" fillId="27" borderId="0" applyNumberFormat="0" applyBorder="0" applyAlignment="0" applyProtection="0"/>
    <xf numFmtId="0" fontId="101" fillId="27" borderId="0" applyNumberFormat="0" applyBorder="0" applyAlignment="0" applyProtection="0"/>
    <xf numFmtId="0" fontId="136" fillId="28" borderId="0" applyNumberFormat="0" applyBorder="0" applyAlignment="0" applyProtection="0"/>
    <xf numFmtId="0" fontId="136" fillId="28" borderId="0" applyNumberFormat="0" applyBorder="0" applyAlignment="0" applyProtection="0"/>
    <xf numFmtId="0" fontId="101" fillId="28" borderId="0" applyNumberFormat="0" applyBorder="0" applyAlignment="0" applyProtection="0"/>
    <xf numFmtId="0" fontId="134" fillId="61" borderId="0" applyNumberFormat="0" applyBorder="0" applyAlignment="0" applyProtection="0"/>
    <xf numFmtId="0" fontId="101" fillId="28" borderId="0" applyNumberFormat="0" applyBorder="0" applyAlignment="0" applyProtection="0"/>
    <xf numFmtId="0" fontId="101" fillId="28" borderId="0" applyNumberFormat="0" applyBorder="0" applyAlignment="0" applyProtection="0"/>
    <xf numFmtId="0" fontId="101" fillId="28" borderId="0" applyNumberFormat="0" applyBorder="0" applyAlignment="0" applyProtection="0"/>
    <xf numFmtId="0" fontId="101" fillId="28" borderId="0" applyNumberFormat="0" applyBorder="0" applyAlignment="0" applyProtection="0"/>
    <xf numFmtId="0" fontId="136" fillId="33" borderId="0" applyNumberFormat="0" applyBorder="0" applyAlignment="0" applyProtection="0"/>
    <xf numFmtId="0" fontId="136" fillId="33" borderId="0" applyNumberFormat="0" applyBorder="0" applyAlignment="0" applyProtection="0"/>
    <xf numFmtId="0" fontId="101" fillId="33" borderId="0" applyNumberFormat="0" applyBorder="0" applyAlignment="0" applyProtection="0"/>
    <xf numFmtId="0" fontId="134" fillId="65" borderId="0" applyNumberFormat="0" applyBorder="0" applyAlignment="0" applyProtection="0"/>
    <xf numFmtId="0" fontId="101" fillId="33" borderId="0" applyNumberFormat="0" applyBorder="0" applyAlignment="0" applyProtection="0"/>
    <xf numFmtId="0" fontId="101" fillId="33" borderId="0" applyNumberFormat="0" applyBorder="0" applyAlignment="0" applyProtection="0"/>
    <xf numFmtId="0" fontId="101" fillId="33" borderId="0" applyNumberFormat="0" applyBorder="0" applyAlignment="0" applyProtection="0"/>
    <xf numFmtId="0" fontId="101" fillId="33" borderId="0" applyNumberFormat="0" applyBorder="0" applyAlignment="0" applyProtection="0"/>
    <xf numFmtId="0" fontId="137" fillId="17" borderId="0" applyNumberFormat="0" applyBorder="0" applyAlignment="0" applyProtection="0"/>
    <xf numFmtId="0" fontId="137" fillId="17" borderId="0" applyNumberFormat="0" applyBorder="0" applyAlignment="0" applyProtection="0"/>
    <xf numFmtId="0" fontId="102" fillId="17" borderId="0" applyNumberFormat="0" applyBorder="0" applyAlignment="0" applyProtection="0"/>
    <xf numFmtId="0" fontId="125" fillId="39" borderId="0" applyNumberFormat="0" applyBorder="0" applyAlignment="0" applyProtection="0"/>
    <xf numFmtId="0" fontId="102" fillId="17" borderId="0" applyNumberFormat="0" applyBorder="0" applyAlignment="0" applyProtection="0"/>
    <xf numFmtId="0" fontId="102" fillId="17" borderId="0" applyNumberFormat="0" applyBorder="0" applyAlignment="0" applyProtection="0"/>
    <xf numFmtId="0" fontId="102" fillId="17" borderId="0" applyNumberFormat="0" applyBorder="0" applyAlignment="0" applyProtection="0"/>
    <xf numFmtId="0" fontId="102" fillId="17" borderId="0" applyNumberFormat="0" applyBorder="0" applyAlignment="0" applyProtection="0"/>
    <xf numFmtId="0" fontId="138" fillId="34" borderId="25" applyNumberFormat="0" applyAlignment="0" applyProtection="0"/>
    <xf numFmtId="0" fontId="138" fillId="34" borderId="25" applyNumberFormat="0" applyAlignment="0" applyProtection="0"/>
    <xf numFmtId="0" fontId="103" fillId="34" borderId="25" applyNumberFormat="0" applyAlignment="0" applyProtection="0"/>
    <xf numFmtId="0" fontId="129" fillId="42" borderId="36" applyNumberFormat="0" applyAlignment="0" applyProtection="0"/>
    <xf numFmtId="0" fontId="103" fillId="34" borderId="25" applyNumberFormat="0" applyAlignment="0" applyProtection="0"/>
    <xf numFmtId="0" fontId="103" fillId="34" borderId="25" applyNumberFormat="0" applyAlignment="0" applyProtection="0"/>
    <xf numFmtId="0" fontId="103" fillId="34" borderId="25" applyNumberFormat="0" applyAlignment="0" applyProtection="0"/>
    <xf numFmtId="0" fontId="103" fillId="34" borderId="25" applyNumberFormat="0" applyAlignment="0" applyProtection="0"/>
    <xf numFmtId="0" fontId="139" fillId="35" borderId="26" applyNumberFormat="0" applyAlignment="0" applyProtection="0"/>
    <xf numFmtId="0" fontId="139" fillId="35" borderId="26" applyNumberFormat="0" applyAlignment="0" applyProtection="0"/>
    <xf numFmtId="0" fontId="104" fillId="35" borderId="26" applyNumberFormat="0" applyAlignment="0" applyProtection="0"/>
    <xf numFmtId="0" fontId="131" fillId="43" borderId="39" applyNumberFormat="0" applyAlignment="0" applyProtection="0"/>
    <xf numFmtId="0" fontId="104" fillId="35" borderId="26" applyNumberFormat="0" applyAlignment="0" applyProtection="0"/>
    <xf numFmtId="0" fontId="104" fillId="35" borderId="26" applyNumberFormat="0" applyAlignment="0" applyProtection="0"/>
    <xf numFmtId="0" fontId="104" fillId="35" borderId="26" applyNumberFormat="0" applyAlignment="0" applyProtection="0"/>
    <xf numFmtId="0" fontId="104" fillId="35" borderId="26" applyNumberFormat="0" applyAlignment="0" applyProtection="0"/>
    <xf numFmtId="40" fontId="40" fillId="0" borderId="0" applyFont="0" applyFill="0" applyBorder="0" applyAlignment="0" applyProtection="0"/>
    <xf numFmtId="40" fontId="4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0" fontId="40" fillId="0" borderId="0" applyFont="0" applyFill="0" applyBorder="0" applyAlignment="0" applyProtection="0"/>
    <xf numFmtId="40" fontId="40" fillId="0" borderId="0" applyFont="0" applyFill="0" applyBorder="0" applyAlignment="0" applyProtection="0"/>
    <xf numFmtId="43" fontId="99" fillId="0" borderId="0" applyFont="0" applyFill="0" applyBorder="0" applyAlignment="0" applyProtection="0"/>
    <xf numFmtId="40" fontId="40" fillId="0" borderId="0" applyFont="0" applyFill="0" applyBorder="0" applyAlignment="0" applyProtection="0"/>
    <xf numFmtId="40" fontId="40" fillId="0" borderId="0" applyFont="0" applyFill="0" applyBorder="0" applyAlignment="0" applyProtection="0"/>
    <xf numFmtId="3" fontId="140"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5"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9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277" fontId="140" fillId="0" borderId="0" applyFont="0" applyFill="0" applyBorder="0" applyAlignment="0" applyProtection="0"/>
    <xf numFmtId="0" fontId="140" fillId="0" borderId="0" applyFont="0" applyFill="0" applyBorder="0" applyAlignment="0" applyProtection="0"/>
    <xf numFmtId="0" fontId="141" fillId="0" borderId="0" applyNumberFormat="0" applyFill="0" applyBorder="0" applyAlignment="0" applyProtection="0"/>
    <xf numFmtId="0" fontId="141" fillId="0" borderId="0" applyNumberFormat="0" applyFill="0" applyBorder="0" applyAlignment="0" applyProtection="0"/>
    <xf numFmtId="0" fontId="105" fillId="0" borderId="0" applyNumberFormat="0" applyFill="0" applyBorder="0" applyAlignment="0" applyProtection="0"/>
    <xf numFmtId="0" fontId="133"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2" fontId="140" fillId="0" borderId="0" applyFont="0" applyFill="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06" fillId="18" borderId="0" applyNumberFormat="0" applyBorder="0" applyAlignment="0" applyProtection="0"/>
    <xf numFmtId="0" fontId="124" fillId="38" borderId="0" applyNumberFormat="0" applyBorder="0" applyAlignment="0" applyProtection="0"/>
    <xf numFmtId="0" fontId="106" fillId="18" borderId="0" applyNumberFormat="0" applyBorder="0" applyAlignment="0" applyProtection="0"/>
    <xf numFmtId="0" fontId="106" fillId="18" borderId="0" applyNumberFormat="0" applyBorder="0" applyAlignment="0" applyProtection="0"/>
    <xf numFmtId="0" fontId="106" fillId="18" borderId="0" applyNumberFormat="0" applyBorder="0" applyAlignment="0" applyProtection="0"/>
    <xf numFmtId="0" fontId="106" fillId="18" borderId="0" applyNumberFormat="0" applyBorder="0" applyAlignment="0" applyProtection="0"/>
    <xf numFmtId="0" fontId="35" fillId="0" borderId="0" applyFont="0" applyFill="0" applyBorder="0" applyAlignment="0" applyProtection="0"/>
    <xf numFmtId="0" fontId="143" fillId="0" borderId="0" applyNumberFormat="0" applyFill="0" applyBorder="0" applyAlignment="0" applyProtection="0"/>
    <xf numFmtId="0" fontId="143" fillId="0" borderId="0" applyNumberFormat="0" applyFill="0" applyBorder="0" applyAlignment="0" applyProtection="0"/>
    <xf numFmtId="0" fontId="35" fillId="0" borderId="0" applyFont="0" applyFill="0" applyBorder="0" applyAlignment="0" applyProtection="0"/>
    <xf numFmtId="0" fontId="144" fillId="0" borderId="41" applyNumberFormat="0" applyFill="0" applyAlignment="0" applyProtection="0"/>
    <xf numFmtId="0" fontId="35" fillId="0" borderId="0" applyFont="0" applyFill="0" applyBorder="0" applyAlignment="0" applyProtection="0"/>
    <xf numFmtId="0" fontId="35" fillId="0" borderId="0" applyFont="0" applyFill="0" applyBorder="0" applyAlignment="0" applyProtection="0"/>
    <xf numFmtId="0" fontId="35" fillId="0" borderId="0" applyFont="0" applyFill="0" applyBorder="0" applyAlignment="0" applyProtection="0"/>
    <xf numFmtId="0" fontId="145" fillId="0" borderId="0" applyNumberFormat="0" applyFill="0" applyBorder="0" applyAlignment="0" applyProtection="0"/>
    <xf numFmtId="0" fontId="145" fillId="0" borderId="0" applyNumberFormat="0" applyFill="0" applyBorder="0" applyAlignment="0" applyProtection="0"/>
    <xf numFmtId="0" fontId="21" fillId="0" borderId="0" applyFont="0" applyFill="0" applyBorder="0" applyAlignment="0" applyProtection="0"/>
    <xf numFmtId="0" fontId="146" fillId="0" borderId="42" applyNumberFormat="0" applyFill="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147" fillId="0" borderId="27" applyNumberFormat="0" applyFill="0" applyAlignment="0" applyProtection="0"/>
    <xf numFmtId="0" fontId="147" fillId="0" borderId="27" applyNumberFormat="0" applyFill="0" applyAlignment="0" applyProtection="0"/>
    <xf numFmtId="0" fontId="107" fillId="0" borderId="27" applyNumberFormat="0" applyFill="0" applyAlignment="0" applyProtection="0"/>
    <xf numFmtId="0" fontId="123" fillId="0" borderId="35" applyNumberFormat="0" applyFill="0" applyAlignment="0" applyProtection="0"/>
    <xf numFmtId="0" fontId="107" fillId="0" borderId="27" applyNumberFormat="0" applyFill="0" applyAlignment="0" applyProtection="0"/>
    <xf numFmtId="0" fontId="107" fillId="0" borderId="27" applyNumberFormat="0" applyFill="0" applyAlignment="0" applyProtection="0"/>
    <xf numFmtId="0" fontId="107" fillId="0" borderId="27" applyNumberFormat="0" applyFill="0" applyAlignment="0" applyProtection="0"/>
    <xf numFmtId="0" fontId="107" fillId="0" borderId="27" applyNumberFormat="0" applyFill="0" applyAlignment="0" applyProtection="0"/>
    <xf numFmtId="0" fontId="147" fillId="0" borderId="0" applyNumberFormat="0" applyFill="0" applyBorder="0" applyAlignment="0" applyProtection="0"/>
    <xf numFmtId="0" fontId="147" fillId="0" borderId="0" applyNumberFormat="0" applyFill="0" applyBorder="0" applyAlignment="0" applyProtection="0"/>
    <xf numFmtId="0" fontId="107" fillId="0" borderId="0" applyNumberFormat="0" applyFill="0" applyBorder="0" applyAlignment="0" applyProtection="0"/>
    <xf numFmtId="0" fontId="123"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48" fillId="21" borderId="25" applyNumberFormat="0" applyAlignment="0" applyProtection="0"/>
    <xf numFmtId="0" fontId="127" fillId="41" borderId="36" applyNumberFormat="0" applyAlignment="0" applyProtection="0"/>
    <xf numFmtId="0" fontId="108" fillId="21" borderId="25" applyNumberFormat="0" applyAlignment="0" applyProtection="0"/>
    <xf numFmtId="0" fontId="108" fillId="21" borderId="25" applyNumberFormat="0" applyAlignment="0" applyProtection="0"/>
    <xf numFmtId="0" fontId="108" fillId="21" borderId="25" applyNumberFormat="0" applyAlignment="0" applyProtection="0"/>
    <xf numFmtId="0" fontId="108" fillId="21" borderId="25" applyNumberFormat="0" applyAlignment="0" applyProtection="0"/>
    <xf numFmtId="0" fontId="149" fillId="0" borderId="28" applyNumberFormat="0" applyFill="0" applyAlignment="0" applyProtection="0"/>
    <xf numFmtId="0" fontId="149" fillId="0" borderId="28" applyNumberFormat="0" applyFill="0" applyAlignment="0" applyProtection="0"/>
    <xf numFmtId="0" fontId="109" fillId="0" borderId="28" applyNumberFormat="0" applyFill="0" applyAlignment="0" applyProtection="0"/>
    <xf numFmtId="0" fontId="130" fillId="0" borderId="38" applyNumberFormat="0" applyFill="0" applyAlignment="0" applyProtection="0"/>
    <xf numFmtId="0" fontId="109" fillId="0" borderId="28" applyNumberFormat="0" applyFill="0" applyAlignment="0" applyProtection="0"/>
    <xf numFmtId="0" fontId="109" fillId="0" borderId="28" applyNumberFormat="0" applyFill="0" applyAlignment="0" applyProtection="0"/>
    <xf numFmtId="0" fontId="109" fillId="0" borderId="28" applyNumberFormat="0" applyFill="0" applyAlignment="0" applyProtection="0"/>
    <xf numFmtId="0" fontId="109" fillId="0" borderId="28" applyNumberFormat="0" applyFill="0" applyAlignment="0" applyProtection="0"/>
    <xf numFmtId="0" fontId="150" fillId="36" borderId="0" applyNumberFormat="0" applyBorder="0" applyAlignment="0" applyProtection="0"/>
    <xf numFmtId="0" fontId="150" fillId="36" borderId="0" applyNumberFormat="0" applyBorder="0" applyAlignment="0" applyProtection="0"/>
    <xf numFmtId="0" fontId="110" fillId="36" borderId="0" applyNumberFormat="0" applyBorder="0" applyAlignment="0" applyProtection="0"/>
    <xf numFmtId="0" fontId="126" fillId="40" borderId="0" applyNumberFormat="0" applyBorder="0" applyAlignment="0" applyProtection="0"/>
    <xf numFmtId="0" fontId="110" fillId="36" borderId="0" applyNumberFormat="0" applyBorder="0" applyAlignment="0" applyProtection="0"/>
    <xf numFmtId="0" fontId="110" fillId="36" borderId="0" applyNumberFormat="0" applyBorder="0" applyAlignment="0" applyProtection="0"/>
    <xf numFmtId="0" fontId="110" fillId="36" borderId="0" applyNumberFormat="0" applyBorder="0" applyAlignment="0" applyProtection="0"/>
    <xf numFmtId="0" fontId="110" fillId="36"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0" fillId="0" borderId="0"/>
    <xf numFmtId="0" fontId="19" fillId="0" borderId="0"/>
    <xf numFmtId="0" fontId="40" fillId="0" borderId="0"/>
    <xf numFmtId="0" fontId="19" fillId="0" borderId="0"/>
    <xf numFmtId="0" fontId="40" fillId="0" borderId="0"/>
    <xf numFmtId="174" fontId="39" fillId="0" borderId="0" applyProtection="0"/>
    <xf numFmtId="0" fontId="40" fillId="0" borderId="0"/>
    <xf numFmtId="0" fontId="40" fillId="0" borderId="0"/>
    <xf numFmtId="174" fontId="39" fillId="0" borderId="0" applyProtection="0"/>
    <xf numFmtId="174" fontId="39" fillId="0" borderId="0" applyProtection="0"/>
    <xf numFmtId="0" fontId="40" fillId="0" borderId="0"/>
    <xf numFmtId="0" fontId="40" fillId="0" borderId="0"/>
    <xf numFmtId="0" fontId="40" fillId="0" borderId="0"/>
    <xf numFmtId="0" fontId="19" fillId="0" borderId="0"/>
    <xf numFmtId="0" fontId="19" fillId="0" borderId="0"/>
    <xf numFmtId="0" fontId="19" fillId="0" borderId="0"/>
    <xf numFmtId="0" fontId="151" fillId="0" borderId="0"/>
    <xf numFmtId="0" fontId="40" fillId="0" borderId="0"/>
    <xf numFmtId="0" fontId="152" fillId="0" borderId="0"/>
    <xf numFmtId="0" fontId="40" fillId="0" borderId="0"/>
    <xf numFmtId="0" fontId="152" fillId="0" borderId="0"/>
    <xf numFmtId="0" fontId="19" fillId="0" borderId="0"/>
    <xf numFmtId="0" fontId="15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278" fontId="19" fillId="0" borderId="0"/>
    <xf numFmtId="278" fontId="1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278" fontId="19" fillId="0" borderId="0"/>
    <xf numFmtId="278" fontId="1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0" fillId="0" borderId="0"/>
    <xf numFmtId="0" fontId="19" fillId="37" borderId="29" applyNumberFormat="0" applyFont="0" applyAlignment="0" applyProtection="0"/>
    <xf numFmtId="0" fontId="19" fillId="37" borderId="29" applyNumberFormat="0" applyFont="0" applyAlignment="0" applyProtection="0"/>
    <xf numFmtId="0" fontId="39" fillId="37" borderId="29" applyNumberFormat="0" applyFont="0" applyAlignment="0" applyProtection="0"/>
    <xf numFmtId="0" fontId="4" fillId="44" borderId="40" applyNumberFormat="0" applyFont="0" applyAlignment="0" applyProtection="0"/>
    <xf numFmtId="0" fontId="4" fillId="44" borderId="40" applyNumberFormat="0" applyFont="0" applyAlignment="0" applyProtection="0"/>
    <xf numFmtId="0" fontId="4" fillId="44" borderId="40" applyNumberFormat="0" applyFont="0" applyAlignment="0" applyProtection="0"/>
    <xf numFmtId="0" fontId="4" fillId="44" borderId="40" applyNumberFormat="0" applyFont="0" applyAlignment="0" applyProtection="0"/>
    <xf numFmtId="0" fontId="4" fillId="44" borderId="40" applyNumberFormat="0" applyFont="0" applyAlignment="0" applyProtection="0"/>
    <xf numFmtId="0" fontId="4" fillId="44" borderId="40" applyNumberFormat="0" applyFont="0" applyAlignment="0" applyProtection="0"/>
    <xf numFmtId="0" fontId="4" fillId="44" borderId="40" applyNumberFormat="0" applyFont="0" applyAlignment="0" applyProtection="0"/>
    <xf numFmtId="0" fontId="39" fillId="37" borderId="29" applyNumberFormat="0" applyFont="0" applyAlignment="0" applyProtection="0"/>
    <xf numFmtId="0" fontId="39" fillId="37" borderId="29" applyNumberFormat="0" applyFont="0" applyAlignment="0" applyProtection="0"/>
    <xf numFmtId="0" fontId="39" fillId="37" borderId="29" applyNumberFormat="0" applyFont="0" applyAlignment="0" applyProtection="0"/>
    <xf numFmtId="0" fontId="39" fillId="37" borderId="29" applyNumberFormat="0" applyFont="0" applyAlignment="0" applyProtection="0"/>
    <xf numFmtId="0" fontId="153" fillId="34" borderId="30" applyNumberFormat="0" applyAlignment="0" applyProtection="0"/>
    <xf numFmtId="0" fontId="153" fillId="34" borderId="30" applyNumberFormat="0" applyAlignment="0" applyProtection="0"/>
    <xf numFmtId="0" fontId="111" fillId="34" borderId="30" applyNumberFormat="0" applyAlignment="0" applyProtection="0"/>
    <xf numFmtId="0" fontId="128" fillId="42" borderId="37" applyNumberFormat="0" applyAlignment="0" applyProtection="0"/>
    <xf numFmtId="0" fontId="111" fillId="34" borderId="30" applyNumberFormat="0" applyAlignment="0" applyProtection="0"/>
    <xf numFmtId="0" fontId="111" fillId="34" borderId="30" applyNumberFormat="0" applyAlignment="0" applyProtection="0"/>
    <xf numFmtId="0" fontId="111" fillId="34" borderId="30" applyNumberFormat="0" applyAlignment="0" applyProtection="0"/>
    <xf numFmtId="0" fontId="111" fillId="34" borderId="30" applyNumberFormat="0" applyAlignment="0" applyProtection="0"/>
    <xf numFmtId="9" fontId="1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0" fillId="0" borderId="0" applyNumberFormat="0" applyFont="0" applyFill="0" applyBorder="0" applyAlignment="0" applyProtection="0">
      <alignment horizontal="left"/>
    </xf>
    <xf numFmtId="0" fontId="40" fillId="0" borderId="0" applyNumberFormat="0" applyFont="0" applyFill="0" applyBorder="0" applyAlignment="0" applyProtection="0">
      <alignment horizontal="left"/>
    </xf>
    <xf numFmtId="0" fontId="40" fillId="0" borderId="0" applyNumberFormat="0" applyFont="0" applyFill="0" applyBorder="0" applyAlignment="0" applyProtection="0">
      <alignment horizontal="left"/>
    </xf>
    <xf numFmtId="0" fontId="40" fillId="0" borderId="0" applyNumberFormat="0" applyFont="0" applyFill="0" applyBorder="0" applyAlignment="0" applyProtection="0">
      <alignment horizontal="left"/>
    </xf>
    <xf numFmtId="0" fontId="40" fillId="0" borderId="0" applyNumberFormat="0" applyFont="0" applyFill="0" applyBorder="0" applyAlignment="0" applyProtection="0">
      <alignment horizontal="left"/>
    </xf>
    <xf numFmtId="0" fontId="40" fillId="0" borderId="0" applyNumberFormat="0" applyFont="0" applyFill="0" applyBorder="0" applyAlignment="0" applyProtection="0">
      <alignment horizontal="left"/>
    </xf>
    <xf numFmtId="0" fontId="40" fillId="0" borderId="0" applyNumberFormat="0" applyFont="0" applyFill="0" applyBorder="0" applyAlignment="0" applyProtection="0">
      <alignment horizontal="left"/>
    </xf>
    <xf numFmtId="0" fontId="40" fillId="0" borderId="0" applyNumberFormat="0" applyFont="0" applyFill="0" applyBorder="0" applyAlignment="0" applyProtection="0">
      <alignment horizontal="left"/>
    </xf>
    <xf numFmtId="0" fontId="40" fillId="0" borderId="0" applyNumberFormat="0" applyFont="0" applyFill="0" applyBorder="0" applyAlignment="0" applyProtection="0">
      <alignment horizontal="left"/>
    </xf>
    <xf numFmtId="0" fontId="40" fillId="0" borderId="0" applyNumberFormat="0" applyFont="0" applyFill="0" applyBorder="0" applyAlignment="0" applyProtection="0">
      <alignment horizontal="left"/>
    </xf>
    <xf numFmtId="0" fontId="40" fillId="0" borderId="0" applyNumberFormat="0" applyFont="0" applyFill="0" applyBorder="0" applyAlignment="0" applyProtection="0">
      <alignment horizontal="left"/>
    </xf>
    <xf numFmtId="0" fontId="152" fillId="0" borderId="0" applyNumberFormat="0" applyFont="0" applyFill="0" applyBorder="0" applyAlignment="0" applyProtection="0">
      <alignment horizontal="left"/>
    </xf>
    <xf numFmtId="0" fontId="40" fillId="0" borderId="0" applyNumberFormat="0" applyFont="0" applyFill="0" applyBorder="0" applyAlignment="0" applyProtection="0">
      <alignment horizontal="left"/>
    </xf>
    <xf numFmtId="0" fontId="40" fillId="0" borderId="0" applyNumberFormat="0" applyFont="0" applyFill="0" applyBorder="0" applyAlignment="0" applyProtection="0">
      <alignment horizontal="left"/>
    </xf>
    <xf numFmtId="0" fontId="40" fillId="0" borderId="0" applyNumberFormat="0" applyFont="0" applyFill="0" applyBorder="0" applyAlignment="0" applyProtection="0">
      <alignment horizontal="left"/>
    </xf>
    <xf numFmtId="0" fontId="40" fillId="0" borderId="0" applyNumberFormat="0" applyFont="0" applyFill="0" applyBorder="0" applyAlignment="0" applyProtection="0">
      <alignment horizontal="left"/>
    </xf>
    <xf numFmtId="0" fontId="40" fillId="0" borderId="0" applyNumberFormat="0" applyFont="0" applyFill="0" applyBorder="0" applyAlignment="0" applyProtection="0">
      <alignment horizontal="left"/>
    </xf>
    <xf numFmtId="0" fontId="40" fillId="0" borderId="0" applyNumberFormat="0" applyFont="0" applyFill="0" applyBorder="0" applyAlignment="0" applyProtection="0">
      <alignment horizontal="left"/>
    </xf>
    <xf numFmtId="0" fontId="40" fillId="0" borderId="0" applyNumberFormat="0" applyFont="0" applyFill="0" applyBorder="0" applyAlignment="0" applyProtection="0">
      <alignment horizontal="left"/>
    </xf>
    <xf numFmtId="0" fontId="40" fillId="0" borderId="0" applyNumberFormat="0" applyFont="0" applyFill="0" applyBorder="0" applyAlignment="0" applyProtection="0">
      <alignment horizontal="left"/>
    </xf>
    <xf numFmtId="0" fontId="40" fillId="0" borderId="0" applyNumberFormat="0" applyFont="0" applyFill="0" applyBorder="0" applyAlignment="0" applyProtection="0">
      <alignment horizontal="left"/>
    </xf>
    <xf numFmtId="0" fontId="40" fillId="0" borderId="0" applyNumberFormat="0" applyFont="0" applyFill="0" applyBorder="0" applyAlignment="0" applyProtection="0">
      <alignment horizontal="left"/>
    </xf>
    <xf numFmtId="0" fontId="40" fillId="0" borderId="0" applyNumberFormat="0" applyFont="0" applyFill="0" applyBorder="0" applyAlignment="0" applyProtection="0">
      <alignment horizontal="left"/>
    </xf>
    <xf numFmtId="0" fontId="40" fillId="0" borderId="0" applyNumberFormat="0" applyFont="0" applyFill="0" applyBorder="0" applyAlignment="0" applyProtection="0">
      <alignment horizontal="left"/>
    </xf>
    <xf numFmtId="0" fontId="40" fillId="0" borderId="0" applyNumberFormat="0" applyFont="0" applyFill="0" applyBorder="0" applyAlignment="0" applyProtection="0">
      <alignment horizontal="left"/>
    </xf>
    <xf numFmtId="0" fontId="40" fillId="0" borderId="0" applyNumberFormat="0" applyFont="0" applyFill="0" applyBorder="0" applyAlignment="0" applyProtection="0">
      <alignment horizontal="left"/>
    </xf>
    <xf numFmtId="0" fontId="40" fillId="0" borderId="0" applyNumberFormat="0" applyFont="0" applyFill="0" applyBorder="0" applyAlignment="0" applyProtection="0">
      <alignment horizontal="left"/>
    </xf>
    <xf numFmtId="0" fontId="40" fillId="0" borderId="0" applyNumberFormat="0" applyFont="0" applyFill="0" applyBorder="0" applyAlignment="0" applyProtection="0">
      <alignment horizontal="left"/>
    </xf>
    <xf numFmtId="0" fontId="40" fillId="0" borderId="0" applyNumberFormat="0" applyFont="0" applyFill="0" applyBorder="0" applyAlignment="0" applyProtection="0">
      <alignment horizontal="left"/>
    </xf>
    <xf numFmtId="0" fontId="40" fillId="0" borderId="0" applyNumberFormat="0" applyFont="0" applyFill="0" applyBorder="0" applyAlignment="0" applyProtection="0">
      <alignment horizontal="left"/>
    </xf>
    <xf numFmtId="15" fontId="40" fillId="0" borderId="0" applyFont="0" applyFill="0" applyBorder="0" applyAlignment="0" applyProtection="0"/>
    <xf numFmtId="15" fontId="40" fillId="0" borderId="0" applyFont="0" applyFill="0" applyBorder="0" applyAlignment="0" applyProtection="0"/>
    <xf numFmtId="15" fontId="40" fillId="0" borderId="0" applyFont="0" applyFill="0" applyBorder="0" applyAlignment="0" applyProtection="0"/>
    <xf numFmtId="15" fontId="40" fillId="0" borderId="0" applyFont="0" applyFill="0" applyBorder="0" applyAlignment="0" applyProtection="0"/>
    <xf numFmtId="15" fontId="40" fillId="0" borderId="0" applyFont="0" applyFill="0" applyBorder="0" applyAlignment="0" applyProtection="0"/>
    <xf numFmtId="15" fontId="40" fillId="0" borderId="0" applyFont="0" applyFill="0" applyBorder="0" applyAlignment="0" applyProtection="0"/>
    <xf numFmtId="15" fontId="40" fillId="0" borderId="0" applyFont="0" applyFill="0" applyBorder="0" applyAlignment="0" applyProtection="0"/>
    <xf numFmtId="15" fontId="40" fillId="0" borderId="0" applyFont="0" applyFill="0" applyBorder="0" applyAlignment="0" applyProtection="0"/>
    <xf numFmtId="15" fontId="40" fillId="0" borderId="0" applyFont="0" applyFill="0" applyBorder="0" applyAlignment="0" applyProtection="0"/>
    <xf numFmtId="15" fontId="40" fillId="0" borderId="0" applyFont="0" applyFill="0" applyBorder="0" applyAlignment="0" applyProtection="0"/>
    <xf numFmtId="15" fontId="40" fillId="0" borderId="0" applyFont="0" applyFill="0" applyBorder="0" applyAlignment="0" applyProtection="0"/>
    <xf numFmtId="15" fontId="152" fillId="0" borderId="0" applyFont="0" applyFill="0" applyBorder="0" applyAlignment="0" applyProtection="0"/>
    <xf numFmtId="15" fontId="40" fillId="0" borderId="0" applyFont="0" applyFill="0" applyBorder="0" applyAlignment="0" applyProtection="0"/>
    <xf numFmtId="15" fontId="40" fillId="0" borderId="0" applyFont="0" applyFill="0" applyBorder="0" applyAlignment="0" applyProtection="0"/>
    <xf numFmtId="15" fontId="40" fillId="0" borderId="0" applyFont="0" applyFill="0" applyBorder="0" applyAlignment="0" applyProtection="0"/>
    <xf numFmtId="15" fontId="40" fillId="0" borderId="0" applyFont="0" applyFill="0" applyBorder="0" applyAlignment="0" applyProtection="0"/>
    <xf numFmtId="15" fontId="40" fillId="0" borderId="0" applyFont="0" applyFill="0" applyBorder="0" applyAlignment="0" applyProtection="0"/>
    <xf numFmtId="15" fontId="40" fillId="0" borderId="0" applyFont="0" applyFill="0" applyBorder="0" applyAlignment="0" applyProtection="0"/>
    <xf numFmtId="15" fontId="40" fillId="0" borderId="0" applyFont="0" applyFill="0" applyBorder="0" applyAlignment="0" applyProtection="0"/>
    <xf numFmtId="15" fontId="40" fillId="0" borderId="0" applyFont="0" applyFill="0" applyBorder="0" applyAlignment="0" applyProtection="0"/>
    <xf numFmtId="15" fontId="40" fillId="0" borderId="0" applyFont="0" applyFill="0" applyBorder="0" applyAlignment="0" applyProtection="0"/>
    <xf numFmtId="15" fontId="40" fillId="0" borderId="0" applyFont="0" applyFill="0" applyBorder="0" applyAlignment="0" applyProtection="0"/>
    <xf numFmtId="15" fontId="40" fillId="0" borderId="0" applyFont="0" applyFill="0" applyBorder="0" applyAlignment="0" applyProtection="0"/>
    <xf numFmtId="15" fontId="40" fillId="0" borderId="0" applyFont="0" applyFill="0" applyBorder="0" applyAlignment="0" applyProtection="0"/>
    <xf numFmtId="15" fontId="40" fillId="0" borderId="0" applyFont="0" applyFill="0" applyBorder="0" applyAlignment="0" applyProtection="0"/>
    <xf numFmtId="15" fontId="40" fillId="0" borderId="0" applyFont="0" applyFill="0" applyBorder="0" applyAlignment="0" applyProtection="0"/>
    <xf numFmtId="15" fontId="40" fillId="0" borderId="0" applyFont="0" applyFill="0" applyBorder="0" applyAlignment="0" applyProtection="0"/>
    <xf numFmtId="15" fontId="40" fillId="0" borderId="0" applyFont="0" applyFill="0" applyBorder="0" applyAlignment="0" applyProtection="0"/>
    <xf numFmtId="15" fontId="40" fillId="0" borderId="0" applyFont="0" applyFill="0" applyBorder="0" applyAlignment="0" applyProtection="0"/>
    <xf numFmtId="15" fontId="40" fillId="0" borderId="0" applyFont="0" applyFill="0" applyBorder="0" applyAlignment="0" applyProtection="0"/>
    <xf numFmtId="4" fontId="40" fillId="0" borderId="0" applyFont="0" applyFill="0" applyBorder="0" applyAlignment="0" applyProtection="0"/>
    <xf numFmtId="4" fontId="40" fillId="0" borderId="0" applyFont="0" applyFill="0" applyBorder="0" applyAlignment="0" applyProtection="0"/>
    <xf numFmtId="4" fontId="40" fillId="0" borderId="0" applyFont="0" applyFill="0" applyBorder="0" applyAlignment="0" applyProtection="0"/>
    <xf numFmtId="4" fontId="40" fillId="0" borderId="0" applyFont="0" applyFill="0" applyBorder="0" applyAlignment="0" applyProtection="0"/>
    <xf numFmtId="4" fontId="40" fillId="0" borderId="0" applyFont="0" applyFill="0" applyBorder="0" applyAlignment="0" applyProtection="0"/>
    <xf numFmtId="4" fontId="40" fillId="0" borderId="0" applyFont="0" applyFill="0" applyBorder="0" applyAlignment="0" applyProtection="0"/>
    <xf numFmtId="4" fontId="40" fillId="0" borderId="0" applyFont="0" applyFill="0" applyBorder="0" applyAlignment="0" applyProtection="0"/>
    <xf numFmtId="4" fontId="40" fillId="0" borderId="0" applyFont="0" applyFill="0" applyBorder="0" applyAlignment="0" applyProtection="0"/>
    <xf numFmtId="4" fontId="40" fillId="0" borderId="0" applyFont="0" applyFill="0" applyBorder="0" applyAlignment="0" applyProtection="0"/>
    <xf numFmtId="4" fontId="40" fillId="0" borderId="0" applyFont="0" applyFill="0" applyBorder="0" applyAlignment="0" applyProtection="0"/>
    <xf numFmtId="4" fontId="40" fillId="0" borderId="0" applyFont="0" applyFill="0" applyBorder="0" applyAlignment="0" applyProtection="0"/>
    <xf numFmtId="4" fontId="152" fillId="0" borderId="0" applyFont="0" applyFill="0" applyBorder="0" applyAlignment="0" applyProtection="0"/>
    <xf numFmtId="4" fontId="40" fillId="0" borderId="0" applyFont="0" applyFill="0" applyBorder="0" applyAlignment="0" applyProtection="0"/>
    <xf numFmtId="4" fontId="40" fillId="0" borderId="0" applyFont="0" applyFill="0" applyBorder="0" applyAlignment="0" applyProtection="0"/>
    <xf numFmtId="4" fontId="40" fillId="0" borderId="0" applyFont="0" applyFill="0" applyBorder="0" applyAlignment="0" applyProtection="0"/>
    <xf numFmtId="4" fontId="40" fillId="0" borderId="0" applyFont="0" applyFill="0" applyBorder="0" applyAlignment="0" applyProtection="0"/>
    <xf numFmtId="4" fontId="40" fillId="0" borderId="0" applyFont="0" applyFill="0" applyBorder="0" applyAlignment="0" applyProtection="0"/>
    <xf numFmtId="4" fontId="40" fillId="0" borderId="0" applyFont="0" applyFill="0" applyBorder="0" applyAlignment="0" applyProtection="0"/>
    <xf numFmtId="4" fontId="40" fillId="0" borderId="0" applyFont="0" applyFill="0" applyBorder="0" applyAlignment="0" applyProtection="0"/>
    <xf numFmtId="4" fontId="40" fillId="0" borderId="0" applyFont="0" applyFill="0" applyBorder="0" applyAlignment="0" applyProtection="0"/>
    <xf numFmtId="4" fontId="40" fillId="0" borderId="0" applyFont="0" applyFill="0" applyBorder="0" applyAlignment="0" applyProtection="0"/>
    <xf numFmtId="4" fontId="40" fillId="0" borderId="0" applyFont="0" applyFill="0" applyBorder="0" applyAlignment="0" applyProtection="0"/>
    <xf numFmtId="4" fontId="40" fillId="0" borderId="0" applyFont="0" applyFill="0" applyBorder="0" applyAlignment="0" applyProtection="0"/>
    <xf numFmtId="4" fontId="40" fillId="0" borderId="0" applyFont="0" applyFill="0" applyBorder="0" applyAlignment="0" applyProtection="0"/>
    <xf numFmtId="4" fontId="40" fillId="0" borderId="0" applyFont="0" applyFill="0" applyBorder="0" applyAlignment="0" applyProtection="0"/>
    <xf numFmtId="4" fontId="40" fillId="0" borderId="0" applyFont="0" applyFill="0" applyBorder="0" applyAlignment="0" applyProtection="0"/>
    <xf numFmtId="4" fontId="40" fillId="0" borderId="0" applyFont="0" applyFill="0" applyBorder="0" applyAlignment="0" applyProtection="0"/>
    <xf numFmtId="4" fontId="40" fillId="0" borderId="0" applyFont="0" applyFill="0" applyBorder="0" applyAlignment="0" applyProtection="0"/>
    <xf numFmtId="4" fontId="40" fillId="0" borderId="0" applyFont="0" applyFill="0" applyBorder="0" applyAlignment="0" applyProtection="0"/>
    <xf numFmtId="4" fontId="40" fillId="0" borderId="0" applyFont="0" applyFill="0" applyBorder="0" applyAlignment="0" applyProtection="0"/>
    <xf numFmtId="0" fontId="41" fillId="0" borderId="8">
      <alignment horizontal="center"/>
    </xf>
    <xf numFmtId="0" fontId="41" fillId="0" borderId="8">
      <alignment horizontal="center"/>
    </xf>
    <xf numFmtId="0" fontId="41" fillId="0" borderId="8">
      <alignment horizontal="center"/>
    </xf>
    <xf numFmtId="0" fontId="41" fillId="0" borderId="8">
      <alignment horizontal="center"/>
    </xf>
    <xf numFmtId="0" fontId="41" fillId="0" borderId="8">
      <alignment horizontal="center"/>
    </xf>
    <xf numFmtId="0" fontId="41" fillId="0" borderId="8">
      <alignment horizontal="center"/>
    </xf>
    <xf numFmtId="0" fontId="41" fillId="0" borderId="8">
      <alignment horizontal="center"/>
    </xf>
    <xf numFmtId="0" fontId="41" fillId="0" borderId="8">
      <alignment horizontal="center"/>
    </xf>
    <xf numFmtId="0" fontId="41" fillId="0" borderId="8">
      <alignment horizontal="center"/>
    </xf>
    <xf numFmtId="0" fontId="41" fillId="0" borderId="8">
      <alignment horizontal="center"/>
    </xf>
    <xf numFmtId="0" fontId="41" fillId="0" borderId="8">
      <alignment horizontal="center"/>
    </xf>
    <xf numFmtId="0" fontId="41" fillId="0" borderId="8">
      <alignment horizontal="center"/>
    </xf>
    <xf numFmtId="0" fontId="41" fillId="0" borderId="8">
      <alignment horizontal="center"/>
    </xf>
    <xf numFmtId="0" fontId="41" fillId="0" borderId="8">
      <alignment horizontal="center"/>
    </xf>
    <xf numFmtId="0" fontId="41" fillId="0" borderId="8">
      <alignment horizontal="center"/>
    </xf>
    <xf numFmtId="0" fontId="41" fillId="0" borderId="8">
      <alignment horizontal="center"/>
    </xf>
    <xf numFmtId="0" fontId="41" fillId="0" borderId="8">
      <alignment horizontal="center"/>
    </xf>
    <xf numFmtId="0" fontId="41" fillId="0" borderId="8">
      <alignment horizontal="center"/>
    </xf>
    <xf numFmtId="0" fontId="41" fillId="0" borderId="8">
      <alignment horizontal="center"/>
    </xf>
    <xf numFmtId="0" fontId="41" fillId="0" borderId="8">
      <alignment horizontal="center"/>
    </xf>
    <xf numFmtId="0" fontId="41" fillId="0" borderId="8">
      <alignment horizontal="center"/>
    </xf>
    <xf numFmtId="0" fontId="41" fillId="0" borderId="8">
      <alignment horizontal="center"/>
    </xf>
    <xf numFmtId="0" fontId="41" fillId="0" borderId="8">
      <alignment horizontal="center"/>
    </xf>
    <xf numFmtId="0" fontId="154" fillId="0" borderId="8">
      <alignment horizontal="center"/>
    </xf>
    <xf numFmtId="0" fontId="41" fillId="0" borderId="8">
      <alignment horizontal="center"/>
    </xf>
    <xf numFmtId="0" fontId="41" fillId="0" borderId="8">
      <alignment horizontal="center"/>
    </xf>
    <xf numFmtId="0" fontId="41" fillId="0" borderId="8">
      <alignment horizontal="center"/>
    </xf>
    <xf numFmtId="0" fontId="41" fillId="0" borderId="8">
      <alignment horizontal="center"/>
    </xf>
    <xf numFmtId="0" fontId="41" fillId="0" borderId="8">
      <alignment horizontal="center"/>
    </xf>
    <xf numFmtId="0" fontId="41" fillId="0" borderId="8">
      <alignment horizontal="center"/>
    </xf>
    <xf numFmtId="0" fontId="41" fillId="0" borderId="8">
      <alignment horizontal="center"/>
    </xf>
    <xf numFmtId="0" fontId="41" fillId="0" borderId="8">
      <alignment horizontal="center"/>
    </xf>
    <xf numFmtId="0" fontId="41" fillId="0" borderId="8">
      <alignment horizontal="center"/>
    </xf>
    <xf numFmtId="0" fontId="41" fillId="0" borderId="8">
      <alignment horizontal="center"/>
    </xf>
    <xf numFmtId="0" fontId="41" fillId="0" borderId="8">
      <alignment horizontal="center"/>
    </xf>
    <xf numFmtId="0" fontId="41" fillId="0" borderId="8">
      <alignment horizontal="center"/>
    </xf>
    <xf numFmtId="0" fontId="41" fillId="0" borderId="8">
      <alignment horizontal="center"/>
    </xf>
    <xf numFmtId="0" fontId="41" fillId="0" borderId="8">
      <alignment horizontal="center"/>
    </xf>
    <xf numFmtId="3" fontId="40" fillId="0" borderId="0" applyFont="0" applyFill="0" applyBorder="0" applyAlignment="0" applyProtection="0"/>
    <xf numFmtId="3" fontId="40" fillId="0" borderId="0" applyFont="0" applyFill="0" applyBorder="0" applyAlignment="0" applyProtection="0"/>
    <xf numFmtId="3" fontId="40" fillId="0" borderId="0" applyFont="0" applyFill="0" applyBorder="0" applyAlignment="0" applyProtection="0"/>
    <xf numFmtId="3" fontId="40" fillId="0" borderId="0" applyFont="0" applyFill="0" applyBorder="0" applyAlignment="0" applyProtection="0"/>
    <xf numFmtId="3" fontId="40" fillId="0" borderId="0" applyFont="0" applyFill="0" applyBorder="0" applyAlignment="0" applyProtection="0"/>
    <xf numFmtId="3" fontId="40" fillId="0" borderId="0" applyFont="0" applyFill="0" applyBorder="0" applyAlignment="0" applyProtection="0"/>
    <xf numFmtId="3" fontId="40" fillId="0" borderId="0" applyFont="0" applyFill="0" applyBorder="0" applyAlignment="0" applyProtection="0"/>
    <xf numFmtId="3" fontId="40" fillId="0" borderId="0" applyFont="0" applyFill="0" applyBorder="0" applyAlignment="0" applyProtection="0"/>
    <xf numFmtId="3" fontId="40" fillId="0" borderId="0" applyFont="0" applyFill="0" applyBorder="0" applyAlignment="0" applyProtection="0"/>
    <xf numFmtId="3" fontId="40" fillId="0" borderId="0" applyFont="0" applyFill="0" applyBorder="0" applyAlignment="0" applyProtection="0"/>
    <xf numFmtId="3" fontId="40" fillId="0" borderId="0" applyFont="0" applyFill="0" applyBorder="0" applyAlignment="0" applyProtection="0"/>
    <xf numFmtId="3" fontId="152" fillId="0" borderId="0" applyFont="0" applyFill="0" applyBorder="0" applyAlignment="0" applyProtection="0"/>
    <xf numFmtId="3" fontId="40" fillId="0" borderId="0" applyFont="0" applyFill="0" applyBorder="0" applyAlignment="0" applyProtection="0"/>
    <xf numFmtId="3" fontId="40" fillId="0" borderId="0" applyFont="0" applyFill="0" applyBorder="0" applyAlignment="0" applyProtection="0"/>
    <xf numFmtId="3" fontId="40" fillId="0" borderId="0" applyFont="0" applyFill="0" applyBorder="0" applyAlignment="0" applyProtection="0"/>
    <xf numFmtId="3" fontId="40" fillId="0" borderId="0" applyFont="0" applyFill="0" applyBorder="0" applyAlignment="0" applyProtection="0"/>
    <xf numFmtId="3" fontId="40" fillId="0" borderId="0" applyFont="0" applyFill="0" applyBorder="0" applyAlignment="0" applyProtection="0"/>
    <xf numFmtId="3" fontId="40" fillId="0" borderId="0" applyFont="0" applyFill="0" applyBorder="0" applyAlignment="0" applyProtection="0"/>
    <xf numFmtId="3" fontId="40" fillId="0" borderId="0" applyFont="0" applyFill="0" applyBorder="0" applyAlignment="0" applyProtection="0"/>
    <xf numFmtId="3" fontId="40" fillId="0" borderId="0" applyFont="0" applyFill="0" applyBorder="0" applyAlignment="0" applyProtection="0"/>
    <xf numFmtId="3" fontId="40" fillId="0" borderId="0" applyFont="0" applyFill="0" applyBorder="0" applyAlignment="0" applyProtection="0"/>
    <xf numFmtId="3" fontId="40" fillId="0" borderId="0" applyFont="0" applyFill="0" applyBorder="0" applyAlignment="0" applyProtection="0"/>
    <xf numFmtId="3" fontId="40" fillId="0" borderId="0" applyFont="0" applyFill="0" applyBorder="0" applyAlignment="0" applyProtection="0"/>
    <xf numFmtId="3" fontId="40" fillId="0" borderId="0" applyFont="0" applyFill="0" applyBorder="0" applyAlignment="0" applyProtection="0"/>
    <xf numFmtId="3" fontId="40" fillId="0" borderId="0" applyFont="0" applyFill="0" applyBorder="0" applyAlignment="0" applyProtection="0"/>
    <xf numFmtId="3" fontId="40" fillId="0" borderId="0" applyFont="0" applyFill="0" applyBorder="0" applyAlignment="0" applyProtection="0"/>
    <xf numFmtId="3" fontId="40" fillId="0" borderId="0" applyFont="0" applyFill="0" applyBorder="0" applyAlignment="0" applyProtection="0"/>
    <xf numFmtId="3" fontId="40" fillId="0" borderId="0" applyFont="0" applyFill="0" applyBorder="0" applyAlignment="0" applyProtection="0"/>
    <xf numFmtId="3" fontId="40" fillId="0" borderId="0" applyFont="0" applyFill="0" applyBorder="0" applyAlignment="0" applyProtection="0"/>
    <xf numFmtId="3" fontId="40" fillId="0" borderId="0" applyFont="0" applyFill="0" applyBorder="0" applyAlignment="0" applyProtection="0"/>
    <xf numFmtId="0" fontId="40" fillId="12" borderId="0" applyNumberFormat="0" applyFont="0" applyBorder="0" applyAlignment="0" applyProtection="0"/>
    <xf numFmtId="0" fontId="40" fillId="12" borderId="0" applyNumberFormat="0" applyFont="0" applyBorder="0" applyAlignment="0" applyProtection="0"/>
    <xf numFmtId="0" fontId="40" fillId="12" borderId="0" applyNumberFormat="0" applyFont="0" applyBorder="0" applyAlignment="0" applyProtection="0"/>
    <xf numFmtId="0" fontId="40" fillId="12" borderId="0" applyNumberFormat="0" applyFont="0" applyBorder="0" applyAlignment="0" applyProtection="0"/>
    <xf numFmtId="0" fontId="40" fillId="12" borderId="0" applyNumberFormat="0" applyFont="0" applyBorder="0" applyAlignment="0" applyProtection="0"/>
    <xf numFmtId="0" fontId="40" fillId="12" borderId="0" applyNumberFormat="0" applyFont="0" applyBorder="0" applyAlignment="0" applyProtection="0"/>
    <xf numFmtId="0" fontId="40" fillId="12" borderId="0" applyNumberFormat="0" applyFont="0" applyBorder="0" applyAlignment="0" applyProtection="0"/>
    <xf numFmtId="0" fontId="40" fillId="12" borderId="0" applyNumberFormat="0" applyFont="0" applyBorder="0" applyAlignment="0" applyProtection="0"/>
    <xf numFmtId="0" fontId="40" fillId="12" borderId="0" applyNumberFormat="0" applyFont="0" applyBorder="0" applyAlignment="0" applyProtection="0"/>
    <xf numFmtId="0" fontId="152" fillId="12" borderId="0" applyNumberFormat="0" applyFont="0" applyBorder="0" applyAlignment="0" applyProtection="0"/>
    <xf numFmtId="0" fontId="40" fillId="12" borderId="0" applyNumberFormat="0" applyFont="0" applyBorder="0" applyAlignment="0" applyProtection="0"/>
    <xf numFmtId="0" fontId="40" fillId="12" borderId="0" applyNumberFormat="0" applyFont="0" applyBorder="0" applyAlignment="0" applyProtection="0"/>
    <xf numFmtId="0" fontId="40" fillId="12" borderId="0" applyNumberFormat="0" applyFont="0" applyBorder="0" applyAlignment="0" applyProtection="0"/>
    <xf numFmtId="0" fontId="40" fillId="12" borderId="0" applyNumberFormat="0" applyFont="0" applyBorder="0" applyAlignment="0" applyProtection="0"/>
    <xf numFmtId="0" fontId="40" fillId="12" borderId="0" applyNumberFormat="0" applyFont="0" applyBorder="0" applyAlignment="0" applyProtection="0"/>
    <xf numFmtId="0" fontId="40" fillId="12" borderId="0" applyNumberFormat="0" applyFont="0" applyBorder="0" applyAlignment="0" applyProtection="0"/>
    <xf numFmtId="0" fontId="40" fillId="12" borderId="0" applyNumberFormat="0" applyFont="0" applyBorder="0" applyAlignment="0" applyProtection="0"/>
    <xf numFmtId="0" fontId="40" fillId="12" borderId="0" applyNumberFormat="0" applyFont="0" applyBorder="0" applyAlignment="0" applyProtection="0"/>
    <xf numFmtId="0" fontId="40" fillId="12" borderId="0" applyNumberFormat="0" applyFont="0" applyBorder="0" applyAlignment="0" applyProtection="0"/>
    <xf numFmtId="0" fontId="40" fillId="12" borderId="0" applyNumberFormat="0" applyFont="0" applyBorder="0" applyAlignment="0" applyProtection="0"/>
    <xf numFmtId="0" fontId="40" fillId="12" borderId="0" applyNumberFormat="0" applyFont="0" applyBorder="0" applyAlignment="0" applyProtection="0"/>
    <xf numFmtId="0" fontId="40" fillId="12" borderId="0" applyNumberFormat="0" applyFont="0" applyBorder="0" applyAlignment="0" applyProtection="0"/>
    <xf numFmtId="0" fontId="40" fillId="12" borderId="0" applyNumberFormat="0" applyFont="0" applyBorder="0" applyAlignment="0" applyProtection="0"/>
    <xf numFmtId="0" fontId="40" fillId="12" borderId="0" applyNumberFormat="0" applyFont="0" applyBorder="0" applyAlignment="0" applyProtection="0"/>
    <xf numFmtId="0" fontId="40" fillId="12" borderId="0" applyNumberFormat="0" applyFont="0" applyBorder="0" applyAlignment="0" applyProtection="0"/>
    <xf numFmtId="0" fontId="40" fillId="12" borderId="0" applyNumberFormat="0" applyFont="0" applyBorder="0" applyAlignment="0" applyProtection="0"/>
    <xf numFmtId="0" fontId="40" fillId="12" borderId="0" applyNumberFormat="0" applyFont="0" applyBorder="0" applyAlignment="0" applyProtection="0"/>
    <xf numFmtId="0" fontId="40" fillId="12" borderId="0" applyNumberFormat="0" applyFont="0" applyBorder="0" applyAlignment="0" applyProtection="0"/>
    <xf numFmtId="0" fontId="112" fillId="0" borderId="0" applyNumberFormat="0" applyFill="0" applyBorder="0" applyAlignment="0" applyProtection="0"/>
    <xf numFmtId="0" fontId="12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9" fillId="0" borderId="0" applyFont="0" applyFill="0" applyBorder="0" applyAlignment="0" applyProtection="0"/>
    <xf numFmtId="0" fontId="140" fillId="0" borderId="2" applyNumberFormat="0" applyFont="0" applyFill="0" applyAlignment="0" applyProtection="0"/>
    <xf numFmtId="0" fontId="140" fillId="0" borderId="2" applyNumberFormat="0" applyFont="0" applyFill="0" applyAlignment="0" applyProtection="0"/>
    <xf numFmtId="0" fontId="19" fillId="0" borderId="0" applyFont="0" applyFill="0" applyBorder="0" applyAlignment="0" applyProtection="0"/>
    <xf numFmtId="0" fontId="155" fillId="0" borderId="43" applyNumberFormat="0" applyFill="0" applyAlignment="0" applyProtection="0"/>
    <xf numFmtId="0"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13" fillId="0" borderId="0" applyNumberFormat="0" applyFill="0" applyBorder="0" applyAlignment="0" applyProtection="0"/>
    <xf numFmtId="0" fontId="132"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3" fontId="19" fillId="0" borderId="0"/>
    <xf numFmtId="14" fontId="44" fillId="5" borderId="34">
      <alignment horizontal="center" vertical="center" wrapText="1"/>
    </xf>
    <xf numFmtId="0" fontId="37" fillId="0" borderId="34"/>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1" fillId="0" borderId="34">
      <alignment horizontal="center"/>
    </xf>
    <xf numFmtId="0" fontId="56" fillId="0" borderId="34">
      <alignment horizontal="right"/>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174" fontId="39" fillId="0" borderId="0" applyProtection="0"/>
    <xf numFmtId="0" fontId="19" fillId="0" borderId="0"/>
    <xf numFmtId="0" fontId="19" fillId="0" borderId="0"/>
    <xf numFmtId="0" fontId="2" fillId="0" borderId="0"/>
    <xf numFmtId="41" fontId="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41" fontId="19" fillId="0" borderId="0" applyFont="0" applyFill="0" applyBorder="0" applyAlignment="0" applyProtection="0"/>
    <xf numFmtId="9" fontId="19"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43" fontId="1" fillId="0" borderId="0" applyFont="0" applyFill="0" applyBorder="0" applyAlignment="0" applyProtection="0"/>
    <xf numFmtId="3" fontId="26" fillId="0" borderId="0"/>
    <xf numFmtId="4" fontId="19" fillId="0" borderId="0"/>
  </cellStyleXfs>
  <cellXfs count="1036">
    <xf numFmtId="174" fontId="0" fillId="0" borderId="0" xfId="0"/>
    <xf numFmtId="0" fontId="59" fillId="0" borderId="0" xfId="211" applyFont="1"/>
    <xf numFmtId="0" fontId="66" fillId="0" borderId="0" xfId="211" applyFont="1" applyAlignment="1">
      <alignment horizontal="centerContinuous"/>
    </xf>
    <xf numFmtId="0" fontId="66" fillId="0" borderId="0" xfId="211" applyFont="1" applyAlignment="1">
      <alignment horizontal="center" wrapText="1"/>
    </xf>
    <xf numFmtId="0" fontId="66" fillId="0" borderId="0" xfId="206" applyFont="1" applyAlignment="1">
      <alignment horizontal="center" wrapText="1"/>
    </xf>
    <xf numFmtId="0" fontId="59" fillId="0" borderId="0" xfId="211" quotePrefix="1" applyFont="1" applyAlignment="1">
      <alignment horizontal="left"/>
    </xf>
    <xf numFmtId="41" fontId="59" fillId="14" borderId="0" xfId="211" applyNumberFormat="1" applyFont="1" applyFill="1"/>
    <xf numFmtId="0" fontId="59" fillId="0" borderId="0" xfId="211" applyFont="1" applyAlignment="1">
      <alignment horizontal="right"/>
    </xf>
    <xf numFmtId="37" fontId="59" fillId="0" borderId="0" xfId="211" applyNumberFormat="1" applyFont="1"/>
    <xf numFmtId="0" fontId="66" fillId="0" borderId="0" xfId="211" applyFont="1" applyAlignment="1">
      <alignment horizontal="centerContinuous" wrapText="1"/>
    </xf>
    <xf numFmtId="0" fontId="66" fillId="0" borderId="0" xfId="211" applyFont="1" applyAlignment="1">
      <alignment horizontal="center"/>
    </xf>
    <xf numFmtId="174" fontId="59" fillId="0" borderId="0" xfId="0" applyFont="1" applyAlignment="1">
      <alignment wrapText="1"/>
    </xf>
    <xf numFmtId="174" fontId="59" fillId="0" borderId="0" xfId="0" applyFont="1"/>
    <xf numFmtId="174" fontId="59" fillId="0" borderId="0" xfId="207" applyFont="1"/>
    <xf numFmtId="175" fontId="59" fillId="0" borderId="0" xfId="59" applyNumberFormat="1" applyFont="1" applyAlignment="1"/>
    <xf numFmtId="0" fontId="59" fillId="0" borderId="0" xfId="201" applyNumberFormat="1" applyFont="1" applyProtection="1">
      <protection locked="0"/>
    </xf>
    <xf numFmtId="0" fontId="59" fillId="0" borderId="0" xfId="201" applyNumberFormat="1" applyFont="1" applyAlignment="1" applyProtection="1">
      <alignment horizontal="center"/>
      <protection locked="0"/>
    </xf>
    <xf numFmtId="0" fontId="59" fillId="14" borderId="0" xfId="201" applyNumberFormat="1" applyFont="1" applyFill="1" applyAlignment="1">
      <alignment horizontal="right"/>
    </xf>
    <xf numFmtId="3" fontId="59" fillId="0" borderId="0" xfId="201" applyNumberFormat="1" applyFont="1"/>
    <xf numFmtId="3" fontId="59" fillId="0" borderId="0" xfId="201" applyNumberFormat="1" applyFont="1" applyAlignment="1">
      <alignment horizontal="center"/>
    </xf>
    <xf numFmtId="174" fontId="59" fillId="0" borderId="0" xfId="201" applyFont="1"/>
    <xf numFmtId="0" fontId="59" fillId="0" borderId="0" xfId="201" applyNumberFormat="1" applyFont="1"/>
    <xf numFmtId="43" fontId="59" fillId="0" borderId="0" xfId="59" applyFont="1" applyAlignment="1"/>
    <xf numFmtId="0" fontId="59" fillId="0" borderId="0" xfId="210" applyNumberFormat="1" applyFont="1" applyProtection="1">
      <protection locked="0"/>
    </xf>
    <xf numFmtId="3" fontId="59" fillId="0" borderId="0" xfId="210" applyNumberFormat="1" applyFont="1"/>
    <xf numFmtId="3" fontId="59" fillId="0" borderId="8" xfId="210" applyNumberFormat="1" applyFont="1" applyBorder="1" applyAlignment="1">
      <alignment horizontal="center"/>
    </xf>
    <xf numFmtId="0" fontId="59" fillId="0" borderId="0" xfId="210" applyNumberFormat="1" applyFont="1"/>
    <xf numFmtId="3" fontId="59" fillId="0" borderId="0" xfId="210" applyNumberFormat="1" applyFont="1" applyAlignment="1">
      <alignment horizontal="center"/>
    </xf>
    <xf numFmtId="0" fontId="59" fillId="0" borderId="8" xfId="210" applyNumberFormat="1" applyFont="1" applyBorder="1" applyAlignment="1" applyProtection="1">
      <alignment horizontal="center"/>
      <protection locked="0"/>
    </xf>
    <xf numFmtId="174" fontId="59" fillId="0" borderId="0" xfId="210" applyFont="1"/>
    <xf numFmtId="166" fontId="59" fillId="0" borderId="0" xfId="210" applyNumberFormat="1" applyFont="1" applyAlignment="1">
      <alignment horizontal="center"/>
    </xf>
    <xf numFmtId="164" fontId="59" fillId="0" borderId="0" xfId="210" applyNumberFormat="1" applyFont="1" applyAlignment="1">
      <alignment horizontal="left"/>
    </xf>
    <xf numFmtId="175" fontId="59" fillId="0" borderId="0" xfId="59" applyNumberFormat="1" applyFont="1" applyBorder="1" applyAlignment="1"/>
    <xf numFmtId="10" fontId="59" fillId="0" borderId="0" xfId="210" applyNumberFormat="1" applyFont="1" applyAlignment="1">
      <alignment horizontal="left"/>
    </xf>
    <xf numFmtId="3" fontId="59" fillId="0" borderId="0" xfId="188" applyNumberFormat="1" applyFont="1"/>
    <xf numFmtId="166" fontId="59" fillId="0" borderId="0" xfId="188" applyNumberFormat="1" applyFont="1"/>
    <xf numFmtId="0" fontId="59" fillId="0" borderId="0" xfId="188" applyFont="1"/>
    <xf numFmtId="164" fontId="59" fillId="0" borderId="0" xfId="210" applyNumberFormat="1" applyFont="1" applyAlignment="1" applyProtection="1">
      <alignment horizontal="left"/>
      <protection locked="0"/>
    </xf>
    <xf numFmtId="174" fontId="59" fillId="0" borderId="1" xfId="201" applyFont="1" applyBorder="1"/>
    <xf numFmtId="175" fontId="59" fillId="0" borderId="0" xfId="59" applyNumberFormat="1" applyFont="1" applyFill="1" applyBorder="1" applyAlignment="1"/>
    <xf numFmtId="43" fontId="59" fillId="0" borderId="0" xfId="59" applyFont="1" applyFill="1" applyBorder="1" applyAlignment="1"/>
    <xf numFmtId="174" fontId="59" fillId="0" borderId="0" xfId="201" applyFont="1" applyAlignment="1">
      <alignment horizontal="center"/>
    </xf>
    <xf numFmtId="174" fontId="59" fillId="0" borderId="0" xfId="201" applyFont="1" applyAlignment="1">
      <alignment horizontal="right"/>
    </xf>
    <xf numFmtId="0" fontId="59" fillId="0" borderId="0" xfId="201" applyNumberFormat="1" applyFont="1" applyAlignment="1">
      <alignment horizontal="right"/>
    </xf>
    <xf numFmtId="49" fontId="59" fillId="0" borderId="0" xfId="201" applyNumberFormat="1" applyFont="1"/>
    <xf numFmtId="0" fontId="59" fillId="0" borderId="0" xfId="201" applyNumberFormat="1" applyFont="1" applyAlignment="1">
      <alignment horizontal="center"/>
    </xf>
    <xf numFmtId="49" fontId="59" fillId="0" borderId="0" xfId="201" applyNumberFormat="1" applyFont="1" applyAlignment="1">
      <alignment horizontal="center"/>
    </xf>
    <xf numFmtId="3" fontId="66" fillId="0" borderId="0" xfId="201" applyNumberFormat="1" applyFont="1" applyAlignment="1">
      <alignment horizontal="center"/>
    </xf>
    <xf numFmtId="174" fontId="66" fillId="0" borderId="0" xfId="201" applyFont="1" applyAlignment="1">
      <alignment horizontal="center"/>
    </xf>
    <xf numFmtId="0" fontId="66" fillId="0" borderId="0" xfId="201" applyNumberFormat="1" applyFont="1" applyAlignment="1" applyProtection="1">
      <alignment horizontal="center"/>
      <protection locked="0"/>
    </xf>
    <xf numFmtId="0" fontId="66" fillId="0" borderId="0" xfId="201" applyNumberFormat="1" applyFont="1" applyAlignment="1">
      <alignment horizontal="center"/>
    </xf>
    <xf numFmtId="0" fontId="66" fillId="0" borderId="0" xfId="201" applyNumberFormat="1" applyFont="1"/>
    <xf numFmtId="0" fontId="90" fillId="0" borderId="0" xfId="201" applyNumberFormat="1" applyFont="1" applyAlignment="1" applyProtection="1">
      <alignment horizontal="center"/>
      <protection locked="0"/>
    </xf>
    <xf numFmtId="3" fontId="59" fillId="0" borderId="0" xfId="201" applyNumberFormat="1" applyFont="1" applyAlignment="1">
      <alignment horizontal="left"/>
    </xf>
    <xf numFmtId="10" fontId="66" fillId="0" borderId="0" xfId="201" applyNumberFormat="1" applyFont="1"/>
    <xf numFmtId="3" fontId="66" fillId="0" borderId="0" xfId="201" applyNumberFormat="1" applyFont="1"/>
    <xf numFmtId="165" fontId="66" fillId="0" borderId="0" xfId="201" applyNumberFormat="1" applyFont="1"/>
    <xf numFmtId="10" fontId="59" fillId="0" borderId="0" xfId="201" applyNumberFormat="1" applyFont="1"/>
    <xf numFmtId="49" fontId="66" fillId="0" borderId="0" xfId="201" applyNumberFormat="1" applyFont="1" applyAlignment="1">
      <alignment horizontal="center"/>
    </xf>
    <xf numFmtId="174" fontId="66" fillId="0" borderId="0" xfId="201" applyFont="1"/>
    <xf numFmtId="3" fontId="66" fillId="0" borderId="0" xfId="201" applyNumberFormat="1" applyFont="1" applyAlignment="1">
      <alignment horizontal="left"/>
    </xf>
    <xf numFmtId="10" fontId="66" fillId="0" borderId="0" xfId="265" applyNumberFormat="1" applyFont="1" applyFill="1" applyBorder="1" applyAlignment="1"/>
    <xf numFmtId="0" fontId="59" fillId="0" borderId="0" xfId="201" applyNumberFormat="1" applyFont="1" applyAlignment="1">
      <alignment horizontal="fill"/>
    </xf>
    <xf numFmtId="164" fontId="59" fillId="0" borderId="0" xfId="201" applyNumberFormat="1" applyFont="1" applyAlignment="1">
      <alignment horizontal="left"/>
    </xf>
    <xf numFmtId="164" fontId="59" fillId="0" borderId="0" xfId="201" applyNumberFormat="1" applyFont="1" applyAlignment="1">
      <alignment horizontal="center"/>
    </xf>
    <xf numFmtId="170" fontId="59" fillId="0" borderId="0" xfId="201" applyNumberFormat="1" applyFont="1"/>
    <xf numFmtId="177" fontId="66" fillId="0" borderId="0" xfId="201" applyNumberFormat="1" applyFont="1" applyAlignment="1">
      <alignment horizontal="center"/>
    </xf>
    <xf numFmtId="174" fontId="66" fillId="0" borderId="7" xfId="201" applyFont="1" applyBorder="1"/>
    <xf numFmtId="0" fontId="66" fillId="0" borderId="7" xfId="201" applyNumberFormat="1" applyFont="1" applyBorder="1" applyAlignment="1">
      <alignment horizontal="center" wrapText="1"/>
    </xf>
    <xf numFmtId="174" fontId="66" fillId="0" borderId="9" xfId="201" applyFont="1" applyBorder="1" applyAlignment="1">
      <alignment horizontal="center" wrapText="1"/>
    </xf>
    <xf numFmtId="3" fontId="66" fillId="0" borderId="9" xfId="201" applyNumberFormat="1" applyFont="1" applyBorder="1" applyAlignment="1">
      <alignment horizontal="center" wrapText="1"/>
    </xf>
    <xf numFmtId="0" fontId="59" fillId="0" borderId="7" xfId="201" applyNumberFormat="1" applyFont="1" applyBorder="1"/>
    <xf numFmtId="0" fontId="59" fillId="0" borderId="7" xfId="201" applyNumberFormat="1" applyFont="1" applyBorder="1" applyAlignment="1">
      <alignment horizontal="center"/>
    </xf>
    <xf numFmtId="0" fontId="59" fillId="0" borderId="9" xfId="201" applyNumberFormat="1" applyFont="1" applyBorder="1" applyAlignment="1">
      <alignment horizontal="center"/>
    </xf>
    <xf numFmtId="0" fontId="59" fillId="0" borderId="11" xfId="201" applyNumberFormat="1" applyFont="1" applyBorder="1"/>
    <xf numFmtId="3" fontId="59" fillId="0" borderId="11" xfId="201" applyNumberFormat="1" applyFont="1" applyBorder="1"/>
    <xf numFmtId="174" fontId="59" fillId="0" borderId="0" xfId="209" applyFont="1"/>
    <xf numFmtId="176" fontId="59" fillId="14" borderId="0" xfId="93" applyNumberFormat="1" applyFont="1" applyFill="1" applyBorder="1" applyAlignment="1"/>
    <xf numFmtId="174" fontId="59" fillId="0" borderId="0" xfId="201" applyFont="1" applyAlignment="1">
      <alignment horizontal="center" vertical="top"/>
    </xf>
    <xf numFmtId="0" fontId="59" fillId="0" borderId="0" xfId="188" applyFont="1" applyAlignment="1">
      <alignment horizontal="right"/>
    </xf>
    <xf numFmtId="0" fontId="59" fillId="0" borderId="0" xfId="210" applyNumberFormat="1" applyFont="1" applyAlignment="1" applyProtection="1">
      <alignment horizontal="center"/>
      <protection locked="0"/>
    </xf>
    <xf numFmtId="0" fontId="59" fillId="14" borderId="0" xfId="188" applyFont="1" applyFill="1"/>
    <xf numFmtId="0" fontId="92" fillId="0" borderId="0" xfId="210" applyNumberFormat="1" applyFont="1"/>
    <xf numFmtId="49" fontId="59" fillId="0" borderId="0" xfId="210" applyNumberFormat="1" applyFont="1"/>
    <xf numFmtId="49" fontId="59" fillId="0" borderId="0" xfId="210" applyNumberFormat="1" applyFont="1" applyAlignment="1">
      <alignment horizontal="center"/>
    </xf>
    <xf numFmtId="0" fontId="59" fillId="0" borderId="0" xfId="210" applyNumberFormat="1" applyFont="1" applyAlignment="1">
      <alignment horizontal="center"/>
    </xf>
    <xf numFmtId="42" fontId="59" fillId="0" borderId="0" xfId="188" applyNumberFormat="1" applyFont="1"/>
    <xf numFmtId="0" fontId="59" fillId="0" borderId="8" xfId="210" applyNumberFormat="1" applyFont="1" applyBorder="1" applyAlignment="1" applyProtection="1">
      <alignment horizontal="centerContinuous"/>
      <protection locked="0"/>
    </xf>
    <xf numFmtId="3" fontId="59" fillId="0" borderId="0" xfId="210" applyNumberFormat="1" applyFont="1" applyAlignment="1">
      <alignment horizontal="left"/>
    </xf>
    <xf numFmtId="166" fontId="59" fillId="0" borderId="0" xfId="210" applyNumberFormat="1" applyFont="1"/>
    <xf numFmtId="0" fontId="59" fillId="0" borderId="0" xfId="206" applyFont="1" applyAlignment="1" applyProtection="1">
      <alignment horizontal="center"/>
      <protection locked="0"/>
    </xf>
    <xf numFmtId="0" fontId="59" fillId="0" borderId="0" xfId="206" applyFont="1"/>
    <xf numFmtId="3" fontId="59" fillId="0" borderId="0" xfId="206" applyNumberFormat="1" applyFont="1"/>
    <xf numFmtId="173" fontId="59" fillId="0" borderId="0" xfId="210" applyNumberFormat="1" applyFont="1" applyProtection="1">
      <protection locked="0"/>
    </xf>
    <xf numFmtId="169" fontId="59" fillId="0" borderId="0" xfId="210" applyNumberFormat="1" applyFont="1"/>
    <xf numFmtId="0" fontId="59" fillId="0" borderId="0" xfId="210" applyNumberFormat="1" applyFont="1" applyAlignment="1">
      <alignment horizontal="right"/>
    </xf>
    <xf numFmtId="0" fontId="88" fillId="0" borderId="0" xfId="210" applyNumberFormat="1" applyFont="1"/>
    <xf numFmtId="3" fontId="66" fillId="0" borderId="0" xfId="210" applyNumberFormat="1" applyFont="1" applyAlignment="1">
      <alignment horizontal="center"/>
    </xf>
    <xf numFmtId="0" fontId="66" fillId="0" borderId="0" xfId="210" applyNumberFormat="1" applyFont="1" applyAlignment="1" applyProtection="1">
      <alignment horizontal="center"/>
      <protection locked="0"/>
    </xf>
    <xf numFmtId="174" fontId="66" fillId="0" borderId="0" xfId="210" applyFont="1" applyAlignment="1">
      <alignment horizontal="center"/>
    </xf>
    <xf numFmtId="3" fontId="66" fillId="0" borderId="0" xfId="210" applyNumberFormat="1" applyFont="1"/>
    <xf numFmtId="0" fontId="66" fillId="0" borderId="0" xfId="210" applyNumberFormat="1" applyFont="1"/>
    <xf numFmtId="175" fontId="59" fillId="14" borderId="0" xfId="59" applyNumberFormat="1" applyFont="1" applyFill="1" applyAlignment="1"/>
    <xf numFmtId="175" fontId="59" fillId="14" borderId="8" xfId="59" applyNumberFormat="1" applyFont="1" applyFill="1" applyBorder="1" applyAlignment="1"/>
    <xf numFmtId="175" fontId="59" fillId="0" borderId="8" xfId="59" applyNumberFormat="1" applyFont="1" applyBorder="1" applyAlignment="1"/>
    <xf numFmtId="43" fontId="59" fillId="0" borderId="0" xfId="59" applyFont="1" applyAlignment="1">
      <alignment horizontal="center"/>
    </xf>
    <xf numFmtId="164" fontId="59" fillId="0" borderId="0" xfId="210" applyNumberFormat="1" applyFont="1" applyAlignment="1">
      <alignment horizontal="center"/>
    </xf>
    <xf numFmtId="175" fontId="59" fillId="14" borderId="0" xfId="59" applyNumberFormat="1" applyFont="1" applyFill="1" applyBorder="1" applyAlignment="1"/>
    <xf numFmtId="184" fontId="59" fillId="0" borderId="0" xfId="59" applyNumberFormat="1" applyFont="1" applyAlignment="1"/>
    <xf numFmtId="184" fontId="59" fillId="0" borderId="0" xfId="59" applyNumberFormat="1" applyFont="1" applyBorder="1" applyAlignment="1"/>
    <xf numFmtId="3" fontId="59" fillId="0" borderId="0" xfId="210" quotePrefix="1" applyNumberFormat="1" applyFont="1" applyAlignment="1">
      <alignment horizontal="left"/>
    </xf>
    <xf numFmtId="175" fontId="59" fillId="0" borderId="0" xfId="59" applyNumberFormat="1" applyFont="1" applyFill="1" applyAlignment="1"/>
    <xf numFmtId="175" fontId="59" fillId="0" borderId="18" xfId="59" applyNumberFormat="1" applyFont="1" applyBorder="1" applyAlignment="1"/>
    <xf numFmtId="164" fontId="59" fillId="0" borderId="0" xfId="188" applyNumberFormat="1" applyFont="1" applyAlignment="1">
      <alignment horizontal="center"/>
    </xf>
    <xf numFmtId="3" fontId="59" fillId="0" borderId="0" xfId="210" applyNumberFormat="1" applyFont="1" applyAlignment="1">
      <alignment horizontal="right"/>
    </xf>
    <xf numFmtId="172" fontId="59" fillId="0" borderId="0" xfId="210" applyNumberFormat="1" applyFont="1" applyAlignment="1">
      <alignment horizontal="left"/>
    </xf>
    <xf numFmtId="183" fontId="59" fillId="0" borderId="0" xfId="59" applyNumberFormat="1" applyFont="1" applyAlignment="1"/>
    <xf numFmtId="183" fontId="59" fillId="0" borderId="0" xfId="59" applyNumberFormat="1" applyFont="1" applyFill="1" applyAlignment="1"/>
    <xf numFmtId="183" fontId="59" fillId="0" borderId="0" xfId="59" applyNumberFormat="1" applyFont="1" applyFill="1" applyBorder="1" applyAlignment="1"/>
    <xf numFmtId="175" fontId="59" fillId="0" borderId="8" xfId="59" applyNumberFormat="1" applyFont="1" applyFill="1" applyBorder="1" applyAlignment="1"/>
    <xf numFmtId="0" fontId="59" fillId="0" borderId="0" xfId="210" applyNumberFormat="1" applyFont="1" applyAlignment="1">
      <alignment wrapText="1"/>
    </xf>
    <xf numFmtId="0" fontId="59" fillId="0" borderId="0" xfId="210" quotePrefix="1" applyNumberFormat="1" applyFont="1" applyAlignment="1">
      <alignment horizontal="left"/>
    </xf>
    <xf numFmtId="175" fontId="59" fillId="0" borderId="0" xfId="59" applyNumberFormat="1" applyFont="1" applyFill="1" applyAlignment="1">
      <alignment horizontal="right"/>
    </xf>
    <xf numFmtId="167" fontId="59" fillId="0" borderId="0" xfId="210" applyNumberFormat="1" applyFont="1"/>
    <xf numFmtId="166" fontId="59" fillId="0" borderId="0" xfId="188" applyNumberFormat="1" applyFont="1" applyAlignment="1">
      <alignment horizontal="center"/>
    </xf>
    <xf numFmtId="175" fontId="59" fillId="0" borderId="14" xfId="59" applyNumberFormat="1" applyFont="1" applyBorder="1" applyAlignment="1"/>
    <xf numFmtId="174" fontId="59" fillId="0" borderId="0" xfId="210" applyFont="1" applyAlignment="1">
      <alignment horizontal="right"/>
    </xf>
    <xf numFmtId="0" fontId="59" fillId="0" borderId="8" xfId="210" applyNumberFormat="1" applyFont="1" applyBorder="1" applyProtection="1">
      <protection locked="0"/>
    </xf>
    <xf numFmtId="183" fontId="59" fillId="0" borderId="0" xfId="59" applyNumberFormat="1" applyFont="1" applyFill="1" applyAlignment="1">
      <alignment horizontal="right"/>
    </xf>
    <xf numFmtId="3" fontId="59" fillId="0" borderId="8" xfId="210" applyNumberFormat="1" applyFont="1" applyBorder="1"/>
    <xf numFmtId="4" fontId="59" fillId="0" borderId="0" xfId="210" applyNumberFormat="1" applyFont="1"/>
    <xf numFmtId="3" fontId="59" fillId="0" borderId="0" xfId="188" applyNumberFormat="1" applyFont="1" applyAlignment="1">
      <alignment horizontal="center"/>
    </xf>
    <xf numFmtId="0" fontId="59" fillId="0" borderId="8" xfId="188" applyFont="1" applyBorder="1" applyAlignment="1">
      <alignment horizontal="center"/>
    </xf>
    <xf numFmtId="0" fontId="59" fillId="0" borderId="0" xfId="188" applyFont="1" applyAlignment="1">
      <alignment horizontal="center"/>
    </xf>
    <xf numFmtId="170" fontId="59" fillId="0" borderId="0" xfId="210" applyNumberFormat="1" applyFont="1" applyProtection="1"/>
    <xf numFmtId="168" fontId="59" fillId="0" borderId="0" xfId="210" applyNumberFormat="1" applyFont="1" applyProtection="1">
      <protection locked="0"/>
    </xf>
    <xf numFmtId="1" fontId="59" fillId="0" borderId="0" xfId="210" applyNumberFormat="1" applyFont="1" applyProtection="1"/>
    <xf numFmtId="0" fontId="59" fillId="0" borderId="0" xfId="210" applyNumberFormat="1" applyFont="1" applyAlignment="1" applyProtection="1">
      <alignment horizontal="left"/>
      <protection locked="0"/>
    </xf>
    <xf numFmtId="3" fontId="59" fillId="0" borderId="0" xfId="210" applyNumberFormat="1" applyFont="1" applyProtection="1"/>
    <xf numFmtId="174" fontId="59" fillId="0" borderId="0" xfId="210" applyFont="1" applyProtection="1">
      <protection locked="0"/>
    </xf>
    <xf numFmtId="170" fontId="59" fillId="0" borderId="0" xfId="210" applyNumberFormat="1" applyFont="1" applyAlignment="1" applyProtection="1">
      <alignment horizontal="right"/>
      <protection locked="0"/>
    </xf>
    <xf numFmtId="170" fontId="59" fillId="0" borderId="0" xfId="210" applyNumberFormat="1" applyFont="1" applyProtection="1">
      <protection locked="0"/>
    </xf>
    <xf numFmtId="3" fontId="59" fillId="0" borderId="0" xfId="210" applyNumberFormat="1" applyFont="1" applyAlignment="1">
      <alignment vertical="top" wrapText="1"/>
    </xf>
    <xf numFmtId="0" fontId="59" fillId="0" borderId="0" xfId="210" applyNumberFormat="1" applyFont="1" applyAlignment="1" applyProtection="1">
      <alignment vertical="top" wrapText="1"/>
      <protection locked="0"/>
    </xf>
    <xf numFmtId="174" fontId="88" fillId="0" borderId="15" xfId="201" applyFont="1" applyBorder="1"/>
    <xf numFmtId="174" fontId="59" fillId="0" borderId="0" xfId="210" applyFont="1" applyAlignment="1">
      <alignment horizontal="center"/>
    </xf>
    <xf numFmtId="174" fontId="59" fillId="0" borderId="0" xfId="201" applyFont="1" applyAlignment="1">
      <alignment horizontal="left"/>
    </xf>
    <xf numFmtId="10" fontId="59" fillId="0" borderId="0" xfId="265" applyNumberFormat="1" applyFont="1" applyAlignment="1"/>
    <xf numFmtId="0" fontId="59" fillId="0" borderId="0" xfId="187" applyFont="1" applyAlignment="1">
      <alignment horizontal="center"/>
    </xf>
    <xf numFmtId="174" fontId="59" fillId="0" borderId="0" xfId="0" applyFont="1" applyAlignment="1">
      <alignment horizontal="center"/>
    </xf>
    <xf numFmtId="174" fontId="59" fillId="0" borderId="0" xfId="0" applyFont="1" applyAlignment="1">
      <alignment horizontal="right"/>
    </xf>
    <xf numFmtId="0" fontId="59" fillId="0" borderId="0" xfId="0" applyNumberFormat="1" applyFont="1" applyAlignment="1">
      <alignment horizontal="center"/>
    </xf>
    <xf numFmtId="0" fontId="59" fillId="0" borderId="0" xfId="0" applyNumberFormat="1" applyFont="1" applyAlignment="1">
      <alignment horizontal="center" wrapText="1"/>
    </xf>
    <xf numFmtId="0" fontId="88" fillId="0" borderId="0" xfId="0" applyNumberFormat="1" applyFont="1" applyAlignment="1">
      <alignment horizontal="center"/>
    </xf>
    <xf numFmtId="174" fontId="88" fillId="0" borderId="0" xfId="0" applyFont="1" applyAlignment="1">
      <alignment horizontal="center"/>
    </xf>
    <xf numFmtId="44" fontId="88" fillId="0" borderId="0" xfId="0" applyNumberFormat="1" applyFont="1"/>
    <xf numFmtId="0" fontId="59" fillId="0" borderId="22" xfId="201" applyNumberFormat="1" applyFont="1" applyBorder="1"/>
    <xf numFmtId="0" fontId="59" fillId="0" borderId="7" xfId="201" applyNumberFormat="1" applyFont="1" applyBorder="1" applyAlignment="1">
      <alignment horizontal="center" wrapText="1"/>
    </xf>
    <xf numFmtId="174" fontId="49" fillId="0" borderId="0" xfId="0" applyFont="1"/>
    <xf numFmtId="43" fontId="49" fillId="0" borderId="0" xfId="59" applyFont="1" applyAlignment="1"/>
    <xf numFmtId="175" fontId="49" fillId="0" borderId="0" xfId="59" applyNumberFormat="1" applyFont="1" applyAlignment="1" applyProtection="1">
      <alignment horizontal="center"/>
      <protection locked="0"/>
    </xf>
    <xf numFmtId="0" fontId="49" fillId="0" borderId="0" xfId="210" applyNumberFormat="1" applyFont="1" applyProtection="1">
      <protection locked="0"/>
    </xf>
    <xf numFmtId="3" fontId="49" fillId="0" borderId="0" xfId="210" applyNumberFormat="1" applyFont="1"/>
    <xf numFmtId="3" fontId="49" fillId="0" borderId="8" xfId="210" applyNumberFormat="1" applyFont="1" applyBorder="1" applyAlignment="1">
      <alignment horizontal="center"/>
    </xf>
    <xf numFmtId="170" fontId="49" fillId="0" borderId="0" xfId="0" applyNumberFormat="1" applyFont="1"/>
    <xf numFmtId="0" fontId="49" fillId="0" borderId="0" xfId="210" applyNumberFormat="1" applyFont="1"/>
    <xf numFmtId="3" fontId="49" fillId="0" borderId="0" xfId="210" applyNumberFormat="1" applyFont="1" applyAlignment="1">
      <alignment horizontal="center"/>
    </xf>
    <xf numFmtId="0" fontId="49" fillId="0" borderId="8" xfId="210" applyNumberFormat="1" applyFont="1" applyBorder="1" applyAlignment="1" applyProtection="1">
      <alignment horizontal="center"/>
      <protection locked="0"/>
    </xf>
    <xf numFmtId="174" fontId="49" fillId="0" borderId="0" xfId="210" applyFont="1"/>
    <xf numFmtId="43" fontId="49" fillId="0" borderId="0" xfId="59" applyFont="1" applyFill="1" applyAlignment="1">
      <alignment horizontal="center"/>
    </xf>
    <xf numFmtId="166" fontId="49" fillId="0" borderId="0" xfId="210" applyNumberFormat="1" applyFont="1" applyAlignment="1">
      <alignment horizontal="center"/>
    </xf>
    <xf numFmtId="164" fontId="49" fillId="0" borderId="0" xfId="210" applyNumberFormat="1" applyFont="1" applyAlignment="1">
      <alignment horizontal="left"/>
    </xf>
    <xf numFmtId="43" fontId="49" fillId="0" borderId="0" xfId="59" applyFont="1" applyFill="1" applyAlignment="1">
      <alignment horizontal="right"/>
    </xf>
    <xf numFmtId="175" fontId="49" fillId="0" borderId="0" xfId="59" applyNumberFormat="1" applyFont="1" applyBorder="1" applyAlignment="1"/>
    <xf numFmtId="10" fontId="49" fillId="0" borderId="0" xfId="210" applyNumberFormat="1" applyFont="1" applyAlignment="1">
      <alignment horizontal="left"/>
    </xf>
    <xf numFmtId="3" fontId="49" fillId="0" borderId="0" xfId="188" applyNumberFormat="1" applyFont="1"/>
    <xf numFmtId="166" fontId="49" fillId="0" borderId="0" xfId="188" applyNumberFormat="1" applyFont="1"/>
    <xf numFmtId="0" fontId="49" fillId="0" borderId="0" xfId="188" applyFont="1"/>
    <xf numFmtId="164" fontId="49" fillId="0" borderId="0" xfId="210" applyNumberFormat="1" applyFont="1" applyAlignment="1" applyProtection="1">
      <alignment horizontal="left"/>
      <protection locked="0"/>
    </xf>
    <xf numFmtId="0" fontId="59" fillId="0" borderId="0" xfId="211" applyFont="1" applyAlignment="1">
      <alignment horizontal="center"/>
    </xf>
    <xf numFmtId="0" fontId="59" fillId="0" borderId="0" xfId="210" applyNumberFormat="1" applyFont="1" applyAlignment="1" applyProtection="1">
      <alignment vertical="top"/>
      <protection locked="0"/>
    </xf>
    <xf numFmtId="0" fontId="59" fillId="0" borderId="0" xfId="188" applyFont="1" applyAlignment="1">
      <alignment vertical="top"/>
    </xf>
    <xf numFmtId="170" fontId="59" fillId="0" borderId="0" xfId="210" applyNumberFormat="1" applyFont="1" applyAlignment="1" applyProtection="1">
      <alignment vertical="top"/>
    </xf>
    <xf numFmtId="3" fontId="59" fillId="0" borderId="0" xfId="210" applyNumberFormat="1" applyFont="1" applyAlignment="1" applyProtection="1">
      <alignment vertical="top"/>
    </xf>
    <xf numFmtId="174" fontId="59" fillId="0" borderId="0" xfId="0" applyFont="1" applyAlignment="1">
      <alignment vertical="top"/>
    </xf>
    <xf numFmtId="175" fontId="49" fillId="0" borderId="0" xfId="59" applyNumberFormat="1" applyFont="1" applyAlignment="1"/>
    <xf numFmtId="175" fontId="59" fillId="0" borderId="0" xfId="59" applyNumberFormat="1" applyFont="1" applyAlignment="1">
      <alignment horizontal="right"/>
    </xf>
    <xf numFmtId="175" fontId="59" fillId="0" borderId="8" xfId="59" applyNumberFormat="1" applyFont="1" applyBorder="1" applyAlignment="1">
      <alignment horizontal="right"/>
    </xf>
    <xf numFmtId="43" fontId="49" fillId="0" borderId="0" xfId="59" applyFont="1" applyAlignment="1">
      <alignment horizontal="right"/>
    </xf>
    <xf numFmtId="175" fontId="59" fillId="0" borderId="11" xfId="59" applyNumberFormat="1" applyFont="1" applyFill="1" applyBorder="1" applyAlignment="1"/>
    <xf numFmtId="175" fontId="59" fillId="0" borderId="15" xfId="59" applyNumberFormat="1" applyFont="1" applyFill="1" applyBorder="1" applyAlignment="1"/>
    <xf numFmtId="0" fontId="59" fillId="0" borderId="0" xfId="0" applyNumberFormat="1" applyFont="1" applyAlignment="1">
      <alignment vertical="top"/>
    </xf>
    <xf numFmtId="3" fontId="59" fillId="0" borderId="0" xfId="188" applyNumberFormat="1" applyFont="1" applyAlignment="1">
      <alignment wrapText="1"/>
    </xf>
    <xf numFmtId="175" fontId="49" fillId="0" borderId="0" xfId="59" applyNumberFormat="1" applyFont="1" applyAlignment="1">
      <alignment horizontal="left" indent="2"/>
    </xf>
    <xf numFmtId="183" fontId="49" fillId="0" borderId="0" xfId="59" applyNumberFormat="1" applyFont="1" applyAlignment="1"/>
    <xf numFmtId="0" fontId="59" fillId="0" borderId="19" xfId="201" applyNumberFormat="1" applyFont="1" applyBorder="1"/>
    <xf numFmtId="175" fontId="59" fillId="14" borderId="10" xfId="59" applyNumberFormat="1" applyFont="1" applyFill="1" applyBorder="1" applyAlignment="1"/>
    <xf numFmtId="174" fontId="88" fillId="0" borderId="17" xfId="201" applyFont="1" applyBorder="1"/>
    <xf numFmtId="0" fontId="59" fillId="0" borderId="9" xfId="201" applyNumberFormat="1" applyFont="1" applyBorder="1" applyAlignment="1">
      <alignment horizontal="center" wrapText="1"/>
    </xf>
    <xf numFmtId="44" fontId="59" fillId="0" borderId="0" xfId="0" applyNumberFormat="1" applyFont="1"/>
    <xf numFmtId="0" fontId="59" fillId="0" borderId="0" xfId="187" applyFont="1"/>
    <xf numFmtId="0" fontId="59" fillId="15" borderId="0" xfId="187" applyFont="1" applyFill="1"/>
    <xf numFmtId="175" fontId="59" fillId="15" borderId="0" xfId="59" applyNumberFormat="1" applyFont="1" applyFill="1" applyBorder="1" applyAlignment="1">
      <alignment horizontal="center"/>
    </xf>
    <xf numFmtId="175" fontId="59" fillId="0" borderId="0" xfId="59" applyNumberFormat="1" applyFont="1" applyFill="1" applyBorder="1" applyAlignment="1">
      <alignment horizontal="center" wrapText="1"/>
    </xf>
    <xf numFmtId="175" fontId="59" fillId="15" borderId="0" xfId="59" applyNumberFormat="1" applyFont="1" applyFill="1" applyBorder="1"/>
    <xf numFmtId="0" fontId="59" fillId="0" borderId="0" xfId="206" applyFont="1" applyAlignment="1">
      <alignment horizontal="left"/>
    </xf>
    <xf numFmtId="174" fontId="59" fillId="0" borderId="0" xfId="201" applyFont="1" applyAlignment="1">
      <alignment wrapText="1"/>
    </xf>
    <xf numFmtId="0" fontId="59" fillId="0" borderId="0" xfId="0" applyNumberFormat="1" applyFont="1" applyAlignment="1">
      <alignment horizontal="center" vertical="top"/>
    </xf>
    <xf numFmtId="3" fontId="59" fillId="0" borderId="0" xfId="188" applyNumberFormat="1" applyFont="1" applyAlignment="1">
      <alignment horizontal="center" wrapText="1"/>
    </xf>
    <xf numFmtId="183" fontId="59" fillId="0" borderId="0" xfId="59" applyNumberFormat="1" applyFont="1" applyBorder="1" applyAlignment="1"/>
    <xf numFmtId="183" fontId="59" fillId="0" borderId="0" xfId="59" applyNumberFormat="1" applyFont="1" applyAlignment="1">
      <alignment horizontal="center"/>
    </xf>
    <xf numFmtId="183" fontId="59" fillId="0" borderId="0" xfId="210" applyNumberFormat="1" applyFont="1" applyAlignment="1">
      <alignment horizontal="center"/>
    </xf>
    <xf numFmtId="10" fontId="59" fillId="0" borderId="8" xfId="265" applyNumberFormat="1" applyFont="1" applyBorder="1" applyAlignment="1"/>
    <xf numFmtId="0" fontId="66" fillId="0" borderId="0" xfId="187" applyFont="1"/>
    <xf numFmtId="175" fontId="59" fillId="0" borderId="0" xfId="187" applyNumberFormat="1" applyFont="1"/>
    <xf numFmtId="0" fontId="59" fillId="0" borderId="3" xfId="187" applyFont="1" applyBorder="1"/>
    <xf numFmtId="0" fontId="59" fillId="0" borderId="1" xfId="187" applyFont="1" applyBorder="1" applyAlignment="1">
      <alignment horizontal="center"/>
    </xf>
    <xf numFmtId="0" fontId="59" fillId="0" borderId="1" xfId="187" applyFont="1" applyBorder="1" applyAlignment="1">
      <alignment horizontal="center" wrapText="1"/>
    </xf>
    <xf numFmtId="175" fontId="59" fillId="0" borderId="3" xfId="59" applyNumberFormat="1" applyFont="1" applyFill="1" applyBorder="1"/>
    <xf numFmtId="175" fontId="59" fillId="0" borderId="0" xfId="59" applyNumberFormat="1" applyFont="1" applyFill="1"/>
    <xf numFmtId="175" fontId="59" fillId="0" borderId="23" xfId="59" applyNumberFormat="1" applyFont="1" applyBorder="1" applyAlignment="1"/>
    <xf numFmtId="10" fontId="59" fillId="0" borderId="0" xfId="265" applyNumberFormat="1" applyFont="1" applyFill="1" applyAlignment="1"/>
    <xf numFmtId="174" fontId="59" fillId="0" borderId="0" xfId="0" quotePrefix="1" applyFont="1" applyAlignment="1">
      <alignment horizontal="center"/>
    </xf>
    <xf numFmtId="0" fontId="59" fillId="0" borderId="0" xfId="187" applyFont="1" applyAlignment="1">
      <alignment horizontal="left" wrapText="1"/>
    </xf>
    <xf numFmtId="171" fontId="59" fillId="14" borderId="0" xfId="265" applyNumberFormat="1" applyFont="1" applyFill="1" applyAlignment="1" applyProtection="1">
      <alignment vertical="top"/>
      <protection locked="0"/>
    </xf>
    <xf numFmtId="10" fontId="59" fillId="0" borderId="0" xfId="265" applyNumberFormat="1" applyFont="1" applyFill="1" applyAlignment="1">
      <alignment horizontal="right"/>
    </xf>
    <xf numFmtId="171" fontId="59" fillId="0" borderId="0" xfId="265" applyNumberFormat="1" applyFont="1" applyFill="1" applyBorder="1" applyAlignment="1"/>
    <xf numFmtId="275" fontId="59" fillId="0" borderId="0" xfId="59" applyNumberFormat="1" applyFont="1" applyFill="1" applyBorder="1" applyAlignment="1"/>
    <xf numFmtId="275" fontId="66" fillId="0" borderId="0" xfId="59" applyNumberFormat="1" applyFont="1" applyFill="1" applyBorder="1" applyAlignment="1"/>
    <xf numFmtId="0" fontId="59" fillId="0" borderId="1" xfId="187" applyFont="1" applyBorder="1"/>
    <xf numFmtId="174" fontId="66" fillId="0" borderId="7" xfId="201" applyFont="1" applyBorder="1" applyAlignment="1">
      <alignment horizontal="center" wrapText="1"/>
    </xf>
    <xf numFmtId="174" fontId="59" fillId="0" borderId="9" xfId="201" applyFont="1" applyBorder="1" applyAlignment="1">
      <alignment horizontal="center"/>
    </xf>
    <xf numFmtId="174" fontId="59" fillId="0" borderId="15" xfId="201" applyFont="1" applyBorder="1"/>
    <xf numFmtId="174" fontId="95" fillId="0" borderId="0" xfId="201" applyFont="1"/>
    <xf numFmtId="0" fontId="59" fillId="0" borderId="0" xfId="208" applyNumberFormat="1" applyFont="1" applyAlignment="1" applyProtection="1">
      <alignment horizontal="center"/>
      <protection locked="0"/>
    </xf>
    <xf numFmtId="174" fontId="59" fillId="0" borderId="19" xfId="0" applyFont="1" applyBorder="1"/>
    <xf numFmtId="174" fontId="59" fillId="0" borderId="20" xfId="0" applyFont="1" applyBorder="1"/>
    <xf numFmtId="174" fontId="59" fillId="0" borderId="22" xfId="0" applyFont="1" applyBorder="1" applyAlignment="1">
      <alignment horizontal="center"/>
    </xf>
    <xf numFmtId="174" fontId="59" fillId="0" borderId="3" xfId="0" applyFont="1" applyBorder="1"/>
    <xf numFmtId="174" fontId="59" fillId="0" borderId="15" xfId="0" applyFont="1" applyBorder="1" applyAlignment="1">
      <alignment horizontal="center"/>
    </xf>
    <xf numFmtId="174" fontId="59" fillId="0" borderId="22" xfId="0" applyFont="1" applyBorder="1"/>
    <xf numFmtId="174" fontId="59" fillId="0" borderId="11" xfId="0" applyFont="1" applyBorder="1"/>
    <xf numFmtId="174" fontId="59" fillId="0" borderId="9" xfId="0" applyFont="1" applyBorder="1" applyAlignment="1">
      <alignment horizontal="center"/>
    </xf>
    <xf numFmtId="174" fontId="59" fillId="0" borderId="11" xfId="0" applyFont="1" applyBorder="1" applyAlignment="1">
      <alignment horizontal="center"/>
    </xf>
    <xf numFmtId="174" fontId="59" fillId="0" borderId="15" xfId="0" applyFont="1" applyBorder="1"/>
    <xf numFmtId="43" fontId="59" fillId="0" borderId="0" xfId="59" applyFont="1"/>
    <xf numFmtId="174" fontId="59" fillId="0" borderId="19" xfId="201" applyFont="1" applyBorder="1" applyAlignment="1">
      <alignment horizontal="center"/>
    </xf>
    <xf numFmtId="174" fontId="59" fillId="0" borderId="22" xfId="201" applyFont="1" applyBorder="1" applyAlignment="1">
      <alignment horizontal="center"/>
    </xf>
    <xf numFmtId="174" fontId="59" fillId="0" borderId="17" xfId="201" applyFont="1" applyBorder="1" applyAlignment="1">
      <alignment horizontal="center"/>
    </xf>
    <xf numFmtId="174" fontId="59" fillId="15" borderId="11" xfId="0" applyFont="1" applyFill="1" applyBorder="1"/>
    <xf numFmtId="0" fontId="59" fillId="0" borderId="0" xfId="59" applyNumberFormat="1" applyFont="1" applyFill="1" applyAlignment="1">
      <alignment horizontal="center"/>
    </xf>
    <xf numFmtId="0" fontId="59" fillId="0" borderId="0" xfId="59" applyNumberFormat="1" applyFont="1" applyFill="1" applyBorder="1" applyAlignment="1">
      <alignment horizontal="center"/>
    </xf>
    <xf numFmtId="0" fontId="59" fillId="0" borderId="0" xfId="59" applyNumberFormat="1" applyFont="1" applyAlignment="1">
      <alignment horizontal="center"/>
    </xf>
    <xf numFmtId="174" fontId="59" fillId="0" borderId="10" xfId="0" applyFont="1" applyBorder="1" applyAlignment="1">
      <alignment horizontal="center"/>
    </xf>
    <xf numFmtId="0" fontId="66" fillId="0" borderId="0" xfId="59" applyNumberFormat="1" applyFont="1" applyFill="1" applyBorder="1" applyAlignment="1">
      <alignment horizontal="left"/>
    </xf>
    <xf numFmtId="174" fontId="59" fillId="0" borderId="19" xfId="0" applyFont="1" applyBorder="1" applyAlignment="1">
      <alignment horizontal="center"/>
    </xf>
    <xf numFmtId="174" fontId="95" fillId="0" borderId="15" xfId="201" applyFont="1" applyBorder="1" applyAlignment="1">
      <alignment horizontal="center"/>
    </xf>
    <xf numFmtId="174" fontId="59" fillId="0" borderId="0" xfId="0" applyFont="1" applyAlignment="1">
      <alignment vertical="top" wrapText="1"/>
    </xf>
    <xf numFmtId="174" fontId="59" fillId="0" borderId="0" xfId="0" applyFont="1" applyAlignment="1">
      <alignment horizontal="left" wrapText="1"/>
    </xf>
    <xf numFmtId="174" fontId="91" fillId="0" borderId="15" xfId="0" applyFont="1" applyBorder="1" applyAlignment="1" applyProtection="1">
      <alignment horizontal="center"/>
    </xf>
    <xf numFmtId="174" fontId="59" fillId="0" borderId="11" xfId="0" applyFont="1" applyBorder="1" applyAlignment="1" applyProtection="1">
      <alignment horizontal="center"/>
    </xf>
    <xf numFmtId="175" fontId="59" fillId="15" borderId="19" xfId="59" applyNumberFormat="1" applyFont="1" applyFill="1" applyBorder="1"/>
    <xf numFmtId="175" fontId="59" fillId="15" borderId="10" xfId="59" applyNumberFormat="1" applyFont="1" applyFill="1" applyBorder="1"/>
    <xf numFmtId="175" fontId="59" fillId="0" borderId="17" xfId="93" applyNumberFormat="1" applyFont="1" applyFill="1" applyBorder="1"/>
    <xf numFmtId="175" fontId="59" fillId="0" borderId="0" xfId="59" applyNumberFormat="1" applyFont="1"/>
    <xf numFmtId="175" fontId="59" fillId="0" borderId="12" xfId="59" applyNumberFormat="1" applyFont="1" applyBorder="1"/>
    <xf numFmtId="175" fontId="59" fillId="15" borderId="20" xfId="59" applyNumberFormat="1" applyFont="1" applyFill="1" applyBorder="1"/>
    <xf numFmtId="175" fontId="59" fillId="15" borderId="12" xfId="59" applyNumberFormat="1" applyFont="1" applyFill="1" applyBorder="1"/>
    <xf numFmtId="175" fontId="59" fillId="0" borderId="21" xfId="93" applyNumberFormat="1" applyFont="1" applyFill="1" applyBorder="1"/>
    <xf numFmtId="175" fontId="59" fillId="0" borderId="11" xfId="59" applyNumberFormat="1" applyFont="1" applyBorder="1" applyAlignment="1">
      <alignment horizontal="center"/>
    </xf>
    <xf numFmtId="175" fontId="59" fillId="15" borderId="22" xfId="59" applyNumberFormat="1" applyFont="1" applyFill="1" applyBorder="1" applyAlignment="1">
      <alignment horizontal="center"/>
    </xf>
    <xf numFmtId="175" fontId="59" fillId="0" borderId="11" xfId="59" applyNumberFormat="1" applyFont="1" applyBorder="1"/>
    <xf numFmtId="175" fontId="59" fillId="15" borderId="11" xfId="59" applyNumberFormat="1" applyFont="1" applyFill="1" applyBorder="1"/>
    <xf numFmtId="175" fontId="59" fillId="0" borderId="15" xfId="0" applyNumberFormat="1" applyFont="1" applyBorder="1"/>
    <xf numFmtId="171" fontId="59" fillId="0" borderId="22" xfId="265" applyNumberFormat="1" applyFont="1" applyBorder="1"/>
    <xf numFmtId="171" fontId="59" fillId="0" borderId="11" xfId="265" applyNumberFormat="1" applyFont="1" applyBorder="1"/>
    <xf numFmtId="171" fontId="59" fillId="0" borderId="15" xfId="265" applyNumberFormat="1" applyFont="1" applyBorder="1"/>
    <xf numFmtId="171" fontId="59" fillId="0" borderId="0" xfId="265" applyNumberFormat="1" applyFont="1"/>
    <xf numFmtId="174" fontId="59" fillId="15" borderId="11" xfId="0" applyFont="1" applyFill="1" applyBorder="1" applyAlignment="1">
      <alignment horizontal="center"/>
    </xf>
    <xf numFmtId="175" fontId="59" fillId="0" borderId="0" xfId="210" applyNumberFormat="1" applyFont="1"/>
    <xf numFmtId="175" fontId="59" fillId="0" borderId="0" xfId="206" applyNumberFormat="1" applyFont="1"/>
    <xf numFmtId="175" fontId="49" fillId="0" borderId="0" xfId="59" applyNumberFormat="1" applyFont="1" applyFill="1" applyAlignment="1">
      <alignment horizontal="center"/>
    </xf>
    <xf numFmtId="171" fontId="49" fillId="0" borderId="0" xfId="265" applyNumberFormat="1" applyFont="1" applyAlignment="1"/>
    <xf numFmtId="171" fontId="49" fillId="0" borderId="0" xfId="265" applyNumberFormat="1" applyFont="1" applyFill="1" applyAlignment="1">
      <alignment horizontal="right"/>
    </xf>
    <xf numFmtId="43" fontId="49" fillId="0" borderId="0" xfId="59" applyFont="1" applyFill="1" applyAlignment="1"/>
    <xf numFmtId="10" fontId="49" fillId="0" borderId="0" xfId="265" applyNumberFormat="1" applyFont="1" applyAlignment="1"/>
    <xf numFmtId="10" fontId="49" fillId="0" borderId="8" xfId="265" applyNumberFormat="1" applyFont="1" applyBorder="1" applyAlignment="1"/>
    <xf numFmtId="10" fontId="49" fillId="0" borderId="0" xfId="265" applyNumberFormat="1" applyFont="1" applyFill="1" applyAlignment="1">
      <alignment horizontal="right"/>
    </xf>
    <xf numFmtId="175" fontId="59" fillId="0" borderId="24" xfId="59" applyNumberFormat="1" applyFont="1" applyBorder="1" applyAlignment="1">
      <alignment horizontal="fill"/>
    </xf>
    <xf numFmtId="183" fontId="59" fillId="0" borderId="0" xfId="210" applyNumberFormat="1" applyFont="1"/>
    <xf numFmtId="183" fontId="59" fillId="0" borderId="0" xfId="188" applyNumberFormat="1" applyFont="1"/>
    <xf numFmtId="174" fontId="59" fillId="0" borderId="0" xfId="201" applyFont="1" applyAlignment="1">
      <alignment vertical="top"/>
    </xf>
    <xf numFmtId="49" fontId="59" fillId="0" borderId="0" xfId="201" applyNumberFormat="1" applyFont="1" applyAlignment="1">
      <alignment horizontal="center" vertical="top"/>
    </xf>
    <xf numFmtId="175" fontId="88" fillId="0" borderId="15" xfId="59" applyNumberFormat="1" applyFont="1" applyFill="1" applyBorder="1" applyAlignment="1"/>
    <xf numFmtId="175" fontId="49" fillId="0" borderId="0" xfId="210" applyNumberFormat="1" applyFont="1"/>
    <xf numFmtId="175" fontId="49" fillId="0" borderId="0" xfId="0" applyNumberFormat="1" applyFont="1"/>
    <xf numFmtId="175" fontId="49" fillId="0" borderId="0" xfId="59" applyNumberFormat="1" applyFont="1" applyAlignment="1">
      <alignment horizontal="right"/>
    </xf>
    <xf numFmtId="175" fontId="49" fillId="0" borderId="1" xfId="59" applyNumberFormat="1" applyFont="1" applyBorder="1" applyAlignment="1">
      <alignment horizontal="right"/>
    </xf>
    <xf numFmtId="175" fontId="49" fillId="0" borderId="0" xfId="59" applyNumberFormat="1" applyFont="1" applyFill="1" applyAlignment="1">
      <alignment horizontal="right"/>
    </xf>
    <xf numFmtId="0" fontId="59" fillId="0" borderId="0" xfId="188" applyFont="1" applyAlignment="1">
      <alignment vertical="top" wrapText="1"/>
    </xf>
    <xf numFmtId="10" fontId="59" fillId="0" borderId="0" xfId="265" applyNumberFormat="1" applyFont="1" applyFill="1" applyBorder="1" applyAlignment="1">
      <alignment horizontal="right"/>
    </xf>
    <xf numFmtId="10" fontId="59" fillId="0" borderId="0" xfId="265" applyNumberFormat="1" applyFont="1" applyFill="1" applyBorder="1" applyAlignment="1"/>
    <xf numFmtId="0" fontId="59" fillId="0" borderId="0" xfId="188" quotePrefix="1" applyFont="1" applyAlignment="1">
      <alignment vertical="top"/>
    </xf>
    <xf numFmtId="175" fontId="59" fillId="0" borderId="1" xfId="59" applyNumberFormat="1" applyFont="1" applyFill="1" applyBorder="1" applyAlignment="1"/>
    <xf numFmtId="275" fontId="59" fillId="0" borderId="3" xfId="59" applyNumberFormat="1" applyFont="1" applyFill="1" applyBorder="1" applyAlignment="1"/>
    <xf numFmtId="175" fontId="59" fillId="0" borderId="22" xfId="59" applyNumberFormat="1" applyFont="1" applyFill="1" applyBorder="1" applyAlignment="1"/>
    <xf numFmtId="174" fontId="59" fillId="0" borderId="10" xfId="209" applyFont="1" applyBorder="1" applyAlignment="1">
      <alignment horizontal="center"/>
    </xf>
    <xf numFmtId="175" fontId="59" fillId="0" borderId="10" xfId="59" applyNumberFormat="1" applyFont="1" applyFill="1" applyBorder="1" applyAlignment="1"/>
    <xf numFmtId="175" fontId="59" fillId="0" borderId="19" xfId="59" applyNumberFormat="1" applyFont="1" applyFill="1" applyBorder="1" applyAlignment="1"/>
    <xf numFmtId="1" fontId="59" fillId="0" borderId="10" xfId="59" applyNumberFormat="1" applyFont="1" applyFill="1" applyBorder="1" applyAlignment="1">
      <alignment horizontal="center"/>
    </xf>
    <xf numFmtId="1" fontId="59" fillId="0" borderId="19" xfId="59" applyNumberFormat="1" applyFont="1" applyFill="1" applyBorder="1" applyAlignment="1">
      <alignment horizontal="center"/>
    </xf>
    <xf numFmtId="174" fontId="59" fillId="0" borderId="3" xfId="209" applyFont="1" applyBorder="1"/>
    <xf numFmtId="175" fontId="59" fillId="0" borderId="10" xfId="59" applyNumberFormat="1" applyFont="1" applyFill="1" applyBorder="1"/>
    <xf numFmtId="171" fontId="59" fillId="0" borderId="11" xfId="265" applyNumberFormat="1" applyFont="1" applyFill="1" applyBorder="1"/>
    <xf numFmtId="175" fontId="59" fillId="0" borderId="12" xfId="59" applyNumberFormat="1" applyFont="1" applyFill="1" applyBorder="1"/>
    <xf numFmtId="175" fontId="59" fillId="0" borderId="11" xfId="59" applyNumberFormat="1" applyFont="1" applyFill="1" applyBorder="1" applyAlignment="1">
      <alignment horizontal="center"/>
    </xf>
    <xf numFmtId="175" fontId="59" fillId="0" borderId="11" xfId="59" applyNumberFormat="1" applyFont="1" applyFill="1" applyBorder="1"/>
    <xf numFmtId="175" fontId="59" fillId="0" borderId="19" xfId="59" applyNumberFormat="1" applyFont="1" applyFill="1" applyBorder="1"/>
    <xf numFmtId="171" fontId="59" fillId="0" borderId="22" xfId="265" applyNumberFormat="1" applyFont="1" applyFill="1" applyBorder="1"/>
    <xf numFmtId="0" fontId="59" fillId="0" borderId="1" xfId="59" applyNumberFormat="1" applyFont="1" applyBorder="1" applyAlignment="1">
      <alignment horizontal="center"/>
    </xf>
    <xf numFmtId="175" fontId="59" fillId="0" borderId="22" xfId="59" applyNumberFormat="1" applyFont="1" applyFill="1" applyBorder="1"/>
    <xf numFmtId="0" fontId="59" fillId="0" borderId="0" xfId="59" applyNumberFormat="1" applyFont="1" applyFill="1" applyBorder="1" applyAlignment="1"/>
    <xf numFmtId="176" fontId="59" fillId="0" borderId="0" xfId="93" applyNumberFormat="1" applyFont="1" applyFill="1" applyBorder="1" applyAlignment="1"/>
    <xf numFmtId="175" fontId="59" fillId="0" borderId="22" xfId="59" applyNumberFormat="1" applyFont="1" applyBorder="1" applyAlignment="1">
      <alignment horizontal="center"/>
    </xf>
    <xf numFmtId="1" fontId="59" fillId="0" borderId="19" xfId="209" applyNumberFormat="1" applyFont="1" applyBorder="1" applyAlignment="1">
      <alignment horizontal="center"/>
    </xf>
    <xf numFmtId="174" fontId="59" fillId="0" borderId="8" xfId="201" applyFont="1" applyBorder="1" applyAlignment="1">
      <alignment horizontal="center"/>
    </xf>
    <xf numFmtId="0" fontId="59" fillId="0" borderId="3" xfId="59" applyNumberFormat="1" applyFont="1" applyFill="1" applyBorder="1" applyAlignment="1"/>
    <xf numFmtId="176" fontId="59" fillId="0" borderId="3" xfId="93" applyNumberFormat="1" applyFont="1" applyFill="1" applyBorder="1" applyAlignment="1"/>
    <xf numFmtId="175" fontId="59" fillId="0" borderId="3" xfId="59" applyNumberFormat="1" applyFont="1" applyFill="1" applyBorder="1" applyAlignment="1"/>
    <xf numFmtId="174" fontId="66" fillId="0" borderId="16" xfId="201" applyFont="1" applyBorder="1" applyAlignment="1">
      <alignment horizontal="center" wrapText="1"/>
    </xf>
    <xf numFmtId="0" fontId="59" fillId="0" borderId="16" xfId="201" applyNumberFormat="1" applyFont="1" applyBorder="1"/>
    <xf numFmtId="0" fontId="59" fillId="0" borderId="10" xfId="201" applyNumberFormat="1" applyFont="1" applyBorder="1"/>
    <xf numFmtId="174" fontId="59" fillId="0" borderId="10" xfId="209" applyFont="1" applyBorder="1"/>
    <xf numFmtId="174" fontId="59" fillId="14" borderId="0" xfId="209" applyFont="1" applyFill="1"/>
    <xf numFmtId="0" fontId="59" fillId="14" borderId="0" xfId="59" applyNumberFormat="1" applyFont="1" applyFill="1" applyBorder="1" applyAlignment="1"/>
    <xf numFmtId="174" fontId="59" fillId="15" borderId="0" xfId="0" applyFont="1" applyFill="1"/>
    <xf numFmtId="0" fontId="66" fillId="0" borderId="0" xfId="211" quotePrefix="1" applyFont="1" applyAlignment="1">
      <alignment horizontal="center" wrapText="1"/>
    </xf>
    <xf numFmtId="175" fontId="59" fillId="0" borderId="14" xfId="59" applyNumberFormat="1" applyFont="1" applyBorder="1"/>
    <xf numFmtId="174" fontId="78" fillId="0" borderId="0" xfId="0" applyFont="1" applyAlignment="1">
      <alignment horizontal="left"/>
    </xf>
    <xf numFmtId="174" fontId="26" fillId="0" borderId="0" xfId="0" applyFont="1"/>
    <xf numFmtId="174" fontId="115" fillId="0" borderId="0" xfId="0" applyFont="1" applyProtection="1">
      <protection locked="0"/>
    </xf>
    <xf numFmtId="174" fontId="116" fillId="0" borderId="0" xfId="0" applyFont="1" applyProtection="1">
      <protection locked="0"/>
    </xf>
    <xf numFmtId="176" fontId="39" fillId="0" borderId="0" xfId="93" applyNumberFormat="1" applyFont="1" applyFill="1"/>
    <xf numFmtId="174" fontId="117" fillId="0" borderId="0" xfId="0" applyFont="1" applyProtection="1">
      <protection locked="0"/>
    </xf>
    <xf numFmtId="0" fontId="59" fillId="0" borderId="0" xfId="0" applyNumberFormat="1" applyFont="1" applyAlignment="1" applyProtection="1">
      <alignment horizontal="center"/>
      <protection locked="0"/>
    </xf>
    <xf numFmtId="174" fontId="59" fillId="0" borderId="0" xfId="0" applyFont="1" applyProtection="1">
      <protection locked="0"/>
    </xf>
    <xf numFmtId="174" fontId="59" fillId="0" borderId="31" xfId="0" applyFont="1" applyBorder="1" applyAlignment="1" applyProtection="1">
      <alignment horizontal="center" wrapText="1"/>
      <protection locked="0"/>
    </xf>
    <xf numFmtId="174" fontId="59" fillId="0" borderId="32" xfId="0" applyFont="1" applyBorder="1" applyAlignment="1" applyProtection="1">
      <alignment horizontal="center" wrapText="1"/>
      <protection locked="0"/>
    </xf>
    <xf numFmtId="174" fontId="59" fillId="0" borderId="32" xfId="0" applyFont="1" applyBorder="1" applyProtection="1">
      <protection locked="0"/>
    </xf>
    <xf numFmtId="170" fontId="59" fillId="0" borderId="33" xfId="0" applyNumberFormat="1" applyFont="1" applyBorder="1" applyAlignment="1" applyProtection="1">
      <alignment horizontal="center"/>
      <protection locked="0"/>
    </xf>
    <xf numFmtId="174" fontId="66" fillId="0" borderId="0" xfId="0" applyFont="1" applyAlignment="1" applyProtection="1">
      <alignment horizontal="center"/>
      <protection locked="0"/>
    </xf>
    <xf numFmtId="174" fontId="59" fillId="0" borderId="0" xfId="0" applyFont="1" applyAlignment="1" applyProtection="1">
      <alignment horizontal="center"/>
      <protection locked="0"/>
    </xf>
    <xf numFmtId="175" fontId="59" fillId="0" borderId="0" xfId="0" applyNumberFormat="1" applyFont="1" applyProtection="1">
      <protection locked="0"/>
    </xf>
    <xf numFmtId="5" fontId="59" fillId="0" borderId="33" xfId="0" applyNumberFormat="1" applyFont="1" applyBorder="1" applyAlignment="1" applyProtection="1">
      <alignment horizontal="center"/>
      <protection locked="0"/>
    </xf>
    <xf numFmtId="175" fontId="59" fillId="0" borderId="8" xfId="0" applyNumberFormat="1" applyFont="1" applyBorder="1" applyProtection="1">
      <protection locked="0"/>
    </xf>
    <xf numFmtId="174" fontId="59" fillId="0" borderId="8" xfId="0" applyFont="1" applyBorder="1" applyAlignment="1" applyProtection="1">
      <alignment horizontal="center"/>
      <protection locked="0"/>
    </xf>
    <xf numFmtId="174" fontId="59" fillId="0" borderId="8" xfId="0" applyFont="1" applyBorder="1" applyProtection="1">
      <protection locked="0"/>
    </xf>
    <xf numFmtId="175" fontId="59" fillId="0" borderId="0" xfId="0" applyNumberFormat="1" applyFont="1" applyAlignment="1" applyProtection="1">
      <alignment horizontal="left"/>
      <protection locked="0"/>
    </xf>
    <xf numFmtId="0" fontId="66" fillId="0" borderId="0" xfId="0" applyNumberFormat="1" applyFont="1" applyAlignment="1" applyProtection="1">
      <alignment horizontal="left"/>
      <protection locked="0"/>
    </xf>
    <xf numFmtId="174" fontId="66" fillId="0" borderId="0" xfId="0" applyFont="1" applyAlignment="1" applyProtection="1">
      <alignment horizontal="center" wrapText="1"/>
      <protection locked="0"/>
    </xf>
    <xf numFmtId="175" fontId="66" fillId="0" borderId="0" xfId="0" applyNumberFormat="1" applyFont="1" applyAlignment="1" applyProtection="1">
      <alignment horizontal="center" wrapText="1"/>
      <protection locked="0"/>
    </xf>
    <xf numFmtId="175" fontId="66" fillId="0" borderId="0" xfId="0" applyNumberFormat="1" applyFont="1" applyAlignment="1" applyProtection="1">
      <alignment horizontal="center"/>
      <protection locked="0"/>
    </xf>
    <xf numFmtId="276" fontId="59" fillId="0" borderId="0" xfId="265" applyNumberFormat="1" applyFont="1" applyFill="1" applyProtection="1">
      <protection locked="0"/>
    </xf>
    <xf numFmtId="164" fontId="59" fillId="0" borderId="0" xfId="265" applyNumberFormat="1" applyFont="1" applyFill="1" applyProtection="1">
      <protection locked="0"/>
    </xf>
    <xf numFmtId="175" fontId="59" fillId="0" borderId="0" xfId="0" applyNumberFormat="1" applyFont="1" applyAlignment="1" applyProtection="1">
      <alignment horizontal="center"/>
      <protection locked="0"/>
    </xf>
    <xf numFmtId="174" fontId="90" fillId="0" borderId="0" xfId="0" applyFont="1" applyAlignment="1" applyProtection="1">
      <alignment horizontal="center"/>
      <protection locked="0"/>
    </xf>
    <xf numFmtId="174" fontId="59" fillId="14" borderId="0" xfId="0" applyFont="1" applyFill="1" applyProtection="1">
      <protection locked="0"/>
    </xf>
    <xf numFmtId="175" fontId="59" fillId="0" borderId="0" xfId="59" applyNumberFormat="1" applyFont="1" applyFill="1" applyProtection="1">
      <protection locked="0"/>
    </xf>
    <xf numFmtId="164" fontId="59" fillId="0" borderId="0" xfId="0" applyNumberFormat="1" applyFont="1" applyProtection="1">
      <protection locked="0"/>
    </xf>
    <xf numFmtId="175" fontId="66" fillId="0" borderId="0" xfId="59" applyNumberFormat="1" applyFont="1" applyFill="1" applyProtection="1">
      <protection locked="0"/>
    </xf>
    <xf numFmtId="175" fontId="66" fillId="0" borderId="0" xfId="59" applyNumberFormat="1" applyFont="1" applyFill="1" applyAlignment="1" applyProtection="1">
      <alignment horizontal="center"/>
      <protection locked="0"/>
    </xf>
    <xf numFmtId="174" fontId="90" fillId="0" borderId="0" xfId="0" applyFont="1" applyProtection="1">
      <protection locked="0"/>
    </xf>
    <xf numFmtId="175" fontId="59" fillId="0" borderId="0" xfId="0" applyNumberFormat="1" applyFont="1"/>
    <xf numFmtId="276" fontId="59" fillId="0" borderId="0" xfId="0" applyNumberFormat="1" applyFont="1" applyProtection="1">
      <protection locked="0"/>
    </xf>
    <xf numFmtId="176" fontId="59" fillId="0" borderId="0" xfId="93" applyNumberFormat="1" applyFont="1" applyFill="1"/>
    <xf numFmtId="174" fontId="59" fillId="0" borderId="1" xfId="0" applyFont="1" applyBorder="1" applyAlignment="1">
      <alignment horizontal="center"/>
    </xf>
    <xf numFmtId="1" fontId="59" fillId="0" borderId="16" xfId="59" applyNumberFormat="1" applyFont="1" applyFill="1" applyBorder="1" applyAlignment="1">
      <alignment horizontal="center"/>
    </xf>
    <xf numFmtId="175" fontId="59" fillId="0" borderId="7" xfId="59" applyNumberFormat="1" applyFont="1" applyFill="1" applyBorder="1" applyAlignment="1">
      <alignment horizontal="center"/>
    </xf>
    <xf numFmtId="174" fontId="59" fillId="0" borderId="7" xfId="201" applyFont="1" applyBorder="1" applyAlignment="1">
      <alignment horizontal="center"/>
    </xf>
    <xf numFmtId="3" fontId="59" fillId="0" borderId="7" xfId="201" applyNumberFormat="1" applyFont="1" applyBorder="1"/>
    <xf numFmtId="170" fontId="59" fillId="0" borderId="7" xfId="201" applyNumberFormat="1" applyFont="1" applyBorder="1"/>
    <xf numFmtId="175" fontId="59" fillId="0" borderId="9" xfId="59" applyNumberFormat="1" applyFont="1" applyFill="1" applyBorder="1" applyAlignment="1">
      <alignment horizontal="center"/>
    </xf>
    <xf numFmtId="174" fontId="78" fillId="0" borderId="0" xfId="0" applyFont="1"/>
    <xf numFmtId="174" fontId="59" fillId="0" borderId="15" xfId="201" applyFont="1" applyBorder="1" applyAlignment="1">
      <alignment horizontal="center"/>
    </xf>
    <xf numFmtId="183" fontId="49" fillId="0" borderId="0" xfId="59" applyNumberFormat="1" applyFont="1" applyFill="1" applyAlignment="1">
      <alignment horizontal="right"/>
    </xf>
    <xf numFmtId="175" fontId="49" fillId="0" borderId="0" xfId="59" applyNumberFormat="1" applyFont="1" applyAlignment="1">
      <alignment horizontal="center"/>
    </xf>
    <xf numFmtId="175" fontId="49" fillId="0" borderId="1" xfId="59" applyNumberFormat="1" applyFont="1" applyBorder="1" applyAlignment="1">
      <alignment horizontal="center"/>
    </xf>
    <xf numFmtId="0" fontId="59" fillId="0" borderId="1" xfId="0" applyNumberFormat="1" applyFont="1" applyBorder="1" applyAlignment="1">
      <alignment horizontal="center"/>
    </xf>
    <xf numFmtId="3" fontId="59" fillId="0" borderId="1" xfId="187" applyNumberFormat="1" applyFont="1" applyBorder="1" applyAlignment="1">
      <alignment horizontal="center" wrapText="1"/>
    </xf>
    <xf numFmtId="175" fontId="59" fillId="0" borderId="3" xfId="59" applyNumberFormat="1" applyFont="1" applyFill="1" applyBorder="1" applyAlignment="1">
      <alignment horizontal="center"/>
    </xf>
    <xf numFmtId="175" fontId="59" fillId="0" borderId="3" xfId="59" applyNumberFormat="1" applyFont="1" applyFill="1" applyBorder="1" applyAlignment="1">
      <alignment horizontal="center" wrapText="1"/>
    </xf>
    <xf numFmtId="174" fontId="49" fillId="0" borderId="0" xfId="0" applyFont="1" applyAlignment="1">
      <alignment horizontal="left"/>
    </xf>
    <xf numFmtId="0" fontId="55" fillId="0" borderId="0" xfId="554" applyFont="1" applyAlignment="1">
      <alignment horizontal="right"/>
    </xf>
    <xf numFmtId="0" fontId="118" fillId="0" borderId="0" xfId="555" applyFont="1" applyAlignment="1">
      <alignment horizontal="centerContinuous"/>
    </xf>
    <xf numFmtId="174" fontId="49" fillId="0" borderId="0" xfId="0" applyFont="1" applyAlignment="1">
      <alignment horizontal="centerContinuous"/>
    </xf>
    <xf numFmtId="174" fontId="49" fillId="0" borderId="0" xfId="0" applyFont="1" applyAlignment="1">
      <alignment horizontal="center"/>
    </xf>
    <xf numFmtId="174" fontId="119" fillId="0" borderId="0" xfId="0" applyFont="1" applyAlignment="1">
      <alignment horizontal="center"/>
    </xf>
    <xf numFmtId="174" fontId="119" fillId="0" borderId="0" xfId="0" applyFont="1"/>
    <xf numFmtId="37" fontId="49" fillId="0" borderId="0" xfId="0" applyNumberFormat="1" applyFont="1" applyAlignment="1">
      <alignment horizontal="center" vertical="top"/>
    </xf>
    <xf numFmtId="174" fontId="49" fillId="0" borderId="0" xfId="0" quotePrefix="1" applyFont="1"/>
    <xf numFmtId="175" fontId="120" fillId="15" borderId="0" xfId="59" applyNumberFormat="1" applyFont="1" applyFill="1" applyAlignment="1"/>
    <xf numFmtId="175" fontId="49" fillId="0" borderId="0" xfId="59" applyNumberFormat="1" applyFont="1" applyFill="1" applyAlignment="1"/>
    <xf numFmtId="175" fontId="49" fillId="15" borderId="0" xfId="59" applyNumberFormat="1" applyFont="1" applyFill="1" applyAlignment="1"/>
    <xf numFmtId="175" fontId="49" fillId="0" borderId="3" xfId="59" applyNumberFormat="1" applyFont="1" applyBorder="1" applyAlignment="1"/>
    <xf numFmtId="174" fontId="118" fillId="0" borderId="0" xfId="0" applyFont="1"/>
    <xf numFmtId="0" fontId="118" fillId="0" borderId="0" xfId="555" applyFont="1" applyAlignment="1">
      <alignment horizontal="center"/>
    </xf>
    <xf numFmtId="174" fontId="49" fillId="0" borderId="0" xfId="0" applyFont="1" applyAlignment="1">
      <alignment vertical="top"/>
    </xf>
    <xf numFmtId="174" fontId="49" fillId="0" borderId="1" xfId="0" applyFont="1" applyBorder="1" applyAlignment="1">
      <alignment horizontal="center"/>
    </xf>
    <xf numFmtId="174" fontId="49" fillId="0" borderId="0" xfId="0" applyFont="1" applyAlignment="1">
      <alignment horizontal="center" vertical="top"/>
    </xf>
    <xf numFmtId="10" fontId="59" fillId="0" borderId="0" xfId="265" applyNumberFormat="1" applyFont="1" applyFill="1" applyAlignment="1">
      <alignment horizontal="center"/>
    </xf>
    <xf numFmtId="0" fontId="59" fillId="0" borderId="0" xfId="0" applyNumberFormat="1" applyFont="1"/>
    <xf numFmtId="174" fontId="66" fillId="0" borderId="0" xfId="201" quotePrefix="1" applyFont="1" applyAlignment="1">
      <alignment horizontal="left"/>
    </xf>
    <xf numFmtId="174" fontId="59" fillId="0" borderId="0" xfId="201" quotePrefix="1" applyFont="1" applyAlignment="1">
      <alignment horizontal="left"/>
    </xf>
    <xf numFmtId="176" fontId="59" fillId="0" borderId="0" xfId="105" applyNumberFormat="1" applyFont="1" applyFill="1" applyBorder="1" applyAlignment="1"/>
    <xf numFmtId="176" fontId="59" fillId="0" borderId="0" xfId="105" applyNumberFormat="1" applyFont="1" applyBorder="1" applyAlignment="1"/>
    <xf numFmtId="1" fontId="59" fillId="0" borderId="0" xfId="201" applyNumberFormat="1" applyFont="1" applyAlignment="1">
      <alignment horizontal="left"/>
    </xf>
    <xf numFmtId="10" fontId="59" fillId="14" borderId="0" xfId="265" applyNumberFormat="1" applyFont="1" applyFill="1" applyAlignment="1"/>
    <xf numFmtId="43" fontId="59" fillId="0" borderId="0" xfId="59" applyFont="1" applyBorder="1" applyAlignment="1"/>
    <xf numFmtId="10" fontId="59" fillId="0" borderId="0" xfId="265" applyNumberFormat="1" applyFont="1" applyBorder="1" applyAlignment="1"/>
    <xf numFmtId="164" fontId="59" fillId="0" borderId="0" xfId="265" applyNumberFormat="1" applyFont="1" applyAlignment="1"/>
    <xf numFmtId="1" fontId="59" fillId="0" borderId="0" xfId="201" applyNumberFormat="1" applyFont="1" applyAlignment="1">
      <alignment horizontal="center"/>
    </xf>
    <xf numFmtId="0" fontId="49" fillId="0" borderId="0" xfId="187" applyFont="1"/>
    <xf numFmtId="170" fontId="59" fillId="0" borderId="0" xfId="0" applyNumberFormat="1" applyFont="1"/>
    <xf numFmtId="175" fontId="49" fillId="0" borderId="0" xfId="79" applyNumberFormat="1" applyFont="1" applyFill="1" applyBorder="1" applyAlignment="1">
      <alignment wrapText="1"/>
    </xf>
    <xf numFmtId="174" fontId="59" fillId="0" borderId="0" xfId="0" applyFont="1" applyAlignment="1">
      <alignment horizontal="centerContinuous"/>
    </xf>
    <xf numFmtId="0" fontId="78" fillId="0" borderId="0" xfId="187" applyFont="1"/>
    <xf numFmtId="175" fontId="59" fillId="0" borderId="0" xfId="79" applyNumberFormat="1" applyFont="1" applyFill="1" applyAlignment="1">
      <alignment horizontal="right"/>
    </xf>
    <xf numFmtId="175" fontId="59" fillId="14" borderId="0" xfId="79" applyNumberFormat="1" applyFont="1" applyFill="1" applyAlignment="1"/>
    <xf numFmtId="175" fontId="59" fillId="15" borderId="0" xfId="79" applyNumberFormat="1" applyFont="1" applyFill="1" applyAlignment="1"/>
    <xf numFmtId="175" fontId="59" fillId="0" borderId="3" xfId="79" applyNumberFormat="1" applyFont="1" applyFill="1" applyBorder="1" applyAlignment="1"/>
    <xf numFmtId="175" fontId="59" fillId="15" borderId="0" xfId="79" applyNumberFormat="1" applyFont="1" applyFill="1" applyBorder="1" applyAlignment="1"/>
    <xf numFmtId="175" fontId="59" fillId="0" borderId="0" xfId="79" applyNumberFormat="1" applyFont="1" applyFill="1" applyBorder="1" applyAlignment="1"/>
    <xf numFmtId="0" fontId="89" fillId="0" borderId="0" xfId="187" applyFont="1"/>
    <xf numFmtId="0" fontId="59" fillId="0" borderId="0" xfId="187" applyFont="1" applyAlignment="1">
      <alignment horizontal="center" vertical="top"/>
    </xf>
    <xf numFmtId="175" fontId="59" fillId="0" borderId="0" xfId="79" applyNumberFormat="1" applyFont="1" applyFill="1" applyAlignment="1"/>
    <xf numFmtId="175" fontId="49" fillId="0" borderId="0" xfId="79" applyNumberFormat="1" applyFont="1" applyAlignment="1"/>
    <xf numFmtId="175" fontId="59" fillId="0" borderId="0" xfId="79" applyNumberFormat="1" applyFont="1" applyBorder="1" applyAlignment="1"/>
    <xf numFmtId="175" fontId="59" fillId="0" borderId="1" xfId="79" applyNumberFormat="1" applyFont="1" applyFill="1" applyBorder="1" applyAlignment="1">
      <alignment horizontal="center"/>
    </xf>
    <xf numFmtId="175" fontId="59" fillId="0" borderId="3" xfId="187" applyNumberFormat="1" applyFont="1" applyBorder="1"/>
    <xf numFmtId="170" fontId="59" fillId="15" borderId="33" xfId="0" applyNumberFormat="1" applyFont="1" applyFill="1" applyBorder="1" applyAlignment="1" applyProtection="1">
      <alignment horizontal="center"/>
      <protection locked="0"/>
    </xf>
    <xf numFmtId="0" fontId="59" fillId="15" borderId="0" xfId="0" applyNumberFormat="1" applyFont="1" applyFill="1" applyAlignment="1" applyProtection="1">
      <alignment horizontal="center"/>
      <protection locked="0"/>
    </xf>
    <xf numFmtId="174" fontId="49" fillId="0" borderId="0" xfId="0" applyFont="1" applyAlignment="1">
      <alignment vertical="top" wrapText="1"/>
    </xf>
    <xf numFmtId="0" fontId="59" fillId="0" borderId="0" xfId="210" applyNumberFormat="1" applyFont="1" applyAlignment="1" applyProtection="1">
      <alignment horizontal="center" vertical="top" wrapText="1"/>
      <protection locked="0"/>
    </xf>
    <xf numFmtId="0" fontId="59" fillId="0" borderId="0" xfId="59" applyNumberFormat="1" applyFont="1" applyAlignment="1">
      <alignment horizontal="center" vertical="top"/>
    </xf>
    <xf numFmtId="43" fontId="59" fillId="0" borderId="0" xfId="59" applyFont="1" applyAlignment="1">
      <alignment horizontal="left"/>
    </xf>
    <xf numFmtId="43" fontId="59" fillId="0" borderId="0" xfId="59" applyFont="1" applyFill="1" applyProtection="1">
      <protection locked="0"/>
    </xf>
    <xf numFmtId="43" fontId="66" fillId="0" borderId="0" xfId="59" applyFont="1" applyFill="1" applyProtection="1">
      <protection locked="0"/>
    </xf>
    <xf numFmtId="43" fontId="59" fillId="0" borderId="1" xfId="59" applyFont="1" applyFill="1" applyBorder="1" applyProtection="1">
      <protection locked="0"/>
    </xf>
    <xf numFmtId="0" fontId="59" fillId="0" borderId="0" xfId="211" applyFont="1" applyAlignment="1">
      <alignment horizontal="left"/>
    </xf>
    <xf numFmtId="175" fontId="59" fillId="0" borderId="9" xfId="59" applyNumberFormat="1" applyFont="1" applyFill="1" applyBorder="1"/>
    <xf numFmtId="43" fontId="49" fillId="0" borderId="0" xfId="59" applyFont="1" applyBorder="1" applyAlignment="1"/>
    <xf numFmtId="174" fontId="66" fillId="0" borderId="34" xfId="210" applyFont="1" applyBorder="1" applyAlignment="1">
      <alignment horizontal="center"/>
    </xf>
    <xf numFmtId="1" fontId="59" fillId="15" borderId="0" xfId="0" applyNumberFormat="1" applyFont="1" applyFill="1" applyAlignment="1">
      <alignment horizontal="center"/>
    </xf>
    <xf numFmtId="0" fontId="59" fillId="0" borderId="0" xfId="206" applyFont="1" applyAlignment="1">
      <alignment horizontal="center" wrapText="1"/>
    </xf>
    <xf numFmtId="41" fontId="59" fillId="69" borderId="0" xfId="211" applyNumberFormat="1" applyFont="1" applyFill="1"/>
    <xf numFmtId="183" fontId="59" fillId="0" borderId="0" xfId="59" applyNumberFormat="1" applyFont="1" applyAlignment="1">
      <alignment horizontal="right"/>
    </xf>
    <xf numFmtId="10" fontId="49" fillId="15" borderId="0" xfId="0" applyNumberFormat="1" applyFont="1" applyFill="1"/>
    <xf numFmtId="10" fontId="59" fillId="14" borderId="0" xfId="265" applyNumberFormat="1" applyFont="1" applyFill="1" applyAlignment="1" applyProtection="1">
      <alignment vertical="top"/>
      <protection locked="0"/>
    </xf>
    <xf numFmtId="10" fontId="59" fillId="14" borderId="0" xfId="265" applyNumberFormat="1" applyFont="1" applyFill="1" applyAlignment="1">
      <alignment horizontal="right"/>
    </xf>
    <xf numFmtId="41" fontId="59" fillId="15" borderId="0" xfId="211" applyNumberFormat="1" applyFont="1" applyFill="1"/>
    <xf numFmtId="43" fontId="59" fillId="15" borderId="10" xfId="59" applyFont="1" applyFill="1" applyBorder="1" applyAlignment="1">
      <alignment horizontal="left" wrapText="1"/>
    </xf>
    <xf numFmtId="0" fontId="49" fillId="15" borderId="0" xfId="9819" quotePrefix="1" applyNumberFormat="1" applyFont="1" applyFill="1" applyAlignment="1">
      <alignment horizontal="center"/>
    </xf>
    <xf numFmtId="175" fontId="49" fillId="15" borderId="0" xfId="587" applyNumberFormat="1" applyFont="1" applyFill="1" applyAlignment="1">
      <alignment horizontal="right"/>
    </xf>
    <xf numFmtId="175" fontId="49" fillId="15" borderId="0" xfId="587" applyNumberFormat="1" applyFont="1" applyFill="1" applyAlignment="1"/>
    <xf numFmtId="175" fontId="49" fillId="15" borderId="0" xfId="587" applyNumberFormat="1" applyFont="1" applyFill="1" applyAlignment="1">
      <alignment horizontal="left"/>
    </xf>
    <xf numFmtId="1" fontId="59" fillId="14" borderId="0" xfId="0" applyNumberFormat="1" applyFont="1" applyFill="1" applyAlignment="1" applyProtection="1">
      <alignment horizontal="center"/>
      <protection locked="0"/>
    </xf>
    <xf numFmtId="0" fontId="59" fillId="15" borderId="0" xfId="59" applyNumberFormat="1" applyFont="1" applyFill="1" applyBorder="1" applyAlignment="1"/>
    <xf numFmtId="0" fontId="59" fillId="0" borderId="0" xfId="9821" applyFont="1"/>
    <xf numFmtId="0" fontId="59" fillId="0" borderId="0" xfId="9821" applyFont="1" applyAlignment="1">
      <alignment horizontal="center"/>
    </xf>
    <xf numFmtId="0" fontId="49" fillId="0" borderId="0" xfId="9821" applyFont="1"/>
    <xf numFmtId="0" fontId="159" fillId="0" borderId="0" xfId="9821" applyFont="1" applyAlignment="1">
      <alignment horizontal="left"/>
    </xf>
    <xf numFmtId="0" fontId="26" fillId="0" borderId="0" xfId="9821" applyFont="1" applyAlignment="1">
      <alignment horizontal="right"/>
    </xf>
    <xf numFmtId="0" fontId="21" fillId="0" borderId="0" xfId="9820" applyFont="1"/>
    <xf numFmtId="0" fontId="44" fillId="0" borderId="0" xfId="9821" applyFont="1" applyAlignment="1">
      <alignment horizontal="center"/>
    </xf>
    <xf numFmtId="9" fontId="44" fillId="0" borderId="0" xfId="9821" quotePrefix="1" applyNumberFormat="1" applyFont="1" applyAlignment="1">
      <alignment horizontal="center"/>
    </xf>
    <xf numFmtId="9" fontId="44" fillId="0" borderId="0" xfId="9821" applyNumberFormat="1" applyFont="1" applyAlignment="1">
      <alignment horizontal="center"/>
    </xf>
    <xf numFmtId="0" fontId="160" fillId="0" borderId="0" xfId="9821" applyFont="1" applyAlignment="1">
      <alignment horizontal="center"/>
    </xf>
    <xf numFmtId="174" fontId="19" fillId="14" borderId="9" xfId="0" applyFont="1" applyFill="1" applyBorder="1"/>
    <xf numFmtId="0" fontId="44" fillId="0" borderId="9" xfId="9821" applyFont="1" applyBorder="1"/>
    <xf numFmtId="0" fontId="44" fillId="0" borderId="9" xfId="9821" applyFont="1" applyBorder="1" applyAlignment="1">
      <alignment vertical="center"/>
    </xf>
    <xf numFmtId="276" fontId="157" fillId="0" borderId="9" xfId="9821" applyNumberFormat="1" applyFont="1" applyBorder="1" applyAlignment="1">
      <alignment vertical="center"/>
    </xf>
    <xf numFmtId="0" fontId="44" fillId="0" borderId="0" xfId="9821" applyFont="1"/>
    <xf numFmtId="0" fontId="44" fillId="0" borderId="0" xfId="9820" applyFont="1"/>
    <xf numFmtId="0" fontId="44" fillId="15" borderId="9" xfId="9821" applyFont="1" applyFill="1" applyBorder="1"/>
    <xf numFmtId="0" fontId="158" fillId="0" borderId="0" xfId="9820" applyFont="1"/>
    <xf numFmtId="0" fontId="26" fillId="0" borderId="0" xfId="9821" applyFont="1"/>
    <xf numFmtId="0" fontId="161" fillId="0" borderId="0" xfId="9820" applyFont="1"/>
    <xf numFmtId="0" fontId="21" fillId="0" borderId="0" xfId="9820" applyFont="1" applyAlignment="1">
      <alignment horizontal="right"/>
    </xf>
    <xf numFmtId="0" fontId="21" fillId="0" borderId="0" xfId="9820" applyFont="1" applyAlignment="1">
      <alignment horizontal="center"/>
    </xf>
    <xf numFmtId="37" fontId="19" fillId="0" borderId="9" xfId="59" applyNumberFormat="1" applyFont="1" applyFill="1" applyBorder="1" applyAlignment="1">
      <alignment horizontal="right"/>
    </xf>
    <xf numFmtId="0" fontId="162" fillId="0" borderId="0" xfId="9821" applyFont="1"/>
    <xf numFmtId="0" fontId="44" fillId="0" borderId="0" xfId="9821" applyFont="1" applyAlignment="1">
      <alignment wrapText="1"/>
    </xf>
    <xf numFmtId="0" fontId="160" fillId="0" borderId="0" xfId="9821" applyFont="1" applyAlignment="1">
      <alignment wrapText="1"/>
    </xf>
    <xf numFmtId="0" fontId="28" fillId="14" borderId="9" xfId="9821" applyFont="1" applyFill="1" applyBorder="1" applyAlignment="1">
      <alignment horizontal="left"/>
    </xf>
    <xf numFmtId="276" fontId="157" fillId="0" borderId="9" xfId="9821" applyNumberFormat="1" applyFont="1" applyBorder="1"/>
    <xf numFmtId="0" fontId="158" fillId="0" borderId="0" xfId="187" applyFont="1" applyAlignment="1">
      <alignment horizontal="center"/>
    </xf>
    <xf numFmtId="0" fontId="26" fillId="0" borderId="0" xfId="9822" applyFont="1" applyAlignment="1">
      <alignment horizontal="center"/>
    </xf>
    <xf numFmtId="0" fontId="135" fillId="0" borderId="0" xfId="9822" applyFont="1" applyAlignment="1">
      <alignment horizontal="center"/>
    </xf>
    <xf numFmtId="0" fontId="18" fillId="0" borderId="0" xfId="9822" applyFont="1"/>
    <xf numFmtId="0" fontId="135" fillId="0" borderId="0" xfId="9822" applyFont="1"/>
    <xf numFmtId="0" fontId="19" fillId="0" borderId="0" xfId="9822" applyFont="1" applyAlignment="1">
      <alignment horizontal="center"/>
    </xf>
    <xf numFmtId="0" fontId="19" fillId="0" borderId="0" xfId="9822" applyFont="1"/>
    <xf numFmtId="0" fontId="19" fillId="0" borderId="1" xfId="9822" applyFont="1" applyBorder="1" applyAlignment="1">
      <alignment horizontal="center"/>
    </xf>
    <xf numFmtId="0" fontId="160" fillId="0" borderId="0" xfId="9822" applyFont="1"/>
    <xf numFmtId="0" fontId="19" fillId="0" borderId="0" xfId="9822" quotePrefix="1" applyFont="1" applyAlignment="1">
      <alignment horizontal="center"/>
    </xf>
    <xf numFmtId="0" fontId="19" fillId="15" borderId="0" xfId="9822" applyFont="1" applyFill="1" applyAlignment="1">
      <alignment wrapText="1"/>
    </xf>
    <xf numFmtId="41" fontId="19" fillId="0" borderId="0" xfId="9822" applyNumberFormat="1" applyFont="1"/>
    <xf numFmtId="0" fontId="19" fillId="0" borderId="0" xfId="9822" applyFont="1" applyAlignment="1">
      <alignment horizontal="right"/>
    </xf>
    <xf numFmtId="37" fontId="19" fillId="0" borderId="14" xfId="9822" applyNumberFormat="1" applyFont="1" applyBorder="1"/>
    <xf numFmtId="41" fontId="19" fillId="0" borderId="0" xfId="9823" applyFont="1" applyBorder="1"/>
    <xf numFmtId="37" fontId="19" fillId="0" borderId="0" xfId="9822" applyNumberFormat="1" applyFont="1"/>
    <xf numFmtId="0" fontId="44" fillId="0" borderId="0" xfId="9822" applyFont="1" applyAlignment="1">
      <alignment horizontal="center"/>
    </xf>
    <xf numFmtId="41" fontId="19" fillId="0" borderId="14" xfId="9822" applyNumberFormat="1" applyFont="1" applyBorder="1"/>
    <xf numFmtId="175" fontId="19" fillId="0" borderId="0" xfId="59" applyNumberFormat="1" applyFont="1" applyFill="1" applyBorder="1" applyAlignment="1">
      <alignment horizontal="center"/>
    </xf>
    <xf numFmtId="0" fontId="19" fillId="15" borderId="0" xfId="9822" applyFont="1" applyFill="1"/>
    <xf numFmtId="0" fontId="19" fillId="14" borderId="0" xfId="9822" applyFont="1" applyFill="1"/>
    <xf numFmtId="0" fontId="158" fillId="0" borderId="0" xfId="187" applyFont="1"/>
    <xf numFmtId="37" fontId="19" fillId="15" borderId="0" xfId="9822" applyNumberFormat="1" applyFont="1" applyFill="1"/>
    <xf numFmtId="43" fontId="19" fillId="15" borderId="0" xfId="59" applyFont="1" applyFill="1"/>
    <xf numFmtId="0" fontId="44" fillId="15" borderId="0" xfId="187" applyFont="1" applyFill="1"/>
    <xf numFmtId="175" fontId="19" fillId="0" borderId="14" xfId="59" applyNumberFormat="1" applyFont="1" applyBorder="1"/>
    <xf numFmtId="175" fontId="19" fillId="0" borderId="0" xfId="59" applyNumberFormat="1" applyFont="1" applyFill="1"/>
    <xf numFmtId="41" fontId="19" fillId="15" borderId="0" xfId="9822" applyNumberFormat="1" applyFont="1" applyFill="1"/>
    <xf numFmtId="0" fontId="44" fillId="15" borderId="0" xfId="9822" applyFont="1" applyFill="1"/>
    <xf numFmtId="37" fontId="19" fillId="0" borderId="14" xfId="59" applyNumberFormat="1" applyFont="1" applyBorder="1"/>
    <xf numFmtId="37" fontId="19" fillId="0" borderId="0" xfId="9822" applyNumberFormat="1" applyFont="1" applyAlignment="1">
      <alignment horizontal="right"/>
    </xf>
    <xf numFmtId="0" fontId="26" fillId="0" borderId="0" xfId="187" applyFont="1"/>
    <xf numFmtId="0" fontId="18" fillId="0" borderId="0" xfId="9821" applyFont="1" applyAlignment="1">
      <alignment horizontal="left"/>
    </xf>
    <xf numFmtId="37" fontId="44" fillId="0" borderId="0" xfId="187" applyNumberFormat="1" applyFont="1" applyAlignment="1">
      <alignment horizontal="right"/>
    </xf>
    <xf numFmtId="0" fontId="26" fillId="0" borderId="0" xfId="9821" applyFont="1" applyAlignment="1">
      <alignment horizontal="center"/>
    </xf>
    <xf numFmtId="0" fontId="21" fillId="0" borderId="0" xfId="187" applyFont="1"/>
    <xf numFmtId="0" fontId="44" fillId="0" borderId="9" xfId="9821" applyFont="1" applyBorder="1" applyAlignment="1">
      <alignment vertical="top"/>
    </xf>
    <xf numFmtId="276" fontId="157" fillId="0" borderId="9" xfId="9821" applyNumberFormat="1" applyFont="1" applyBorder="1" applyAlignment="1">
      <alignment vertical="top"/>
    </xf>
    <xf numFmtId="0" fontId="44" fillId="0" borderId="0" xfId="9821" applyFont="1" applyAlignment="1">
      <alignment vertical="top"/>
    </xf>
    <xf numFmtId="0" fontId="21" fillId="0" borderId="0" xfId="187" applyFont="1" applyAlignment="1">
      <alignment horizontal="center"/>
    </xf>
    <xf numFmtId="0" fontId="162" fillId="0" borderId="0" xfId="9821" applyFont="1" applyAlignment="1">
      <alignment horizontal="center"/>
    </xf>
    <xf numFmtId="37" fontId="19" fillId="0" borderId="9" xfId="537" applyNumberFormat="1" applyFont="1" applyFill="1" applyBorder="1" applyAlignment="1">
      <alignment horizontal="right" vertical="top"/>
    </xf>
    <xf numFmtId="0" fontId="18" fillId="0" borderId="0" xfId="187" applyFont="1"/>
    <xf numFmtId="37" fontId="44" fillId="0" borderId="0" xfId="9821" applyNumberFormat="1" applyFont="1" applyAlignment="1">
      <alignment vertical="top"/>
    </xf>
    <xf numFmtId="37" fontId="44" fillId="0" borderId="0" xfId="9821" applyNumberFormat="1" applyFont="1" applyAlignment="1">
      <alignment horizontal="center" vertical="top"/>
    </xf>
    <xf numFmtId="41" fontId="44" fillId="0" borderId="0" xfId="9821" quotePrefix="1" applyNumberFormat="1" applyFont="1" applyAlignment="1">
      <alignment horizontal="center"/>
    </xf>
    <xf numFmtId="37" fontId="44" fillId="0" borderId="0" xfId="9821" applyNumberFormat="1" applyFont="1" applyAlignment="1">
      <alignment horizontal="center"/>
    </xf>
    <xf numFmtId="0" fontId="163" fillId="0" borderId="0" xfId="9821" applyFont="1" applyAlignment="1">
      <alignment horizontal="center"/>
    </xf>
    <xf numFmtId="41" fontId="163" fillId="0" borderId="0" xfId="9821" quotePrefix="1" applyNumberFormat="1" applyFont="1" applyAlignment="1">
      <alignment horizontal="center"/>
    </xf>
    <xf numFmtId="37" fontId="160" fillId="0" borderId="0" xfId="9821" applyNumberFormat="1" applyFont="1" applyAlignment="1">
      <alignment vertical="top"/>
    </xf>
    <xf numFmtId="41" fontId="59" fillId="0" borderId="0" xfId="9826" applyFont="1" applyFill="1" applyBorder="1"/>
    <xf numFmtId="41" fontId="44" fillId="0" borderId="0" xfId="9821" applyNumberFormat="1" applyFont="1"/>
    <xf numFmtId="175" fontId="44" fillId="0" borderId="0" xfId="9821" applyNumberFormat="1" applyFont="1"/>
    <xf numFmtId="41" fontId="44" fillId="0" borderId="14" xfId="9821" applyNumberFormat="1" applyFont="1" applyBorder="1"/>
    <xf numFmtId="37" fontId="44" fillId="0" borderId="0" xfId="9821" applyNumberFormat="1" applyFont="1" applyAlignment="1">
      <alignment horizontal="right" vertical="top"/>
    </xf>
    <xf numFmtId="0" fontId="21" fillId="0" borderId="0" xfId="9821" applyFont="1"/>
    <xf numFmtId="0" fontId="66" fillId="0" borderId="0" xfId="9821" applyFont="1"/>
    <xf numFmtId="37" fontId="44" fillId="0" borderId="0" xfId="9821" applyNumberFormat="1" applyFont="1" applyAlignment="1">
      <alignment horizontal="right"/>
    </xf>
    <xf numFmtId="0" fontId="66" fillId="0" borderId="0" xfId="9821" applyFont="1" applyAlignment="1">
      <alignment horizontal="center"/>
    </xf>
    <xf numFmtId="0" fontId="59" fillId="15" borderId="16" xfId="9821" applyFont="1" applyFill="1" applyBorder="1"/>
    <xf numFmtId="0" fontId="59" fillId="15" borderId="7" xfId="9821" applyFont="1" applyFill="1" applyBorder="1"/>
    <xf numFmtId="0" fontId="59" fillId="15" borderId="44" xfId="9821" applyFont="1" applyFill="1" applyBorder="1"/>
    <xf numFmtId="0" fontId="44" fillId="0" borderId="0" xfId="210" applyNumberFormat="1" applyFont="1"/>
    <xf numFmtId="0" fontId="19" fillId="0" borderId="0" xfId="210" applyNumberFormat="1" applyFont="1"/>
    <xf numFmtId="3" fontId="19" fillId="0" borderId="0" xfId="210" applyNumberFormat="1" applyFont="1"/>
    <xf numFmtId="175" fontId="19" fillId="15" borderId="0" xfId="59" applyNumberFormat="1" applyFont="1" applyFill="1" applyAlignment="1">
      <alignment horizontal="right"/>
    </xf>
    <xf numFmtId="175" fontId="19" fillId="0" borderId="0" xfId="59" applyNumberFormat="1" applyFont="1" applyFill="1" applyAlignment="1">
      <alignment horizontal="right"/>
    </xf>
    <xf numFmtId="37" fontId="19" fillId="15" borderId="0" xfId="59" applyNumberFormat="1" applyFont="1" applyFill="1" applyAlignment="1">
      <alignment horizontal="right"/>
    </xf>
    <xf numFmtId="37" fontId="19" fillId="15" borderId="34" xfId="59" applyNumberFormat="1" applyFont="1" applyFill="1" applyBorder="1" applyAlignment="1">
      <alignment horizontal="right"/>
    </xf>
    <xf numFmtId="0" fontId="19" fillId="0" borderId="0" xfId="210" applyNumberFormat="1" applyFont="1" applyAlignment="1">
      <alignment horizontal="left"/>
    </xf>
    <xf numFmtId="10" fontId="19" fillId="15" borderId="0" xfId="265" applyNumberFormat="1" applyFont="1" applyFill="1" applyAlignment="1">
      <alignment horizontal="right"/>
    </xf>
    <xf numFmtId="37" fontId="19" fillId="0" borderId="0" xfId="59" applyNumberFormat="1" applyFont="1" applyFill="1" applyAlignment="1">
      <alignment horizontal="right"/>
    </xf>
    <xf numFmtId="175" fontId="19" fillId="15" borderId="34" xfId="59" applyNumberFormat="1" applyFont="1" applyFill="1" applyBorder="1" applyAlignment="1">
      <alignment horizontal="right"/>
    </xf>
    <xf numFmtId="41" fontId="19" fillId="0" borderId="0" xfId="9823" applyFont="1" applyFill="1" applyBorder="1"/>
    <xf numFmtId="174" fontId="66" fillId="0" borderId="0" xfId="0" applyFont="1" applyAlignment="1">
      <alignment vertical="top" wrapText="1"/>
    </xf>
    <xf numFmtId="174" fontId="66" fillId="0" borderId="0" xfId="0" applyFont="1" applyAlignment="1">
      <alignment vertical="top"/>
    </xf>
    <xf numFmtId="43" fontId="59" fillId="0" borderId="0" xfId="59" applyFont="1" applyFill="1" applyAlignment="1"/>
    <xf numFmtId="174" fontId="66" fillId="0" borderId="0" xfId="0" applyFont="1"/>
    <xf numFmtId="174" fontId="66" fillId="0" borderId="0" xfId="201" applyFont="1" applyAlignment="1">
      <alignment vertical="top"/>
    </xf>
    <xf numFmtId="3" fontId="66" fillId="0" borderId="10" xfId="201" applyNumberFormat="1" applyFont="1" applyBorder="1" applyAlignment="1">
      <alignment vertical="top"/>
    </xf>
    <xf numFmtId="3" fontId="66" fillId="0" borderId="0" xfId="201" applyNumberFormat="1" applyFont="1" applyAlignment="1">
      <alignment vertical="top"/>
    </xf>
    <xf numFmtId="174" fontId="66" fillId="0" borderId="10" xfId="201" applyFont="1" applyBorder="1" applyAlignment="1">
      <alignment vertical="top"/>
    </xf>
    <xf numFmtId="0" fontId="159" fillId="0" borderId="0" xfId="9821" applyFont="1" applyAlignment="1">
      <alignment vertical="top"/>
    </xf>
    <xf numFmtId="0" fontId="158" fillId="0" borderId="0" xfId="187" applyFont="1" applyAlignment="1">
      <alignment vertical="top"/>
    </xf>
    <xf numFmtId="0" fontId="66" fillId="0" borderId="0" xfId="187" applyFont="1" applyAlignment="1">
      <alignment vertical="top"/>
    </xf>
    <xf numFmtId="0" fontId="59" fillId="0" borderId="0" xfId="210" applyNumberFormat="1" applyFont="1" applyAlignment="1">
      <alignment horizontal="center" wrapText="1"/>
    </xf>
    <xf numFmtId="175" fontId="59" fillId="15" borderId="14" xfId="59" applyNumberFormat="1" applyFont="1" applyFill="1" applyBorder="1"/>
    <xf numFmtId="0" fontId="165" fillId="0" borderId="0" xfId="9821" applyFont="1" applyAlignment="1">
      <alignment vertical="top"/>
    </xf>
    <xf numFmtId="174" fontId="66" fillId="0" borderId="0" xfId="0" applyFont="1" applyAlignment="1">
      <alignment horizontal="left" vertical="top"/>
    </xf>
    <xf numFmtId="174" fontId="164" fillId="0" borderId="10" xfId="201" applyFont="1" applyBorder="1" applyAlignment="1">
      <alignment vertical="top"/>
    </xf>
    <xf numFmtId="174" fontId="164" fillId="0" borderId="0" xfId="201" applyFont="1" applyAlignment="1">
      <alignment vertical="top"/>
    </xf>
    <xf numFmtId="0" fontId="118" fillId="0" borderId="0" xfId="9821" applyFont="1" applyAlignment="1">
      <alignment vertical="top"/>
    </xf>
    <xf numFmtId="174" fontId="161" fillId="0" borderId="0" xfId="0" applyFont="1" applyAlignment="1" applyProtection="1">
      <alignment vertical="top"/>
      <protection locked="0"/>
    </xf>
    <xf numFmtId="174" fontId="118" fillId="0" borderId="0" xfId="0" applyFont="1" applyAlignment="1">
      <alignment vertical="top"/>
    </xf>
    <xf numFmtId="175" fontId="59" fillId="15" borderId="0" xfId="59" applyNumberFormat="1" applyFont="1" applyFill="1" applyBorder="1" applyAlignment="1"/>
    <xf numFmtId="3" fontId="59" fillId="0" borderId="9" xfId="201" applyNumberFormat="1" applyFont="1" applyBorder="1" applyAlignment="1">
      <alignment horizontal="center" wrapText="1"/>
    </xf>
    <xf numFmtId="174" fontId="59" fillId="15" borderId="0" xfId="201" applyFont="1" applyFill="1" applyAlignment="1">
      <alignment vertical="top"/>
    </xf>
    <xf numFmtId="174" fontId="59" fillId="15" borderId="0" xfId="201" applyFont="1" applyFill="1"/>
    <xf numFmtId="174" fontId="166" fillId="0" borderId="0" xfId="0" applyFont="1"/>
    <xf numFmtId="0" fontId="66" fillId="0" borderId="0" xfId="188" applyFont="1" applyAlignment="1">
      <alignment vertical="top"/>
    </xf>
    <xf numFmtId="42" fontId="59" fillId="0" borderId="18" xfId="206" applyNumberFormat="1" applyFont="1" applyBorder="1" applyAlignment="1" applyProtection="1">
      <alignment horizontal="right"/>
      <protection locked="0"/>
    </xf>
    <xf numFmtId="174" fontId="39" fillId="0" borderId="0" xfId="0" applyFont="1"/>
    <xf numFmtId="174" fontId="59" fillId="0" borderId="0" xfId="210" applyFont="1" applyAlignment="1">
      <alignment horizontal="left" wrapText="1"/>
    </xf>
    <xf numFmtId="3" fontId="59" fillId="0" borderId="0" xfId="210" applyNumberFormat="1" applyFont="1" applyAlignment="1">
      <alignment horizontal="left" wrapText="1"/>
    </xf>
    <xf numFmtId="0" fontId="59" fillId="0" borderId="8" xfId="210" applyNumberFormat="1" applyFont="1" applyBorder="1"/>
    <xf numFmtId="175" fontId="59" fillId="0" borderId="0" xfId="59" applyNumberFormat="1" applyFont="1" applyFill="1" applyAlignment="1">
      <alignment horizontal="center"/>
    </xf>
    <xf numFmtId="9" fontId="49" fillId="0" borderId="0" xfId="0" applyNumberFormat="1" applyFont="1"/>
    <xf numFmtId="0" fontId="59" fillId="0" borderId="0" xfId="188" applyFont="1" applyAlignment="1">
      <alignment horizontal="center" vertical="top" wrapText="1"/>
    </xf>
    <xf numFmtId="174" fontId="59" fillId="0" borderId="0" xfId="210" applyFont="1" applyAlignment="1">
      <alignment horizontal="center" vertical="top" wrapText="1"/>
    </xf>
    <xf numFmtId="177" fontId="66" fillId="0" borderId="0" xfId="201" quotePrefix="1" applyNumberFormat="1" applyFont="1" applyAlignment="1">
      <alignment horizontal="center"/>
    </xf>
    <xf numFmtId="3" fontId="59" fillId="0" borderId="7" xfId="201" applyNumberFormat="1" applyFont="1" applyBorder="1" applyAlignment="1">
      <alignment horizontal="center"/>
    </xf>
    <xf numFmtId="174" fontId="59" fillId="0" borderId="7" xfId="201" applyFont="1" applyBorder="1"/>
    <xf numFmtId="174" fontId="49" fillId="0" borderId="0" xfId="210" applyFont="1" applyAlignment="1">
      <alignment wrapText="1"/>
    </xf>
    <xf numFmtId="176" fontId="59" fillId="15" borderId="10" xfId="93" applyNumberFormat="1" applyFont="1" applyFill="1" applyBorder="1"/>
    <xf numFmtId="43" fontId="59" fillId="0" borderId="10" xfId="59" applyFont="1" applyFill="1" applyBorder="1" applyAlignment="1">
      <alignment horizontal="center"/>
    </xf>
    <xf numFmtId="0" fontId="49" fillId="0" borderId="0" xfId="0" applyNumberFormat="1" applyFont="1" applyAlignment="1">
      <alignment horizontal="center"/>
    </xf>
    <xf numFmtId="174" fontId="49" fillId="0" borderId="0" xfId="0" applyFont="1" applyAlignment="1">
      <alignment horizontal="right"/>
    </xf>
    <xf numFmtId="175" fontId="49" fillId="0" borderId="0" xfId="85" applyNumberFormat="1" applyFont="1" applyAlignment="1">
      <alignment horizontal="center"/>
    </xf>
    <xf numFmtId="0" fontId="49" fillId="0" borderId="0" xfId="190" applyFont="1"/>
    <xf numFmtId="175" fontId="118" fillId="0" borderId="22" xfId="59" applyNumberFormat="1" applyFont="1" applyFill="1" applyBorder="1" applyAlignment="1">
      <alignment horizontal="center"/>
    </xf>
    <xf numFmtId="175" fontId="118" fillId="0" borderId="10" xfId="59" applyNumberFormat="1" applyFont="1" applyFill="1" applyBorder="1" applyAlignment="1"/>
    <xf numFmtId="175" fontId="118" fillId="0" borderId="0" xfId="59" applyNumberFormat="1" applyFont="1" applyFill="1" applyBorder="1" applyAlignment="1"/>
    <xf numFmtId="0" fontId="118" fillId="0" borderId="0" xfId="0" applyNumberFormat="1" applyFont="1" applyAlignment="1">
      <alignment horizontal="center"/>
    </xf>
    <xf numFmtId="174" fontId="118" fillId="0" borderId="1" xfId="0" applyFont="1" applyBorder="1" applyAlignment="1">
      <alignment horizontal="center"/>
    </xf>
    <xf numFmtId="0" fontId="118" fillId="0" borderId="1" xfId="0" applyNumberFormat="1" applyFont="1" applyBorder="1" applyAlignment="1">
      <alignment horizontal="center"/>
    </xf>
    <xf numFmtId="175" fontId="49" fillId="0" borderId="1" xfId="59" applyNumberFormat="1" applyFont="1" applyFill="1" applyBorder="1" applyAlignment="1"/>
    <xf numFmtId="175" fontId="49" fillId="0" borderId="45" xfId="59" applyNumberFormat="1" applyFont="1" applyBorder="1" applyAlignment="1"/>
    <xf numFmtId="7" fontId="167" fillId="0" borderId="0" xfId="183" applyFont="1"/>
    <xf numFmtId="0" fontId="0" fillId="0" borderId="0" xfId="0" applyNumberFormat="1"/>
    <xf numFmtId="0" fontId="118" fillId="0" borderId="0" xfId="86" applyNumberFormat="1" applyFont="1" applyFill="1" applyAlignment="1">
      <alignment vertical="top"/>
    </xf>
    <xf numFmtId="0" fontId="26" fillId="0" borderId="0" xfId="450" applyFont="1"/>
    <xf numFmtId="0" fontId="19" fillId="0" borderId="0" xfId="9821" applyAlignment="1">
      <alignment horizontal="center"/>
    </xf>
    <xf numFmtId="0" fontId="19" fillId="0" borderId="0" xfId="9821"/>
    <xf numFmtId="0" fontId="44" fillId="0" borderId="0" xfId="9821" applyFont="1" applyAlignment="1">
      <alignment horizontal="left"/>
    </xf>
    <xf numFmtId="0" fontId="19" fillId="14" borderId="9" xfId="9821" applyFill="1" applyBorder="1"/>
    <xf numFmtId="37" fontId="19" fillId="14" borderId="9" xfId="9821" applyNumberFormat="1" applyFill="1" applyBorder="1"/>
    <xf numFmtId="37" fontId="19" fillId="14" borderId="9" xfId="9821" applyNumberFormat="1" applyFill="1" applyBorder="1" applyAlignment="1">
      <alignment horizontal="center" vertical="top"/>
    </xf>
    <xf numFmtId="0" fontId="19" fillId="14" borderId="9" xfId="9821" applyFill="1" applyBorder="1" applyAlignment="1">
      <alignment vertical="top" wrapText="1"/>
    </xf>
    <xf numFmtId="0" fontId="19" fillId="14" borderId="9" xfId="9821" applyFill="1" applyBorder="1" applyAlignment="1">
      <alignment vertical="top"/>
    </xf>
    <xf numFmtId="37" fontId="19" fillId="14" borderId="9" xfId="9821" applyNumberFormat="1" applyFill="1" applyBorder="1" applyAlignment="1">
      <alignment horizontal="center"/>
    </xf>
    <xf numFmtId="37" fontId="19" fillId="14" borderId="9" xfId="9821" applyNumberFormat="1" applyFill="1" applyBorder="1" applyAlignment="1">
      <alignment vertical="top"/>
    </xf>
    <xf numFmtId="37" fontId="19" fillId="0" borderId="9" xfId="9821" applyNumberFormat="1" applyBorder="1"/>
    <xf numFmtId="0" fontId="19" fillId="0" borderId="9" xfId="9821" applyBorder="1"/>
    <xf numFmtId="37" fontId="19" fillId="15" borderId="9" xfId="9821" applyNumberFormat="1" applyFill="1" applyBorder="1"/>
    <xf numFmtId="0" fontId="19" fillId="15" borderId="9" xfId="9821" applyFill="1" applyBorder="1"/>
    <xf numFmtId="37" fontId="19" fillId="0" borderId="9" xfId="9821" applyNumberFormat="1" applyBorder="1" applyAlignment="1">
      <alignment vertical="center"/>
    </xf>
    <xf numFmtId="0" fontId="19" fillId="0" borderId="22" xfId="9821" applyBorder="1"/>
    <xf numFmtId="37" fontId="19" fillId="0" borderId="16" xfId="9821" applyNumberFormat="1" applyBorder="1"/>
    <xf numFmtId="37" fontId="19" fillId="0" borderId="4" xfId="9821" applyNumberFormat="1" applyBorder="1"/>
    <xf numFmtId="37" fontId="19" fillId="0" borderId="0" xfId="9821" applyNumberFormat="1"/>
    <xf numFmtId="0" fontId="19" fillId="0" borderId="0" xfId="9821" applyAlignment="1">
      <alignment horizontal="left"/>
    </xf>
    <xf numFmtId="41" fontId="19" fillId="14" borderId="9" xfId="9821" applyNumberFormat="1" applyFill="1" applyBorder="1"/>
    <xf numFmtId="37" fontId="19" fillId="14" borderId="9" xfId="59" applyNumberFormat="1" applyFont="1" applyFill="1" applyBorder="1" applyAlignment="1"/>
    <xf numFmtId="0" fontId="19" fillId="15" borderId="9" xfId="9821" applyFill="1" applyBorder="1" applyAlignment="1">
      <alignment wrapText="1"/>
    </xf>
    <xf numFmtId="175" fontId="19" fillId="14" borderId="9" xfId="59" applyNumberFormat="1" applyFont="1" applyFill="1" applyBorder="1" applyAlignment="1"/>
    <xf numFmtId="0" fontId="19" fillId="14" borderId="9" xfId="9821" applyFill="1" applyBorder="1" applyAlignment="1">
      <alignment wrapText="1"/>
    </xf>
    <xf numFmtId="41" fontId="19" fillId="14" borderId="9" xfId="9821" applyNumberFormat="1" applyFill="1" applyBorder="1" applyAlignment="1">
      <alignment vertical="top"/>
    </xf>
    <xf numFmtId="175" fontId="19" fillId="14" borderId="9" xfId="9821" applyNumberFormat="1" applyFill="1" applyBorder="1"/>
    <xf numFmtId="175" fontId="19" fillId="14" borderId="9" xfId="9821" applyNumberFormat="1" applyFill="1" applyBorder="1" applyAlignment="1">
      <alignment vertical="top"/>
    </xf>
    <xf numFmtId="41" fontId="19" fillId="0" borderId="0" xfId="9821" applyNumberFormat="1"/>
    <xf numFmtId="0" fontId="19" fillId="0" borderId="0" xfId="9820"/>
    <xf numFmtId="0" fontId="19" fillId="14" borderId="9" xfId="9820" applyFill="1" applyBorder="1"/>
    <xf numFmtId="0" fontId="19" fillId="0" borderId="9" xfId="9821" applyBorder="1" applyAlignment="1">
      <alignment wrapText="1"/>
    </xf>
    <xf numFmtId="0" fontId="19" fillId="0" borderId="0" xfId="9821" applyAlignment="1">
      <alignment wrapText="1"/>
    </xf>
    <xf numFmtId="0" fontId="59" fillId="0" borderId="1" xfId="0" applyNumberFormat="1" applyFont="1" applyBorder="1" applyAlignment="1">
      <alignment horizontal="left"/>
    </xf>
    <xf numFmtId="0" fontId="59" fillId="0" borderId="0" xfId="0" applyNumberFormat="1" applyFont="1" applyAlignment="1">
      <alignment horizontal="left"/>
    </xf>
    <xf numFmtId="0" fontId="44" fillId="0" borderId="0" xfId="9822" applyFont="1" applyAlignment="1">
      <alignment vertical="top"/>
    </xf>
    <xf numFmtId="41" fontId="19" fillId="15" borderId="0" xfId="9821" applyNumberFormat="1" applyFill="1"/>
    <xf numFmtId="37" fontId="19" fillId="15" borderId="0" xfId="9821" applyNumberFormat="1" applyFill="1"/>
    <xf numFmtId="174" fontId="39" fillId="0" borderId="0" xfId="201"/>
    <xf numFmtId="0" fontId="49" fillId="0" borderId="0" xfId="0" applyNumberFormat="1" applyFont="1" applyAlignment="1">
      <alignment horizontal="right"/>
    </xf>
    <xf numFmtId="174" fontId="168" fillId="0" borderId="0" xfId="0" applyFont="1" applyAlignment="1">
      <alignment horizontal="left" vertical="center"/>
    </xf>
    <xf numFmtId="174" fontId="169" fillId="0" borderId="0" xfId="201" applyFont="1" applyAlignment="1">
      <alignment horizontal="center"/>
    </xf>
    <xf numFmtId="37" fontId="39" fillId="0" borderId="0" xfId="201" applyNumberFormat="1"/>
    <xf numFmtId="3" fontId="157" fillId="0" borderId="0" xfId="451" applyNumberFormat="1" applyFont="1" applyAlignment="1">
      <alignment horizontal="center" wrapText="1"/>
    </xf>
    <xf numFmtId="174" fontId="170" fillId="0" borderId="46" xfId="201" applyFont="1" applyBorder="1" applyAlignment="1">
      <alignment horizontal="center"/>
    </xf>
    <xf numFmtId="37" fontId="39" fillId="0" borderId="6" xfId="201" applyNumberFormat="1" applyBorder="1"/>
    <xf numFmtId="174" fontId="39" fillId="0" borderId="48" xfId="201" applyBorder="1"/>
    <xf numFmtId="174" fontId="39" fillId="0" borderId="24" xfId="201" applyBorder="1"/>
    <xf numFmtId="174" fontId="39" fillId="0" borderId="49" xfId="201" applyBorder="1"/>
    <xf numFmtId="174" fontId="170" fillId="0" borderId="50" xfId="201" applyFont="1" applyBorder="1" applyAlignment="1">
      <alignment wrapText="1"/>
    </xf>
    <xf numFmtId="174" fontId="170" fillId="0" borderId="0" xfId="201" applyFont="1" applyAlignment="1">
      <alignment horizontal="left" indent="2"/>
    </xf>
    <xf numFmtId="174" fontId="169" fillId="0" borderId="0" xfId="201" applyFont="1" applyAlignment="1">
      <alignment horizontal="center" wrapText="1"/>
    </xf>
    <xf numFmtId="174" fontId="170" fillId="0" borderId="0" xfId="201" applyFont="1" applyAlignment="1">
      <alignment horizontal="center" wrapText="1"/>
    </xf>
    <xf numFmtId="174" fontId="170" fillId="0" borderId="51" xfId="201" applyFont="1" applyBorder="1" applyAlignment="1">
      <alignment horizontal="center" wrapText="1"/>
    </xf>
    <xf numFmtId="174" fontId="39" fillId="0" borderId="0" xfId="201" quotePrefix="1" applyAlignment="1">
      <alignment horizontal="center"/>
    </xf>
    <xf numFmtId="37" fontId="39" fillId="15" borderId="50" xfId="201" applyNumberFormat="1" applyFill="1" applyBorder="1"/>
    <xf numFmtId="37" fontId="39" fillId="15" borderId="0" xfId="201" applyNumberFormat="1" applyFill="1"/>
    <xf numFmtId="37" fontId="39" fillId="0" borderId="51" xfId="201" applyNumberFormat="1" applyBorder="1"/>
    <xf numFmtId="37" fontId="39" fillId="0" borderId="50" xfId="201" applyNumberFormat="1" applyBorder="1"/>
    <xf numFmtId="37" fontId="170" fillId="0" borderId="50" xfId="201" applyNumberFormat="1" applyFont="1" applyBorder="1" applyAlignment="1">
      <alignment wrapText="1"/>
    </xf>
    <xf numFmtId="37" fontId="170" fillId="0" borderId="0" xfId="201" applyNumberFormat="1" applyFont="1"/>
    <xf numFmtId="37" fontId="170" fillId="0" borderId="50" xfId="201" applyNumberFormat="1" applyFont="1" applyBorder="1"/>
    <xf numFmtId="175" fontId="169" fillId="0" borderId="0" xfId="59" applyNumberFormat="1" applyFont="1" applyBorder="1"/>
    <xf numFmtId="174" fontId="39" fillId="0" borderId="12" xfId="201" applyBorder="1"/>
    <xf numFmtId="37" fontId="170" fillId="0" borderId="52" xfId="201" applyNumberFormat="1" applyFont="1" applyBorder="1"/>
    <xf numFmtId="37" fontId="39" fillId="0" borderId="8" xfId="201" applyNumberFormat="1" applyBorder="1"/>
    <xf numFmtId="37" fontId="170" fillId="0" borderId="8" xfId="201" applyNumberFormat="1" applyFont="1" applyBorder="1"/>
    <xf numFmtId="37" fontId="39" fillId="0" borderId="53" xfId="201" applyNumberFormat="1" applyBorder="1"/>
    <xf numFmtId="174" fontId="170" fillId="0" borderId="0" xfId="201" applyFont="1" applyAlignment="1">
      <alignment wrapText="1"/>
    </xf>
    <xf numFmtId="175" fontId="170" fillId="0" borderId="0" xfId="83" applyNumberFormat="1" applyFont="1" applyFill="1"/>
    <xf numFmtId="43" fontId="39" fillId="0" borderId="0" xfId="201" applyNumberFormat="1"/>
    <xf numFmtId="174" fontId="169" fillId="0" borderId="1" xfId="201" applyFont="1" applyBorder="1"/>
    <xf numFmtId="174" fontId="169" fillId="0" borderId="1" xfId="201" applyFont="1" applyBorder="1" applyAlignment="1">
      <alignment horizontal="center" wrapText="1"/>
    </xf>
    <xf numFmtId="0" fontId="169" fillId="0" borderId="1" xfId="451" applyFont="1" applyBorder="1" applyAlignment="1">
      <alignment horizontal="center" wrapText="1"/>
    </xf>
    <xf numFmtId="0" fontId="19" fillId="0" borderId="1" xfId="451" applyBorder="1" applyAlignment="1">
      <alignment horizontal="center" wrapText="1"/>
    </xf>
    <xf numFmtId="174" fontId="39" fillId="0" borderId="0" xfId="201" applyAlignment="1">
      <alignment horizontal="center"/>
    </xf>
    <xf numFmtId="174" fontId="169" fillId="0" borderId="0" xfId="201" applyFont="1"/>
    <xf numFmtId="175" fontId="169" fillId="15" borderId="0" xfId="59" applyNumberFormat="1" applyFont="1" applyFill="1"/>
    <xf numFmtId="175" fontId="39" fillId="0" borderId="0" xfId="201" applyNumberFormat="1"/>
    <xf numFmtId="175" fontId="170" fillId="0" borderId="0" xfId="201" applyNumberFormat="1" applyFont="1"/>
    <xf numFmtId="175" fontId="169" fillId="0" borderId="0" xfId="59" applyNumberFormat="1" applyFont="1"/>
    <xf numFmtId="174" fontId="170" fillId="0" borderId="0" xfId="201" applyFont="1"/>
    <xf numFmtId="174" fontId="170" fillId="0" borderId="0" xfId="201" applyFont="1" applyAlignment="1">
      <alignment vertical="top"/>
    </xf>
    <xf numFmtId="174" fontId="170" fillId="0" borderId="0" xfId="201" applyFont="1" applyAlignment="1">
      <alignment horizontal="center"/>
    </xf>
    <xf numFmtId="175" fontId="169" fillId="0" borderId="0" xfId="59" applyNumberFormat="1" applyFont="1" applyFill="1" applyBorder="1"/>
    <xf numFmtId="37" fontId="169" fillId="15" borderId="0" xfId="201" applyNumberFormat="1" applyFont="1" applyFill="1"/>
    <xf numFmtId="174" fontId="39" fillId="0" borderId="53" xfId="201" applyBorder="1"/>
    <xf numFmtId="0" fontId="49" fillId="0" borderId="0" xfId="0" applyNumberFormat="1" applyFont="1" applyAlignment="1">
      <alignment horizontal="left"/>
    </xf>
    <xf numFmtId="175" fontId="169" fillId="0" borderId="0" xfId="59" applyNumberFormat="1" applyFont="1" applyFill="1"/>
    <xf numFmtId="43" fontId="169" fillId="0" borderId="0" xfId="59" applyFont="1"/>
    <xf numFmtId="174" fontId="169" fillId="0" borderId="0" xfId="201" applyFont="1" applyAlignment="1">
      <alignment wrapText="1"/>
    </xf>
    <xf numFmtId="0" fontId="19" fillId="0" borderId="0" xfId="187"/>
    <xf numFmtId="0" fontId="19" fillId="14" borderId="9" xfId="9820" applyFill="1" applyBorder="1" applyAlignment="1">
      <alignment vertical="top" wrapText="1"/>
    </xf>
    <xf numFmtId="41" fontId="19" fillId="15" borderId="9" xfId="9821" applyNumberFormat="1" applyFill="1" applyBorder="1" applyAlignment="1">
      <alignment vertical="top"/>
    </xf>
    <xf numFmtId="41" fontId="19" fillId="15" borderId="9" xfId="9821" applyNumberFormat="1" applyFill="1" applyBorder="1" applyAlignment="1">
      <alignment horizontal="right" vertical="top"/>
    </xf>
    <xf numFmtId="41" fontId="19" fillId="15" borderId="9" xfId="9821" applyNumberFormat="1" applyFill="1" applyBorder="1" applyAlignment="1">
      <alignment horizontal="center" vertical="top"/>
    </xf>
    <xf numFmtId="41" fontId="19" fillId="14" borderId="9" xfId="9821" applyNumberFormat="1" applyFill="1" applyBorder="1" applyAlignment="1">
      <alignment horizontal="center" vertical="top"/>
    </xf>
    <xf numFmtId="0" fontId="19" fillId="15" borderId="9" xfId="9821" applyFill="1" applyBorder="1" applyAlignment="1">
      <alignment vertical="top"/>
    </xf>
    <xf numFmtId="41" fontId="19" fillId="14" borderId="9" xfId="9821" applyNumberFormat="1" applyFill="1" applyBorder="1" applyAlignment="1">
      <alignment horizontal="right" vertical="top"/>
    </xf>
    <xf numFmtId="37" fontId="19" fillId="15" borderId="9" xfId="9821" applyNumberFormat="1" applyFill="1" applyBorder="1" applyAlignment="1">
      <alignment horizontal="right" vertical="top"/>
    </xf>
    <xf numFmtId="0" fontId="19" fillId="0" borderId="9" xfId="9821" applyBorder="1" applyAlignment="1">
      <alignment vertical="top"/>
    </xf>
    <xf numFmtId="175" fontId="19" fillId="0" borderId="9" xfId="9821" applyNumberFormat="1" applyBorder="1" applyAlignment="1">
      <alignment vertical="top"/>
    </xf>
    <xf numFmtId="41" fontId="19" fillId="0" borderId="9" xfId="9821" applyNumberFormat="1" applyBorder="1" applyAlignment="1">
      <alignment horizontal="right" vertical="top"/>
    </xf>
    <xf numFmtId="37" fontId="19" fillId="0" borderId="0" xfId="9821" applyNumberFormat="1" applyAlignment="1">
      <alignment vertical="top"/>
    </xf>
    <xf numFmtId="41" fontId="19" fillId="0" borderId="9" xfId="9821" applyNumberFormat="1" applyBorder="1" applyAlignment="1">
      <alignment vertical="top"/>
    </xf>
    <xf numFmtId="37" fontId="19" fillId="0" borderId="9" xfId="9821" applyNumberFormat="1" applyBorder="1" applyAlignment="1">
      <alignment vertical="top"/>
    </xf>
    <xf numFmtId="0" fontId="19" fillId="0" borderId="22" xfId="9821" applyBorder="1" applyAlignment="1">
      <alignment vertical="top"/>
    </xf>
    <xf numFmtId="37" fontId="19" fillId="0" borderId="16" xfId="9821" applyNumberFormat="1" applyBorder="1" applyAlignment="1">
      <alignment vertical="top"/>
    </xf>
    <xf numFmtId="37" fontId="19" fillId="0" borderId="4" xfId="9821" applyNumberFormat="1" applyBorder="1" applyAlignment="1">
      <alignment vertical="top"/>
    </xf>
    <xf numFmtId="0" fontId="19" fillId="0" borderId="0" xfId="9821" applyAlignment="1">
      <alignment vertical="top"/>
    </xf>
    <xf numFmtId="177" fontId="19" fillId="14" borderId="9" xfId="9821" applyNumberFormat="1" applyFill="1" applyBorder="1" applyAlignment="1">
      <alignment horizontal="center" vertical="top"/>
    </xf>
    <xf numFmtId="37" fontId="19" fillId="15" borderId="9" xfId="9821" applyNumberFormat="1" applyFill="1" applyBorder="1" applyAlignment="1">
      <alignment vertical="top"/>
    </xf>
    <xf numFmtId="0" fontId="19" fillId="14" borderId="9" xfId="187" applyFill="1" applyBorder="1" applyAlignment="1">
      <alignment vertical="top" wrapText="1"/>
    </xf>
    <xf numFmtId="0" fontId="19" fillId="15" borderId="9" xfId="187" applyFill="1" applyBorder="1" applyAlignment="1">
      <alignment vertical="top" wrapText="1"/>
    </xf>
    <xf numFmtId="37" fontId="19" fillId="0" borderId="0" xfId="9821" applyNumberFormat="1" applyAlignment="1">
      <alignment horizontal="center" vertical="top"/>
    </xf>
    <xf numFmtId="37" fontId="163" fillId="0" borderId="0" xfId="9821" applyNumberFormat="1" applyFont="1" applyAlignment="1">
      <alignment horizontal="center"/>
    </xf>
    <xf numFmtId="41" fontId="19" fillId="15" borderId="9" xfId="9821" applyNumberFormat="1" applyFill="1" applyBorder="1"/>
    <xf numFmtId="0" fontId="19" fillId="15" borderId="16" xfId="9821" applyFill="1" applyBorder="1"/>
    <xf numFmtId="0" fontId="19" fillId="15" borderId="7" xfId="9821" applyFill="1" applyBorder="1"/>
    <xf numFmtId="0" fontId="19" fillId="15" borderId="44" xfId="9821" applyFill="1" applyBorder="1"/>
    <xf numFmtId="0" fontId="19" fillId="15" borderId="0" xfId="9821" applyFill="1"/>
    <xf numFmtId="175" fontId="19" fillId="0" borderId="0" xfId="9821" applyNumberFormat="1"/>
    <xf numFmtId="0" fontId="19" fillId="14" borderId="0" xfId="9821" applyFill="1" applyAlignment="1">
      <alignment vertical="top"/>
    </xf>
    <xf numFmtId="41" fontId="19" fillId="14" borderId="0" xfId="9821" applyNumberFormat="1" applyFill="1" applyAlignment="1">
      <alignment vertical="top"/>
    </xf>
    <xf numFmtId="41" fontId="19" fillId="0" borderId="0" xfId="9821" applyNumberFormat="1" applyAlignment="1">
      <alignment vertical="top"/>
    </xf>
    <xf numFmtId="37" fontId="19" fillId="14" borderId="0" xfId="9821" applyNumberFormat="1" applyFill="1" applyAlignment="1">
      <alignment vertical="top"/>
    </xf>
    <xf numFmtId="175" fontId="19" fillId="0" borderId="14" xfId="9821" applyNumberFormat="1" applyBorder="1"/>
    <xf numFmtId="37" fontId="19" fillId="0" borderId="14" xfId="9821" applyNumberFormat="1" applyBorder="1"/>
    <xf numFmtId="174" fontId="171" fillId="0" borderId="0" xfId="0" applyFont="1" applyAlignment="1">
      <alignment horizontal="center" vertical="center"/>
    </xf>
    <xf numFmtId="174" fontId="171" fillId="0" borderId="0" xfId="0" applyFont="1" applyAlignment="1">
      <alignment vertical="center"/>
    </xf>
    <xf numFmtId="174" fontId="168" fillId="0" borderId="0" xfId="0" applyFont="1" applyAlignment="1">
      <alignment horizontal="center" vertical="center"/>
    </xf>
    <xf numFmtId="49" fontId="171" fillId="0" borderId="0" xfId="0" applyNumberFormat="1" applyFont="1" applyAlignment="1">
      <alignment horizontal="center" vertical="center"/>
    </xf>
    <xf numFmtId="174" fontId="172" fillId="0" borderId="0" xfId="0" applyFont="1" applyAlignment="1">
      <alignment horizontal="right" vertical="center"/>
    </xf>
    <xf numFmtId="174" fontId="172" fillId="0" borderId="0" xfId="0" applyFont="1" applyAlignment="1">
      <alignment horizontal="center" vertical="center"/>
    </xf>
    <xf numFmtId="0" fontId="172" fillId="0" borderId="0" xfId="0" applyNumberFormat="1" applyFont="1" applyAlignment="1">
      <alignment horizontal="center" vertical="center"/>
    </xf>
    <xf numFmtId="174" fontId="168" fillId="0" borderId="0" xfId="0" applyFont="1" applyAlignment="1">
      <alignment vertical="center" wrapText="1"/>
    </xf>
    <xf numFmtId="0" fontId="171" fillId="15" borderId="0" xfId="0" applyNumberFormat="1" applyFont="1" applyFill="1" applyAlignment="1">
      <alignment vertical="center"/>
    </xf>
    <xf numFmtId="175" fontId="172" fillId="0" borderId="0" xfId="59" applyNumberFormat="1" applyFont="1" applyFill="1" applyAlignment="1">
      <alignment horizontal="center" vertical="center"/>
    </xf>
    <xf numFmtId="174" fontId="171" fillId="0" borderId="0" xfId="0" applyFont="1" applyAlignment="1">
      <alignment vertical="top"/>
    </xf>
    <xf numFmtId="0" fontId="171" fillId="0" borderId="0" xfId="0" applyNumberFormat="1" applyFont="1" applyAlignment="1">
      <alignment vertical="center"/>
    </xf>
    <xf numFmtId="174" fontId="168" fillId="0" borderId="0" xfId="0" applyFont="1" applyAlignment="1">
      <alignment vertical="center"/>
    </xf>
    <xf numFmtId="170" fontId="171" fillId="0" borderId="0" xfId="0" applyNumberFormat="1" applyFont="1" applyAlignment="1">
      <alignment vertical="center"/>
    </xf>
    <xf numFmtId="175" fontId="172" fillId="0" borderId="0" xfId="59" applyNumberFormat="1" applyFont="1" applyAlignment="1">
      <alignment horizontal="center" vertical="center"/>
    </xf>
    <xf numFmtId="164" fontId="171" fillId="0" borderId="0" xfId="265" applyNumberFormat="1" applyFont="1" applyAlignment="1">
      <alignment horizontal="center" vertical="center"/>
    </xf>
    <xf numFmtId="0" fontId="26" fillId="0" borderId="0" xfId="622" applyFont="1"/>
    <xf numFmtId="0" fontId="21" fillId="0" borderId="0" xfId="622" applyFont="1"/>
    <xf numFmtId="0" fontId="21" fillId="0" borderId="0" xfId="622" applyFont="1" applyAlignment="1">
      <alignment horizontal="left"/>
    </xf>
    <xf numFmtId="0" fontId="26" fillId="0" borderId="19" xfId="622" applyFont="1" applyBorder="1"/>
    <xf numFmtId="0" fontId="21" fillId="0" borderId="45" xfId="622" applyFont="1" applyBorder="1" applyAlignment="1">
      <alignment horizontal="left"/>
    </xf>
    <xf numFmtId="0" fontId="21" fillId="0" borderId="20" xfId="622" applyFont="1" applyBorder="1" applyAlignment="1">
      <alignment horizontal="left"/>
    </xf>
    <xf numFmtId="0" fontId="26" fillId="0" borderId="10" xfId="622" applyFont="1" applyBorder="1"/>
    <xf numFmtId="0" fontId="21" fillId="0" borderId="12" xfId="622" applyFont="1" applyBorder="1" applyAlignment="1">
      <alignment horizontal="left"/>
    </xf>
    <xf numFmtId="0" fontId="21" fillId="0" borderId="46" xfId="622" applyFont="1" applyBorder="1"/>
    <xf numFmtId="14" fontId="21" fillId="15" borderId="47" xfId="622" applyNumberFormat="1" applyFont="1" applyFill="1" applyBorder="1"/>
    <xf numFmtId="0" fontId="26" fillId="0" borderId="0" xfId="622" applyFont="1" applyAlignment="1">
      <alignment horizontal="left"/>
    </xf>
    <xf numFmtId="0" fontId="21" fillId="0" borderId="10" xfId="622" applyFont="1" applyBorder="1" applyAlignment="1">
      <alignment horizontal="center"/>
    </xf>
    <xf numFmtId="0" fontId="21" fillId="0" borderId="0" xfId="622" applyFont="1" applyAlignment="1">
      <alignment horizontal="center"/>
    </xf>
    <xf numFmtId="0" fontId="21" fillId="0" borderId="0" xfId="622" quotePrefix="1" applyFont="1" applyAlignment="1">
      <alignment horizontal="center"/>
    </xf>
    <xf numFmtId="0" fontId="21" fillId="0" borderId="12" xfId="622" applyFont="1" applyBorder="1" applyAlignment="1">
      <alignment horizontal="center"/>
    </xf>
    <xf numFmtId="0" fontId="26" fillId="0" borderId="0" xfId="622" applyFont="1" applyAlignment="1">
      <alignment horizontal="center"/>
    </xf>
    <xf numFmtId="0" fontId="26" fillId="0" borderId="12" xfId="622" applyFont="1" applyBorder="1"/>
    <xf numFmtId="176" fontId="26" fillId="0" borderId="0" xfId="622" applyNumberFormat="1" applyFont="1"/>
    <xf numFmtId="10" fontId="174" fillId="0" borderId="0" xfId="622" applyNumberFormat="1" applyFont="1" applyAlignment="1">
      <alignment horizontal="left"/>
    </xf>
    <xf numFmtId="10" fontId="25" fillId="0" borderId="0" xfId="622" applyNumberFormat="1" applyFont="1" applyAlignment="1">
      <alignment horizontal="left"/>
    </xf>
    <xf numFmtId="0" fontId="175" fillId="0" borderId="0" xfId="622" applyFont="1" applyAlignment="1">
      <alignment horizontal="center"/>
    </xf>
    <xf numFmtId="17" fontId="26" fillId="0" borderId="0" xfId="622" applyNumberFormat="1" applyFont="1" applyAlignment="1">
      <alignment horizontal="left"/>
    </xf>
    <xf numFmtId="41" fontId="26" fillId="0" borderId="0" xfId="622" applyNumberFormat="1" applyFont="1"/>
    <xf numFmtId="0" fontId="174" fillId="0" borderId="0" xfId="622" applyFont="1"/>
    <xf numFmtId="14" fontId="21" fillId="0" borderId="0" xfId="622" applyNumberFormat="1" applyFont="1" applyAlignment="1">
      <alignment horizontal="left"/>
    </xf>
    <xf numFmtId="0" fontId="175" fillId="0" borderId="0" xfId="622" applyFont="1"/>
    <xf numFmtId="6" fontId="26" fillId="0" borderId="0" xfId="622" applyNumberFormat="1" applyFont="1" applyAlignment="1">
      <alignment horizontal="center"/>
    </xf>
    <xf numFmtId="0" fontId="26" fillId="15" borderId="10" xfId="194" quotePrefix="1" applyFont="1" applyFill="1" applyBorder="1"/>
    <xf numFmtId="174" fontId="48" fillId="15" borderId="0" xfId="0" applyFont="1" applyFill="1" applyAlignment="1">
      <alignment horizontal="left"/>
    </xf>
    <xf numFmtId="0" fontId="26" fillId="0" borderId="0" xfId="194" applyFont="1"/>
    <xf numFmtId="14" fontId="26" fillId="15" borderId="0" xfId="194" applyNumberFormat="1" applyFont="1" applyFill="1" applyAlignment="1">
      <alignment horizontal="center"/>
    </xf>
    <xf numFmtId="6" fontId="26" fillId="0" borderId="0" xfId="194" applyNumberFormat="1" applyFont="1" applyAlignment="1">
      <alignment horizontal="center"/>
    </xf>
    <xf numFmtId="176" fontId="26" fillId="0" borderId="0" xfId="104" applyNumberFormat="1" applyFont="1" applyBorder="1" applyAlignment="1">
      <alignment horizontal="center"/>
    </xf>
    <xf numFmtId="176" fontId="26" fillId="15" borderId="0" xfId="104" applyNumberFormat="1" applyFont="1" applyFill="1" applyBorder="1" applyAlignment="1">
      <alignment horizontal="center"/>
    </xf>
    <xf numFmtId="0" fontId="26" fillId="15" borderId="0" xfId="194" applyFont="1" applyFill="1" applyAlignment="1">
      <alignment horizontal="center"/>
    </xf>
    <xf numFmtId="176" fontId="26" fillId="0" borderId="0" xfId="104" applyNumberFormat="1" applyFont="1" applyFill="1" applyBorder="1" applyAlignment="1">
      <alignment horizontal="center"/>
    </xf>
    <xf numFmtId="10" fontId="26" fillId="0" borderId="0" xfId="622" applyNumberFormat="1" applyFont="1"/>
    <xf numFmtId="44" fontId="26" fillId="0" borderId="0" xfId="622" applyNumberFormat="1" applyFont="1"/>
    <xf numFmtId="175" fontId="26" fillId="0" borderId="0" xfId="81" applyNumberFormat="1" applyFont="1" applyFill="1" applyBorder="1"/>
    <xf numFmtId="176" fontId="26" fillId="0" borderId="0" xfId="104" applyNumberFormat="1" applyFont="1" applyFill="1" applyBorder="1"/>
    <xf numFmtId="176" fontId="26" fillId="15" borderId="0" xfId="104" applyNumberFormat="1" applyFont="1" applyFill="1" applyBorder="1"/>
    <xf numFmtId="175" fontId="26" fillId="0" borderId="0" xfId="194" applyNumberFormat="1" applyFont="1"/>
    <xf numFmtId="175" fontId="26" fillId="0" borderId="0" xfId="622" applyNumberFormat="1" applyFont="1"/>
    <xf numFmtId="176" fontId="176" fillId="0" borderId="1" xfId="104" applyNumberFormat="1" applyFont="1" applyFill="1" applyBorder="1"/>
    <xf numFmtId="176" fontId="26" fillId="15" borderId="1" xfId="104" applyNumberFormat="1" applyFont="1" applyFill="1" applyBorder="1"/>
    <xf numFmtId="1" fontId="26" fillId="15" borderId="0" xfId="194" applyNumberFormat="1" applyFont="1" applyFill="1" applyAlignment="1">
      <alignment horizontal="center"/>
    </xf>
    <xf numFmtId="176" fontId="176" fillId="0" borderId="1" xfId="104" applyNumberFormat="1" applyFont="1" applyFill="1" applyBorder="1" applyAlignment="1">
      <alignment horizontal="center"/>
    </xf>
    <xf numFmtId="10" fontId="175" fillId="0" borderId="0" xfId="622" applyNumberFormat="1" applyFont="1"/>
    <xf numFmtId="0" fontId="26" fillId="0" borderId="10" xfId="622" quotePrefix="1" applyFont="1" applyBorder="1"/>
    <xf numFmtId="174" fontId="48" fillId="0" borderId="0" xfId="0" applyFont="1" applyAlignment="1">
      <alignment horizontal="left"/>
    </xf>
    <xf numFmtId="176" fontId="26" fillId="0" borderId="0" xfId="104" applyNumberFormat="1" applyFont="1" applyBorder="1"/>
    <xf numFmtId="164" fontId="26" fillId="0" borderId="0" xfId="622" applyNumberFormat="1" applyFont="1"/>
    <xf numFmtId="10" fontId="26" fillId="0" borderId="18" xfId="622" applyNumberFormat="1" applyFont="1" applyBorder="1"/>
    <xf numFmtId="0" fontId="26" fillId="0" borderId="18" xfId="622" applyFont="1" applyBorder="1"/>
    <xf numFmtId="44" fontId="26" fillId="0" borderId="12" xfId="622" applyNumberFormat="1" applyFont="1" applyBorder="1"/>
    <xf numFmtId="0" fontId="19" fillId="0" borderId="0" xfId="622"/>
    <xf numFmtId="164" fontId="19" fillId="0" borderId="0" xfId="622" applyNumberFormat="1"/>
    <xf numFmtId="0" fontId="26" fillId="0" borderId="17" xfId="622" applyFont="1" applyBorder="1"/>
    <xf numFmtId="164" fontId="19" fillId="0" borderId="1" xfId="622" applyNumberFormat="1" applyBorder="1"/>
    <xf numFmtId="44" fontId="26" fillId="0" borderId="1" xfId="622" applyNumberFormat="1" applyFont="1" applyBorder="1"/>
    <xf numFmtId="44" fontId="26" fillId="0" borderId="21" xfId="622" applyNumberFormat="1" applyFont="1" applyBorder="1"/>
    <xf numFmtId="44" fontId="21" fillId="0" borderId="0" xfId="622" applyNumberFormat="1" applyFont="1"/>
    <xf numFmtId="0" fontId="26" fillId="0" borderId="1" xfId="622" applyFont="1" applyBorder="1"/>
    <xf numFmtId="0" fontId="174" fillId="0" borderId="45" xfId="622" applyFont="1" applyBorder="1"/>
    <xf numFmtId="44" fontId="26" fillId="0" borderId="45" xfId="622" applyNumberFormat="1" applyFont="1" applyBorder="1"/>
    <xf numFmtId="44" fontId="26" fillId="0" borderId="20" xfId="622" applyNumberFormat="1" applyFont="1" applyBorder="1"/>
    <xf numFmtId="0" fontId="26" fillId="0" borderId="20" xfId="622" applyFont="1" applyBorder="1"/>
    <xf numFmtId="14" fontId="21" fillId="0" borderId="47" xfId="622" applyNumberFormat="1" applyFont="1" applyBorder="1"/>
    <xf numFmtId="42" fontId="21" fillId="0" borderId="0" xfId="622" applyNumberFormat="1" applyFont="1" applyAlignment="1">
      <alignment horizontal="center"/>
    </xf>
    <xf numFmtId="0" fontId="26" fillId="0" borderId="12" xfId="622" applyFont="1" applyBorder="1" applyAlignment="1">
      <alignment horizontal="center"/>
    </xf>
    <xf numFmtId="0" fontId="26" fillId="0" borderId="12" xfId="622" applyFont="1" applyBorder="1" applyAlignment="1">
      <alignment horizontal="center" wrapText="1"/>
    </xf>
    <xf numFmtId="0" fontId="26" fillId="0" borderId="0" xfId="622" applyFont="1" applyAlignment="1">
      <alignment horizontal="center" wrapText="1"/>
    </xf>
    <xf numFmtId="164" fontId="175" fillId="0" borderId="0" xfId="622" applyNumberFormat="1" applyFont="1"/>
    <xf numFmtId="0" fontId="175" fillId="0" borderId="12" xfId="622" applyFont="1" applyBorder="1" applyAlignment="1">
      <alignment horizontal="center"/>
    </xf>
    <xf numFmtId="0" fontId="26" fillId="0" borderId="10" xfId="622" quotePrefix="1" applyFont="1" applyBorder="1" applyAlignment="1">
      <alignment horizontal="center"/>
    </xf>
    <xf numFmtId="170" fontId="48" fillId="0" borderId="0" xfId="0" applyNumberFormat="1" applyFont="1" applyAlignment="1">
      <alignment horizontal="left"/>
    </xf>
    <xf numFmtId="14" fontId="26" fillId="0" borderId="0" xfId="194" applyNumberFormat="1" applyFont="1" applyAlignment="1">
      <alignment horizontal="center"/>
    </xf>
    <xf numFmtId="42" fontId="26" fillId="0" borderId="0" xfId="622" applyNumberFormat="1" applyFont="1"/>
    <xf numFmtId="175" fontId="26" fillId="15" borderId="0" xfId="81" applyNumberFormat="1" applyFont="1" applyFill="1" applyBorder="1"/>
    <xf numFmtId="42" fontId="26" fillId="0" borderId="12" xfId="81" applyNumberFormat="1" applyFont="1" applyBorder="1"/>
    <xf numFmtId="169" fontId="26" fillId="0" borderId="0" xfId="622" applyNumberFormat="1" applyFont="1"/>
    <xf numFmtId="10" fontId="26" fillId="15" borderId="0" xfId="194" applyNumberFormat="1" applyFont="1" applyFill="1"/>
    <xf numFmtId="10" fontId="26" fillId="0" borderId="12" xfId="81" applyNumberFormat="1" applyFont="1" applyBorder="1" applyAlignment="1">
      <alignment horizontal="center"/>
    </xf>
    <xf numFmtId="279" fontId="26" fillId="0" borderId="0" xfId="622" applyNumberFormat="1" applyFont="1"/>
    <xf numFmtId="166" fontId="26" fillId="0" borderId="0" xfId="622" applyNumberFormat="1" applyFont="1"/>
    <xf numFmtId="0" fontId="26" fillId="15" borderId="0" xfId="622" applyFont="1" applyFill="1"/>
    <xf numFmtId="175" fontId="26" fillId="0" borderId="0" xfId="81" applyNumberFormat="1" applyFont="1" applyBorder="1"/>
    <xf numFmtId="176" fontId="26" fillId="15" borderId="1" xfId="104" applyNumberFormat="1" applyFont="1" applyFill="1" applyBorder="1" applyAlignment="1">
      <alignment horizontal="center"/>
    </xf>
    <xf numFmtId="42" fontId="26" fillId="0" borderId="21" xfId="81" applyNumberFormat="1" applyFont="1" applyBorder="1"/>
    <xf numFmtId="176" fontId="176" fillId="0" borderId="1" xfId="622" applyNumberFormat="1" applyFont="1" applyBorder="1"/>
    <xf numFmtId="164" fontId="26" fillId="0" borderId="0" xfId="622" applyNumberFormat="1" applyFont="1" applyAlignment="1">
      <alignment horizontal="right"/>
    </xf>
    <xf numFmtId="0" fontId="26" fillId="0" borderId="0" xfId="622" quotePrefix="1" applyFont="1" applyAlignment="1">
      <alignment horizontal="center"/>
    </xf>
    <xf numFmtId="14" fontId="26" fillId="0" borderId="0" xfId="622" quotePrefix="1" applyNumberFormat="1" applyFont="1" applyAlignment="1">
      <alignment horizontal="center"/>
    </xf>
    <xf numFmtId="42" fontId="26" fillId="0" borderId="0" xfId="81" applyNumberFormat="1" applyFont="1" applyBorder="1"/>
    <xf numFmtId="42" fontId="26" fillId="0" borderId="12" xfId="622" applyNumberFormat="1" applyFont="1" applyBorder="1"/>
    <xf numFmtId="169" fontId="26" fillId="0" borderId="12" xfId="622" applyNumberFormat="1" applyFont="1" applyBorder="1"/>
    <xf numFmtId="43" fontId="26" fillId="0" borderId="1" xfId="81" applyFont="1" applyBorder="1"/>
    <xf numFmtId="0" fontId="26" fillId="0" borderId="21" xfId="622" applyFont="1" applyBorder="1"/>
    <xf numFmtId="279" fontId="26" fillId="0" borderId="21" xfId="622" applyNumberFormat="1" applyFont="1" applyBorder="1"/>
    <xf numFmtId="43" fontId="26" fillId="0" borderId="0" xfId="81" applyFont="1"/>
    <xf numFmtId="0" fontId="178" fillId="0" borderId="0" xfId="622" applyFont="1"/>
    <xf numFmtId="43" fontId="26" fillId="0" borderId="0" xfId="622" applyNumberFormat="1" applyFont="1"/>
    <xf numFmtId="10" fontId="26" fillId="0" borderId="0" xfId="9827" applyNumberFormat="1" applyFont="1" applyBorder="1"/>
    <xf numFmtId="176" fontId="26" fillId="0" borderId="0" xfId="102" applyNumberFormat="1" applyFont="1" applyBorder="1"/>
    <xf numFmtId="43" fontId="26" fillId="0" borderId="0" xfId="81" applyFont="1" applyBorder="1"/>
    <xf numFmtId="0" fontId="26" fillId="0" borderId="0" xfId="622" applyFont="1" applyAlignment="1">
      <alignment horizontal="right"/>
    </xf>
    <xf numFmtId="0" fontId="174" fillId="0" borderId="0" xfId="622" applyFont="1" applyAlignment="1">
      <alignment horizontal="left"/>
    </xf>
    <xf numFmtId="164" fontId="26" fillId="0" borderId="0" xfId="9827" applyNumberFormat="1" applyFont="1" applyBorder="1"/>
    <xf numFmtId="174" fontId="39" fillId="0" borderId="0" xfId="0" applyFont="1" applyProtection="1">
      <protection locked="0"/>
    </xf>
    <xf numFmtId="276" fontId="39" fillId="0" borderId="0" xfId="0" applyNumberFormat="1" applyFont="1"/>
    <xf numFmtId="176" fontId="39" fillId="0" borderId="0" xfId="93" applyNumberFormat="1" applyFont="1"/>
    <xf numFmtId="176" fontId="39" fillId="0" borderId="0" xfId="0" applyNumberFormat="1" applyFont="1"/>
    <xf numFmtId="0" fontId="59" fillId="0" borderId="0" xfId="365" applyFont="1"/>
    <xf numFmtId="0" fontId="59" fillId="0" borderId="0" xfId="365" applyFont="1" applyAlignment="1">
      <alignment horizontal="right"/>
    </xf>
    <xf numFmtId="0" fontId="44" fillId="0" borderId="0" xfId="189" applyFont="1"/>
    <xf numFmtId="0" fontId="19" fillId="0" borderId="0" xfId="189" applyFont="1"/>
    <xf numFmtId="0" fontId="66" fillId="0" borderId="0" xfId="365" applyFont="1" applyAlignment="1">
      <alignment vertical="top"/>
    </xf>
    <xf numFmtId="0" fontId="19" fillId="0" borderId="0" xfId="189" applyFont="1" applyAlignment="1">
      <alignment vertical="top"/>
    </xf>
    <xf numFmtId="0" fontId="179" fillId="0" borderId="0" xfId="189" applyFont="1" applyAlignment="1">
      <alignment vertical="top"/>
    </xf>
    <xf numFmtId="10" fontId="19" fillId="0" borderId="0" xfId="265" applyNumberFormat="1" applyFont="1" applyAlignment="1">
      <alignment horizontal="center"/>
    </xf>
    <xf numFmtId="10" fontId="19" fillId="0" borderId="1" xfId="265" applyNumberFormat="1" applyFont="1" applyBorder="1" applyAlignment="1">
      <alignment horizontal="center"/>
    </xf>
    <xf numFmtId="10" fontId="19" fillId="0" borderId="0" xfId="189" applyNumberFormat="1" applyFont="1" applyAlignment="1">
      <alignment horizontal="center"/>
    </xf>
    <xf numFmtId="0" fontId="157" fillId="0" borderId="0" xfId="189" applyFont="1" applyAlignment="1">
      <alignment horizontal="center"/>
    </xf>
    <xf numFmtId="0" fontId="19" fillId="0" borderId="0" xfId="190" quotePrefix="1"/>
    <xf numFmtId="0" fontId="19" fillId="0" borderId="0" xfId="190"/>
    <xf numFmtId="0" fontId="19" fillId="0" borderId="0" xfId="0" quotePrefix="1" applyNumberFormat="1" applyFont="1" applyAlignment="1">
      <alignment horizontal="left"/>
    </xf>
    <xf numFmtId="10" fontId="19" fillId="0" borderId="0" xfId="265" applyNumberFormat="1" applyFont="1" applyFill="1" applyAlignment="1">
      <alignment horizontal="center"/>
    </xf>
    <xf numFmtId="9" fontId="59" fillId="0" borderId="0" xfId="365" applyNumberFormat="1" applyFont="1"/>
    <xf numFmtId="9" fontId="59" fillId="0" borderId="0" xfId="365" applyNumberFormat="1" applyFont="1" applyAlignment="1">
      <alignment vertical="top"/>
    </xf>
    <xf numFmtId="0" fontId="59" fillId="0" borderId="1" xfId="365" applyFont="1" applyBorder="1" applyAlignment="1">
      <alignment horizontal="center"/>
    </xf>
    <xf numFmtId="1" fontId="59" fillId="0" borderId="0" xfId="365" applyNumberFormat="1" applyFont="1"/>
    <xf numFmtId="0" fontId="59" fillId="0" borderId="0" xfId="365" applyFont="1" applyAlignment="1">
      <alignment horizontal="center" vertical="top"/>
    </xf>
    <xf numFmtId="2" fontId="59" fillId="0" borderId="0" xfId="0" applyNumberFormat="1" applyFont="1" applyAlignment="1">
      <alignment vertical="top"/>
    </xf>
    <xf numFmtId="174" fontId="171" fillId="0" borderId="0" xfId="0" applyFont="1" applyAlignment="1">
      <alignment horizontal="center"/>
    </xf>
    <xf numFmtId="0" fontId="171" fillId="0" borderId="0" xfId="0" applyNumberFormat="1" applyFont="1" applyAlignment="1">
      <alignment horizontal="center"/>
    </xf>
    <xf numFmtId="0" fontId="19" fillId="70" borderId="0" xfId="206" applyFont="1" applyFill="1" applyAlignment="1" applyProtection="1">
      <alignment horizontal="center"/>
      <protection locked="0"/>
    </xf>
    <xf numFmtId="0" fontId="160" fillId="70" borderId="0" xfId="9828" applyFont="1" applyFill="1" applyAlignment="1">
      <alignment horizontal="left"/>
    </xf>
    <xf numFmtId="0" fontId="19" fillId="70" borderId="0" xfId="9828" applyFill="1"/>
    <xf numFmtId="0" fontId="19" fillId="70" borderId="0" xfId="9828" applyFill="1" applyAlignment="1">
      <alignment horizontal="center" wrapText="1"/>
    </xf>
    <xf numFmtId="0" fontId="19" fillId="70" borderId="0" xfId="9828" applyFill="1" applyAlignment="1">
      <alignment horizontal="center"/>
    </xf>
    <xf numFmtId="174" fontId="180" fillId="70" borderId="0" xfId="0" applyFont="1" applyFill="1" applyAlignment="1">
      <alignment horizontal="center" wrapText="1"/>
    </xf>
    <xf numFmtId="174" fontId="180" fillId="70" borderId="0" xfId="0" applyFont="1" applyFill="1" applyAlignment="1">
      <alignment horizontal="center"/>
    </xf>
    <xf numFmtId="49" fontId="19" fillId="15" borderId="0" xfId="9828" applyNumberFormat="1" applyFill="1"/>
    <xf numFmtId="1" fontId="19" fillId="15" borderId="0" xfId="9828" applyNumberFormat="1" applyFill="1" applyAlignment="1">
      <alignment horizontal="center"/>
    </xf>
    <xf numFmtId="175" fontId="26" fillId="15" borderId="0" xfId="9829" applyNumberFormat="1" applyFont="1" applyFill="1" applyBorder="1" applyAlignment="1"/>
    <xf numFmtId="43" fontId="0" fillId="15" borderId="0" xfId="59" applyFont="1" applyFill="1" applyBorder="1" applyAlignment="1"/>
    <xf numFmtId="175" fontId="0" fillId="15" borderId="0" xfId="59" applyNumberFormat="1" applyFont="1" applyFill="1" applyBorder="1" applyAlignment="1"/>
    <xf numFmtId="49" fontId="19" fillId="70" borderId="0" xfId="9828" applyNumberFormat="1" applyFill="1" applyAlignment="1">
      <alignment horizontal="left"/>
    </xf>
    <xf numFmtId="1" fontId="19" fillId="70" borderId="0" xfId="9828" applyNumberFormat="1" applyFill="1" applyAlignment="1">
      <alignment horizontal="center"/>
    </xf>
    <xf numFmtId="175" fontId="26" fillId="70" borderId="0" xfId="9829" applyNumberFormat="1" applyFont="1" applyFill="1" applyBorder="1" applyAlignment="1"/>
    <xf numFmtId="175" fontId="0" fillId="70" borderId="0" xfId="59" applyNumberFormat="1" applyFont="1" applyFill="1" applyBorder="1" applyAlignment="1"/>
    <xf numFmtId="43" fontId="0" fillId="70" borderId="0" xfId="59" applyFont="1" applyFill="1" applyBorder="1" applyAlignment="1"/>
    <xf numFmtId="0" fontId="19" fillId="70" borderId="0" xfId="9828" applyFill="1" applyAlignment="1">
      <alignment wrapText="1"/>
    </xf>
    <xf numFmtId="175" fontId="0" fillId="70" borderId="1" xfId="59" applyNumberFormat="1" applyFont="1" applyFill="1" applyBorder="1" applyAlignment="1"/>
    <xf numFmtId="175" fontId="181" fillId="70" borderId="0" xfId="59" applyNumberFormat="1" applyFont="1" applyFill="1" applyBorder="1" applyAlignment="1"/>
    <xf numFmtId="0" fontId="44" fillId="70" borderId="0" xfId="9828" applyFont="1" applyFill="1" applyAlignment="1">
      <alignment horizontal="left"/>
    </xf>
    <xf numFmtId="174" fontId="0" fillId="70" borderId="0" xfId="0" applyFill="1"/>
    <xf numFmtId="170" fontId="0" fillId="70" borderId="18" xfId="0" applyNumberFormat="1" applyFill="1" applyBorder="1"/>
    <xf numFmtId="175" fontId="0" fillId="70" borderId="18" xfId="0" applyNumberFormat="1" applyFill="1" applyBorder="1"/>
    <xf numFmtId="0" fontId="44" fillId="0" borderId="0" xfId="9828" applyFont="1" applyAlignment="1">
      <alignment horizontal="left"/>
    </xf>
    <xf numFmtId="0" fontId="19" fillId="0" borderId="0" xfId="9828"/>
    <xf numFmtId="3" fontId="26" fillId="0" borderId="0" xfId="206" applyNumberFormat="1" applyFont="1" applyAlignment="1">
      <alignment horizontal="right"/>
    </xf>
    <xf numFmtId="3" fontId="26" fillId="70" borderId="0" xfId="206" applyNumberFormat="1" applyFont="1" applyFill="1"/>
    <xf numFmtId="0" fontId="169" fillId="0" borderId="0" xfId="0" applyNumberFormat="1" applyFont="1" applyAlignment="1">
      <alignment horizontal="right" vertical="top"/>
    </xf>
    <xf numFmtId="174" fontId="171" fillId="0" borderId="0" xfId="0" applyFont="1" applyAlignment="1">
      <alignment horizontal="center" vertical="top"/>
    </xf>
    <xf numFmtId="0" fontId="160" fillId="70" borderId="0" xfId="187" applyFont="1" applyFill="1" applyAlignment="1">
      <alignment horizontal="left"/>
    </xf>
    <xf numFmtId="0" fontId="19" fillId="70" borderId="0" xfId="187" applyFill="1"/>
    <xf numFmtId="0" fontId="19" fillId="70" borderId="0" xfId="187" applyFill="1" applyAlignment="1">
      <alignment horizontal="center" wrapText="1"/>
    </xf>
    <xf numFmtId="0" fontId="19" fillId="70" borderId="0" xfId="187" applyFill="1" applyAlignment="1">
      <alignment horizontal="center"/>
    </xf>
    <xf numFmtId="49" fontId="19" fillId="15" borderId="0" xfId="187" applyNumberFormat="1" applyFill="1"/>
    <xf numFmtId="1" fontId="19" fillId="15" borderId="0" xfId="187" applyNumberFormat="1" applyFill="1" applyAlignment="1">
      <alignment horizontal="center"/>
    </xf>
    <xf numFmtId="175" fontId="26" fillId="15" borderId="0" xfId="79" applyNumberFormat="1" applyFont="1" applyFill="1" applyBorder="1" applyAlignment="1"/>
    <xf numFmtId="49" fontId="19" fillId="70" borderId="0" xfId="187" applyNumberFormat="1" applyFill="1" applyAlignment="1">
      <alignment horizontal="left"/>
    </xf>
    <xf numFmtId="1" fontId="19" fillId="70" borderId="0" xfId="187" applyNumberFormat="1" applyFill="1" applyAlignment="1">
      <alignment horizontal="center"/>
    </xf>
    <xf numFmtId="175" fontId="26" fillId="70" borderId="0" xfId="79" applyNumberFormat="1" applyFont="1" applyFill="1" applyBorder="1" applyAlignment="1"/>
    <xf numFmtId="0" fontId="19" fillId="70" borderId="0" xfId="187" applyFill="1" applyAlignment="1">
      <alignment wrapText="1"/>
    </xf>
    <xf numFmtId="43" fontId="181" fillId="70" borderId="0" xfId="59" applyFont="1" applyFill="1" applyBorder="1" applyAlignment="1"/>
    <xf numFmtId="0" fontId="44" fillId="70" borderId="0" xfId="187" applyFont="1" applyFill="1" applyAlignment="1">
      <alignment horizontal="left"/>
    </xf>
    <xf numFmtId="174" fontId="0" fillId="70" borderId="18" xfId="0" applyFill="1" applyBorder="1"/>
    <xf numFmtId="174" fontId="19" fillId="0" borderId="0" xfId="0" applyFont="1"/>
    <xf numFmtId="0" fontId="26" fillId="0" borderId="45" xfId="622" applyFont="1" applyBorder="1"/>
    <xf numFmtId="164" fontId="26" fillId="0" borderId="1" xfId="622" applyNumberFormat="1" applyFont="1" applyBorder="1"/>
    <xf numFmtId="176" fontId="26" fillId="0" borderId="1" xfId="622" applyNumberFormat="1" applyFont="1" applyBorder="1"/>
    <xf numFmtId="0" fontId="26" fillId="0" borderId="45" xfId="622" applyFont="1" applyBorder="1" applyAlignment="1">
      <alignment horizontal="right"/>
    </xf>
    <xf numFmtId="42" fontId="26" fillId="0" borderId="45" xfId="622" applyNumberFormat="1" applyFont="1" applyBorder="1"/>
    <xf numFmtId="0" fontId="26" fillId="0" borderId="0" xfId="622" applyFont="1" applyAlignment="1">
      <alignment horizontal="center" vertical="center"/>
    </xf>
    <xf numFmtId="0" fontId="26" fillId="0" borderId="0" xfId="622" applyFont="1" applyAlignment="1">
      <alignment horizontal="center" vertical="center" wrapText="1"/>
    </xf>
    <xf numFmtId="0" fontId="171" fillId="0" borderId="0" xfId="0" applyNumberFormat="1" applyFont="1" applyAlignment="1">
      <alignment horizontal="center" vertical="center"/>
    </xf>
    <xf numFmtId="176" fontId="26" fillId="0" borderId="0" xfId="104" applyNumberFormat="1" applyFont="1" applyFill="1" applyBorder="1" applyAlignment="1">
      <alignment horizontal="left"/>
    </xf>
    <xf numFmtId="164" fontId="26" fillId="0" borderId="0" xfId="622" applyNumberFormat="1" applyFont="1" applyAlignment="1">
      <alignment horizontal="center"/>
    </xf>
    <xf numFmtId="176" fontId="21" fillId="0" borderId="0" xfId="104" applyNumberFormat="1" applyFont="1" applyFill="1" applyBorder="1" applyAlignment="1">
      <alignment horizontal="center"/>
    </xf>
    <xf numFmtId="175" fontId="59" fillId="15" borderId="0" xfId="59" applyNumberFormat="1" applyFont="1" applyFill="1" applyAlignment="1"/>
    <xf numFmtId="171" fontId="26" fillId="15" borderId="0" xfId="265" applyNumberFormat="1" applyFont="1" applyFill="1" applyBorder="1" applyAlignment="1">
      <alignment horizontal="center"/>
    </xf>
    <xf numFmtId="174" fontId="59" fillId="0" borderId="0" xfId="201" applyFont="1" applyAlignment="1">
      <alignment horizontal="left" vertical="top" wrapText="1"/>
    </xf>
    <xf numFmtId="174" fontId="59" fillId="0" borderId="0" xfId="210" applyFont="1" applyAlignment="1">
      <alignment horizontal="center"/>
    </xf>
    <xf numFmtId="49" fontId="59" fillId="0" borderId="0" xfId="210" applyNumberFormat="1" applyFont="1" applyAlignment="1" applyProtection="1">
      <alignment horizontal="center"/>
      <protection locked="0"/>
    </xf>
    <xf numFmtId="174" fontId="59" fillId="0" borderId="0" xfId="0" applyFont="1" applyAlignment="1">
      <alignment horizontal="left" vertical="top" wrapText="1"/>
    </xf>
    <xf numFmtId="0" fontId="59" fillId="0" borderId="0" xfId="210" applyNumberFormat="1" applyFont="1" applyAlignment="1" applyProtection="1">
      <alignment vertical="top" wrapText="1"/>
      <protection locked="0"/>
    </xf>
    <xf numFmtId="0" fontId="59" fillId="0" borderId="0" xfId="0" applyNumberFormat="1" applyFont="1" applyAlignment="1">
      <alignment horizontal="left" vertical="top" wrapText="1"/>
    </xf>
    <xf numFmtId="0" fontId="59" fillId="0" borderId="0" xfId="210" applyNumberFormat="1" applyFont="1" applyAlignment="1" applyProtection="1">
      <alignment horizontal="center" vertical="top" wrapText="1"/>
      <protection locked="0"/>
    </xf>
    <xf numFmtId="0" fontId="59" fillId="0" borderId="0" xfId="210" applyNumberFormat="1" applyFont="1" applyAlignment="1" applyProtection="1">
      <alignment horizontal="left" vertical="top" wrapText="1"/>
      <protection locked="0"/>
    </xf>
    <xf numFmtId="0" fontId="88" fillId="0" borderId="0" xfId="210" applyNumberFormat="1" applyFont="1" applyAlignment="1" applyProtection="1">
      <alignment vertical="top" wrapText="1"/>
      <protection locked="0"/>
    </xf>
    <xf numFmtId="174" fontId="66" fillId="0" borderId="0" xfId="0" applyFont="1" applyAlignment="1">
      <alignment horizontal="left" vertical="top" wrapText="1"/>
    </xf>
    <xf numFmtId="0" fontId="59" fillId="0" borderId="0" xfId="210" quotePrefix="1" applyNumberFormat="1" applyFont="1" applyAlignment="1">
      <alignment vertical="top" wrapText="1"/>
    </xf>
    <xf numFmtId="0" fontId="59" fillId="0" borderId="0" xfId="210" applyNumberFormat="1" applyFont="1" applyAlignment="1">
      <alignment vertical="top" wrapText="1"/>
    </xf>
    <xf numFmtId="0" fontId="59" fillId="0" borderId="0" xfId="206" applyFont="1" applyAlignment="1">
      <alignment vertical="top" wrapText="1"/>
    </xf>
    <xf numFmtId="174" fontId="59" fillId="15" borderId="0" xfId="201" applyFont="1" applyFill="1" applyAlignment="1">
      <alignment horizontal="left" vertical="top" wrapText="1"/>
    </xf>
    <xf numFmtId="174" fontId="59" fillId="0" borderId="0" xfId="0" applyFont="1" applyAlignment="1">
      <alignment horizontal="left" wrapText="1"/>
    </xf>
    <xf numFmtId="174" fontId="59" fillId="0" borderId="0" xfId="201" applyFont="1" applyAlignment="1">
      <alignment horizontal="left" vertical="top" wrapText="1"/>
    </xf>
    <xf numFmtId="0" fontId="59" fillId="0" borderId="0" xfId="187" applyFont="1" applyAlignment="1">
      <alignment horizontal="left" wrapText="1"/>
    </xf>
    <xf numFmtId="49" fontId="59" fillId="0" borderId="0" xfId="201" applyNumberFormat="1" applyFont="1" applyAlignment="1">
      <alignment horizontal="left" vertical="top" wrapText="1"/>
    </xf>
    <xf numFmtId="0" fontId="49" fillId="0" borderId="0" xfId="210" applyNumberFormat="1" applyFont="1" applyAlignment="1">
      <alignment horizontal="center"/>
    </xf>
    <xf numFmtId="174" fontId="59" fillId="0" borderId="0" xfId="0" applyFont="1" applyAlignment="1" applyProtection="1">
      <alignment horizontal="left" vertical="top" wrapText="1"/>
    </xf>
    <xf numFmtId="174" fontId="59" fillId="0" borderId="22" xfId="0" applyFont="1" applyBorder="1" applyAlignment="1">
      <alignment horizontal="center" wrapText="1"/>
    </xf>
    <xf numFmtId="174" fontId="59" fillId="0" borderId="15" xfId="0" applyFont="1" applyBorder="1" applyAlignment="1">
      <alignment horizontal="center" wrapText="1"/>
    </xf>
    <xf numFmtId="174" fontId="59" fillId="0" borderId="17" xfId="0" applyFont="1" applyBorder="1" applyAlignment="1">
      <alignment horizontal="center"/>
    </xf>
    <xf numFmtId="174" fontId="59" fillId="0" borderId="1" xfId="0" applyFont="1" applyBorder="1" applyAlignment="1">
      <alignment horizontal="center"/>
    </xf>
    <xf numFmtId="174" fontId="59" fillId="0" borderId="21" xfId="0" applyFont="1" applyBorder="1" applyAlignment="1">
      <alignment horizontal="center"/>
    </xf>
    <xf numFmtId="174" fontId="59" fillId="0" borderId="19" xfId="0" applyFont="1" applyBorder="1" applyAlignment="1">
      <alignment horizontal="center"/>
    </xf>
    <xf numFmtId="174" fontId="59" fillId="0" borderId="20" xfId="0" applyFont="1" applyBorder="1" applyAlignment="1">
      <alignment horizontal="center"/>
    </xf>
    <xf numFmtId="7" fontId="49" fillId="0" borderId="0" xfId="183" applyFont="1" applyAlignment="1">
      <alignment horizontal="left" vertical="top" wrapText="1"/>
    </xf>
    <xf numFmtId="0" fontId="59" fillId="0" borderId="0" xfId="201" applyNumberFormat="1" applyFont="1" applyAlignment="1" applyProtection="1">
      <alignment horizontal="center"/>
      <protection locked="0"/>
    </xf>
    <xf numFmtId="0" fontId="59" fillId="0" borderId="0" xfId="211" applyFont="1" applyAlignment="1">
      <alignment horizontal="center"/>
    </xf>
    <xf numFmtId="0" fontId="59" fillId="0" borderId="0" xfId="210" applyNumberFormat="1" applyFont="1" applyAlignment="1">
      <alignment horizontal="center"/>
    </xf>
    <xf numFmtId="0" fontId="66" fillId="0" borderId="0" xfId="211" applyFont="1" applyAlignment="1">
      <alignment horizontal="center" wrapText="1"/>
    </xf>
    <xf numFmtId="174" fontId="66" fillId="0" borderId="0" xfId="0" applyFont="1" applyAlignment="1">
      <alignment horizontal="center" wrapText="1"/>
    </xf>
    <xf numFmtId="174" fontId="66" fillId="0" borderId="0" xfId="0" applyFont="1" applyAlignment="1">
      <alignment horizontal="center"/>
    </xf>
    <xf numFmtId="0" fontId="66" fillId="0" borderId="0" xfId="211" applyFont="1" applyAlignment="1">
      <alignment horizontal="center"/>
    </xf>
    <xf numFmtId="0" fontId="19" fillId="0" borderId="0" xfId="9822" applyFont="1" applyAlignment="1">
      <alignment horizontal="left" vertical="top" wrapText="1"/>
    </xf>
    <xf numFmtId="0" fontId="59" fillId="0" borderId="45" xfId="9821" applyFont="1" applyBorder="1" applyAlignment="1">
      <alignment horizontal="center" vertical="center" wrapText="1"/>
    </xf>
    <xf numFmtId="0" fontId="59" fillId="0" borderId="0" xfId="9821" applyFont="1" applyAlignment="1">
      <alignment horizontal="center" vertical="center" wrapText="1"/>
    </xf>
    <xf numFmtId="0" fontId="158" fillId="0" borderId="0" xfId="9820" applyFont="1" applyAlignment="1">
      <alignment horizontal="center"/>
    </xf>
    <xf numFmtId="0" fontId="158" fillId="15" borderId="0" xfId="9820" applyFont="1" applyFill="1" applyAlignment="1">
      <alignment horizontal="center"/>
    </xf>
    <xf numFmtId="0" fontId="44" fillId="0" borderId="1" xfId="9822" applyFont="1" applyBorder="1" applyAlignment="1">
      <alignment horizontal="center"/>
    </xf>
    <xf numFmtId="0" fontId="44" fillId="0" borderId="1" xfId="9822" applyFont="1" applyBorder="1"/>
    <xf numFmtId="0" fontId="158" fillId="0" borderId="0" xfId="187" applyFont="1" applyAlignment="1">
      <alignment horizontal="center"/>
    </xf>
    <xf numFmtId="0" fontId="158" fillId="15" borderId="0" xfId="187" applyFont="1" applyFill="1" applyAlignment="1">
      <alignment horizontal="center"/>
    </xf>
    <xf numFmtId="0" fontId="44" fillId="0" borderId="0" xfId="9822" applyFont="1" applyAlignment="1">
      <alignment horizontal="center"/>
    </xf>
    <xf numFmtId="0" fontId="44" fillId="15" borderId="1" xfId="9822" applyFont="1" applyFill="1" applyBorder="1" applyAlignment="1">
      <alignment horizontal="center"/>
    </xf>
    <xf numFmtId="0" fontId="44" fillId="15" borderId="1" xfId="9822" applyFont="1" applyFill="1" applyBorder="1"/>
    <xf numFmtId="0" fontId="158" fillId="0" borderId="0" xfId="9820" applyFont="1" applyAlignment="1">
      <alignment horizontal="left" wrapText="1"/>
    </xf>
    <xf numFmtId="174" fontId="169" fillId="0" borderId="0" xfId="201" applyFont="1" applyAlignment="1">
      <alignment horizontal="left" wrapText="1"/>
    </xf>
    <xf numFmtId="174" fontId="170" fillId="15" borderId="6" xfId="201" applyFont="1" applyFill="1" applyBorder="1" applyAlignment="1">
      <alignment horizontal="center"/>
    </xf>
    <xf numFmtId="174" fontId="170" fillId="15" borderId="47" xfId="201" applyFont="1" applyFill="1" applyBorder="1" applyAlignment="1">
      <alignment horizontal="center"/>
    </xf>
    <xf numFmtId="174" fontId="169" fillId="15" borderId="0" xfId="201" applyFont="1" applyFill="1" applyAlignment="1">
      <alignment horizontal="center" wrapText="1"/>
    </xf>
    <xf numFmtId="174" fontId="39" fillId="15" borderId="0" xfId="201" applyFill="1" applyAlignment="1">
      <alignment horizontal="center" wrapText="1"/>
    </xf>
    <xf numFmtId="0" fontId="19" fillId="15" borderId="16" xfId="9821" applyFill="1" applyBorder="1" applyAlignment="1">
      <alignment horizontal="left"/>
    </xf>
    <xf numFmtId="0" fontId="19" fillId="15" borderId="7" xfId="9821" applyFill="1" applyBorder="1" applyAlignment="1">
      <alignment horizontal="left"/>
    </xf>
    <xf numFmtId="0" fontId="19" fillId="15" borderId="44" xfId="9821" applyFill="1" applyBorder="1" applyAlignment="1">
      <alignment horizontal="left"/>
    </xf>
    <xf numFmtId="37" fontId="160" fillId="0" borderId="1" xfId="9821" applyNumberFormat="1" applyFont="1" applyBorder="1" applyAlignment="1">
      <alignment horizontal="center" vertical="top"/>
    </xf>
    <xf numFmtId="37" fontId="44" fillId="0" borderId="0" xfId="9821" applyNumberFormat="1" applyFont="1" applyAlignment="1">
      <alignment horizontal="center" vertical="top"/>
    </xf>
    <xf numFmtId="0" fontId="158" fillId="0" borderId="0" xfId="9820" applyFont="1" applyAlignment="1">
      <alignment horizontal="center" wrapText="1"/>
    </xf>
    <xf numFmtId="0" fontId="26" fillId="0" borderId="0" xfId="622" applyFont="1" applyAlignment="1">
      <alignment horizontal="center"/>
    </xf>
    <xf numFmtId="0" fontId="18" fillId="0" borderId="0" xfId="622" applyFont="1" applyAlignment="1">
      <alignment horizontal="center"/>
    </xf>
    <xf numFmtId="0" fontId="21" fillId="0" borderId="0" xfId="622" applyFont="1" applyAlignment="1">
      <alignment horizontal="center"/>
    </xf>
    <xf numFmtId="176" fontId="26" fillId="0" borderId="0" xfId="102" applyNumberFormat="1" applyFont="1" applyBorder="1" applyAlignment="1">
      <alignment horizontal="center"/>
    </xf>
    <xf numFmtId="174" fontId="59" fillId="0" borderId="0" xfId="201" quotePrefix="1" applyFont="1" applyAlignment="1">
      <alignment horizontal="left" wrapText="1"/>
    </xf>
    <xf numFmtId="174" fontId="59" fillId="0" borderId="0" xfId="201" applyFont="1" applyAlignment="1">
      <alignment horizontal="left" wrapText="1"/>
    </xf>
    <xf numFmtId="0" fontId="59" fillId="0" borderId="0" xfId="0" applyNumberFormat="1" applyFont="1" applyAlignment="1">
      <alignment horizontal="center"/>
    </xf>
    <xf numFmtId="10" fontId="59" fillId="0" borderId="0" xfId="265" applyNumberFormat="1" applyFont="1" applyFill="1" applyAlignment="1">
      <alignment horizontal="center"/>
    </xf>
    <xf numFmtId="174" fontId="49" fillId="0" borderId="0" xfId="0" applyFont="1" applyAlignment="1">
      <alignment horizontal="left" vertical="top" wrapText="1"/>
    </xf>
    <xf numFmtId="0" fontId="59" fillId="0" borderId="0" xfId="187" applyFont="1" applyAlignment="1">
      <alignment horizontal="left" vertical="top" wrapText="1"/>
    </xf>
    <xf numFmtId="0" fontId="169" fillId="0" borderId="0" xfId="0" applyNumberFormat="1" applyFont="1" applyAlignment="1">
      <alignment horizontal="left" vertical="top" wrapText="1"/>
    </xf>
    <xf numFmtId="174" fontId="26" fillId="0" borderId="0" xfId="0" applyFont="1" applyAlignment="1">
      <alignment horizontal="left" vertical="center" wrapText="1"/>
    </xf>
    <xf numFmtId="174" fontId="0" fillId="15" borderId="0" xfId="0" applyFill="1" applyAlignment="1">
      <alignment horizontal="center" wrapText="1"/>
    </xf>
    <xf numFmtId="174" fontId="19" fillId="0" borderId="0" xfId="0" applyFont="1" applyAlignment="1">
      <alignment horizontal="left" vertical="center" wrapText="1"/>
    </xf>
  </cellXfs>
  <cellStyles count="9834">
    <cellStyle name="¢ Currency [1]" xfId="2" xr:uid="{00000000-0005-0000-0000-000000000000}"/>
    <cellStyle name="¢ Currency [2]" xfId="3" xr:uid="{00000000-0005-0000-0000-000001000000}"/>
    <cellStyle name="¢ Currency [3]" xfId="4" xr:uid="{00000000-0005-0000-0000-000002000000}"/>
    <cellStyle name="£ Currency [0]" xfId="5" xr:uid="{00000000-0005-0000-0000-000003000000}"/>
    <cellStyle name="£ Currency [1]" xfId="6" xr:uid="{00000000-0005-0000-0000-000004000000}"/>
    <cellStyle name="£ Currency [2]" xfId="7" xr:uid="{00000000-0005-0000-0000-000005000000}"/>
    <cellStyle name="=C:\WINNT35\SYSTEM32\COMMAND.COM" xfId="1" xr:uid="{00000000-0005-0000-0000-000006000000}"/>
    <cellStyle name="20% - Accent1 2" xfId="557" xr:uid="{00000000-0005-0000-0000-000007000000}"/>
    <cellStyle name="20% - Accent1 2 2" xfId="1062" xr:uid="{00000000-0005-0000-0000-000008000000}"/>
    <cellStyle name="20% - Accent1 3" xfId="1063" xr:uid="{00000000-0005-0000-0000-000009000000}"/>
    <cellStyle name="20% - Accent1 4" xfId="1064" xr:uid="{00000000-0005-0000-0000-00000A000000}"/>
    <cellStyle name="20% - Accent1 5" xfId="1065" xr:uid="{00000000-0005-0000-0000-00000B000000}"/>
    <cellStyle name="20% - Accent1 5 2" xfId="1066" xr:uid="{00000000-0005-0000-0000-00000C000000}"/>
    <cellStyle name="20% - Accent1 5 2 2" xfId="1067" xr:uid="{00000000-0005-0000-0000-00000D000000}"/>
    <cellStyle name="20% - Accent1 5 2 3" xfId="1068" xr:uid="{00000000-0005-0000-0000-00000E000000}"/>
    <cellStyle name="20% - Accent1 5 3" xfId="1069" xr:uid="{00000000-0005-0000-0000-00000F000000}"/>
    <cellStyle name="20% - Accent1 5 4" xfId="1070" xr:uid="{00000000-0005-0000-0000-000010000000}"/>
    <cellStyle name="20% - Accent1 5 5" xfId="1071" xr:uid="{00000000-0005-0000-0000-000011000000}"/>
    <cellStyle name="20% - Accent1 6" xfId="1072" xr:uid="{00000000-0005-0000-0000-000012000000}"/>
    <cellStyle name="20% - Accent1 7" xfId="1073" xr:uid="{00000000-0005-0000-0000-000013000000}"/>
    <cellStyle name="20% - Accent1 8" xfId="1074" xr:uid="{00000000-0005-0000-0000-000014000000}"/>
    <cellStyle name="20% - Accent1 9" xfId="1075" xr:uid="{00000000-0005-0000-0000-000015000000}"/>
    <cellStyle name="20% - Accent2 2" xfId="558" xr:uid="{00000000-0005-0000-0000-000016000000}"/>
    <cellStyle name="20% - Accent2 2 2" xfId="1076" xr:uid="{00000000-0005-0000-0000-000017000000}"/>
    <cellStyle name="20% - Accent2 3" xfId="1077" xr:uid="{00000000-0005-0000-0000-000018000000}"/>
    <cellStyle name="20% - Accent2 4" xfId="1078" xr:uid="{00000000-0005-0000-0000-000019000000}"/>
    <cellStyle name="20% - Accent2 5" xfId="1079" xr:uid="{00000000-0005-0000-0000-00001A000000}"/>
    <cellStyle name="20% - Accent2 5 2" xfId="1080" xr:uid="{00000000-0005-0000-0000-00001B000000}"/>
    <cellStyle name="20% - Accent2 5 2 2" xfId="1081" xr:uid="{00000000-0005-0000-0000-00001C000000}"/>
    <cellStyle name="20% - Accent2 5 2 3" xfId="1082" xr:uid="{00000000-0005-0000-0000-00001D000000}"/>
    <cellStyle name="20% - Accent2 5 3" xfId="1083" xr:uid="{00000000-0005-0000-0000-00001E000000}"/>
    <cellStyle name="20% - Accent2 5 4" xfId="1084" xr:uid="{00000000-0005-0000-0000-00001F000000}"/>
    <cellStyle name="20% - Accent2 5 5" xfId="1085" xr:uid="{00000000-0005-0000-0000-000020000000}"/>
    <cellStyle name="20% - Accent2 6" xfId="1086" xr:uid="{00000000-0005-0000-0000-000021000000}"/>
    <cellStyle name="20% - Accent2 7" xfId="1087" xr:uid="{00000000-0005-0000-0000-000022000000}"/>
    <cellStyle name="20% - Accent2 8" xfId="1088" xr:uid="{00000000-0005-0000-0000-000023000000}"/>
    <cellStyle name="20% - Accent2 9" xfId="1089" xr:uid="{00000000-0005-0000-0000-000024000000}"/>
    <cellStyle name="20% - Accent3 2" xfId="559" xr:uid="{00000000-0005-0000-0000-000025000000}"/>
    <cellStyle name="20% - Accent3 2 2" xfId="1090" xr:uid="{00000000-0005-0000-0000-000026000000}"/>
    <cellStyle name="20% - Accent3 3" xfId="1091" xr:uid="{00000000-0005-0000-0000-000027000000}"/>
    <cellStyle name="20% - Accent3 4" xfId="1092" xr:uid="{00000000-0005-0000-0000-000028000000}"/>
    <cellStyle name="20% - Accent3 5" xfId="1093" xr:uid="{00000000-0005-0000-0000-000029000000}"/>
    <cellStyle name="20% - Accent3 5 2" xfId="1094" xr:uid="{00000000-0005-0000-0000-00002A000000}"/>
    <cellStyle name="20% - Accent3 5 2 2" xfId="1095" xr:uid="{00000000-0005-0000-0000-00002B000000}"/>
    <cellStyle name="20% - Accent3 5 2 3" xfId="1096" xr:uid="{00000000-0005-0000-0000-00002C000000}"/>
    <cellStyle name="20% - Accent3 5 3" xfId="1097" xr:uid="{00000000-0005-0000-0000-00002D000000}"/>
    <cellStyle name="20% - Accent3 5 4" xfId="1098" xr:uid="{00000000-0005-0000-0000-00002E000000}"/>
    <cellStyle name="20% - Accent3 5 5" xfId="1099" xr:uid="{00000000-0005-0000-0000-00002F000000}"/>
    <cellStyle name="20% - Accent3 6" xfId="1100" xr:uid="{00000000-0005-0000-0000-000030000000}"/>
    <cellStyle name="20% - Accent3 7" xfId="1101" xr:uid="{00000000-0005-0000-0000-000031000000}"/>
    <cellStyle name="20% - Accent3 8" xfId="1102" xr:uid="{00000000-0005-0000-0000-000032000000}"/>
    <cellStyle name="20% - Accent3 9" xfId="1103" xr:uid="{00000000-0005-0000-0000-000033000000}"/>
    <cellStyle name="20% - Accent4 2" xfId="560" xr:uid="{00000000-0005-0000-0000-000034000000}"/>
    <cellStyle name="20% - Accent4 2 2" xfId="1104" xr:uid="{00000000-0005-0000-0000-000035000000}"/>
    <cellStyle name="20% - Accent4 3" xfId="1105" xr:uid="{00000000-0005-0000-0000-000036000000}"/>
    <cellStyle name="20% - Accent4 4" xfId="1106" xr:uid="{00000000-0005-0000-0000-000037000000}"/>
    <cellStyle name="20% - Accent4 5" xfId="1107" xr:uid="{00000000-0005-0000-0000-000038000000}"/>
    <cellStyle name="20% - Accent4 5 2" xfId="1108" xr:uid="{00000000-0005-0000-0000-000039000000}"/>
    <cellStyle name="20% - Accent4 5 2 2" xfId="1109" xr:uid="{00000000-0005-0000-0000-00003A000000}"/>
    <cellStyle name="20% - Accent4 5 2 3" xfId="1110" xr:uid="{00000000-0005-0000-0000-00003B000000}"/>
    <cellStyle name="20% - Accent4 5 3" xfId="1111" xr:uid="{00000000-0005-0000-0000-00003C000000}"/>
    <cellStyle name="20% - Accent4 5 4" xfId="1112" xr:uid="{00000000-0005-0000-0000-00003D000000}"/>
    <cellStyle name="20% - Accent4 5 5" xfId="1113" xr:uid="{00000000-0005-0000-0000-00003E000000}"/>
    <cellStyle name="20% - Accent4 6" xfId="1114" xr:uid="{00000000-0005-0000-0000-00003F000000}"/>
    <cellStyle name="20% - Accent4 7" xfId="1115" xr:uid="{00000000-0005-0000-0000-000040000000}"/>
    <cellStyle name="20% - Accent4 8" xfId="1116" xr:uid="{00000000-0005-0000-0000-000041000000}"/>
    <cellStyle name="20% - Accent4 9" xfId="1117" xr:uid="{00000000-0005-0000-0000-000042000000}"/>
    <cellStyle name="20% - Accent5 2" xfId="561" xr:uid="{00000000-0005-0000-0000-000043000000}"/>
    <cellStyle name="20% - Accent5 2 2" xfId="1118" xr:uid="{00000000-0005-0000-0000-000044000000}"/>
    <cellStyle name="20% - Accent5 3" xfId="1119" xr:uid="{00000000-0005-0000-0000-000045000000}"/>
    <cellStyle name="20% - Accent5 4" xfId="1120" xr:uid="{00000000-0005-0000-0000-000046000000}"/>
    <cellStyle name="20% - Accent5 5" xfId="1121" xr:uid="{00000000-0005-0000-0000-000047000000}"/>
    <cellStyle name="20% - Accent5 5 2" xfId="1122" xr:uid="{00000000-0005-0000-0000-000048000000}"/>
    <cellStyle name="20% - Accent5 5 2 2" xfId="1123" xr:uid="{00000000-0005-0000-0000-000049000000}"/>
    <cellStyle name="20% - Accent5 5 2 3" xfId="1124" xr:uid="{00000000-0005-0000-0000-00004A000000}"/>
    <cellStyle name="20% - Accent5 5 3" xfId="1125" xr:uid="{00000000-0005-0000-0000-00004B000000}"/>
    <cellStyle name="20% - Accent5 5 4" xfId="1126" xr:uid="{00000000-0005-0000-0000-00004C000000}"/>
    <cellStyle name="20% - Accent5 5 5" xfId="1127" xr:uid="{00000000-0005-0000-0000-00004D000000}"/>
    <cellStyle name="20% - Accent5 6" xfId="1128" xr:uid="{00000000-0005-0000-0000-00004E000000}"/>
    <cellStyle name="20% - Accent5 7" xfId="1129" xr:uid="{00000000-0005-0000-0000-00004F000000}"/>
    <cellStyle name="20% - Accent5 8" xfId="1130" xr:uid="{00000000-0005-0000-0000-000050000000}"/>
    <cellStyle name="20% - Accent5 9" xfId="1131" xr:uid="{00000000-0005-0000-0000-000051000000}"/>
    <cellStyle name="20% - Accent6 2" xfId="562" xr:uid="{00000000-0005-0000-0000-000052000000}"/>
    <cellStyle name="20% - Accent6 2 2" xfId="1132" xr:uid="{00000000-0005-0000-0000-000053000000}"/>
    <cellStyle name="20% - Accent6 3" xfId="1133" xr:uid="{00000000-0005-0000-0000-000054000000}"/>
    <cellStyle name="20% - Accent6 4" xfId="1134" xr:uid="{00000000-0005-0000-0000-000055000000}"/>
    <cellStyle name="20% - Accent6 5" xfId="1135" xr:uid="{00000000-0005-0000-0000-000056000000}"/>
    <cellStyle name="20% - Accent6 5 2" xfId="1136" xr:uid="{00000000-0005-0000-0000-000057000000}"/>
    <cellStyle name="20% - Accent6 5 2 2" xfId="1137" xr:uid="{00000000-0005-0000-0000-000058000000}"/>
    <cellStyle name="20% - Accent6 5 2 3" xfId="1138" xr:uid="{00000000-0005-0000-0000-000059000000}"/>
    <cellStyle name="20% - Accent6 5 3" xfId="1139" xr:uid="{00000000-0005-0000-0000-00005A000000}"/>
    <cellStyle name="20% - Accent6 5 4" xfId="1140" xr:uid="{00000000-0005-0000-0000-00005B000000}"/>
    <cellStyle name="20% - Accent6 5 5" xfId="1141" xr:uid="{00000000-0005-0000-0000-00005C000000}"/>
    <cellStyle name="20% - Accent6 6" xfId="1142" xr:uid="{00000000-0005-0000-0000-00005D000000}"/>
    <cellStyle name="20% - Accent6 7" xfId="1143" xr:uid="{00000000-0005-0000-0000-00005E000000}"/>
    <cellStyle name="20% - Accent6 8" xfId="1144" xr:uid="{00000000-0005-0000-0000-00005F000000}"/>
    <cellStyle name="20% - Accent6 9" xfId="1145" xr:uid="{00000000-0005-0000-0000-000060000000}"/>
    <cellStyle name="40% - Accent1 2" xfId="563" xr:uid="{00000000-0005-0000-0000-000061000000}"/>
    <cellStyle name="40% - Accent1 2 2" xfId="1146" xr:uid="{00000000-0005-0000-0000-000062000000}"/>
    <cellStyle name="40% - Accent1 3" xfId="1147" xr:uid="{00000000-0005-0000-0000-000063000000}"/>
    <cellStyle name="40% - Accent1 4" xfId="1148" xr:uid="{00000000-0005-0000-0000-000064000000}"/>
    <cellStyle name="40% - Accent1 5" xfId="1149" xr:uid="{00000000-0005-0000-0000-000065000000}"/>
    <cellStyle name="40% - Accent1 5 2" xfId="1150" xr:uid="{00000000-0005-0000-0000-000066000000}"/>
    <cellStyle name="40% - Accent1 5 2 2" xfId="1151" xr:uid="{00000000-0005-0000-0000-000067000000}"/>
    <cellStyle name="40% - Accent1 5 2 3" xfId="1152" xr:uid="{00000000-0005-0000-0000-000068000000}"/>
    <cellStyle name="40% - Accent1 5 3" xfId="1153" xr:uid="{00000000-0005-0000-0000-000069000000}"/>
    <cellStyle name="40% - Accent1 5 4" xfId="1154" xr:uid="{00000000-0005-0000-0000-00006A000000}"/>
    <cellStyle name="40% - Accent1 5 5" xfId="1155" xr:uid="{00000000-0005-0000-0000-00006B000000}"/>
    <cellStyle name="40% - Accent1 6" xfId="1156" xr:uid="{00000000-0005-0000-0000-00006C000000}"/>
    <cellStyle name="40% - Accent1 7" xfId="1157" xr:uid="{00000000-0005-0000-0000-00006D000000}"/>
    <cellStyle name="40% - Accent1 8" xfId="1158" xr:uid="{00000000-0005-0000-0000-00006E000000}"/>
    <cellStyle name="40% - Accent1 9" xfId="1159" xr:uid="{00000000-0005-0000-0000-00006F000000}"/>
    <cellStyle name="40% - Accent2 2" xfId="564" xr:uid="{00000000-0005-0000-0000-000070000000}"/>
    <cellStyle name="40% - Accent2 2 2" xfId="1160" xr:uid="{00000000-0005-0000-0000-000071000000}"/>
    <cellStyle name="40% - Accent2 3" xfId="1161" xr:uid="{00000000-0005-0000-0000-000072000000}"/>
    <cellStyle name="40% - Accent2 4" xfId="1162" xr:uid="{00000000-0005-0000-0000-000073000000}"/>
    <cellStyle name="40% - Accent2 5" xfId="1163" xr:uid="{00000000-0005-0000-0000-000074000000}"/>
    <cellStyle name="40% - Accent2 5 2" xfId="1164" xr:uid="{00000000-0005-0000-0000-000075000000}"/>
    <cellStyle name="40% - Accent2 5 2 2" xfId="1165" xr:uid="{00000000-0005-0000-0000-000076000000}"/>
    <cellStyle name="40% - Accent2 5 2 3" xfId="1166" xr:uid="{00000000-0005-0000-0000-000077000000}"/>
    <cellStyle name="40% - Accent2 5 3" xfId="1167" xr:uid="{00000000-0005-0000-0000-000078000000}"/>
    <cellStyle name="40% - Accent2 5 4" xfId="1168" xr:uid="{00000000-0005-0000-0000-000079000000}"/>
    <cellStyle name="40% - Accent2 5 5" xfId="1169" xr:uid="{00000000-0005-0000-0000-00007A000000}"/>
    <cellStyle name="40% - Accent2 6" xfId="1170" xr:uid="{00000000-0005-0000-0000-00007B000000}"/>
    <cellStyle name="40% - Accent2 7" xfId="1171" xr:uid="{00000000-0005-0000-0000-00007C000000}"/>
    <cellStyle name="40% - Accent2 8" xfId="1172" xr:uid="{00000000-0005-0000-0000-00007D000000}"/>
    <cellStyle name="40% - Accent2 9" xfId="1173" xr:uid="{00000000-0005-0000-0000-00007E000000}"/>
    <cellStyle name="40% - Accent3 2" xfId="565" xr:uid="{00000000-0005-0000-0000-00007F000000}"/>
    <cellStyle name="40% - Accent3 2 2" xfId="1174" xr:uid="{00000000-0005-0000-0000-000080000000}"/>
    <cellStyle name="40% - Accent3 3" xfId="1175" xr:uid="{00000000-0005-0000-0000-000081000000}"/>
    <cellStyle name="40% - Accent3 4" xfId="1176" xr:uid="{00000000-0005-0000-0000-000082000000}"/>
    <cellStyle name="40% - Accent3 5" xfId="1177" xr:uid="{00000000-0005-0000-0000-000083000000}"/>
    <cellStyle name="40% - Accent3 5 2" xfId="1178" xr:uid="{00000000-0005-0000-0000-000084000000}"/>
    <cellStyle name="40% - Accent3 5 2 2" xfId="1179" xr:uid="{00000000-0005-0000-0000-000085000000}"/>
    <cellStyle name="40% - Accent3 5 2 3" xfId="1180" xr:uid="{00000000-0005-0000-0000-000086000000}"/>
    <cellStyle name="40% - Accent3 5 3" xfId="1181" xr:uid="{00000000-0005-0000-0000-000087000000}"/>
    <cellStyle name="40% - Accent3 5 4" xfId="1182" xr:uid="{00000000-0005-0000-0000-000088000000}"/>
    <cellStyle name="40% - Accent3 5 5" xfId="1183" xr:uid="{00000000-0005-0000-0000-000089000000}"/>
    <cellStyle name="40% - Accent3 6" xfId="1184" xr:uid="{00000000-0005-0000-0000-00008A000000}"/>
    <cellStyle name="40% - Accent3 7" xfId="1185" xr:uid="{00000000-0005-0000-0000-00008B000000}"/>
    <cellStyle name="40% - Accent3 8" xfId="1186" xr:uid="{00000000-0005-0000-0000-00008C000000}"/>
    <cellStyle name="40% - Accent3 9" xfId="1187" xr:uid="{00000000-0005-0000-0000-00008D000000}"/>
    <cellStyle name="40% - Accent4 2" xfId="566" xr:uid="{00000000-0005-0000-0000-00008E000000}"/>
    <cellStyle name="40% - Accent4 2 2" xfId="1188" xr:uid="{00000000-0005-0000-0000-00008F000000}"/>
    <cellStyle name="40% - Accent4 3" xfId="1189" xr:uid="{00000000-0005-0000-0000-000090000000}"/>
    <cellStyle name="40% - Accent4 4" xfId="1190" xr:uid="{00000000-0005-0000-0000-000091000000}"/>
    <cellStyle name="40% - Accent4 5" xfId="1191" xr:uid="{00000000-0005-0000-0000-000092000000}"/>
    <cellStyle name="40% - Accent4 5 2" xfId="1192" xr:uid="{00000000-0005-0000-0000-000093000000}"/>
    <cellStyle name="40% - Accent4 5 2 2" xfId="1193" xr:uid="{00000000-0005-0000-0000-000094000000}"/>
    <cellStyle name="40% - Accent4 5 2 3" xfId="1194" xr:uid="{00000000-0005-0000-0000-000095000000}"/>
    <cellStyle name="40% - Accent4 5 3" xfId="1195" xr:uid="{00000000-0005-0000-0000-000096000000}"/>
    <cellStyle name="40% - Accent4 5 4" xfId="1196" xr:uid="{00000000-0005-0000-0000-000097000000}"/>
    <cellStyle name="40% - Accent4 5 5" xfId="1197" xr:uid="{00000000-0005-0000-0000-000098000000}"/>
    <cellStyle name="40% - Accent4 6" xfId="1198" xr:uid="{00000000-0005-0000-0000-000099000000}"/>
    <cellStyle name="40% - Accent4 7" xfId="1199" xr:uid="{00000000-0005-0000-0000-00009A000000}"/>
    <cellStyle name="40% - Accent4 8" xfId="1200" xr:uid="{00000000-0005-0000-0000-00009B000000}"/>
    <cellStyle name="40% - Accent4 9" xfId="1201" xr:uid="{00000000-0005-0000-0000-00009C000000}"/>
    <cellStyle name="40% - Accent5 2" xfId="567" xr:uid="{00000000-0005-0000-0000-00009D000000}"/>
    <cellStyle name="40% - Accent5 2 2" xfId="1202" xr:uid="{00000000-0005-0000-0000-00009E000000}"/>
    <cellStyle name="40% - Accent5 3" xfId="1203" xr:uid="{00000000-0005-0000-0000-00009F000000}"/>
    <cellStyle name="40% - Accent5 4" xfId="1204" xr:uid="{00000000-0005-0000-0000-0000A0000000}"/>
    <cellStyle name="40% - Accent5 5" xfId="1205" xr:uid="{00000000-0005-0000-0000-0000A1000000}"/>
    <cellStyle name="40% - Accent5 5 2" xfId="1206" xr:uid="{00000000-0005-0000-0000-0000A2000000}"/>
    <cellStyle name="40% - Accent5 5 2 2" xfId="1207" xr:uid="{00000000-0005-0000-0000-0000A3000000}"/>
    <cellStyle name="40% - Accent5 5 2 3" xfId="1208" xr:uid="{00000000-0005-0000-0000-0000A4000000}"/>
    <cellStyle name="40% - Accent5 5 3" xfId="1209" xr:uid="{00000000-0005-0000-0000-0000A5000000}"/>
    <cellStyle name="40% - Accent5 5 4" xfId="1210" xr:uid="{00000000-0005-0000-0000-0000A6000000}"/>
    <cellStyle name="40% - Accent5 5 5" xfId="1211" xr:uid="{00000000-0005-0000-0000-0000A7000000}"/>
    <cellStyle name="40% - Accent5 6" xfId="1212" xr:uid="{00000000-0005-0000-0000-0000A8000000}"/>
    <cellStyle name="40% - Accent5 7" xfId="1213" xr:uid="{00000000-0005-0000-0000-0000A9000000}"/>
    <cellStyle name="40% - Accent5 8" xfId="1214" xr:uid="{00000000-0005-0000-0000-0000AA000000}"/>
    <cellStyle name="40% - Accent5 9" xfId="1215" xr:uid="{00000000-0005-0000-0000-0000AB000000}"/>
    <cellStyle name="40% - Accent6 2" xfId="568" xr:uid="{00000000-0005-0000-0000-0000AC000000}"/>
    <cellStyle name="40% - Accent6 2 2" xfId="1216" xr:uid="{00000000-0005-0000-0000-0000AD000000}"/>
    <cellStyle name="40% - Accent6 3" xfId="1217" xr:uid="{00000000-0005-0000-0000-0000AE000000}"/>
    <cellStyle name="40% - Accent6 4" xfId="1218" xr:uid="{00000000-0005-0000-0000-0000AF000000}"/>
    <cellStyle name="40% - Accent6 5" xfId="1219" xr:uid="{00000000-0005-0000-0000-0000B0000000}"/>
    <cellStyle name="40% - Accent6 5 2" xfId="1220" xr:uid="{00000000-0005-0000-0000-0000B1000000}"/>
    <cellStyle name="40% - Accent6 5 2 2" xfId="1221" xr:uid="{00000000-0005-0000-0000-0000B2000000}"/>
    <cellStyle name="40% - Accent6 5 2 3" xfId="1222" xr:uid="{00000000-0005-0000-0000-0000B3000000}"/>
    <cellStyle name="40% - Accent6 5 3" xfId="1223" xr:uid="{00000000-0005-0000-0000-0000B4000000}"/>
    <cellStyle name="40% - Accent6 5 4" xfId="1224" xr:uid="{00000000-0005-0000-0000-0000B5000000}"/>
    <cellStyle name="40% - Accent6 5 5" xfId="1225" xr:uid="{00000000-0005-0000-0000-0000B6000000}"/>
    <cellStyle name="40% - Accent6 6" xfId="1226" xr:uid="{00000000-0005-0000-0000-0000B7000000}"/>
    <cellStyle name="40% - Accent6 7" xfId="1227" xr:uid="{00000000-0005-0000-0000-0000B8000000}"/>
    <cellStyle name="40% - Accent6 8" xfId="1228" xr:uid="{00000000-0005-0000-0000-0000B9000000}"/>
    <cellStyle name="40% - Accent6 9" xfId="1229" xr:uid="{00000000-0005-0000-0000-0000BA000000}"/>
    <cellStyle name="60% - Accent1 2" xfId="569" xr:uid="{00000000-0005-0000-0000-0000BB000000}"/>
    <cellStyle name="60% - Accent1 2 2" xfId="1230" xr:uid="{00000000-0005-0000-0000-0000BC000000}"/>
    <cellStyle name="60% - Accent1 3" xfId="1231" xr:uid="{00000000-0005-0000-0000-0000BD000000}"/>
    <cellStyle name="60% - Accent1 4" xfId="1232" xr:uid="{00000000-0005-0000-0000-0000BE000000}"/>
    <cellStyle name="60% - Accent1 5" xfId="1233" xr:uid="{00000000-0005-0000-0000-0000BF000000}"/>
    <cellStyle name="60% - Accent1 6" xfId="1234" xr:uid="{00000000-0005-0000-0000-0000C0000000}"/>
    <cellStyle name="60% - Accent1 7" xfId="1235" xr:uid="{00000000-0005-0000-0000-0000C1000000}"/>
    <cellStyle name="60% - Accent1 8" xfId="1236" xr:uid="{00000000-0005-0000-0000-0000C2000000}"/>
    <cellStyle name="60% - Accent1 9" xfId="1237" xr:uid="{00000000-0005-0000-0000-0000C3000000}"/>
    <cellStyle name="60% - Accent2 2" xfId="570" xr:uid="{00000000-0005-0000-0000-0000C4000000}"/>
    <cellStyle name="60% - Accent2 2 2" xfId="1238" xr:uid="{00000000-0005-0000-0000-0000C5000000}"/>
    <cellStyle name="60% - Accent2 3" xfId="1239" xr:uid="{00000000-0005-0000-0000-0000C6000000}"/>
    <cellStyle name="60% - Accent2 4" xfId="1240" xr:uid="{00000000-0005-0000-0000-0000C7000000}"/>
    <cellStyle name="60% - Accent2 5" xfId="1241" xr:uid="{00000000-0005-0000-0000-0000C8000000}"/>
    <cellStyle name="60% - Accent2 6" xfId="1242" xr:uid="{00000000-0005-0000-0000-0000C9000000}"/>
    <cellStyle name="60% - Accent2 7" xfId="1243" xr:uid="{00000000-0005-0000-0000-0000CA000000}"/>
    <cellStyle name="60% - Accent2 8" xfId="1244" xr:uid="{00000000-0005-0000-0000-0000CB000000}"/>
    <cellStyle name="60% - Accent2 9" xfId="1245" xr:uid="{00000000-0005-0000-0000-0000CC000000}"/>
    <cellStyle name="60% - Accent3 2" xfId="571" xr:uid="{00000000-0005-0000-0000-0000CD000000}"/>
    <cellStyle name="60% - Accent3 2 2" xfId="1246" xr:uid="{00000000-0005-0000-0000-0000CE000000}"/>
    <cellStyle name="60% - Accent3 3" xfId="1247" xr:uid="{00000000-0005-0000-0000-0000CF000000}"/>
    <cellStyle name="60% - Accent3 4" xfId="1248" xr:uid="{00000000-0005-0000-0000-0000D0000000}"/>
    <cellStyle name="60% - Accent3 5" xfId="1249" xr:uid="{00000000-0005-0000-0000-0000D1000000}"/>
    <cellStyle name="60% - Accent3 6" xfId="1250" xr:uid="{00000000-0005-0000-0000-0000D2000000}"/>
    <cellStyle name="60% - Accent3 7" xfId="1251" xr:uid="{00000000-0005-0000-0000-0000D3000000}"/>
    <cellStyle name="60% - Accent3 8" xfId="1252" xr:uid="{00000000-0005-0000-0000-0000D4000000}"/>
    <cellStyle name="60% - Accent3 9" xfId="1253" xr:uid="{00000000-0005-0000-0000-0000D5000000}"/>
    <cellStyle name="60% - Accent4 2" xfId="572" xr:uid="{00000000-0005-0000-0000-0000D6000000}"/>
    <cellStyle name="60% - Accent4 2 2" xfId="1254" xr:uid="{00000000-0005-0000-0000-0000D7000000}"/>
    <cellStyle name="60% - Accent4 3" xfId="1255" xr:uid="{00000000-0005-0000-0000-0000D8000000}"/>
    <cellStyle name="60% - Accent4 4" xfId="1256" xr:uid="{00000000-0005-0000-0000-0000D9000000}"/>
    <cellStyle name="60% - Accent4 5" xfId="1257" xr:uid="{00000000-0005-0000-0000-0000DA000000}"/>
    <cellStyle name="60% - Accent4 6" xfId="1258" xr:uid="{00000000-0005-0000-0000-0000DB000000}"/>
    <cellStyle name="60% - Accent4 7" xfId="1259" xr:uid="{00000000-0005-0000-0000-0000DC000000}"/>
    <cellStyle name="60% - Accent4 8" xfId="1260" xr:uid="{00000000-0005-0000-0000-0000DD000000}"/>
    <cellStyle name="60% - Accent4 9" xfId="1261" xr:uid="{00000000-0005-0000-0000-0000DE000000}"/>
    <cellStyle name="60% - Accent5 2" xfId="573" xr:uid="{00000000-0005-0000-0000-0000DF000000}"/>
    <cellStyle name="60% - Accent5 2 2" xfId="1262" xr:uid="{00000000-0005-0000-0000-0000E0000000}"/>
    <cellStyle name="60% - Accent5 3" xfId="1263" xr:uid="{00000000-0005-0000-0000-0000E1000000}"/>
    <cellStyle name="60% - Accent5 4" xfId="1264" xr:uid="{00000000-0005-0000-0000-0000E2000000}"/>
    <cellStyle name="60% - Accent5 5" xfId="1265" xr:uid="{00000000-0005-0000-0000-0000E3000000}"/>
    <cellStyle name="60% - Accent5 6" xfId="1266" xr:uid="{00000000-0005-0000-0000-0000E4000000}"/>
    <cellStyle name="60% - Accent5 7" xfId="1267" xr:uid="{00000000-0005-0000-0000-0000E5000000}"/>
    <cellStyle name="60% - Accent5 8" xfId="1268" xr:uid="{00000000-0005-0000-0000-0000E6000000}"/>
    <cellStyle name="60% - Accent5 9" xfId="1269" xr:uid="{00000000-0005-0000-0000-0000E7000000}"/>
    <cellStyle name="60% - Accent6 2" xfId="574" xr:uid="{00000000-0005-0000-0000-0000E8000000}"/>
    <cellStyle name="60% - Accent6 2 2" xfId="1270" xr:uid="{00000000-0005-0000-0000-0000E9000000}"/>
    <cellStyle name="60% - Accent6 3" xfId="1271" xr:uid="{00000000-0005-0000-0000-0000EA000000}"/>
    <cellStyle name="60% - Accent6 4" xfId="1272" xr:uid="{00000000-0005-0000-0000-0000EB000000}"/>
    <cellStyle name="60% - Accent6 5" xfId="1273" xr:uid="{00000000-0005-0000-0000-0000EC000000}"/>
    <cellStyle name="60% - Accent6 6" xfId="1274" xr:uid="{00000000-0005-0000-0000-0000ED000000}"/>
    <cellStyle name="60% - Accent6 7" xfId="1275" xr:uid="{00000000-0005-0000-0000-0000EE000000}"/>
    <cellStyle name="60% - Accent6 8" xfId="1276" xr:uid="{00000000-0005-0000-0000-0000EF000000}"/>
    <cellStyle name="60% - Accent6 9" xfId="1277" xr:uid="{00000000-0005-0000-0000-0000F0000000}"/>
    <cellStyle name="Accent1 2" xfId="575" xr:uid="{00000000-0005-0000-0000-0000F1000000}"/>
    <cellStyle name="Accent1 2 2" xfId="1278" xr:uid="{00000000-0005-0000-0000-0000F2000000}"/>
    <cellStyle name="Accent1 3" xfId="1279" xr:uid="{00000000-0005-0000-0000-0000F3000000}"/>
    <cellStyle name="Accent1 4" xfId="1280" xr:uid="{00000000-0005-0000-0000-0000F4000000}"/>
    <cellStyle name="Accent1 5" xfId="1281" xr:uid="{00000000-0005-0000-0000-0000F5000000}"/>
    <cellStyle name="Accent1 6" xfId="1282" xr:uid="{00000000-0005-0000-0000-0000F6000000}"/>
    <cellStyle name="Accent1 7" xfId="1283" xr:uid="{00000000-0005-0000-0000-0000F7000000}"/>
    <cellStyle name="Accent1 8" xfId="1284" xr:uid="{00000000-0005-0000-0000-0000F8000000}"/>
    <cellStyle name="Accent1 9" xfId="1285" xr:uid="{00000000-0005-0000-0000-0000F9000000}"/>
    <cellStyle name="Accent2 2" xfId="576" xr:uid="{00000000-0005-0000-0000-0000FA000000}"/>
    <cellStyle name="Accent2 2 2" xfId="1286" xr:uid="{00000000-0005-0000-0000-0000FB000000}"/>
    <cellStyle name="Accent2 3" xfId="1287" xr:uid="{00000000-0005-0000-0000-0000FC000000}"/>
    <cellStyle name="Accent2 4" xfId="1288" xr:uid="{00000000-0005-0000-0000-0000FD000000}"/>
    <cellStyle name="Accent2 5" xfId="1289" xr:uid="{00000000-0005-0000-0000-0000FE000000}"/>
    <cellStyle name="Accent2 6" xfId="1290" xr:uid="{00000000-0005-0000-0000-0000FF000000}"/>
    <cellStyle name="Accent2 7" xfId="1291" xr:uid="{00000000-0005-0000-0000-000000010000}"/>
    <cellStyle name="Accent2 8" xfId="1292" xr:uid="{00000000-0005-0000-0000-000001010000}"/>
    <cellStyle name="Accent2 9" xfId="1293" xr:uid="{00000000-0005-0000-0000-000002010000}"/>
    <cellStyle name="Accent3 2" xfId="577" xr:uid="{00000000-0005-0000-0000-000003010000}"/>
    <cellStyle name="Accent3 2 2" xfId="1294" xr:uid="{00000000-0005-0000-0000-000004010000}"/>
    <cellStyle name="Accent3 3" xfId="1295" xr:uid="{00000000-0005-0000-0000-000005010000}"/>
    <cellStyle name="Accent3 4" xfId="1296" xr:uid="{00000000-0005-0000-0000-000006010000}"/>
    <cellStyle name="Accent3 5" xfId="1297" xr:uid="{00000000-0005-0000-0000-000007010000}"/>
    <cellStyle name="Accent3 6" xfId="1298" xr:uid="{00000000-0005-0000-0000-000008010000}"/>
    <cellStyle name="Accent3 7" xfId="1299" xr:uid="{00000000-0005-0000-0000-000009010000}"/>
    <cellStyle name="Accent3 8" xfId="1300" xr:uid="{00000000-0005-0000-0000-00000A010000}"/>
    <cellStyle name="Accent3 9" xfId="1301" xr:uid="{00000000-0005-0000-0000-00000B010000}"/>
    <cellStyle name="Accent4 2" xfId="578" xr:uid="{00000000-0005-0000-0000-00000C010000}"/>
    <cellStyle name="Accent4 2 2" xfId="1302" xr:uid="{00000000-0005-0000-0000-00000D010000}"/>
    <cellStyle name="Accent4 3" xfId="1303" xr:uid="{00000000-0005-0000-0000-00000E010000}"/>
    <cellStyle name="Accent4 4" xfId="1304" xr:uid="{00000000-0005-0000-0000-00000F010000}"/>
    <cellStyle name="Accent4 5" xfId="1305" xr:uid="{00000000-0005-0000-0000-000010010000}"/>
    <cellStyle name="Accent4 6" xfId="1306" xr:uid="{00000000-0005-0000-0000-000011010000}"/>
    <cellStyle name="Accent4 7" xfId="1307" xr:uid="{00000000-0005-0000-0000-000012010000}"/>
    <cellStyle name="Accent4 8" xfId="1308" xr:uid="{00000000-0005-0000-0000-000013010000}"/>
    <cellStyle name="Accent4 9" xfId="1309" xr:uid="{00000000-0005-0000-0000-000014010000}"/>
    <cellStyle name="Accent5 2" xfId="579" xr:uid="{00000000-0005-0000-0000-000015010000}"/>
    <cellStyle name="Accent5 2 2" xfId="1310" xr:uid="{00000000-0005-0000-0000-000016010000}"/>
    <cellStyle name="Accent5 3" xfId="1311" xr:uid="{00000000-0005-0000-0000-000017010000}"/>
    <cellStyle name="Accent5 4" xfId="1312" xr:uid="{00000000-0005-0000-0000-000018010000}"/>
    <cellStyle name="Accent5 5" xfId="1313" xr:uid="{00000000-0005-0000-0000-000019010000}"/>
    <cellStyle name="Accent5 6" xfId="1314" xr:uid="{00000000-0005-0000-0000-00001A010000}"/>
    <cellStyle name="Accent5 7" xfId="1315" xr:uid="{00000000-0005-0000-0000-00001B010000}"/>
    <cellStyle name="Accent5 8" xfId="1316" xr:uid="{00000000-0005-0000-0000-00001C010000}"/>
    <cellStyle name="Accent5 9" xfId="1317" xr:uid="{00000000-0005-0000-0000-00001D010000}"/>
    <cellStyle name="Accent6 2" xfId="580" xr:uid="{00000000-0005-0000-0000-00001E010000}"/>
    <cellStyle name="Accent6 2 2" xfId="1318" xr:uid="{00000000-0005-0000-0000-00001F010000}"/>
    <cellStyle name="Accent6 3" xfId="1319" xr:uid="{00000000-0005-0000-0000-000020010000}"/>
    <cellStyle name="Accent6 4" xfId="1320" xr:uid="{00000000-0005-0000-0000-000021010000}"/>
    <cellStyle name="Accent6 5" xfId="1321" xr:uid="{00000000-0005-0000-0000-000022010000}"/>
    <cellStyle name="Accent6 6" xfId="1322" xr:uid="{00000000-0005-0000-0000-000023010000}"/>
    <cellStyle name="Accent6 7" xfId="1323" xr:uid="{00000000-0005-0000-0000-000024010000}"/>
    <cellStyle name="Accent6 8" xfId="1324" xr:uid="{00000000-0005-0000-0000-000025010000}"/>
    <cellStyle name="Accent6 9" xfId="1325" xr:uid="{00000000-0005-0000-0000-000026010000}"/>
    <cellStyle name="Bad 2" xfId="581" xr:uid="{00000000-0005-0000-0000-000027010000}"/>
    <cellStyle name="Bad 2 2" xfId="1326" xr:uid="{00000000-0005-0000-0000-000028010000}"/>
    <cellStyle name="Bad 3" xfId="1327" xr:uid="{00000000-0005-0000-0000-000029010000}"/>
    <cellStyle name="Bad 4" xfId="1328" xr:uid="{00000000-0005-0000-0000-00002A010000}"/>
    <cellStyle name="Bad 5" xfId="1329" xr:uid="{00000000-0005-0000-0000-00002B010000}"/>
    <cellStyle name="Bad 6" xfId="1330" xr:uid="{00000000-0005-0000-0000-00002C010000}"/>
    <cellStyle name="Bad 7" xfId="1331" xr:uid="{00000000-0005-0000-0000-00002D010000}"/>
    <cellStyle name="Bad 8" xfId="1332" xr:uid="{00000000-0005-0000-0000-00002E010000}"/>
    <cellStyle name="Bad 9" xfId="1333" xr:uid="{00000000-0005-0000-0000-00002F010000}"/>
    <cellStyle name="Basic" xfId="8" xr:uid="{00000000-0005-0000-0000-000030010000}"/>
    <cellStyle name="black" xfId="9" xr:uid="{00000000-0005-0000-0000-000031010000}"/>
    <cellStyle name="blu" xfId="10" xr:uid="{00000000-0005-0000-0000-000032010000}"/>
    <cellStyle name="bot" xfId="11" xr:uid="{00000000-0005-0000-0000-000033010000}"/>
    <cellStyle name="Bullet" xfId="12" xr:uid="{00000000-0005-0000-0000-000034010000}"/>
    <cellStyle name="Bullet [0]" xfId="13" xr:uid="{00000000-0005-0000-0000-000035010000}"/>
    <cellStyle name="Bullet [2]" xfId="14" xr:uid="{00000000-0005-0000-0000-000036010000}"/>
    <cellStyle name="Bullet [4]" xfId="15" xr:uid="{00000000-0005-0000-0000-000037010000}"/>
    <cellStyle name="c" xfId="16" xr:uid="{00000000-0005-0000-0000-000038010000}"/>
    <cellStyle name="c," xfId="17" xr:uid="{00000000-0005-0000-0000-000039010000}"/>
    <cellStyle name="c_HardInc " xfId="18" xr:uid="{00000000-0005-0000-0000-00003A010000}"/>
    <cellStyle name="c_HardInc _ITC Great Plains Formula 1-12-09a" xfId="19" xr:uid="{00000000-0005-0000-0000-00003B010000}"/>
    <cellStyle name="C00A" xfId="20" xr:uid="{00000000-0005-0000-0000-00003C010000}"/>
    <cellStyle name="C00B" xfId="21" xr:uid="{00000000-0005-0000-0000-00003D010000}"/>
    <cellStyle name="C00L" xfId="22" xr:uid="{00000000-0005-0000-0000-00003E010000}"/>
    <cellStyle name="C01A" xfId="23" xr:uid="{00000000-0005-0000-0000-00003F010000}"/>
    <cellStyle name="C01B" xfId="24" xr:uid="{00000000-0005-0000-0000-000040010000}"/>
    <cellStyle name="C01H" xfId="25" xr:uid="{00000000-0005-0000-0000-000041010000}"/>
    <cellStyle name="C01L" xfId="26" xr:uid="{00000000-0005-0000-0000-000042010000}"/>
    <cellStyle name="C02A" xfId="27" xr:uid="{00000000-0005-0000-0000-000043010000}"/>
    <cellStyle name="C02B" xfId="28" xr:uid="{00000000-0005-0000-0000-000044010000}"/>
    <cellStyle name="C02H" xfId="29" xr:uid="{00000000-0005-0000-0000-000045010000}"/>
    <cellStyle name="C02L" xfId="30" xr:uid="{00000000-0005-0000-0000-000046010000}"/>
    <cellStyle name="C03A" xfId="31" xr:uid="{00000000-0005-0000-0000-000047010000}"/>
    <cellStyle name="C03B" xfId="32" xr:uid="{00000000-0005-0000-0000-000048010000}"/>
    <cellStyle name="C03H" xfId="33" xr:uid="{00000000-0005-0000-0000-000049010000}"/>
    <cellStyle name="C03L" xfId="34" xr:uid="{00000000-0005-0000-0000-00004A010000}"/>
    <cellStyle name="C04A" xfId="35" xr:uid="{00000000-0005-0000-0000-00004B010000}"/>
    <cellStyle name="C04B" xfId="36" xr:uid="{00000000-0005-0000-0000-00004C010000}"/>
    <cellStyle name="C04H" xfId="37" xr:uid="{00000000-0005-0000-0000-00004D010000}"/>
    <cellStyle name="C04L" xfId="38" xr:uid="{00000000-0005-0000-0000-00004E010000}"/>
    <cellStyle name="C05A" xfId="39" xr:uid="{00000000-0005-0000-0000-00004F010000}"/>
    <cellStyle name="C05B" xfId="40" xr:uid="{00000000-0005-0000-0000-000050010000}"/>
    <cellStyle name="C05H" xfId="41" xr:uid="{00000000-0005-0000-0000-000051010000}"/>
    <cellStyle name="C05L" xfId="42" xr:uid="{00000000-0005-0000-0000-000052010000}"/>
    <cellStyle name="C05L 2" xfId="43" xr:uid="{00000000-0005-0000-0000-000053010000}"/>
    <cellStyle name="C06A" xfId="44" xr:uid="{00000000-0005-0000-0000-000054010000}"/>
    <cellStyle name="C06B" xfId="45" xr:uid="{00000000-0005-0000-0000-000055010000}"/>
    <cellStyle name="C06H" xfId="46" xr:uid="{00000000-0005-0000-0000-000056010000}"/>
    <cellStyle name="C06L" xfId="47" xr:uid="{00000000-0005-0000-0000-000057010000}"/>
    <cellStyle name="C07A" xfId="48" xr:uid="{00000000-0005-0000-0000-000058010000}"/>
    <cellStyle name="C07B" xfId="49" xr:uid="{00000000-0005-0000-0000-000059010000}"/>
    <cellStyle name="C07H" xfId="50" xr:uid="{00000000-0005-0000-0000-00005A010000}"/>
    <cellStyle name="C07L" xfId="51" xr:uid="{00000000-0005-0000-0000-00005B010000}"/>
    <cellStyle name="c1" xfId="52" xr:uid="{00000000-0005-0000-0000-00005C010000}"/>
    <cellStyle name="c1," xfId="53" xr:uid="{00000000-0005-0000-0000-00005D010000}"/>
    <cellStyle name="c2" xfId="54" xr:uid="{00000000-0005-0000-0000-00005E010000}"/>
    <cellStyle name="c2," xfId="55" xr:uid="{00000000-0005-0000-0000-00005F010000}"/>
    <cellStyle name="c3" xfId="56" xr:uid="{00000000-0005-0000-0000-000060010000}"/>
    <cellStyle name="Calculation 2" xfId="582" xr:uid="{00000000-0005-0000-0000-000061010000}"/>
    <cellStyle name="Calculation 2 2" xfId="1334" xr:uid="{00000000-0005-0000-0000-000062010000}"/>
    <cellStyle name="Calculation 3" xfId="1335" xr:uid="{00000000-0005-0000-0000-000063010000}"/>
    <cellStyle name="Calculation 4" xfId="1336" xr:uid="{00000000-0005-0000-0000-000064010000}"/>
    <cellStyle name="Calculation 5" xfId="1337" xr:uid="{00000000-0005-0000-0000-000065010000}"/>
    <cellStyle name="Calculation 6" xfId="1338" xr:uid="{00000000-0005-0000-0000-000066010000}"/>
    <cellStyle name="Calculation 7" xfId="1339" xr:uid="{00000000-0005-0000-0000-000067010000}"/>
    <cellStyle name="Calculation 8" xfId="1340" xr:uid="{00000000-0005-0000-0000-000068010000}"/>
    <cellStyle name="Calculation 9" xfId="1341" xr:uid="{00000000-0005-0000-0000-000069010000}"/>
    <cellStyle name="cas" xfId="57" xr:uid="{00000000-0005-0000-0000-00006A010000}"/>
    <cellStyle name="Centered Heading" xfId="58" xr:uid="{00000000-0005-0000-0000-00006B010000}"/>
    <cellStyle name="Check Cell 2" xfId="583" xr:uid="{00000000-0005-0000-0000-00006C010000}"/>
    <cellStyle name="Check Cell 2 2" xfId="1342" xr:uid="{00000000-0005-0000-0000-00006D010000}"/>
    <cellStyle name="Check Cell 3" xfId="1343" xr:uid="{00000000-0005-0000-0000-00006E010000}"/>
    <cellStyle name="Check Cell 4" xfId="1344" xr:uid="{00000000-0005-0000-0000-00006F010000}"/>
    <cellStyle name="Check Cell 5" xfId="1345" xr:uid="{00000000-0005-0000-0000-000070010000}"/>
    <cellStyle name="Check Cell 6" xfId="1346" xr:uid="{00000000-0005-0000-0000-000071010000}"/>
    <cellStyle name="Check Cell 7" xfId="1347" xr:uid="{00000000-0005-0000-0000-000072010000}"/>
    <cellStyle name="Check Cell 8" xfId="1348" xr:uid="{00000000-0005-0000-0000-000073010000}"/>
    <cellStyle name="Check Cell 9" xfId="1349" xr:uid="{00000000-0005-0000-0000-000074010000}"/>
    <cellStyle name="Comma" xfId="59" builtinId="3"/>
    <cellStyle name="Comma  - Style1" xfId="60" xr:uid="{00000000-0005-0000-0000-000076010000}"/>
    <cellStyle name="Comma  - Style2" xfId="61" xr:uid="{00000000-0005-0000-0000-000077010000}"/>
    <cellStyle name="Comma  - Style3" xfId="62" xr:uid="{00000000-0005-0000-0000-000078010000}"/>
    <cellStyle name="Comma  - Style4" xfId="63" xr:uid="{00000000-0005-0000-0000-000079010000}"/>
    <cellStyle name="Comma  - Style5" xfId="64" xr:uid="{00000000-0005-0000-0000-00007A010000}"/>
    <cellStyle name="Comma  - Style6" xfId="65" xr:uid="{00000000-0005-0000-0000-00007B010000}"/>
    <cellStyle name="Comma  - Style7" xfId="66" xr:uid="{00000000-0005-0000-0000-00007C010000}"/>
    <cellStyle name="Comma  - Style8" xfId="67" xr:uid="{00000000-0005-0000-0000-00007D010000}"/>
    <cellStyle name="Comma [0] 2" xfId="68" xr:uid="{00000000-0005-0000-0000-00007E010000}"/>
    <cellStyle name="Comma [0] 2 2 2" xfId="9823" xr:uid="{F73E78AB-9DD2-489C-AB83-4A9EC5A710E6}"/>
    <cellStyle name="Comma [0] 3" xfId="9826" xr:uid="{C1D58F5E-9864-4FB5-8D58-918A5A764D8E}"/>
    <cellStyle name="Comma [1]" xfId="69" xr:uid="{00000000-0005-0000-0000-00007F010000}"/>
    <cellStyle name="Comma [2]" xfId="70" xr:uid="{00000000-0005-0000-0000-000080010000}"/>
    <cellStyle name="Comma [3]" xfId="71" xr:uid="{00000000-0005-0000-0000-000081010000}"/>
    <cellStyle name="Comma 0.0" xfId="72" xr:uid="{00000000-0005-0000-0000-000082010000}"/>
    <cellStyle name="Comma 0.00" xfId="73" xr:uid="{00000000-0005-0000-0000-000083010000}"/>
    <cellStyle name="Comma 0.000" xfId="74" xr:uid="{00000000-0005-0000-0000-000084010000}"/>
    <cellStyle name="Comma 0.0000" xfId="75" xr:uid="{00000000-0005-0000-0000-000085010000}"/>
    <cellStyle name="Comma 10" xfId="76" xr:uid="{00000000-0005-0000-0000-000086010000}"/>
    <cellStyle name="Comma 10 2" xfId="587" xr:uid="{00000000-0005-0000-0000-000087010000}"/>
    <cellStyle name="Comma 10 2 2" xfId="1350" xr:uid="{00000000-0005-0000-0000-000088010000}"/>
    <cellStyle name="Comma 10 3" xfId="1351" xr:uid="{00000000-0005-0000-0000-000089010000}"/>
    <cellStyle name="Comma 11" xfId="77" xr:uid="{00000000-0005-0000-0000-00008A010000}"/>
    <cellStyle name="Comma 11 2" xfId="588" xr:uid="{00000000-0005-0000-0000-00008B010000}"/>
    <cellStyle name="Comma 12" xfId="553" xr:uid="{00000000-0005-0000-0000-00008C010000}"/>
    <cellStyle name="Comma 12 2" xfId="1061" xr:uid="{00000000-0005-0000-0000-00008D010000}"/>
    <cellStyle name="Comma 12 2 2" xfId="9818" xr:uid="{00000000-0005-0000-0000-00008E010000}"/>
    <cellStyle name="Comma 13" xfId="552" xr:uid="{00000000-0005-0000-0000-00008F010000}"/>
    <cellStyle name="Comma 13 2" xfId="1352" xr:uid="{00000000-0005-0000-0000-000090010000}"/>
    <cellStyle name="Comma 13 2 2" xfId="1353" xr:uid="{00000000-0005-0000-0000-000091010000}"/>
    <cellStyle name="Comma 13 2 3" xfId="1354" xr:uid="{00000000-0005-0000-0000-000092010000}"/>
    <cellStyle name="Comma 13 3" xfId="1355" xr:uid="{00000000-0005-0000-0000-000093010000}"/>
    <cellStyle name="Comma 13 4" xfId="1356" xr:uid="{00000000-0005-0000-0000-000094010000}"/>
    <cellStyle name="Comma 13 5" xfId="1357" xr:uid="{00000000-0005-0000-0000-000095010000}"/>
    <cellStyle name="Comma 14" xfId="551" xr:uid="{00000000-0005-0000-0000-000096010000}"/>
    <cellStyle name="Comma 15" xfId="550" xr:uid="{00000000-0005-0000-0000-000097010000}"/>
    <cellStyle name="Comma 16" xfId="549" xr:uid="{00000000-0005-0000-0000-000098010000}"/>
    <cellStyle name="Comma 17" xfId="548" xr:uid="{00000000-0005-0000-0000-000099010000}"/>
    <cellStyle name="Comma 18" xfId="547" xr:uid="{00000000-0005-0000-0000-00009A010000}"/>
    <cellStyle name="Comma 19" xfId="546" xr:uid="{00000000-0005-0000-0000-00009B010000}"/>
    <cellStyle name="Comma 2" xfId="78" xr:uid="{00000000-0005-0000-0000-00009C010000}"/>
    <cellStyle name="Comma 2 2" xfId="79" xr:uid="{00000000-0005-0000-0000-00009D010000}"/>
    <cellStyle name="Comma 2 2 2" xfId="9829" xr:uid="{FCE0B905-997D-4802-8A52-A41CBFF6CB37}"/>
    <cellStyle name="Comma 2 3" xfId="545" xr:uid="{00000000-0005-0000-0000-00009E010000}"/>
    <cellStyle name="Comma 2 4" xfId="593" xr:uid="{00000000-0005-0000-0000-00009F010000}"/>
    <cellStyle name="Comma 20" xfId="544" xr:uid="{00000000-0005-0000-0000-0000A0010000}"/>
    <cellStyle name="Comma 21" xfId="543" xr:uid="{00000000-0005-0000-0000-0000A1010000}"/>
    <cellStyle name="Comma 22" xfId="542" xr:uid="{00000000-0005-0000-0000-0000A2010000}"/>
    <cellStyle name="Comma 23" xfId="541" xr:uid="{00000000-0005-0000-0000-0000A3010000}"/>
    <cellStyle name="Comma 24" xfId="540" xr:uid="{00000000-0005-0000-0000-0000A4010000}"/>
    <cellStyle name="Comma 25" xfId="539" xr:uid="{00000000-0005-0000-0000-0000A5010000}"/>
    <cellStyle name="Comma 26" xfId="538" xr:uid="{00000000-0005-0000-0000-0000A6010000}"/>
    <cellStyle name="Comma 27" xfId="537" xr:uid="{00000000-0005-0000-0000-0000A7010000}"/>
    <cellStyle name="Comma 28" xfId="536" xr:uid="{00000000-0005-0000-0000-0000A8010000}"/>
    <cellStyle name="Comma 29" xfId="535" xr:uid="{00000000-0005-0000-0000-0000A9010000}"/>
    <cellStyle name="Comma 3" xfId="80" xr:uid="{00000000-0005-0000-0000-0000AA010000}"/>
    <cellStyle name="Comma 3 2" xfId="81" xr:uid="{00000000-0005-0000-0000-0000AB010000}"/>
    <cellStyle name="Comma 3 2 2" xfId="534" xr:uid="{00000000-0005-0000-0000-0000AC010000}"/>
    <cellStyle name="Comma 3 2 2 2" xfId="599" xr:uid="{00000000-0005-0000-0000-0000AD010000}"/>
    <cellStyle name="Comma 3 2 2 2 2" xfId="729" xr:uid="{00000000-0005-0000-0000-0000AE010000}"/>
    <cellStyle name="Comma 3 2 2 2 2 2" xfId="957" xr:uid="{00000000-0005-0000-0000-0000AF010000}"/>
    <cellStyle name="Comma 3 2 2 2 2 2 2" xfId="9714" xr:uid="{00000000-0005-0000-0000-0000B0010000}"/>
    <cellStyle name="Comma 3 2 2 2 2 3" xfId="9498" xr:uid="{00000000-0005-0000-0000-0000B1010000}"/>
    <cellStyle name="Comma 3 2 2 2 3" xfId="813" xr:uid="{00000000-0005-0000-0000-0000B2010000}"/>
    <cellStyle name="Comma 3 2 2 2 3 2" xfId="1029" xr:uid="{00000000-0005-0000-0000-0000B3010000}"/>
    <cellStyle name="Comma 3 2 2 2 3 2 2" xfId="9786" xr:uid="{00000000-0005-0000-0000-0000B4010000}"/>
    <cellStyle name="Comma 3 2 2 2 3 3" xfId="9570" xr:uid="{00000000-0005-0000-0000-0000B5010000}"/>
    <cellStyle name="Comma 3 2 2 2 4" xfId="885" xr:uid="{00000000-0005-0000-0000-0000B6010000}"/>
    <cellStyle name="Comma 3 2 2 2 4 2" xfId="9642" xr:uid="{00000000-0005-0000-0000-0000B7010000}"/>
    <cellStyle name="Comma 3 2 2 2 5" xfId="9426" xr:uid="{00000000-0005-0000-0000-0000B8010000}"/>
    <cellStyle name="Comma 3 2 2 3" xfId="626" xr:uid="{00000000-0005-0000-0000-0000B9010000}"/>
    <cellStyle name="Comma 3 2 2 3 2" xfId="735" xr:uid="{00000000-0005-0000-0000-0000BA010000}"/>
    <cellStyle name="Comma 3 2 2 3 2 2" xfId="963" xr:uid="{00000000-0005-0000-0000-0000BB010000}"/>
    <cellStyle name="Comma 3 2 2 3 2 2 2" xfId="9720" xr:uid="{00000000-0005-0000-0000-0000BC010000}"/>
    <cellStyle name="Comma 3 2 2 3 2 3" xfId="9504" xr:uid="{00000000-0005-0000-0000-0000BD010000}"/>
    <cellStyle name="Comma 3 2 2 3 3" xfId="819" xr:uid="{00000000-0005-0000-0000-0000BE010000}"/>
    <cellStyle name="Comma 3 2 2 3 3 2" xfId="1035" xr:uid="{00000000-0005-0000-0000-0000BF010000}"/>
    <cellStyle name="Comma 3 2 2 3 3 2 2" xfId="9792" xr:uid="{00000000-0005-0000-0000-0000C0010000}"/>
    <cellStyle name="Comma 3 2 2 3 3 3" xfId="9576" xr:uid="{00000000-0005-0000-0000-0000C1010000}"/>
    <cellStyle name="Comma 3 2 2 3 4" xfId="891" xr:uid="{00000000-0005-0000-0000-0000C2010000}"/>
    <cellStyle name="Comma 3 2 2 3 4 2" xfId="9648" xr:uid="{00000000-0005-0000-0000-0000C3010000}"/>
    <cellStyle name="Comma 3 2 2 3 5" xfId="9432" xr:uid="{00000000-0005-0000-0000-0000C4010000}"/>
    <cellStyle name="Comma 3 2 2 4" xfId="664" xr:uid="{00000000-0005-0000-0000-0000C5010000}"/>
    <cellStyle name="Comma 3 2 2 4 2" xfId="766" xr:uid="{00000000-0005-0000-0000-0000C6010000}"/>
    <cellStyle name="Comma 3 2 2 4 2 2" xfId="982" xr:uid="{00000000-0005-0000-0000-0000C7010000}"/>
    <cellStyle name="Comma 3 2 2 4 2 2 2" xfId="9739" xr:uid="{00000000-0005-0000-0000-0000C8010000}"/>
    <cellStyle name="Comma 3 2 2 4 2 3" xfId="9523" xr:uid="{00000000-0005-0000-0000-0000C9010000}"/>
    <cellStyle name="Comma 3 2 2 4 3" xfId="838" xr:uid="{00000000-0005-0000-0000-0000CA010000}"/>
    <cellStyle name="Comma 3 2 2 4 3 2" xfId="1054" xr:uid="{00000000-0005-0000-0000-0000CB010000}"/>
    <cellStyle name="Comma 3 2 2 4 3 2 2" xfId="9811" xr:uid="{00000000-0005-0000-0000-0000CC010000}"/>
    <cellStyle name="Comma 3 2 2 4 3 3" xfId="9595" xr:uid="{00000000-0005-0000-0000-0000CD010000}"/>
    <cellStyle name="Comma 3 2 2 4 4" xfId="910" xr:uid="{00000000-0005-0000-0000-0000CE010000}"/>
    <cellStyle name="Comma 3 2 2 4 4 2" xfId="9667" xr:uid="{00000000-0005-0000-0000-0000CF010000}"/>
    <cellStyle name="Comma 3 2 2 4 5" xfId="9451" xr:uid="{00000000-0005-0000-0000-0000D0010000}"/>
    <cellStyle name="Comma 3 2 2 5" xfId="728" xr:uid="{00000000-0005-0000-0000-0000D1010000}"/>
    <cellStyle name="Comma 3 2 2 5 2" xfId="956" xr:uid="{00000000-0005-0000-0000-0000D2010000}"/>
    <cellStyle name="Comma 3 2 2 5 2 2" xfId="9713" xr:uid="{00000000-0005-0000-0000-0000D3010000}"/>
    <cellStyle name="Comma 3 2 2 5 3" xfId="9497" xr:uid="{00000000-0005-0000-0000-0000D4010000}"/>
    <cellStyle name="Comma 3 2 2 6" xfId="812" xr:uid="{00000000-0005-0000-0000-0000D5010000}"/>
    <cellStyle name="Comma 3 2 2 6 2" xfId="1028" xr:uid="{00000000-0005-0000-0000-0000D6010000}"/>
    <cellStyle name="Comma 3 2 2 6 2 2" xfId="9785" xr:uid="{00000000-0005-0000-0000-0000D7010000}"/>
    <cellStyle name="Comma 3 2 2 6 3" xfId="9569" xr:uid="{00000000-0005-0000-0000-0000D8010000}"/>
    <cellStyle name="Comma 3 2 2 7" xfId="884" xr:uid="{00000000-0005-0000-0000-0000D9010000}"/>
    <cellStyle name="Comma 3 2 2 7 2" xfId="9641" xr:uid="{00000000-0005-0000-0000-0000DA010000}"/>
    <cellStyle name="Comma 3 2 2 8" xfId="9425" xr:uid="{00000000-0005-0000-0000-0000DB010000}"/>
    <cellStyle name="Comma 3 3" xfId="585" xr:uid="{00000000-0005-0000-0000-0000DC010000}"/>
    <cellStyle name="Comma 3 4" xfId="586" xr:uid="{00000000-0005-0000-0000-0000DD010000}"/>
    <cellStyle name="Comma 3 5" xfId="638" xr:uid="{00000000-0005-0000-0000-0000DE010000}"/>
    <cellStyle name="Comma 3 5 2" xfId="744" xr:uid="{00000000-0005-0000-0000-0000DF010000}"/>
    <cellStyle name="Comma 30" xfId="533" xr:uid="{00000000-0005-0000-0000-0000E0010000}"/>
    <cellStyle name="Comma 31" xfId="532" xr:uid="{00000000-0005-0000-0000-0000E1010000}"/>
    <cellStyle name="Comma 32" xfId="531" xr:uid="{00000000-0005-0000-0000-0000E2010000}"/>
    <cellStyle name="Comma 33" xfId="530" xr:uid="{00000000-0005-0000-0000-0000E3010000}"/>
    <cellStyle name="Comma 34" xfId="529" xr:uid="{00000000-0005-0000-0000-0000E4010000}"/>
    <cellStyle name="Comma 35" xfId="528" xr:uid="{00000000-0005-0000-0000-0000E5010000}"/>
    <cellStyle name="Comma 36" xfId="527" xr:uid="{00000000-0005-0000-0000-0000E6010000}"/>
    <cellStyle name="Comma 37" xfId="526" xr:uid="{00000000-0005-0000-0000-0000E7010000}"/>
    <cellStyle name="Comma 38" xfId="525" xr:uid="{00000000-0005-0000-0000-0000E8010000}"/>
    <cellStyle name="Comma 39" xfId="524" xr:uid="{00000000-0005-0000-0000-0000E9010000}"/>
    <cellStyle name="Comma 4" xfId="82" xr:uid="{00000000-0005-0000-0000-0000EA010000}"/>
    <cellStyle name="Comma 4 2" xfId="523" xr:uid="{00000000-0005-0000-0000-0000EB010000}"/>
    <cellStyle name="Comma 4 3" xfId="522" xr:uid="{00000000-0005-0000-0000-0000EC010000}"/>
    <cellStyle name="Comma 4 3 2" xfId="603" xr:uid="{00000000-0005-0000-0000-0000ED010000}"/>
    <cellStyle name="Comma 4 3 2 2" xfId="730" xr:uid="{00000000-0005-0000-0000-0000EE010000}"/>
    <cellStyle name="Comma 4 3 2 2 2" xfId="958" xr:uid="{00000000-0005-0000-0000-0000EF010000}"/>
    <cellStyle name="Comma 4 3 2 2 2 2" xfId="9715" xr:uid="{00000000-0005-0000-0000-0000F0010000}"/>
    <cellStyle name="Comma 4 3 2 2 3" xfId="9499" xr:uid="{00000000-0005-0000-0000-0000F1010000}"/>
    <cellStyle name="Comma 4 3 2 3" xfId="814" xr:uid="{00000000-0005-0000-0000-0000F2010000}"/>
    <cellStyle name="Comma 4 3 2 3 2" xfId="1030" xr:uid="{00000000-0005-0000-0000-0000F3010000}"/>
    <cellStyle name="Comma 4 3 2 3 2 2" xfId="9787" xr:uid="{00000000-0005-0000-0000-0000F4010000}"/>
    <cellStyle name="Comma 4 3 2 3 3" xfId="9571" xr:uid="{00000000-0005-0000-0000-0000F5010000}"/>
    <cellStyle name="Comma 4 3 2 4" xfId="886" xr:uid="{00000000-0005-0000-0000-0000F6010000}"/>
    <cellStyle name="Comma 4 3 2 4 2" xfId="9643" xr:uid="{00000000-0005-0000-0000-0000F7010000}"/>
    <cellStyle name="Comma 4 3 2 5" xfId="9427" xr:uid="{00000000-0005-0000-0000-0000F8010000}"/>
    <cellStyle name="Comma 4 3 3" xfId="627" xr:uid="{00000000-0005-0000-0000-0000F9010000}"/>
    <cellStyle name="Comma 4 3 3 2" xfId="736" xr:uid="{00000000-0005-0000-0000-0000FA010000}"/>
    <cellStyle name="Comma 4 3 3 2 2" xfId="964" xr:uid="{00000000-0005-0000-0000-0000FB010000}"/>
    <cellStyle name="Comma 4 3 3 2 2 2" xfId="9721" xr:uid="{00000000-0005-0000-0000-0000FC010000}"/>
    <cellStyle name="Comma 4 3 3 2 3" xfId="9505" xr:uid="{00000000-0005-0000-0000-0000FD010000}"/>
    <cellStyle name="Comma 4 3 3 3" xfId="820" xr:uid="{00000000-0005-0000-0000-0000FE010000}"/>
    <cellStyle name="Comma 4 3 3 3 2" xfId="1036" xr:uid="{00000000-0005-0000-0000-0000FF010000}"/>
    <cellStyle name="Comma 4 3 3 3 2 2" xfId="9793" xr:uid="{00000000-0005-0000-0000-000000020000}"/>
    <cellStyle name="Comma 4 3 3 3 3" xfId="9577" xr:uid="{00000000-0005-0000-0000-000001020000}"/>
    <cellStyle name="Comma 4 3 3 4" xfId="892" xr:uid="{00000000-0005-0000-0000-000002020000}"/>
    <cellStyle name="Comma 4 3 3 4 2" xfId="9649" xr:uid="{00000000-0005-0000-0000-000003020000}"/>
    <cellStyle name="Comma 4 3 3 5" xfId="9433" xr:uid="{00000000-0005-0000-0000-000004020000}"/>
    <cellStyle name="Comma 4 3 4" xfId="667" xr:uid="{00000000-0005-0000-0000-000005020000}"/>
    <cellStyle name="Comma 4 3 4 2" xfId="767" xr:uid="{00000000-0005-0000-0000-000006020000}"/>
    <cellStyle name="Comma 4 3 4 2 2" xfId="983" xr:uid="{00000000-0005-0000-0000-000007020000}"/>
    <cellStyle name="Comma 4 3 4 2 2 2" xfId="9740" xr:uid="{00000000-0005-0000-0000-000008020000}"/>
    <cellStyle name="Comma 4 3 4 2 3" xfId="9524" xr:uid="{00000000-0005-0000-0000-000009020000}"/>
    <cellStyle name="Comma 4 3 4 3" xfId="839" xr:uid="{00000000-0005-0000-0000-00000A020000}"/>
    <cellStyle name="Comma 4 3 4 3 2" xfId="1055" xr:uid="{00000000-0005-0000-0000-00000B020000}"/>
    <cellStyle name="Comma 4 3 4 3 2 2" xfId="9812" xr:uid="{00000000-0005-0000-0000-00000C020000}"/>
    <cellStyle name="Comma 4 3 4 3 3" xfId="9596" xr:uid="{00000000-0005-0000-0000-00000D020000}"/>
    <cellStyle name="Comma 4 3 4 4" xfId="911" xr:uid="{00000000-0005-0000-0000-00000E020000}"/>
    <cellStyle name="Comma 4 3 4 4 2" xfId="9668" xr:uid="{00000000-0005-0000-0000-00000F020000}"/>
    <cellStyle name="Comma 4 3 4 5" xfId="9452" xr:uid="{00000000-0005-0000-0000-000010020000}"/>
    <cellStyle name="Comma 4 3 5" xfId="727" xr:uid="{00000000-0005-0000-0000-000011020000}"/>
    <cellStyle name="Comma 4 3 5 2" xfId="955" xr:uid="{00000000-0005-0000-0000-000012020000}"/>
    <cellStyle name="Comma 4 3 5 2 2" xfId="9712" xr:uid="{00000000-0005-0000-0000-000013020000}"/>
    <cellStyle name="Comma 4 3 5 3" xfId="9496" xr:uid="{00000000-0005-0000-0000-000014020000}"/>
    <cellStyle name="Comma 4 3 6" xfId="811" xr:uid="{00000000-0005-0000-0000-000015020000}"/>
    <cellStyle name="Comma 4 3 6 2" xfId="1027" xr:uid="{00000000-0005-0000-0000-000016020000}"/>
    <cellStyle name="Comma 4 3 6 2 2" xfId="9784" xr:uid="{00000000-0005-0000-0000-000017020000}"/>
    <cellStyle name="Comma 4 3 6 3" xfId="9568" xr:uid="{00000000-0005-0000-0000-000018020000}"/>
    <cellStyle name="Comma 4 3 7" xfId="883" xr:uid="{00000000-0005-0000-0000-000019020000}"/>
    <cellStyle name="Comma 4 3 7 2" xfId="9640" xr:uid="{00000000-0005-0000-0000-00001A020000}"/>
    <cellStyle name="Comma 4 3 8" xfId="9424" xr:uid="{00000000-0005-0000-0000-00001B020000}"/>
    <cellStyle name="Comma 4 4" xfId="1358" xr:uid="{00000000-0005-0000-0000-00001C020000}"/>
    <cellStyle name="Comma 40" xfId="521" xr:uid="{00000000-0005-0000-0000-00001D020000}"/>
    <cellStyle name="Comma 41" xfId="520" xr:uid="{00000000-0005-0000-0000-00001E020000}"/>
    <cellStyle name="Comma 42" xfId="519" xr:uid="{00000000-0005-0000-0000-00001F020000}"/>
    <cellStyle name="Comma 43" xfId="518" xr:uid="{00000000-0005-0000-0000-000020020000}"/>
    <cellStyle name="Comma 44" xfId="517" xr:uid="{00000000-0005-0000-0000-000021020000}"/>
    <cellStyle name="Comma 45" xfId="516" xr:uid="{00000000-0005-0000-0000-000022020000}"/>
    <cellStyle name="Comma 46" xfId="515" xr:uid="{00000000-0005-0000-0000-000023020000}"/>
    <cellStyle name="Comma 47" xfId="514" xr:uid="{00000000-0005-0000-0000-000024020000}"/>
    <cellStyle name="Comma 48" xfId="513" xr:uid="{00000000-0005-0000-0000-000025020000}"/>
    <cellStyle name="Comma 49" xfId="512" xr:uid="{00000000-0005-0000-0000-000026020000}"/>
    <cellStyle name="Comma 5" xfId="83" xr:uid="{00000000-0005-0000-0000-000027020000}"/>
    <cellStyle name="Comma 5 2" xfId="1359" xr:uid="{00000000-0005-0000-0000-000028020000}"/>
    <cellStyle name="Comma 5 3" xfId="1360" xr:uid="{00000000-0005-0000-0000-000029020000}"/>
    <cellStyle name="Comma 5 4" xfId="1361" xr:uid="{00000000-0005-0000-0000-00002A020000}"/>
    <cellStyle name="Comma 50" xfId="511" xr:uid="{00000000-0005-0000-0000-00002B020000}"/>
    <cellStyle name="Comma 51" xfId="510" xr:uid="{00000000-0005-0000-0000-00002C020000}"/>
    <cellStyle name="Comma 52" xfId="509" xr:uid="{00000000-0005-0000-0000-00002D020000}"/>
    <cellStyle name="Comma 53" xfId="508" xr:uid="{00000000-0005-0000-0000-00002E020000}"/>
    <cellStyle name="Comma 54" xfId="507" xr:uid="{00000000-0005-0000-0000-00002F020000}"/>
    <cellStyle name="Comma 55" xfId="506" xr:uid="{00000000-0005-0000-0000-000030020000}"/>
    <cellStyle name="Comma 56" xfId="505" xr:uid="{00000000-0005-0000-0000-000031020000}"/>
    <cellStyle name="Comma 57" xfId="504" xr:uid="{00000000-0005-0000-0000-000032020000}"/>
    <cellStyle name="Comma 58" xfId="503" xr:uid="{00000000-0005-0000-0000-000033020000}"/>
    <cellStyle name="Comma 59" xfId="502" xr:uid="{00000000-0005-0000-0000-000034020000}"/>
    <cellStyle name="Comma 6" xfId="84" xr:uid="{00000000-0005-0000-0000-000035020000}"/>
    <cellStyle name="Comma 6 2" xfId="501" xr:uid="{00000000-0005-0000-0000-000036020000}"/>
    <cellStyle name="Comma 6 3" xfId="609" xr:uid="{00000000-0005-0000-0000-000037020000}"/>
    <cellStyle name="Comma 60" xfId="500" xr:uid="{00000000-0005-0000-0000-000038020000}"/>
    <cellStyle name="Comma 61" xfId="499" xr:uid="{00000000-0005-0000-0000-000039020000}"/>
    <cellStyle name="Comma 62" xfId="498" xr:uid="{00000000-0005-0000-0000-00003A020000}"/>
    <cellStyle name="Comma 63" xfId="497" xr:uid="{00000000-0005-0000-0000-00003B020000}"/>
    <cellStyle name="Comma 64" xfId="496" xr:uid="{00000000-0005-0000-0000-00003C020000}"/>
    <cellStyle name="Comma 65" xfId="495" xr:uid="{00000000-0005-0000-0000-00003D020000}"/>
    <cellStyle name="Comma 66" xfId="494" xr:uid="{00000000-0005-0000-0000-00003E020000}"/>
    <cellStyle name="Comma 67" xfId="493" xr:uid="{00000000-0005-0000-0000-00003F020000}"/>
    <cellStyle name="Comma 68" xfId="492" xr:uid="{00000000-0005-0000-0000-000040020000}"/>
    <cellStyle name="Comma 69" xfId="491" xr:uid="{00000000-0005-0000-0000-000041020000}"/>
    <cellStyle name="Comma 7" xfId="85" xr:uid="{00000000-0005-0000-0000-000042020000}"/>
    <cellStyle name="Comma 7 2" xfId="1362" xr:uid="{00000000-0005-0000-0000-000043020000}"/>
    <cellStyle name="Comma 70" xfId="490" xr:uid="{00000000-0005-0000-0000-000044020000}"/>
    <cellStyle name="Comma 71" xfId="489" xr:uid="{00000000-0005-0000-0000-000045020000}"/>
    <cellStyle name="Comma 72" xfId="488" xr:uid="{00000000-0005-0000-0000-000046020000}"/>
    <cellStyle name="Comma 73" xfId="487" xr:uid="{00000000-0005-0000-0000-000047020000}"/>
    <cellStyle name="Comma 74" xfId="486" xr:uid="{00000000-0005-0000-0000-000048020000}"/>
    <cellStyle name="Comma 75" xfId="485" xr:uid="{00000000-0005-0000-0000-000049020000}"/>
    <cellStyle name="Comma 76" xfId="484" xr:uid="{00000000-0005-0000-0000-00004A020000}"/>
    <cellStyle name="Comma 77" xfId="483" xr:uid="{00000000-0005-0000-0000-00004B020000}"/>
    <cellStyle name="Comma 78" xfId="482" xr:uid="{00000000-0005-0000-0000-00004C020000}"/>
    <cellStyle name="Comma 79" xfId="481" xr:uid="{00000000-0005-0000-0000-00004D020000}"/>
    <cellStyle name="Comma 8" xfId="86" xr:uid="{00000000-0005-0000-0000-00004E020000}"/>
    <cellStyle name="Comma 8 2" xfId="87" xr:uid="{00000000-0005-0000-0000-00004F020000}"/>
    <cellStyle name="Comma 8 2 2" xfId="364" xr:uid="{00000000-0005-0000-0000-000050020000}"/>
    <cellStyle name="Comma 8 3" xfId="610" xr:uid="{00000000-0005-0000-0000-000051020000}"/>
    <cellStyle name="Comma 80" xfId="480" xr:uid="{00000000-0005-0000-0000-000052020000}"/>
    <cellStyle name="Comma 81" xfId="479" xr:uid="{00000000-0005-0000-0000-000053020000}"/>
    <cellStyle name="Comma 82" xfId="478" xr:uid="{00000000-0005-0000-0000-000054020000}"/>
    <cellStyle name="Comma 83" xfId="477" xr:uid="{00000000-0005-0000-0000-000055020000}"/>
    <cellStyle name="Comma 84" xfId="637" xr:uid="{00000000-0005-0000-0000-000056020000}"/>
    <cellStyle name="Comma 84 2" xfId="743" xr:uid="{00000000-0005-0000-0000-000057020000}"/>
    <cellStyle name="Comma 85" xfId="642" xr:uid="{00000000-0005-0000-0000-000058020000}"/>
    <cellStyle name="Comma 85 2" xfId="748" xr:uid="{00000000-0005-0000-0000-000059020000}"/>
    <cellStyle name="Comma 86" xfId="9831" xr:uid="{86E5F360-2FF8-47C9-987B-9EEBCDF11BD8}"/>
    <cellStyle name="Comma 9" xfId="88" xr:uid="{00000000-0005-0000-0000-00005A020000}"/>
    <cellStyle name="Comma 9 2" xfId="366" xr:uid="{00000000-0005-0000-0000-00005B020000}"/>
    <cellStyle name="Comma 9 3" xfId="611" xr:uid="{00000000-0005-0000-0000-00005C020000}"/>
    <cellStyle name="Comma Input" xfId="89" xr:uid="{00000000-0005-0000-0000-00005D020000}"/>
    <cellStyle name="Comma0" xfId="90" xr:uid="{00000000-0005-0000-0000-00005E020000}"/>
    <cellStyle name="Comma0 2" xfId="1363" xr:uid="{00000000-0005-0000-0000-00005F020000}"/>
    <cellStyle name="Company Name" xfId="91" xr:uid="{00000000-0005-0000-0000-000060020000}"/>
    <cellStyle name="Config Data" xfId="92" xr:uid="{00000000-0005-0000-0000-000061020000}"/>
    <cellStyle name="Currency" xfId="93" builtinId="4"/>
    <cellStyle name="Currency [1]" xfId="94" xr:uid="{00000000-0005-0000-0000-000063020000}"/>
    <cellStyle name="Currency [2]" xfId="95" xr:uid="{00000000-0005-0000-0000-000064020000}"/>
    <cellStyle name="Currency [3]" xfId="96" xr:uid="{00000000-0005-0000-0000-000065020000}"/>
    <cellStyle name="Currency 0.0" xfId="97" xr:uid="{00000000-0005-0000-0000-000066020000}"/>
    <cellStyle name="Currency 0.00" xfId="98" xr:uid="{00000000-0005-0000-0000-000067020000}"/>
    <cellStyle name="Currency 0.000" xfId="99" xr:uid="{00000000-0005-0000-0000-000068020000}"/>
    <cellStyle name="Currency 0.0000" xfId="100" xr:uid="{00000000-0005-0000-0000-000069020000}"/>
    <cellStyle name="Currency 10" xfId="476" xr:uid="{00000000-0005-0000-0000-00006A020000}"/>
    <cellStyle name="Currency 100" xfId="1364" xr:uid="{00000000-0005-0000-0000-00006B020000}"/>
    <cellStyle name="Currency 100 2" xfId="1365" xr:uid="{00000000-0005-0000-0000-00006C020000}"/>
    <cellStyle name="Currency 11" xfId="475" xr:uid="{00000000-0005-0000-0000-00006D020000}"/>
    <cellStyle name="Currency 12" xfId="474" xr:uid="{00000000-0005-0000-0000-00006E020000}"/>
    <cellStyle name="Currency 13" xfId="612" xr:uid="{00000000-0005-0000-0000-00006F020000}"/>
    <cellStyle name="Currency 14" xfId="623" xr:uid="{00000000-0005-0000-0000-000070020000}"/>
    <cellStyle name="Currency 15" xfId="628" xr:uid="{00000000-0005-0000-0000-000071020000}"/>
    <cellStyle name="Currency 16" xfId="640" xr:uid="{00000000-0005-0000-0000-000072020000}"/>
    <cellStyle name="Currency 16 2" xfId="746" xr:uid="{00000000-0005-0000-0000-000073020000}"/>
    <cellStyle name="Currency 17" xfId="639" xr:uid="{00000000-0005-0000-0000-000074020000}"/>
    <cellStyle name="Currency 17 2" xfId="745" xr:uid="{00000000-0005-0000-0000-000075020000}"/>
    <cellStyle name="Currency 18" xfId="668" xr:uid="{00000000-0005-0000-0000-000076020000}"/>
    <cellStyle name="Currency 19" xfId="676" xr:uid="{00000000-0005-0000-0000-000077020000}"/>
    <cellStyle name="Currency 2" xfId="101" xr:uid="{00000000-0005-0000-0000-000078020000}"/>
    <cellStyle name="Currency 2 2" xfId="102" xr:uid="{00000000-0005-0000-0000-000079020000}"/>
    <cellStyle name="Currency 2 3" xfId="473" xr:uid="{00000000-0005-0000-0000-00007A020000}"/>
    <cellStyle name="Currency 20" xfId="669" xr:uid="{00000000-0005-0000-0000-00007B020000}"/>
    <cellStyle name="Currency 21" xfId="681" xr:uid="{00000000-0005-0000-0000-00007C020000}"/>
    <cellStyle name="Currency 22" xfId="670" xr:uid="{00000000-0005-0000-0000-00007D020000}"/>
    <cellStyle name="Currency 23" xfId="680" xr:uid="{00000000-0005-0000-0000-00007E020000}"/>
    <cellStyle name="Currency 24" xfId="671" xr:uid="{00000000-0005-0000-0000-00007F020000}"/>
    <cellStyle name="Currency 25" xfId="679" xr:uid="{00000000-0005-0000-0000-000080020000}"/>
    <cellStyle name="Currency 26" xfId="672" xr:uid="{00000000-0005-0000-0000-000081020000}"/>
    <cellStyle name="Currency 27" xfId="678" xr:uid="{00000000-0005-0000-0000-000082020000}"/>
    <cellStyle name="Currency 3" xfId="103" xr:uid="{00000000-0005-0000-0000-000083020000}"/>
    <cellStyle name="Currency 3 2" xfId="104" xr:uid="{00000000-0005-0000-0000-000084020000}"/>
    <cellStyle name="Currency 3 3" xfId="589" xr:uid="{00000000-0005-0000-0000-000085020000}"/>
    <cellStyle name="Currency 3 4" xfId="590" xr:uid="{00000000-0005-0000-0000-000086020000}"/>
    <cellStyle name="Currency 3 5" xfId="641" xr:uid="{00000000-0005-0000-0000-000087020000}"/>
    <cellStyle name="Currency 3 5 2" xfId="747" xr:uid="{00000000-0005-0000-0000-000088020000}"/>
    <cellStyle name="Currency 4" xfId="105" xr:uid="{00000000-0005-0000-0000-000089020000}"/>
    <cellStyle name="Currency 4 10" xfId="1366" xr:uid="{00000000-0005-0000-0000-00008A020000}"/>
    <cellStyle name="Currency 4 10 2" xfId="1367" xr:uid="{00000000-0005-0000-0000-00008B020000}"/>
    <cellStyle name="Currency 4 10 2 2" xfId="1368" xr:uid="{00000000-0005-0000-0000-00008C020000}"/>
    <cellStyle name="Currency 4 10 2 3" xfId="1369" xr:uid="{00000000-0005-0000-0000-00008D020000}"/>
    <cellStyle name="Currency 4 10 3" xfId="1370" xr:uid="{00000000-0005-0000-0000-00008E020000}"/>
    <cellStyle name="Currency 4 10 4" xfId="1371" xr:uid="{00000000-0005-0000-0000-00008F020000}"/>
    <cellStyle name="Currency 4 10 5" xfId="1372" xr:uid="{00000000-0005-0000-0000-000090020000}"/>
    <cellStyle name="Currency 4 11" xfId="1373" xr:uid="{00000000-0005-0000-0000-000091020000}"/>
    <cellStyle name="Currency 4 2" xfId="1374" xr:uid="{00000000-0005-0000-0000-000092020000}"/>
    <cellStyle name="Currency 4 2 10" xfId="1375" xr:uid="{00000000-0005-0000-0000-000093020000}"/>
    <cellStyle name="Currency 4 2 10 2" xfId="1376" xr:uid="{00000000-0005-0000-0000-000094020000}"/>
    <cellStyle name="Currency 4 2 10 3" xfId="1377" xr:uid="{00000000-0005-0000-0000-000095020000}"/>
    <cellStyle name="Currency 4 2 11" xfId="1378" xr:uid="{00000000-0005-0000-0000-000096020000}"/>
    <cellStyle name="Currency 4 2 12" xfId="1379" xr:uid="{00000000-0005-0000-0000-000097020000}"/>
    <cellStyle name="Currency 4 2 13" xfId="1380" xr:uid="{00000000-0005-0000-0000-000098020000}"/>
    <cellStyle name="Currency 4 2 2" xfId="1381" xr:uid="{00000000-0005-0000-0000-000099020000}"/>
    <cellStyle name="Currency 4 2 2 2" xfId="1382" xr:uid="{00000000-0005-0000-0000-00009A020000}"/>
    <cellStyle name="Currency 4 2 2 2 2" xfId="1383" xr:uid="{00000000-0005-0000-0000-00009B020000}"/>
    <cellStyle name="Currency 4 2 2 2 2 2" xfId="1384" xr:uid="{00000000-0005-0000-0000-00009C020000}"/>
    <cellStyle name="Currency 4 2 2 2 2 2 2" xfId="1385" xr:uid="{00000000-0005-0000-0000-00009D020000}"/>
    <cellStyle name="Currency 4 2 2 2 2 2 2 2" xfId="1386" xr:uid="{00000000-0005-0000-0000-00009E020000}"/>
    <cellStyle name="Currency 4 2 2 2 2 2 2 3" xfId="1387" xr:uid="{00000000-0005-0000-0000-00009F020000}"/>
    <cellStyle name="Currency 4 2 2 2 2 2 3" xfId="1388" xr:uid="{00000000-0005-0000-0000-0000A0020000}"/>
    <cellStyle name="Currency 4 2 2 2 2 2 4" xfId="1389" xr:uid="{00000000-0005-0000-0000-0000A1020000}"/>
    <cellStyle name="Currency 4 2 2 2 2 2 5" xfId="1390" xr:uid="{00000000-0005-0000-0000-0000A2020000}"/>
    <cellStyle name="Currency 4 2 2 2 2 3" xfId="1391" xr:uid="{00000000-0005-0000-0000-0000A3020000}"/>
    <cellStyle name="Currency 4 2 2 2 2 3 2" xfId="1392" xr:uid="{00000000-0005-0000-0000-0000A4020000}"/>
    <cellStyle name="Currency 4 2 2 2 2 3 2 2" xfId="1393" xr:uid="{00000000-0005-0000-0000-0000A5020000}"/>
    <cellStyle name="Currency 4 2 2 2 2 3 2 3" xfId="1394" xr:uid="{00000000-0005-0000-0000-0000A6020000}"/>
    <cellStyle name="Currency 4 2 2 2 2 3 3" xfId="1395" xr:uid="{00000000-0005-0000-0000-0000A7020000}"/>
    <cellStyle name="Currency 4 2 2 2 2 3 4" xfId="1396" xr:uid="{00000000-0005-0000-0000-0000A8020000}"/>
    <cellStyle name="Currency 4 2 2 2 2 3 5" xfId="1397" xr:uid="{00000000-0005-0000-0000-0000A9020000}"/>
    <cellStyle name="Currency 4 2 2 2 2 4" xfId="1398" xr:uid="{00000000-0005-0000-0000-0000AA020000}"/>
    <cellStyle name="Currency 4 2 2 2 2 4 2" xfId="1399" xr:uid="{00000000-0005-0000-0000-0000AB020000}"/>
    <cellStyle name="Currency 4 2 2 2 2 4 3" xfId="1400" xr:uid="{00000000-0005-0000-0000-0000AC020000}"/>
    <cellStyle name="Currency 4 2 2 2 2 5" xfId="1401" xr:uid="{00000000-0005-0000-0000-0000AD020000}"/>
    <cellStyle name="Currency 4 2 2 2 2 6" xfId="1402" xr:uid="{00000000-0005-0000-0000-0000AE020000}"/>
    <cellStyle name="Currency 4 2 2 2 2 7" xfId="1403" xr:uid="{00000000-0005-0000-0000-0000AF020000}"/>
    <cellStyle name="Currency 4 2 2 2 3" xfId="1404" xr:uid="{00000000-0005-0000-0000-0000B0020000}"/>
    <cellStyle name="Currency 4 2 2 2 3 2" xfId="1405" xr:uid="{00000000-0005-0000-0000-0000B1020000}"/>
    <cellStyle name="Currency 4 2 2 2 3 2 2" xfId="1406" xr:uid="{00000000-0005-0000-0000-0000B2020000}"/>
    <cellStyle name="Currency 4 2 2 2 3 2 3" xfId="1407" xr:uid="{00000000-0005-0000-0000-0000B3020000}"/>
    <cellStyle name="Currency 4 2 2 2 3 3" xfId="1408" xr:uid="{00000000-0005-0000-0000-0000B4020000}"/>
    <cellStyle name="Currency 4 2 2 2 3 4" xfId="1409" xr:uid="{00000000-0005-0000-0000-0000B5020000}"/>
    <cellStyle name="Currency 4 2 2 2 3 5" xfId="1410" xr:uid="{00000000-0005-0000-0000-0000B6020000}"/>
    <cellStyle name="Currency 4 2 2 2 4" xfId="1411" xr:uid="{00000000-0005-0000-0000-0000B7020000}"/>
    <cellStyle name="Currency 4 2 2 2 4 2" xfId="1412" xr:uid="{00000000-0005-0000-0000-0000B8020000}"/>
    <cellStyle name="Currency 4 2 2 2 4 2 2" xfId="1413" xr:uid="{00000000-0005-0000-0000-0000B9020000}"/>
    <cellStyle name="Currency 4 2 2 2 4 2 3" xfId="1414" xr:uid="{00000000-0005-0000-0000-0000BA020000}"/>
    <cellStyle name="Currency 4 2 2 2 4 3" xfId="1415" xr:uid="{00000000-0005-0000-0000-0000BB020000}"/>
    <cellStyle name="Currency 4 2 2 2 4 4" xfId="1416" xr:uid="{00000000-0005-0000-0000-0000BC020000}"/>
    <cellStyle name="Currency 4 2 2 2 4 5" xfId="1417" xr:uid="{00000000-0005-0000-0000-0000BD020000}"/>
    <cellStyle name="Currency 4 2 2 2 5" xfId="1418" xr:uid="{00000000-0005-0000-0000-0000BE020000}"/>
    <cellStyle name="Currency 4 2 2 2 5 2" xfId="1419" xr:uid="{00000000-0005-0000-0000-0000BF020000}"/>
    <cellStyle name="Currency 4 2 2 2 5 3" xfId="1420" xr:uid="{00000000-0005-0000-0000-0000C0020000}"/>
    <cellStyle name="Currency 4 2 2 2 6" xfId="1421" xr:uid="{00000000-0005-0000-0000-0000C1020000}"/>
    <cellStyle name="Currency 4 2 2 2 7" xfId="1422" xr:uid="{00000000-0005-0000-0000-0000C2020000}"/>
    <cellStyle name="Currency 4 2 2 2 8" xfId="1423" xr:uid="{00000000-0005-0000-0000-0000C3020000}"/>
    <cellStyle name="Currency 4 2 2 3" xfId="1424" xr:uid="{00000000-0005-0000-0000-0000C4020000}"/>
    <cellStyle name="Currency 4 2 2 3 2" xfId="1425" xr:uid="{00000000-0005-0000-0000-0000C5020000}"/>
    <cellStyle name="Currency 4 2 2 3 2 2" xfId="1426" xr:uid="{00000000-0005-0000-0000-0000C6020000}"/>
    <cellStyle name="Currency 4 2 2 3 2 2 2" xfId="1427" xr:uid="{00000000-0005-0000-0000-0000C7020000}"/>
    <cellStyle name="Currency 4 2 2 3 2 2 3" xfId="1428" xr:uid="{00000000-0005-0000-0000-0000C8020000}"/>
    <cellStyle name="Currency 4 2 2 3 2 3" xfId="1429" xr:uid="{00000000-0005-0000-0000-0000C9020000}"/>
    <cellStyle name="Currency 4 2 2 3 2 4" xfId="1430" xr:uid="{00000000-0005-0000-0000-0000CA020000}"/>
    <cellStyle name="Currency 4 2 2 3 2 5" xfId="1431" xr:uid="{00000000-0005-0000-0000-0000CB020000}"/>
    <cellStyle name="Currency 4 2 2 3 3" xfId="1432" xr:uid="{00000000-0005-0000-0000-0000CC020000}"/>
    <cellStyle name="Currency 4 2 2 3 3 2" xfId="1433" xr:uid="{00000000-0005-0000-0000-0000CD020000}"/>
    <cellStyle name="Currency 4 2 2 3 3 2 2" xfId="1434" xr:uid="{00000000-0005-0000-0000-0000CE020000}"/>
    <cellStyle name="Currency 4 2 2 3 3 2 3" xfId="1435" xr:uid="{00000000-0005-0000-0000-0000CF020000}"/>
    <cellStyle name="Currency 4 2 2 3 3 3" xfId="1436" xr:uid="{00000000-0005-0000-0000-0000D0020000}"/>
    <cellStyle name="Currency 4 2 2 3 3 4" xfId="1437" xr:uid="{00000000-0005-0000-0000-0000D1020000}"/>
    <cellStyle name="Currency 4 2 2 3 3 5" xfId="1438" xr:uid="{00000000-0005-0000-0000-0000D2020000}"/>
    <cellStyle name="Currency 4 2 2 3 4" xfId="1439" xr:uid="{00000000-0005-0000-0000-0000D3020000}"/>
    <cellStyle name="Currency 4 2 2 3 4 2" xfId="1440" xr:uid="{00000000-0005-0000-0000-0000D4020000}"/>
    <cellStyle name="Currency 4 2 2 3 4 3" xfId="1441" xr:uid="{00000000-0005-0000-0000-0000D5020000}"/>
    <cellStyle name="Currency 4 2 2 3 5" xfId="1442" xr:uid="{00000000-0005-0000-0000-0000D6020000}"/>
    <cellStyle name="Currency 4 2 2 3 6" xfId="1443" xr:uid="{00000000-0005-0000-0000-0000D7020000}"/>
    <cellStyle name="Currency 4 2 2 3 7" xfId="1444" xr:uid="{00000000-0005-0000-0000-0000D8020000}"/>
    <cellStyle name="Currency 4 2 2 4" xfId="1445" xr:uid="{00000000-0005-0000-0000-0000D9020000}"/>
    <cellStyle name="Currency 4 2 2 4 2" xfId="1446" xr:uid="{00000000-0005-0000-0000-0000DA020000}"/>
    <cellStyle name="Currency 4 2 2 4 2 2" xfId="1447" xr:uid="{00000000-0005-0000-0000-0000DB020000}"/>
    <cellStyle name="Currency 4 2 2 4 2 3" xfId="1448" xr:uid="{00000000-0005-0000-0000-0000DC020000}"/>
    <cellStyle name="Currency 4 2 2 4 3" xfId="1449" xr:uid="{00000000-0005-0000-0000-0000DD020000}"/>
    <cellStyle name="Currency 4 2 2 4 4" xfId="1450" xr:uid="{00000000-0005-0000-0000-0000DE020000}"/>
    <cellStyle name="Currency 4 2 2 4 5" xfId="1451" xr:uid="{00000000-0005-0000-0000-0000DF020000}"/>
    <cellStyle name="Currency 4 2 2 5" xfId="1452" xr:uid="{00000000-0005-0000-0000-0000E0020000}"/>
    <cellStyle name="Currency 4 2 2 5 2" xfId="1453" xr:uid="{00000000-0005-0000-0000-0000E1020000}"/>
    <cellStyle name="Currency 4 2 2 5 2 2" xfId="1454" xr:uid="{00000000-0005-0000-0000-0000E2020000}"/>
    <cellStyle name="Currency 4 2 2 5 2 3" xfId="1455" xr:uid="{00000000-0005-0000-0000-0000E3020000}"/>
    <cellStyle name="Currency 4 2 2 5 3" xfId="1456" xr:uid="{00000000-0005-0000-0000-0000E4020000}"/>
    <cellStyle name="Currency 4 2 2 5 4" xfId="1457" xr:uid="{00000000-0005-0000-0000-0000E5020000}"/>
    <cellStyle name="Currency 4 2 2 5 5" xfId="1458" xr:uid="{00000000-0005-0000-0000-0000E6020000}"/>
    <cellStyle name="Currency 4 2 2 6" xfId="1459" xr:uid="{00000000-0005-0000-0000-0000E7020000}"/>
    <cellStyle name="Currency 4 2 2 6 2" xfId="1460" xr:uid="{00000000-0005-0000-0000-0000E8020000}"/>
    <cellStyle name="Currency 4 2 2 6 3" xfId="1461" xr:uid="{00000000-0005-0000-0000-0000E9020000}"/>
    <cellStyle name="Currency 4 2 2 7" xfId="1462" xr:uid="{00000000-0005-0000-0000-0000EA020000}"/>
    <cellStyle name="Currency 4 2 2 8" xfId="1463" xr:uid="{00000000-0005-0000-0000-0000EB020000}"/>
    <cellStyle name="Currency 4 2 2 9" xfId="1464" xr:uid="{00000000-0005-0000-0000-0000EC020000}"/>
    <cellStyle name="Currency 4 2 3" xfId="1465" xr:uid="{00000000-0005-0000-0000-0000ED020000}"/>
    <cellStyle name="Currency 4 2 3 2" xfId="1466" xr:uid="{00000000-0005-0000-0000-0000EE020000}"/>
    <cellStyle name="Currency 4 2 3 2 2" xfId="1467" xr:uid="{00000000-0005-0000-0000-0000EF020000}"/>
    <cellStyle name="Currency 4 2 3 2 2 2" xfId="1468" xr:uid="{00000000-0005-0000-0000-0000F0020000}"/>
    <cellStyle name="Currency 4 2 3 2 2 2 2" xfId="1469" xr:uid="{00000000-0005-0000-0000-0000F1020000}"/>
    <cellStyle name="Currency 4 2 3 2 2 2 2 2" xfId="1470" xr:uid="{00000000-0005-0000-0000-0000F2020000}"/>
    <cellStyle name="Currency 4 2 3 2 2 2 2 3" xfId="1471" xr:uid="{00000000-0005-0000-0000-0000F3020000}"/>
    <cellStyle name="Currency 4 2 3 2 2 2 3" xfId="1472" xr:uid="{00000000-0005-0000-0000-0000F4020000}"/>
    <cellStyle name="Currency 4 2 3 2 2 2 4" xfId="1473" xr:uid="{00000000-0005-0000-0000-0000F5020000}"/>
    <cellStyle name="Currency 4 2 3 2 2 2 5" xfId="1474" xr:uid="{00000000-0005-0000-0000-0000F6020000}"/>
    <cellStyle name="Currency 4 2 3 2 2 3" xfId="1475" xr:uid="{00000000-0005-0000-0000-0000F7020000}"/>
    <cellStyle name="Currency 4 2 3 2 2 3 2" xfId="1476" xr:uid="{00000000-0005-0000-0000-0000F8020000}"/>
    <cellStyle name="Currency 4 2 3 2 2 3 2 2" xfId="1477" xr:uid="{00000000-0005-0000-0000-0000F9020000}"/>
    <cellStyle name="Currency 4 2 3 2 2 3 2 3" xfId="1478" xr:uid="{00000000-0005-0000-0000-0000FA020000}"/>
    <cellStyle name="Currency 4 2 3 2 2 3 3" xfId="1479" xr:uid="{00000000-0005-0000-0000-0000FB020000}"/>
    <cellStyle name="Currency 4 2 3 2 2 3 4" xfId="1480" xr:uid="{00000000-0005-0000-0000-0000FC020000}"/>
    <cellStyle name="Currency 4 2 3 2 2 3 5" xfId="1481" xr:uid="{00000000-0005-0000-0000-0000FD020000}"/>
    <cellStyle name="Currency 4 2 3 2 2 4" xfId="1482" xr:uid="{00000000-0005-0000-0000-0000FE020000}"/>
    <cellStyle name="Currency 4 2 3 2 2 4 2" xfId="1483" xr:uid="{00000000-0005-0000-0000-0000FF020000}"/>
    <cellStyle name="Currency 4 2 3 2 2 4 3" xfId="1484" xr:uid="{00000000-0005-0000-0000-000000030000}"/>
    <cellStyle name="Currency 4 2 3 2 2 5" xfId="1485" xr:uid="{00000000-0005-0000-0000-000001030000}"/>
    <cellStyle name="Currency 4 2 3 2 2 6" xfId="1486" xr:uid="{00000000-0005-0000-0000-000002030000}"/>
    <cellStyle name="Currency 4 2 3 2 2 7" xfId="1487" xr:uid="{00000000-0005-0000-0000-000003030000}"/>
    <cellStyle name="Currency 4 2 3 2 3" xfId="1488" xr:uid="{00000000-0005-0000-0000-000004030000}"/>
    <cellStyle name="Currency 4 2 3 2 3 2" xfId="1489" xr:uid="{00000000-0005-0000-0000-000005030000}"/>
    <cellStyle name="Currency 4 2 3 2 3 2 2" xfId="1490" xr:uid="{00000000-0005-0000-0000-000006030000}"/>
    <cellStyle name="Currency 4 2 3 2 3 2 3" xfId="1491" xr:uid="{00000000-0005-0000-0000-000007030000}"/>
    <cellStyle name="Currency 4 2 3 2 3 3" xfId="1492" xr:uid="{00000000-0005-0000-0000-000008030000}"/>
    <cellStyle name="Currency 4 2 3 2 3 4" xfId="1493" xr:uid="{00000000-0005-0000-0000-000009030000}"/>
    <cellStyle name="Currency 4 2 3 2 3 5" xfId="1494" xr:uid="{00000000-0005-0000-0000-00000A030000}"/>
    <cellStyle name="Currency 4 2 3 2 4" xfId="1495" xr:uid="{00000000-0005-0000-0000-00000B030000}"/>
    <cellStyle name="Currency 4 2 3 2 4 2" xfId="1496" xr:uid="{00000000-0005-0000-0000-00000C030000}"/>
    <cellStyle name="Currency 4 2 3 2 4 2 2" xfId="1497" xr:uid="{00000000-0005-0000-0000-00000D030000}"/>
    <cellStyle name="Currency 4 2 3 2 4 2 3" xfId="1498" xr:uid="{00000000-0005-0000-0000-00000E030000}"/>
    <cellStyle name="Currency 4 2 3 2 4 3" xfId="1499" xr:uid="{00000000-0005-0000-0000-00000F030000}"/>
    <cellStyle name="Currency 4 2 3 2 4 4" xfId="1500" xr:uid="{00000000-0005-0000-0000-000010030000}"/>
    <cellStyle name="Currency 4 2 3 2 4 5" xfId="1501" xr:uid="{00000000-0005-0000-0000-000011030000}"/>
    <cellStyle name="Currency 4 2 3 2 5" xfId="1502" xr:uid="{00000000-0005-0000-0000-000012030000}"/>
    <cellStyle name="Currency 4 2 3 2 5 2" xfId="1503" xr:uid="{00000000-0005-0000-0000-000013030000}"/>
    <cellStyle name="Currency 4 2 3 2 5 3" xfId="1504" xr:uid="{00000000-0005-0000-0000-000014030000}"/>
    <cellStyle name="Currency 4 2 3 2 6" xfId="1505" xr:uid="{00000000-0005-0000-0000-000015030000}"/>
    <cellStyle name="Currency 4 2 3 2 7" xfId="1506" xr:uid="{00000000-0005-0000-0000-000016030000}"/>
    <cellStyle name="Currency 4 2 3 2 8" xfId="1507" xr:uid="{00000000-0005-0000-0000-000017030000}"/>
    <cellStyle name="Currency 4 2 3 3" xfId="1508" xr:uid="{00000000-0005-0000-0000-000018030000}"/>
    <cellStyle name="Currency 4 2 3 3 2" xfId="1509" xr:uid="{00000000-0005-0000-0000-000019030000}"/>
    <cellStyle name="Currency 4 2 3 3 2 2" xfId="1510" xr:uid="{00000000-0005-0000-0000-00001A030000}"/>
    <cellStyle name="Currency 4 2 3 3 2 2 2" xfId="1511" xr:uid="{00000000-0005-0000-0000-00001B030000}"/>
    <cellStyle name="Currency 4 2 3 3 2 2 3" xfId="1512" xr:uid="{00000000-0005-0000-0000-00001C030000}"/>
    <cellStyle name="Currency 4 2 3 3 2 3" xfId="1513" xr:uid="{00000000-0005-0000-0000-00001D030000}"/>
    <cellStyle name="Currency 4 2 3 3 2 4" xfId="1514" xr:uid="{00000000-0005-0000-0000-00001E030000}"/>
    <cellStyle name="Currency 4 2 3 3 2 5" xfId="1515" xr:uid="{00000000-0005-0000-0000-00001F030000}"/>
    <cellStyle name="Currency 4 2 3 3 3" xfId="1516" xr:uid="{00000000-0005-0000-0000-000020030000}"/>
    <cellStyle name="Currency 4 2 3 3 3 2" xfId="1517" xr:uid="{00000000-0005-0000-0000-000021030000}"/>
    <cellStyle name="Currency 4 2 3 3 3 2 2" xfId="1518" xr:uid="{00000000-0005-0000-0000-000022030000}"/>
    <cellStyle name="Currency 4 2 3 3 3 2 3" xfId="1519" xr:uid="{00000000-0005-0000-0000-000023030000}"/>
    <cellStyle name="Currency 4 2 3 3 3 3" xfId="1520" xr:uid="{00000000-0005-0000-0000-000024030000}"/>
    <cellStyle name="Currency 4 2 3 3 3 4" xfId="1521" xr:uid="{00000000-0005-0000-0000-000025030000}"/>
    <cellStyle name="Currency 4 2 3 3 3 5" xfId="1522" xr:uid="{00000000-0005-0000-0000-000026030000}"/>
    <cellStyle name="Currency 4 2 3 3 4" xfId="1523" xr:uid="{00000000-0005-0000-0000-000027030000}"/>
    <cellStyle name="Currency 4 2 3 3 4 2" xfId="1524" xr:uid="{00000000-0005-0000-0000-000028030000}"/>
    <cellStyle name="Currency 4 2 3 3 4 3" xfId="1525" xr:uid="{00000000-0005-0000-0000-000029030000}"/>
    <cellStyle name="Currency 4 2 3 3 5" xfId="1526" xr:uid="{00000000-0005-0000-0000-00002A030000}"/>
    <cellStyle name="Currency 4 2 3 3 6" xfId="1527" xr:uid="{00000000-0005-0000-0000-00002B030000}"/>
    <cellStyle name="Currency 4 2 3 3 7" xfId="1528" xr:uid="{00000000-0005-0000-0000-00002C030000}"/>
    <cellStyle name="Currency 4 2 3 4" xfId="1529" xr:uid="{00000000-0005-0000-0000-00002D030000}"/>
    <cellStyle name="Currency 4 2 3 4 2" xfId="1530" xr:uid="{00000000-0005-0000-0000-00002E030000}"/>
    <cellStyle name="Currency 4 2 3 4 2 2" xfId="1531" xr:uid="{00000000-0005-0000-0000-00002F030000}"/>
    <cellStyle name="Currency 4 2 3 4 2 3" xfId="1532" xr:uid="{00000000-0005-0000-0000-000030030000}"/>
    <cellStyle name="Currency 4 2 3 4 3" xfId="1533" xr:uid="{00000000-0005-0000-0000-000031030000}"/>
    <cellStyle name="Currency 4 2 3 4 4" xfId="1534" xr:uid="{00000000-0005-0000-0000-000032030000}"/>
    <cellStyle name="Currency 4 2 3 4 5" xfId="1535" xr:uid="{00000000-0005-0000-0000-000033030000}"/>
    <cellStyle name="Currency 4 2 3 5" xfId="1536" xr:uid="{00000000-0005-0000-0000-000034030000}"/>
    <cellStyle name="Currency 4 2 3 5 2" xfId="1537" xr:uid="{00000000-0005-0000-0000-000035030000}"/>
    <cellStyle name="Currency 4 2 3 5 2 2" xfId="1538" xr:uid="{00000000-0005-0000-0000-000036030000}"/>
    <cellStyle name="Currency 4 2 3 5 2 3" xfId="1539" xr:uid="{00000000-0005-0000-0000-000037030000}"/>
    <cellStyle name="Currency 4 2 3 5 3" xfId="1540" xr:uid="{00000000-0005-0000-0000-000038030000}"/>
    <cellStyle name="Currency 4 2 3 5 4" xfId="1541" xr:uid="{00000000-0005-0000-0000-000039030000}"/>
    <cellStyle name="Currency 4 2 3 5 5" xfId="1542" xr:uid="{00000000-0005-0000-0000-00003A030000}"/>
    <cellStyle name="Currency 4 2 3 6" xfId="1543" xr:uid="{00000000-0005-0000-0000-00003B030000}"/>
    <cellStyle name="Currency 4 2 3 6 2" xfId="1544" xr:uid="{00000000-0005-0000-0000-00003C030000}"/>
    <cellStyle name="Currency 4 2 3 6 3" xfId="1545" xr:uid="{00000000-0005-0000-0000-00003D030000}"/>
    <cellStyle name="Currency 4 2 3 7" xfId="1546" xr:uid="{00000000-0005-0000-0000-00003E030000}"/>
    <cellStyle name="Currency 4 2 3 8" xfId="1547" xr:uid="{00000000-0005-0000-0000-00003F030000}"/>
    <cellStyle name="Currency 4 2 3 9" xfId="1548" xr:uid="{00000000-0005-0000-0000-000040030000}"/>
    <cellStyle name="Currency 4 2 4" xfId="1549" xr:uid="{00000000-0005-0000-0000-000041030000}"/>
    <cellStyle name="Currency 4 2 4 2" xfId="1550" xr:uid="{00000000-0005-0000-0000-000042030000}"/>
    <cellStyle name="Currency 4 2 4 2 2" xfId="1551" xr:uid="{00000000-0005-0000-0000-000043030000}"/>
    <cellStyle name="Currency 4 2 4 2 2 2" xfId="1552" xr:uid="{00000000-0005-0000-0000-000044030000}"/>
    <cellStyle name="Currency 4 2 4 2 2 2 2" xfId="1553" xr:uid="{00000000-0005-0000-0000-000045030000}"/>
    <cellStyle name="Currency 4 2 4 2 2 2 2 2" xfId="1554" xr:uid="{00000000-0005-0000-0000-000046030000}"/>
    <cellStyle name="Currency 4 2 4 2 2 2 2 3" xfId="1555" xr:uid="{00000000-0005-0000-0000-000047030000}"/>
    <cellStyle name="Currency 4 2 4 2 2 2 3" xfId="1556" xr:uid="{00000000-0005-0000-0000-000048030000}"/>
    <cellStyle name="Currency 4 2 4 2 2 2 4" xfId="1557" xr:uid="{00000000-0005-0000-0000-000049030000}"/>
    <cellStyle name="Currency 4 2 4 2 2 2 5" xfId="1558" xr:uid="{00000000-0005-0000-0000-00004A030000}"/>
    <cellStyle name="Currency 4 2 4 2 2 3" xfId="1559" xr:uid="{00000000-0005-0000-0000-00004B030000}"/>
    <cellStyle name="Currency 4 2 4 2 2 3 2" xfId="1560" xr:uid="{00000000-0005-0000-0000-00004C030000}"/>
    <cellStyle name="Currency 4 2 4 2 2 3 2 2" xfId="1561" xr:uid="{00000000-0005-0000-0000-00004D030000}"/>
    <cellStyle name="Currency 4 2 4 2 2 3 2 3" xfId="1562" xr:uid="{00000000-0005-0000-0000-00004E030000}"/>
    <cellStyle name="Currency 4 2 4 2 2 3 3" xfId="1563" xr:uid="{00000000-0005-0000-0000-00004F030000}"/>
    <cellStyle name="Currency 4 2 4 2 2 3 4" xfId="1564" xr:uid="{00000000-0005-0000-0000-000050030000}"/>
    <cellStyle name="Currency 4 2 4 2 2 3 5" xfId="1565" xr:uid="{00000000-0005-0000-0000-000051030000}"/>
    <cellStyle name="Currency 4 2 4 2 2 4" xfId="1566" xr:uid="{00000000-0005-0000-0000-000052030000}"/>
    <cellStyle name="Currency 4 2 4 2 2 4 2" xfId="1567" xr:uid="{00000000-0005-0000-0000-000053030000}"/>
    <cellStyle name="Currency 4 2 4 2 2 4 3" xfId="1568" xr:uid="{00000000-0005-0000-0000-000054030000}"/>
    <cellStyle name="Currency 4 2 4 2 2 5" xfId="1569" xr:uid="{00000000-0005-0000-0000-000055030000}"/>
    <cellStyle name="Currency 4 2 4 2 2 6" xfId="1570" xr:uid="{00000000-0005-0000-0000-000056030000}"/>
    <cellStyle name="Currency 4 2 4 2 2 7" xfId="1571" xr:uid="{00000000-0005-0000-0000-000057030000}"/>
    <cellStyle name="Currency 4 2 4 2 3" xfId="1572" xr:uid="{00000000-0005-0000-0000-000058030000}"/>
    <cellStyle name="Currency 4 2 4 2 3 2" xfId="1573" xr:uid="{00000000-0005-0000-0000-000059030000}"/>
    <cellStyle name="Currency 4 2 4 2 3 2 2" xfId="1574" xr:uid="{00000000-0005-0000-0000-00005A030000}"/>
    <cellStyle name="Currency 4 2 4 2 3 2 3" xfId="1575" xr:uid="{00000000-0005-0000-0000-00005B030000}"/>
    <cellStyle name="Currency 4 2 4 2 3 3" xfId="1576" xr:uid="{00000000-0005-0000-0000-00005C030000}"/>
    <cellStyle name="Currency 4 2 4 2 3 4" xfId="1577" xr:uid="{00000000-0005-0000-0000-00005D030000}"/>
    <cellStyle name="Currency 4 2 4 2 3 5" xfId="1578" xr:uid="{00000000-0005-0000-0000-00005E030000}"/>
    <cellStyle name="Currency 4 2 4 2 4" xfId="1579" xr:uid="{00000000-0005-0000-0000-00005F030000}"/>
    <cellStyle name="Currency 4 2 4 2 4 2" xfId="1580" xr:uid="{00000000-0005-0000-0000-000060030000}"/>
    <cellStyle name="Currency 4 2 4 2 4 2 2" xfId="1581" xr:uid="{00000000-0005-0000-0000-000061030000}"/>
    <cellStyle name="Currency 4 2 4 2 4 2 3" xfId="1582" xr:uid="{00000000-0005-0000-0000-000062030000}"/>
    <cellStyle name="Currency 4 2 4 2 4 3" xfId="1583" xr:uid="{00000000-0005-0000-0000-000063030000}"/>
    <cellStyle name="Currency 4 2 4 2 4 4" xfId="1584" xr:uid="{00000000-0005-0000-0000-000064030000}"/>
    <cellStyle name="Currency 4 2 4 2 4 5" xfId="1585" xr:uid="{00000000-0005-0000-0000-000065030000}"/>
    <cellStyle name="Currency 4 2 4 2 5" xfId="1586" xr:uid="{00000000-0005-0000-0000-000066030000}"/>
    <cellStyle name="Currency 4 2 4 2 5 2" xfId="1587" xr:uid="{00000000-0005-0000-0000-000067030000}"/>
    <cellStyle name="Currency 4 2 4 2 5 3" xfId="1588" xr:uid="{00000000-0005-0000-0000-000068030000}"/>
    <cellStyle name="Currency 4 2 4 2 6" xfId="1589" xr:uid="{00000000-0005-0000-0000-000069030000}"/>
    <cellStyle name="Currency 4 2 4 2 7" xfId="1590" xr:uid="{00000000-0005-0000-0000-00006A030000}"/>
    <cellStyle name="Currency 4 2 4 2 8" xfId="1591" xr:uid="{00000000-0005-0000-0000-00006B030000}"/>
    <cellStyle name="Currency 4 2 4 3" xfId="1592" xr:uid="{00000000-0005-0000-0000-00006C030000}"/>
    <cellStyle name="Currency 4 2 4 3 2" xfId="1593" xr:uid="{00000000-0005-0000-0000-00006D030000}"/>
    <cellStyle name="Currency 4 2 4 3 2 2" xfId="1594" xr:uid="{00000000-0005-0000-0000-00006E030000}"/>
    <cellStyle name="Currency 4 2 4 3 2 2 2" xfId="1595" xr:uid="{00000000-0005-0000-0000-00006F030000}"/>
    <cellStyle name="Currency 4 2 4 3 2 2 3" xfId="1596" xr:uid="{00000000-0005-0000-0000-000070030000}"/>
    <cellStyle name="Currency 4 2 4 3 2 3" xfId="1597" xr:uid="{00000000-0005-0000-0000-000071030000}"/>
    <cellStyle name="Currency 4 2 4 3 2 4" xfId="1598" xr:uid="{00000000-0005-0000-0000-000072030000}"/>
    <cellStyle name="Currency 4 2 4 3 2 5" xfId="1599" xr:uid="{00000000-0005-0000-0000-000073030000}"/>
    <cellStyle name="Currency 4 2 4 3 3" xfId="1600" xr:uid="{00000000-0005-0000-0000-000074030000}"/>
    <cellStyle name="Currency 4 2 4 3 3 2" xfId="1601" xr:uid="{00000000-0005-0000-0000-000075030000}"/>
    <cellStyle name="Currency 4 2 4 3 3 2 2" xfId="1602" xr:uid="{00000000-0005-0000-0000-000076030000}"/>
    <cellStyle name="Currency 4 2 4 3 3 2 3" xfId="1603" xr:uid="{00000000-0005-0000-0000-000077030000}"/>
    <cellStyle name="Currency 4 2 4 3 3 3" xfId="1604" xr:uid="{00000000-0005-0000-0000-000078030000}"/>
    <cellStyle name="Currency 4 2 4 3 3 4" xfId="1605" xr:uid="{00000000-0005-0000-0000-000079030000}"/>
    <cellStyle name="Currency 4 2 4 3 3 5" xfId="1606" xr:uid="{00000000-0005-0000-0000-00007A030000}"/>
    <cellStyle name="Currency 4 2 4 3 4" xfId="1607" xr:uid="{00000000-0005-0000-0000-00007B030000}"/>
    <cellStyle name="Currency 4 2 4 3 4 2" xfId="1608" xr:uid="{00000000-0005-0000-0000-00007C030000}"/>
    <cellStyle name="Currency 4 2 4 3 4 3" xfId="1609" xr:uid="{00000000-0005-0000-0000-00007D030000}"/>
    <cellStyle name="Currency 4 2 4 3 5" xfId="1610" xr:uid="{00000000-0005-0000-0000-00007E030000}"/>
    <cellStyle name="Currency 4 2 4 3 6" xfId="1611" xr:uid="{00000000-0005-0000-0000-00007F030000}"/>
    <cellStyle name="Currency 4 2 4 3 7" xfId="1612" xr:uid="{00000000-0005-0000-0000-000080030000}"/>
    <cellStyle name="Currency 4 2 4 4" xfId="1613" xr:uid="{00000000-0005-0000-0000-000081030000}"/>
    <cellStyle name="Currency 4 2 4 4 2" xfId="1614" xr:uid="{00000000-0005-0000-0000-000082030000}"/>
    <cellStyle name="Currency 4 2 4 4 2 2" xfId="1615" xr:uid="{00000000-0005-0000-0000-000083030000}"/>
    <cellStyle name="Currency 4 2 4 4 2 3" xfId="1616" xr:uid="{00000000-0005-0000-0000-000084030000}"/>
    <cellStyle name="Currency 4 2 4 4 3" xfId="1617" xr:uid="{00000000-0005-0000-0000-000085030000}"/>
    <cellStyle name="Currency 4 2 4 4 4" xfId="1618" xr:uid="{00000000-0005-0000-0000-000086030000}"/>
    <cellStyle name="Currency 4 2 4 4 5" xfId="1619" xr:uid="{00000000-0005-0000-0000-000087030000}"/>
    <cellStyle name="Currency 4 2 4 5" xfId="1620" xr:uid="{00000000-0005-0000-0000-000088030000}"/>
    <cellStyle name="Currency 4 2 4 5 2" xfId="1621" xr:uid="{00000000-0005-0000-0000-000089030000}"/>
    <cellStyle name="Currency 4 2 4 5 2 2" xfId="1622" xr:uid="{00000000-0005-0000-0000-00008A030000}"/>
    <cellStyle name="Currency 4 2 4 5 2 3" xfId="1623" xr:uid="{00000000-0005-0000-0000-00008B030000}"/>
    <cellStyle name="Currency 4 2 4 5 3" xfId="1624" xr:uid="{00000000-0005-0000-0000-00008C030000}"/>
    <cellStyle name="Currency 4 2 4 5 4" xfId="1625" xr:uid="{00000000-0005-0000-0000-00008D030000}"/>
    <cellStyle name="Currency 4 2 4 5 5" xfId="1626" xr:uid="{00000000-0005-0000-0000-00008E030000}"/>
    <cellStyle name="Currency 4 2 4 6" xfId="1627" xr:uid="{00000000-0005-0000-0000-00008F030000}"/>
    <cellStyle name="Currency 4 2 4 6 2" xfId="1628" xr:uid="{00000000-0005-0000-0000-000090030000}"/>
    <cellStyle name="Currency 4 2 4 6 3" xfId="1629" xr:uid="{00000000-0005-0000-0000-000091030000}"/>
    <cellStyle name="Currency 4 2 4 7" xfId="1630" xr:uid="{00000000-0005-0000-0000-000092030000}"/>
    <cellStyle name="Currency 4 2 4 8" xfId="1631" xr:uid="{00000000-0005-0000-0000-000093030000}"/>
    <cellStyle name="Currency 4 2 4 9" xfId="1632" xr:uid="{00000000-0005-0000-0000-000094030000}"/>
    <cellStyle name="Currency 4 2 5" xfId="1633" xr:uid="{00000000-0005-0000-0000-000095030000}"/>
    <cellStyle name="Currency 4 2 5 2" xfId="1634" xr:uid="{00000000-0005-0000-0000-000096030000}"/>
    <cellStyle name="Currency 4 2 5 2 2" xfId="1635" xr:uid="{00000000-0005-0000-0000-000097030000}"/>
    <cellStyle name="Currency 4 2 5 2 2 2" xfId="1636" xr:uid="{00000000-0005-0000-0000-000098030000}"/>
    <cellStyle name="Currency 4 2 5 2 2 2 2" xfId="1637" xr:uid="{00000000-0005-0000-0000-000099030000}"/>
    <cellStyle name="Currency 4 2 5 2 2 2 3" xfId="1638" xr:uid="{00000000-0005-0000-0000-00009A030000}"/>
    <cellStyle name="Currency 4 2 5 2 2 3" xfId="1639" xr:uid="{00000000-0005-0000-0000-00009B030000}"/>
    <cellStyle name="Currency 4 2 5 2 2 4" xfId="1640" xr:uid="{00000000-0005-0000-0000-00009C030000}"/>
    <cellStyle name="Currency 4 2 5 2 2 5" xfId="1641" xr:uid="{00000000-0005-0000-0000-00009D030000}"/>
    <cellStyle name="Currency 4 2 5 2 3" xfId="1642" xr:uid="{00000000-0005-0000-0000-00009E030000}"/>
    <cellStyle name="Currency 4 2 5 2 3 2" xfId="1643" xr:uid="{00000000-0005-0000-0000-00009F030000}"/>
    <cellStyle name="Currency 4 2 5 2 3 2 2" xfId="1644" xr:uid="{00000000-0005-0000-0000-0000A0030000}"/>
    <cellStyle name="Currency 4 2 5 2 3 2 3" xfId="1645" xr:uid="{00000000-0005-0000-0000-0000A1030000}"/>
    <cellStyle name="Currency 4 2 5 2 3 3" xfId="1646" xr:uid="{00000000-0005-0000-0000-0000A2030000}"/>
    <cellStyle name="Currency 4 2 5 2 3 4" xfId="1647" xr:uid="{00000000-0005-0000-0000-0000A3030000}"/>
    <cellStyle name="Currency 4 2 5 2 3 5" xfId="1648" xr:uid="{00000000-0005-0000-0000-0000A4030000}"/>
    <cellStyle name="Currency 4 2 5 2 4" xfId="1649" xr:uid="{00000000-0005-0000-0000-0000A5030000}"/>
    <cellStyle name="Currency 4 2 5 2 4 2" xfId="1650" xr:uid="{00000000-0005-0000-0000-0000A6030000}"/>
    <cellStyle name="Currency 4 2 5 2 4 3" xfId="1651" xr:uid="{00000000-0005-0000-0000-0000A7030000}"/>
    <cellStyle name="Currency 4 2 5 2 5" xfId="1652" xr:uid="{00000000-0005-0000-0000-0000A8030000}"/>
    <cellStyle name="Currency 4 2 5 2 6" xfId="1653" xr:uid="{00000000-0005-0000-0000-0000A9030000}"/>
    <cellStyle name="Currency 4 2 5 2 7" xfId="1654" xr:uid="{00000000-0005-0000-0000-0000AA030000}"/>
    <cellStyle name="Currency 4 2 5 3" xfId="1655" xr:uid="{00000000-0005-0000-0000-0000AB030000}"/>
    <cellStyle name="Currency 4 2 5 3 2" xfId="1656" xr:uid="{00000000-0005-0000-0000-0000AC030000}"/>
    <cellStyle name="Currency 4 2 5 3 2 2" xfId="1657" xr:uid="{00000000-0005-0000-0000-0000AD030000}"/>
    <cellStyle name="Currency 4 2 5 3 2 3" xfId="1658" xr:uid="{00000000-0005-0000-0000-0000AE030000}"/>
    <cellStyle name="Currency 4 2 5 3 3" xfId="1659" xr:uid="{00000000-0005-0000-0000-0000AF030000}"/>
    <cellStyle name="Currency 4 2 5 3 4" xfId="1660" xr:uid="{00000000-0005-0000-0000-0000B0030000}"/>
    <cellStyle name="Currency 4 2 5 3 5" xfId="1661" xr:uid="{00000000-0005-0000-0000-0000B1030000}"/>
    <cellStyle name="Currency 4 2 5 4" xfId="1662" xr:uid="{00000000-0005-0000-0000-0000B2030000}"/>
    <cellStyle name="Currency 4 2 5 4 2" xfId="1663" xr:uid="{00000000-0005-0000-0000-0000B3030000}"/>
    <cellStyle name="Currency 4 2 5 4 2 2" xfId="1664" xr:uid="{00000000-0005-0000-0000-0000B4030000}"/>
    <cellStyle name="Currency 4 2 5 4 2 3" xfId="1665" xr:uid="{00000000-0005-0000-0000-0000B5030000}"/>
    <cellStyle name="Currency 4 2 5 4 3" xfId="1666" xr:uid="{00000000-0005-0000-0000-0000B6030000}"/>
    <cellStyle name="Currency 4 2 5 4 4" xfId="1667" xr:uid="{00000000-0005-0000-0000-0000B7030000}"/>
    <cellStyle name="Currency 4 2 5 4 5" xfId="1668" xr:uid="{00000000-0005-0000-0000-0000B8030000}"/>
    <cellStyle name="Currency 4 2 5 5" xfId="1669" xr:uid="{00000000-0005-0000-0000-0000B9030000}"/>
    <cellStyle name="Currency 4 2 5 5 2" xfId="1670" xr:uid="{00000000-0005-0000-0000-0000BA030000}"/>
    <cellStyle name="Currency 4 2 5 5 3" xfId="1671" xr:uid="{00000000-0005-0000-0000-0000BB030000}"/>
    <cellStyle name="Currency 4 2 5 6" xfId="1672" xr:uid="{00000000-0005-0000-0000-0000BC030000}"/>
    <cellStyle name="Currency 4 2 5 7" xfId="1673" xr:uid="{00000000-0005-0000-0000-0000BD030000}"/>
    <cellStyle name="Currency 4 2 5 8" xfId="1674" xr:uid="{00000000-0005-0000-0000-0000BE030000}"/>
    <cellStyle name="Currency 4 2 6" xfId="1675" xr:uid="{00000000-0005-0000-0000-0000BF030000}"/>
    <cellStyle name="Currency 4 2 7" xfId="1676" xr:uid="{00000000-0005-0000-0000-0000C0030000}"/>
    <cellStyle name="Currency 4 2 7 2" xfId="1677" xr:uid="{00000000-0005-0000-0000-0000C1030000}"/>
    <cellStyle name="Currency 4 2 7 2 2" xfId="1678" xr:uid="{00000000-0005-0000-0000-0000C2030000}"/>
    <cellStyle name="Currency 4 2 7 2 2 2" xfId="1679" xr:uid="{00000000-0005-0000-0000-0000C3030000}"/>
    <cellStyle name="Currency 4 2 7 2 2 3" xfId="1680" xr:uid="{00000000-0005-0000-0000-0000C4030000}"/>
    <cellStyle name="Currency 4 2 7 2 3" xfId="1681" xr:uid="{00000000-0005-0000-0000-0000C5030000}"/>
    <cellStyle name="Currency 4 2 7 2 4" xfId="1682" xr:uid="{00000000-0005-0000-0000-0000C6030000}"/>
    <cellStyle name="Currency 4 2 7 2 5" xfId="1683" xr:uid="{00000000-0005-0000-0000-0000C7030000}"/>
    <cellStyle name="Currency 4 2 7 3" xfId="1684" xr:uid="{00000000-0005-0000-0000-0000C8030000}"/>
    <cellStyle name="Currency 4 2 7 3 2" xfId="1685" xr:uid="{00000000-0005-0000-0000-0000C9030000}"/>
    <cellStyle name="Currency 4 2 7 3 2 2" xfId="1686" xr:uid="{00000000-0005-0000-0000-0000CA030000}"/>
    <cellStyle name="Currency 4 2 7 3 2 3" xfId="1687" xr:uid="{00000000-0005-0000-0000-0000CB030000}"/>
    <cellStyle name="Currency 4 2 7 3 3" xfId="1688" xr:uid="{00000000-0005-0000-0000-0000CC030000}"/>
    <cellStyle name="Currency 4 2 7 3 4" xfId="1689" xr:uid="{00000000-0005-0000-0000-0000CD030000}"/>
    <cellStyle name="Currency 4 2 7 3 5" xfId="1690" xr:uid="{00000000-0005-0000-0000-0000CE030000}"/>
    <cellStyle name="Currency 4 2 7 4" xfId="1691" xr:uid="{00000000-0005-0000-0000-0000CF030000}"/>
    <cellStyle name="Currency 4 2 7 4 2" xfId="1692" xr:uid="{00000000-0005-0000-0000-0000D0030000}"/>
    <cellStyle name="Currency 4 2 7 4 3" xfId="1693" xr:uid="{00000000-0005-0000-0000-0000D1030000}"/>
    <cellStyle name="Currency 4 2 7 5" xfId="1694" xr:uid="{00000000-0005-0000-0000-0000D2030000}"/>
    <cellStyle name="Currency 4 2 7 6" xfId="1695" xr:uid="{00000000-0005-0000-0000-0000D3030000}"/>
    <cellStyle name="Currency 4 2 7 7" xfId="1696" xr:uid="{00000000-0005-0000-0000-0000D4030000}"/>
    <cellStyle name="Currency 4 2 8" xfId="1697" xr:uid="{00000000-0005-0000-0000-0000D5030000}"/>
    <cellStyle name="Currency 4 2 8 2" xfId="1698" xr:uid="{00000000-0005-0000-0000-0000D6030000}"/>
    <cellStyle name="Currency 4 2 8 2 2" xfId="1699" xr:uid="{00000000-0005-0000-0000-0000D7030000}"/>
    <cellStyle name="Currency 4 2 8 2 3" xfId="1700" xr:uid="{00000000-0005-0000-0000-0000D8030000}"/>
    <cellStyle name="Currency 4 2 8 3" xfId="1701" xr:uid="{00000000-0005-0000-0000-0000D9030000}"/>
    <cellStyle name="Currency 4 2 8 4" xfId="1702" xr:uid="{00000000-0005-0000-0000-0000DA030000}"/>
    <cellStyle name="Currency 4 2 8 5" xfId="1703" xr:uid="{00000000-0005-0000-0000-0000DB030000}"/>
    <cellStyle name="Currency 4 2 9" xfId="1704" xr:uid="{00000000-0005-0000-0000-0000DC030000}"/>
    <cellStyle name="Currency 4 2 9 2" xfId="1705" xr:uid="{00000000-0005-0000-0000-0000DD030000}"/>
    <cellStyle name="Currency 4 2 9 2 2" xfId="1706" xr:uid="{00000000-0005-0000-0000-0000DE030000}"/>
    <cellStyle name="Currency 4 2 9 2 3" xfId="1707" xr:uid="{00000000-0005-0000-0000-0000DF030000}"/>
    <cellStyle name="Currency 4 2 9 3" xfId="1708" xr:uid="{00000000-0005-0000-0000-0000E0030000}"/>
    <cellStyle name="Currency 4 2 9 4" xfId="1709" xr:uid="{00000000-0005-0000-0000-0000E1030000}"/>
    <cellStyle name="Currency 4 2 9 5" xfId="1710" xr:uid="{00000000-0005-0000-0000-0000E2030000}"/>
    <cellStyle name="Currency 4 3" xfId="1711" xr:uid="{00000000-0005-0000-0000-0000E3030000}"/>
    <cellStyle name="Currency 4 3 2" xfId="1712" xr:uid="{00000000-0005-0000-0000-0000E4030000}"/>
    <cellStyle name="Currency 4 3 2 2" xfId="1713" xr:uid="{00000000-0005-0000-0000-0000E5030000}"/>
    <cellStyle name="Currency 4 3 2 2 2" xfId="1714" xr:uid="{00000000-0005-0000-0000-0000E6030000}"/>
    <cellStyle name="Currency 4 3 2 2 2 2" xfId="1715" xr:uid="{00000000-0005-0000-0000-0000E7030000}"/>
    <cellStyle name="Currency 4 3 2 2 2 2 2" xfId="1716" xr:uid="{00000000-0005-0000-0000-0000E8030000}"/>
    <cellStyle name="Currency 4 3 2 2 2 2 3" xfId="1717" xr:uid="{00000000-0005-0000-0000-0000E9030000}"/>
    <cellStyle name="Currency 4 3 2 2 2 3" xfId="1718" xr:uid="{00000000-0005-0000-0000-0000EA030000}"/>
    <cellStyle name="Currency 4 3 2 2 2 4" xfId="1719" xr:uid="{00000000-0005-0000-0000-0000EB030000}"/>
    <cellStyle name="Currency 4 3 2 2 2 5" xfId="1720" xr:uid="{00000000-0005-0000-0000-0000EC030000}"/>
    <cellStyle name="Currency 4 3 2 2 3" xfId="1721" xr:uid="{00000000-0005-0000-0000-0000ED030000}"/>
    <cellStyle name="Currency 4 3 2 2 3 2" xfId="1722" xr:uid="{00000000-0005-0000-0000-0000EE030000}"/>
    <cellStyle name="Currency 4 3 2 2 3 2 2" xfId="1723" xr:uid="{00000000-0005-0000-0000-0000EF030000}"/>
    <cellStyle name="Currency 4 3 2 2 3 2 3" xfId="1724" xr:uid="{00000000-0005-0000-0000-0000F0030000}"/>
    <cellStyle name="Currency 4 3 2 2 3 3" xfId="1725" xr:uid="{00000000-0005-0000-0000-0000F1030000}"/>
    <cellStyle name="Currency 4 3 2 2 3 4" xfId="1726" xr:uid="{00000000-0005-0000-0000-0000F2030000}"/>
    <cellStyle name="Currency 4 3 2 2 3 5" xfId="1727" xr:uid="{00000000-0005-0000-0000-0000F3030000}"/>
    <cellStyle name="Currency 4 3 2 2 4" xfId="1728" xr:uid="{00000000-0005-0000-0000-0000F4030000}"/>
    <cellStyle name="Currency 4 3 2 2 4 2" xfId="1729" xr:uid="{00000000-0005-0000-0000-0000F5030000}"/>
    <cellStyle name="Currency 4 3 2 2 4 3" xfId="1730" xr:uid="{00000000-0005-0000-0000-0000F6030000}"/>
    <cellStyle name="Currency 4 3 2 2 5" xfId="1731" xr:uid="{00000000-0005-0000-0000-0000F7030000}"/>
    <cellStyle name="Currency 4 3 2 2 6" xfId="1732" xr:uid="{00000000-0005-0000-0000-0000F8030000}"/>
    <cellStyle name="Currency 4 3 2 2 7" xfId="1733" xr:uid="{00000000-0005-0000-0000-0000F9030000}"/>
    <cellStyle name="Currency 4 3 2 3" xfId="1734" xr:uid="{00000000-0005-0000-0000-0000FA030000}"/>
    <cellStyle name="Currency 4 3 2 3 2" xfId="1735" xr:uid="{00000000-0005-0000-0000-0000FB030000}"/>
    <cellStyle name="Currency 4 3 2 3 2 2" xfId="1736" xr:uid="{00000000-0005-0000-0000-0000FC030000}"/>
    <cellStyle name="Currency 4 3 2 3 2 3" xfId="1737" xr:uid="{00000000-0005-0000-0000-0000FD030000}"/>
    <cellStyle name="Currency 4 3 2 3 3" xfId="1738" xr:uid="{00000000-0005-0000-0000-0000FE030000}"/>
    <cellStyle name="Currency 4 3 2 3 4" xfId="1739" xr:uid="{00000000-0005-0000-0000-0000FF030000}"/>
    <cellStyle name="Currency 4 3 2 3 5" xfId="1740" xr:uid="{00000000-0005-0000-0000-000000040000}"/>
    <cellStyle name="Currency 4 3 2 4" xfId="1741" xr:uid="{00000000-0005-0000-0000-000001040000}"/>
    <cellStyle name="Currency 4 3 2 4 2" xfId="1742" xr:uid="{00000000-0005-0000-0000-000002040000}"/>
    <cellStyle name="Currency 4 3 2 4 2 2" xfId="1743" xr:uid="{00000000-0005-0000-0000-000003040000}"/>
    <cellStyle name="Currency 4 3 2 4 2 3" xfId="1744" xr:uid="{00000000-0005-0000-0000-000004040000}"/>
    <cellStyle name="Currency 4 3 2 4 3" xfId="1745" xr:uid="{00000000-0005-0000-0000-000005040000}"/>
    <cellStyle name="Currency 4 3 2 4 4" xfId="1746" xr:uid="{00000000-0005-0000-0000-000006040000}"/>
    <cellStyle name="Currency 4 3 2 4 5" xfId="1747" xr:uid="{00000000-0005-0000-0000-000007040000}"/>
    <cellStyle name="Currency 4 3 2 5" xfId="1748" xr:uid="{00000000-0005-0000-0000-000008040000}"/>
    <cellStyle name="Currency 4 3 2 5 2" xfId="1749" xr:uid="{00000000-0005-0000-0000-000009040000}"/>
    <cellStyle name="Currency 4 3 2 5 3" xfId="1750" xr:uid="{00000000-0005-0000-0000-00000A040000}"/>
    <cellStyle name="Currency 4 3 2 6" xfId="1751" xr:uid="{00000000-0005-0000-0000-00000B040000}"/>
    <cellStyle name="Currency 4 3 2 7" xfId="1752" xr:uid="{00000000-0005-0000-0000-00000C040000}"/>
    <cellStyle name="Currency 4 3 2 8" xfId="1753" xr:uid="{00000000-0005-0000-0000-00000D040000}"/>
    <cellStyle name="Currency 4 3 3" xfId="1754" xr:uid="{00000000-0005-0000-0000-00000E040000}"/>
    <cellStyle name="Currency 4 3 3 2" xfId="1755" xr:uid="{00000000-0005-0000-0000-00000F040000}"/>
    <cellStyle name="Currency 4 3 3 2 2" xfId="1756" xr:uid="{00000000-0005-0000-0000-000010040000}"/>
    <cellStyle name="Currency 4 3 3 2 2 2" xfId="1757" xr:uid="{00000000-0005-0000-0000-000011040000}"/>
    <cellStyle name="Currency 4 3 3 2 2 3" xfId="1758" xr:uid="{00000000-0005-0000-0000-000012040000}"/>
    <cellStyle name="Currency 4 3 3 2 3" xfId="1759" xr:uid="{00000000-0005-0000-0000-000013040000}"/>
    <cellStyle name="Currency 4 3 3 2 4" xfId="1760" xr:uid="{00000000-0005-0000-0000-000014040000}"/>
    <cellStyle name="Currency 4 3 3 2 5" xfId="1761" xr:uid="{00000000-0005-0000-0000-000015040000}"/>
    <cellStyle name="Currency 4 3 3 3" xfId="1762" xr:uid="{00000000-0005-0000-0000-000016040000}"/>
    <cellStyle name="Currency 4 3 3 3 2" xfId="1763" xr:uid="{00000000-0005-0000-0000-000017040000}"/>
    <cellStyle name="Currency 4 3 3 3 2 2" xfId="1764" xr:uid="{00000000-0005-0000-0000-000018040000}"/>
    <cellStyle name="Currency 4 3 3 3 2 3" xfId="1765" xr:uid="{00000000-0005-0000-0000-000019040000}"/>
    <cellStyle name="Currency 4 3 3 3 3" xfId="1766" xr:uid="{00000000-0005-0000-0000-00001A040000}"/>
    <cellStyle name="Currency 4 3 3 3 4" xfId="1767" xr:uid="{00000000-0005-0000-0000-00001B040000}"/>
    <cellStyle name="Currency 4 3 3 3 5" xfId="1768" xr:uid="{00000000-0005-0000-0000-00001C040000}"/>
    <cellStyle name="Currency 4 3 3 4" xfId="1769" xr:uid="{00000000-0005-0000-0000-00001D040000}"/>
    <cellStyle name="Currency 4 3 3 4 2" xfId="1770" xr:uid="{00000000-0005-0000-0000-00001E040000}"/>
    <cellStyle name="Currency 4 3 3 4 3" xfId="1771" xr:uid="{00000000-0005-0000-0000-00001F040000}"/>
    <cellStyle name="Currency 4 3 3 5" xfId="1772" xr:uid="{00000000-0005-0000-0000-000020040000}"/>
    <cellStyle name="Currency 4 3 3 6" xfId="1773" xr:uid="{00000000-0005-0000-0000-000021040000}"/>
    <cellStyle name="Currency 4 3 3 7" xfId="1774" xr:uid="{00000000-0005-0000-0000-000022040000}"/>
    <cellStyle name="Currency 4 3 4" xfId="1775" xr:uid="{00000000-0005-0000-0000-000023040000}"/>
    <cellStyle name="Currency 4 3 4 2" xfId="1776" xr:uid="{00000000-0005-0000-0000-000024040000}"/>
    <cellStyle name="Currency 4 3 4 2 2" xfId="1777" xr:uid="{00000000-0005-0000-0000-000025040000}"/>
    <cellStyle name="Currency 4 3 4 2 3" xfId="1778" xr:uid="{00000000-0005-0000-0000-000026040000}"/>
    <cellStyle name="Currency 4 3 4 3" xfId="1779" xr:uid="{00000000-0005-0000-0000-000027040000}"/>
    <cellStyle name="Currency 4 3 4 4" xfId="1780" xr:uid="{00000000-0005-0000-0000-000028040000}"/>
    <cellStyle name="Currency 4 3 4 5" xfId="1781" xr:uid="{00000000-0005-0000-0000-000029040000}"/>
    <cellStyle name="Currency 4 3 5" xfId="1782" xr:uid="{00000000-0005-0000-0000-00002A040000}"/>
    <cellStyle name="Currency 4 3 5 2" xfId="1783" xr:uid="{00000000-0005-0000-0000-00002B040000}"/>
    <cellStyle name="Currency 4 3 5 2 2" xfId="1784" xr:uid="{00000000-0005-0000-0000-00002C040000}"/>
    <cellStyle name="Currency 4 3 5 2 3" xfId="1785" xr:uid="{00000000-0005-0000-0000-00002D040000}"/>
    <cellStyle name="Currency 4 3 5 3" xfId="1786" xr:uid="{00000000-0005-0000-0000-00002E040000}"/>
    <cellStyle name="Currency 4 3 5 4" xfId="1787" xr:uid="{00000000-0005-0000-0000-00002F040000}"/>
    <cellStyle name="Currency 4 3 5 5" xfId="1788" xr:uid="{00000000-0005-0000-0000-000030040000}"/>
    <cellStyle name="Currency 4 3 6" xfId="1789" xr:uid="{00000000-0005-0000-0000-000031040000}"/>
    <cellStyle name="Currency 4 3 6 2" xfId="1790" xr:uid="{00000000-0005-0000-0000-000032040000}"/>
    <cellStyle name="Currency 4 3 6 3" xfId="1791" xr:uid="{00000000-0005-0000-0000-000033040000}"/>
    <cellStyle name="Currency 4 3 7" xfId="1792" xr:uid="{00000000-0005-0000-0000-000034040000}"/>
    <cellStyle name="Currency 4 3 8" xfId="1793" xr:uid="{00000000-0005-0000-0000-000035040000}"/>
    <cellStyle name="Currency 4 3 9" xfId="1794" xr:uid="{00000000-0005-0000-0000-000036040000}"/>
    <cellStyle name="Currency 4 4" xfId="1795" xr:uid="{00000000-0005-0000-0000-000037040000}"/>
    <cellStyle name="Currency 4 4 2" xfId="1796" xr:uid="{00000000-0005-0000-0000-000038040000}"/>
    <cellStyle name="Currency 4 4 2 2" xfId="1797" xr:uid="{00000000-0005-0000-0000-000039040000}"/>
    <cellStyle name="Currency 4 4 2 2 2" xfId="1798" xr:uid="{00000000-0005-0000-0000-00003A040000}"/>
    <cellStyle name="Currency 4 4 2 2 2 2" xfId="1799" xr:uid="{00000000-0005-0000-0000-00003B040000}"/>
    <cellStyle name="Currency 4 4 2 2 2 2 2" xfId="1800" xr:uid="{00000000-0005-0000-0000-00003C040000}"/>
    <cellStyle name="Currency 4 4 2 2 2 2 3" xfId="1801" xr:uid="{00000000-0005-0000-0000-00003D040000}"/>
    <cellStyle name="Currency 4 4 2 2 2 3" xfId="1802" xr:uid="{00000000-0005-0000-0000-00003E040000}"/>
    <cellStyle name="Currency 4 4 2 2 2 4" xfId="1803" xr:uid="{00000000-0005-0000-0000-00003F040000}"/>
    <cellStyle name="Currency 4 4 2 2 2 5" xfId="1804" xr:uid="{00000000-0005-0000-0000-000040040000}"/>
    <cellStyle name="Currency 4 4 2 2 3" xfId="1805" xr:uid="{00000000-0005-0000-0000-000041040000}"/>
    <cellStyle name="Currency 4 4 2 2 3 2" xfId="1806" xr:uid="{00000000-0005-0000-0000-000042040000}"/>
    <cellStyle name="Currency 4 4 2 2 3 2 2" xfId="1807" xr:uid="{00000000-0005-0000-0000-000043040000}"/>
    <cellStyle name="Currency 4 4 2 2 3 2 3" xfId="1808" xr:uid="{00000000-0005-0000-0000-000044040000}"/>
    <cellStyle name="Currency 4 4 2 2 3 3" xfId="1809" xr:uid="{00000000-0005-0000-0000-000045040000}"/>
    <cellStyle name="Currency 4 4 2 2 3 4" xfId="1810" xr:uid="{00000000-0005-0000-0000-000046040000}"/>
    <cellStyle name="Currency 4 4 2 2 3 5" xfId="1811" xr:uid="{00000000-0005-0000-0000-000047040000}"/>
    <cellStyle name="Currency 4 4 2 2 4" xfId="1812" xr:uid="{00000000-0005-0000-0000-000048040000}"/>
    <cellStyle name="Currency 4 4 2 2 4 2" xfId="1813" xr:uid="{00000000-0005-0000-0000-000049040000}"/>
    <cellStyle name="Currency 4 4 2 2 4 3" xfId="1814" xr:uid="{00000000-0005-0000-0000-00004A040000}"/>
    <cellStyle name="Currency 4 4 2 2 5" xfId="1815" xr:uid="{00000000-0005-0000-0000-00004B040000}"/>
    <cellStyle name="Currency 4 4 2 2 6" xfId="1816" xr:uid="{00000000-0005-0000-0000-00004C040000}"/>
    <cellStyle name="Currency 4 4 2 2 7" xfId="1817" xr:uid="{00000000-0005-0000-0000-00004D040000}"/>
    <cellStyle name="Currency 4 4 2 3" xfId="1818" xr:uid="{00000000-0005-0000-0000-00004E040000}"/>
    <cellStyle name="Currency 4 4 2 3 2" xfId="1819" xr:uid="{00000000-0005-0000-0000-00004F040000}"/>
    <cellStyle name="Currency 4 4 2 3 2 2" xfId="1820" xr:uid="{00000000-0005-0000-0000-000050040000}"/>
    <cellStyle name="Currency 4 4 2 3 2 3" xfId="1821" xr:uid="{00000000-0005-0000-0000-000051040000}"/>
    <cellStyle name="Currency 4 4 2 3 3" xfId="1822" xr:uid="{00000000-0005-0000-0000-000052040000}"/>
    <cellStyle name="Currency 4 4 2 3 4" xfId="1823" xr:uid="{00000000-0005-0000-0000-000053040000}"/>
    <cellStyle name="Currency 4 4 2 3 5" xfId="1824" xr:uid="{00000000-0005-0000-0000-000054040000}"/>
    <cellStyle name="Currency 4 4 2 4" xfId="1825" xr:uid="{00000000-0005-0000-0000-000055040000}"/>
    <cellStyle name="Currency 4 4 2 4 2" xfId="1826" xr:uid="{00000000-0005-0000-0000-000056040000}"/>
    <cellStyle name="Currency 4 4 2 4 2 2" xfId="1827" xr:uid="{00000000-0005-0000-0000-000057040000}"/>
    <cellStyle name="Currency 4 4 2 4 2 3" xfId="1828" xr:uid="{00000000-0005-0000-0000-000058040000}"/>
    <cellStyle name="Currency 4 4 2 4 3" xfId="1829" xr:uid="{00000000-0005-0000-0000-000059040000}"/>
    <cellStyle name="Currency 4 4 2 4 4" xfId="1830" xr:uid="{00000000-0005-0000-0000-00005A040000}"/>
    <cellStyle name="Currency 4 4 2 4 5" xfId="1831" xr:uid="{00000000-0005-0000-0000-00005B040000}"/>
    <cellStyle name="Currency 4 4 2 5" xfId="1832" xr:uid="{00000000-0005-0000-0000-00005C040000}"/>
    <cellStyle name="Currency 4 4 2 5 2" xfId="1833" xr:uid="{00000000-0005-0000-0000-00005D040000}"/>
    <cellStyle name="Currency 4 4 2 5 3" xfId="1834" xr:uid="{00000000-0005-0000-0000-00005E040000}"/>
    <cellStyle name="Currency 4 4 2 6" xfId="1835" xr:uid="{00000000-0005-0000-0000-00005F040000}"/>
    <cellStyle name="Currency 4 4 2 7" xfId="1836" xr:uid="{00000000-0005-0000-0000-000060040000}"/>
    <cellStyle name="Currency 4 4 2 8" xfId="1837" xr:uid="{00000000-0005-0000-0000-000061040000}"/>
    <cellStyle name="Currency 4 4 3" xfId="1838" xr:uid="{00000000-0005-0000-0000-000062040000}"/>
    <cellStyle name="Currency 4 4 3 2" xfId="1839" xr:uid="{00000000-0005-0000-0000-000063040000}"/>
    <cellStyle name="Currency 4 4 3 2 2" xfId="1840" xr:uid="{00000000-0005-0000-0000-000064040000}"/>
    <cellStyle name="Currency 4 4 3 2 2 2" xfId="1841" xr:uid="{00000000-0005-0000-0000-000065040000}"/>
    <cellStyle name="Currency 4 4 3 2 2 3" xfId="1842" xr:uid="{00000000-0005-0000-0000-000066040000}"/>
    <cellStyle name="Currency 4 4 3 2 3" xfId="1843" xr:uid="{00000000-0005-0000-0000-000067040000}"/>
    <cellStyle name="Currency 4 4 3 2 4" xfId="1844" xr:uid="{00000000-0005-0000-0000-000068040000}"/>
    <cellStyle name="Currency 4 4 3 2 5" xfId="1845" xr:uid="{00000000-0005-0000-0000-000069040000}"/>
    <cellStyle name="Currency 4 4 3 3" xfId="1846" xr:uid="{00000000-0005-0000-0000-00006A040000}"/>
    <cellStyle name="Currency 4 4 3 3 2" xfId="1847" xr:uid="{00000000-0005-0000-0000-00006B040000}"/>
    <cellStyle name="Currency 4 4 3 3 2 2" xfId="1848" xr:uid="{00000000-0005-0000-0000-00006C040000}"/>
    <cellStyle name="Currency 4 4 3 3 2 3" xfId="1849" xr:uid="{00000000-0005-0000-0000-00006D040000}"/>
    <cellStyle name="Currency 4 4 3 3 3" xfId="1850" xr:uid="{00000000-0005-0000-0000-00006E040000}"/>
    <cellStyle name="Currency 4 4 3 3 4" xfId="1851" xr:uid="{00000000-0005-0000-0000-00006F040000}"/>
    <cellStyle name="Currency 4 4 3 3 5" xfId="1852" xr:uid="{00000000-0005-0000-0000-000070040000}"/>
    <cellStyle name="Currency 4 4 3 4" xfId="1853" xr:uid="{00000000-0005-0000-0000-000071040000}"/>
    <cellStyle name="Currency 4 4 3 4 2" xfId="1854" xr:uid="{00000000-0005-0000-0000-000072040000}"/>
    <cellStyle name="Currency 4 4 3 4 3" xfId="1855" xr:uid="{00000000-0005-0000-0000-000073040000}"/>
    <cellStyle name="Currency 4 4 3 5" xfId="1856" xr:uid="{00000000-0005-0000-0000-000074040000}"/>
    <cellStyle name="Currency 4 4 3 6" xfId="1857" xr:uid="{00000000-0005-0000-0000-000075040000}"/>
    <cellStyle name="Currency 4 4 3 7" xfId="1858" xr:uid="{00000000-0005-0000-0000-000076040000}"/>
    <cellStyle name="Currency 4 4 4" xfId="1859" xr:uid="{00000000-0005-0000-0000-000077040000}"/>
    <cellStyle name="Currency 4 4 4 2" xfId="1860" xr:uid="{00000000-0005-0000-0000-000078040000}"/>
    <cellStyle name="Currency 4 4 4 2 2" xfId="1861" xr:uid="{00000000-0005-0000-0000-000079040000}"/>
    <cellStyle name="Currency 4 4 4 2 3" xfId="1862" xr:uid="{00000000-0005-0000-0000-00007A040000}"/>
    <cellStyle name="Currency 4 4 4 3" xfId="1863" xr:uid="{00000000-0005-0000-0000-00007B040000}"/>
    <cellStyle name="Currency 4 4 4 4" xfId="1864" xr:uid="{00000000-0005-0000-0000-00007C040000}"/>
    <cellStyle name="Currency 4 4 4 5" xfId="1865" xr:uid="{00000000-0005-0000-0000-00007D040000}"/>
    <cellStyle name="Currency 4 4 5" xfId="1866" xr:uid="{00000000-0005-0000-0000-00007E040000}"/>
    <cellStyle name="Currency 4 4 5 2" xfId="1867" xr:uid="{00000000-0005-0000-0000-00007F040000}"/>
    <cellStyle name="Currency 4 4 5 2 2" xfId="1868" xr:uid="{00000000-0005-0000-0000-000080040000}"/>
    <cellStyle name="Currency 4 4 5 2 3" xfId="1869" xr:uid="{00000000-0005-0000-0000-000081040000}"/>
    <cellStyle name="Currency 4 4 5 3" xfId="1870" xr:uid="{00000000-0005-0000-0000-000082040000}"/>
    <cellStyle name="Currency 4 4 5 4" xfId="1871" xr:uid="{00000000-0005-0000-0000-000083040000}"/>
    <cellStyle name="Currency 4 4 5 5" xfId="1872" xr:uid="{00000000-0005-0000-0000-000084040000}"/>
    <cellStyle name="Currency 4 4 6" xfId="1873" xr:uid="{00000000-0005-0000-0000-000085040000}"/>
    <cellStyle name="Currency 4 4 6 2" xfId="1874" xr:uid="{00000000-0005-0000-0000-000086040000}"/>
    <cellStyle name="Currency 4 4 6 3" xfId="1875" xr:uid="{00000000-0005-0000-0000-000087040000}"/>
    <cellStyle name="Currency 4 4 7" xfId="1876" xr:uid="{00000000-0005-0000-0000-000088040000}"/>
    <cellStyle name="Currency 4 4 8" xfId="1877" xr:uid="{00000000-0005-0000-0000-000089040000}"/>
    <cellStyle name="Currency 4 4 9" xfId="1878" xr:uid="{00000000-0005-0000-0000-00008A040000}"/>
    <cellStyle name="Currency 4 5" xfId="1879" xr:uid="{00000000-0005-0000-0000-00008B040000}"/>
    <cellStyle name="Currency 4 5 2" xfId="1880" xr:uid="{00000000-0005-0000-0000-00008C040000}"/>
    <cellStyle name="Currency 4 5 2 2" xfId="1881" xr:uid="{00000000-0005-0000-0000-00008D040000}"/>
    <cellStyle name="Currency 4 5 2 2 2" xfId="1882" xr:uid="{00000000-0005-0000-0000-00008E040000}"/>
    <cellStyle name="Currency 4 5 2 2 2 2" xfId="1883" xr:uid="{00000000-0005-0000-0000-00008F040000}"/>
    <cellStyle name="Currency 4 5 2 2 2 2 2" xfId="1884" xr:uid="{00000000-0005-0000-0000-000090040000}"/>
    <cellStyle name="Currency 4 5 2 2 2 2 3" xfId="1885" xr:uid="{00000000-0005-0000-0000-000091040000}"/>
    <cellStyle name="Currency 4 5 2 2 2 3" xfId="1886" xr:uid="{00000000-0005-0000-0000-000092040000}"/>
    <cellStyle name="Currency 4 5 2 2 2 4" xfId="1887" xr:uid="{00000000-0005-0000-0000-000093040000}"/>
    <cellStyle name="Currency 4 5 2 2 2 5" xfId="1888" xr:uid="{00000000-0005-0000-0000-000094040000}"/>
    <cellStyle name="Currency 4 5 2 2 3" xfId="1889" xr:uid="{00000000-0005-0000-0000-000095040000}"/>
    <cellStyle name="Currency 4 5 2 2 3 2" xfId="1890" xr:uid="{00000000-0005-0000-0000-000096040000}"/>
    <cellStyle name="Currency 4 5 2 2 3 2 2" xfId="1891" xr:uid="{00000000-0005-0000-0000-000097040000}"/>
    <cellStyle name="Currency 4 5 2 2 3 2 3" xfId="1892" xr:uid="{00000000-0005-0000-0000-000098040000}"/>
    <cellStyle name="Currency 4 5 2 2 3 3" xfId="1893" xr:uid="{00000000-0005-0000-0000-000099040000}"/>
    <cellStyle name="Currency 4 5 2 2 3 4" xfId="1894" xr:uid="{00000000-0005-0000-0000-00009A040000}"/>
    <cellStyle name="Currency 4 5 2 2 3 5" xfId="1895" xr:uid="{00000000-0005-0000-0000-00009B040000}"/>
    <cellStyle name="Currency 4 5 2 2 4" xfId="1896" xr:uid="{00000000-0005-0000-0000-00009C040000}"/>
    <cellStyle name="Currency 4 5 2 2 4 2" xfId="1897" xr:uid="{00000000-0005-0000-0000-00009D040000}"/>
    <cellStyle name="Currency 4 5 2 2 4 3" xfId="1898" xr:uid="{00000000-0005-0000-0000-00009E040000}"/>
    <cellStyle name="Currency 4 5 2 2 5" xfId="1899" xr:uid="{00000000-0005-0000-0000-00009F040000}"/>
    <cellStyle name="Currency 4 5 2 2 6" xfId="1900" xr:uid="{00000000-0005-0000-0000-0000A0040000}"/>
    <cellStyle name="Currency 4 5 2 2 7" xfId="1901" xr:uid="{00000000-0005-0000-0000-0000A1040000}"/>
    <cellStyle name="Currency 4 5 2 3" xfId="1902" xr:uid="{00000000-0005-0000-0000-0000A2040000}"/>
    <cellStyle name="Currency 4 5 2 3 2" xfId="1903" xr:uid="{00000000-0005-0000-0000-0000A3040000}"/>
    <cellStyle name="Currency 4 5 2 3 2 2" xfId="1904" xr:uid="{00000000-0005-0000-0000-0000A4040000}"/>
    <cellStyle name="Currency 4 5 2 3 2 3" xfId="1905" xr:uid="{00000000-0005-0000-0000-0000A5040000}"/>
    <cellStyle name="Currency 4 5 2 3 3" xfId="1906" xr:uid="{00000000-0005-0000-0000-0000A6040000}"/>
    <cellStyle name="Currency 4 5 2 3 4" xfId="1907" xr:uid="{00000000-0005-0000-0000-0000A7040000}"/>
    <cellStyle name="Currency 4 5 2 3 5" xfId="1908" xr:uid="{00000000-0005-0000-0000-0000A8040000}"/>
    <cellStyle name="Currency 4 5 2 4" xfId="1909" xr:uid="{00000000-0005-0000-0000-0000A9040000}"/>
    <cellStyle name="Currency 4 5 2 4 2" xfId="1910" xr:uid="{00000000-0005-0000-0000-0000AA040000}"/>
    <cellStyle name="Currency 4 5 2 4 2 2" xfId="1911" xr:uid="{00000000-0005-0000-0000-0000AB040000}"/>
    <cellStyle name="Currency 4 5 2 4 2 3" xfId="1912" xr:uid="{00000000-0005-0000-0000-0000AC040000}"/>
    <cellStyle name="Currency 4 5 2 4 3" xfId="1913" xr:uid="{00000000-0005-0000-0000-0000AD040000}"/>
    <cellStyle name="Currency 4 5 2 4 4" xfId="1914" xr:uid="{00000000-0005-0000-0000-0000AE040000}"/>
    <cellStyle name="Currency 4 5 2 4 5" xfId="1915" xr:uid="{00000000-0005-0000-0000-0000AF040000}"/>
    <cellStyle name="Currency 4 5 2 5" xfId="1916" xr:uid="{00000000-0005-0000-0000-0000B0040000}"/>
    <cellStyle name="Currency 4 5 2 5 2" xfId="1917" xr:uid="{00000000-0005-0000-0000-0000B1040000}"/>
    <cellStyle name="Currency 4 5 2 5 3" xfId="1918" xr:uid="{00000000-0005-0000-0000-0000B2040000}"/>
    <cellStyle name="Currency 4 5 2 6" xfId="1919" xr:uid="{00000000-0005-0000-0000-0000B3040000}"/>
    <cellStyle name="Currency 4 5 2 7" xfId="1920" xr:uid="{00000000-0005-0000-0000-0000B4040000}"/>
    <cellStyle name="Currency 4 5 2 8" xfId="1921" xr:uid="{00000000-0005-0000-0000-0000B5040000}"/>
    <cellStyle name="Currency 4 5 3" xfId="1922" xr:uid="{00000000-0005-0000-0000-0000B6040000}"/>
    <cellStyle name="Currency 4 5 3 2" xfId="1923" xr:uid="{00000000-0005-0000-0000-0000B7040000}"/>
    <cellStyle name="Currency 4 5 3 2 2" xfId="1924" xr:uid="{00000000-0005-0000-0000-0000B8040000}"/>
    <cellStyle name="Currency 4 5 3 2 2 2" xfId="1925" xr:uid="{00000000-0005-0000-0000-0000B9040000}"/>
    <cellStyle name="Currency 4 5 3 2 2 3" xfId="1926" xr:uid="{00000000-0005-0000-0000-0000BA040000}"/>
    <cellStyle name="Currency 4 5 3 2 3" xfId="1927" xr:uid="{00000000-0005-0000-0000-0000BB040000}"/>
    <cellStyle name="Currency 4 5 3 2 4" xfId="1928" xr:uid="{00000000-0005-0000-0000-0000BC040000}"/>
    <cellStyle name="Currency 4 5 3 2 5" xfId="1929" xr:uid="{00000000-0005-0000-0000-0000BD040000}"/>
    <cellStyle name="Currency 4 5 3 3" xfId="1930" xr:uid="{00000000-0005-0000-0000-0000BE040000}"/>
    <cellStyle name="Currency 4 5 3 3 2" xfId="1931" xr:uid="{00000000-0005-0000-0000-0000BF040000}"/>
    <cellStyle name="Currency 4 5 3 3 2 2" xfId="1932" xr:uid="{00000000-0005-0000-0000-0000C0040000}"/>
    <cellStyle name="Currency 4 5 3 3 2 3" xfId="1933" xr:uid="{00000000-0005-0000-0000-0000C1040000}"/>
    <cellStyle name="Currency 4 5 3 3 3" xfId="1934" xr:uid="{00000000-0005-0000-0000-0000C2040000}"/>
    <cellStyle name="Currency 4 5 3 3 4" xfId="1935" xr:uid="{00000000-0005-0000-0000-0000C3040000}"/>
    <cellStyle name="Currency 4 5 3 3 5" xfId="1936" xr:uid="{00000000-0005-0000-0000-0000C4040000}"/>
    <cellStyle name="Currency 4 5 3 4" xfId="1937" xr:uid="{00000000-0005-0000-0000-0000C5040000}"/>
    <cellStyle name="Currency 4 5 3 4 2" xfId="1938" xr:uid="{00000000-0005-0000-0000-0000C6040000}"/>
    <cellStyle name="Currency 4 5 3 4 3" xfId="1939" xr:uid="{00000000-0005-0000-0000-0000C7040000}"/>
    <cellStyle name="Currency 4 5 3 5" xfId="1940" xr:uid="{00000000-0005-0000-0000-0000C8040000}"/>
    <cellStyle name="Currency 4 5 3 6" xfId="1941" xr:uid="{00000000-0005-0000-0000-0000C9040000}"/>
    <cellStyle name="Currency 4 5 3 7" xfId="1942" xr:uid="{00000000-0005-0000-0000-0000CA040000}"/>
    <cellStyle name="Currency 4 5 4" xfId="1943" xr:uid="{00000000-0005-0000-0000-0000CB040000}"/>
    <cellStyle name="Currency 4 5 4 2" xfId="1944" xr:uid="{00000000-0005-0000-0000-0000CC040000}"/>
    <cellStyle name="Currency 4 5 4 2 2" xfId="1945" xr:uid="{00000000-0005-0000-0000-0000CD040000}"/>
    <cellStyle name="Currency 4 5 4 2 3" xfId="1946" xr:uid="{00000000-0005-0000-0000-0000CE040000}"/>
    <cellStyle name="Currency 4 5 4 3" xfId="1947" xr:uid="{00000000-0005-0000-0000-0000CF040000}"/>
    <cellStyle name="Currency 4 5 4 4" xfId="1948" xr:uid="{00000000-0005-0000-0000-0000D0040000}"/>
    <cellStyle name="Currency 4 5 4 5" xfId="1949" xr:uid="{00000000-0005-0000-0000-0000D1040000}"/>
    <cellStyle name="Currency 4 5 5" xfId="1950" xr:uid="{00000000-0005-0000-0000-0000D2040000}"/>
    <cellStyle name="Currency 4 5 5 2" xfId="1951" xr:uid="{00000000-0005-0000-0000-0000D3040000}"/>
    <cellStyle name="Currency 4 5 5 2 2" xfId="1952" xr:uid="{00000000-0005-0000-0000-0000D4040000}"/>
    <cellStyle name="Currency 4 5 5 2 3" xfId="1953" xr:uid="{00000000-0005-0000-0000-0000D5040000}"/>
    <cellStyle name="Currency 4 5 5 3" xfId="1954" xr:uid="{00000000-0005-0000-0000-0000D6040000}"/>
    <cellStyle name="Currency 4 5 5 4" xfId="1955" xr:uid="{00000000-0005-0000-0000-0000D7040000}"/>
    <cellStyle name="Currency 4 5 5 5" xfId="1956" xr:uid="{00000000-0005-0000-0000-0000D8040000}"/>
    <cellStyle name="Currency 4 5 6" xfId="1957" xr:uid="{00000000-0005-0000-0000-0000D9040000}"/>
    <cellStyle name="Currency 4 5 6 2" xfId="1958" xr:uid="{00000000-0005-0000-0000-0000DA040000}"/>
    <cellStyle name="Currency 4 5 6 3" xfId="1959" xr:uid="{00000000-0005-0000-0000-0000DB040000}"/>
    <cellStyle name="Currency 4 5 7" xfId="1960" xr:uid="{00000000-0005-0000-0000-0000DC040000}"/>
    <cellStyle name="Currency 4 5 8" xfId="1961" xr:uid="{00000000-0005-0000-0000-0000DD040000}"/>
    <cellStyle name="Currency 4 5 9" xfId="1962" xr:uid="{00000000-0005-0000-0000-0000DE040000}"/>
    <cellStyle name="Currency 4 6" xfId="1963" xr:uid="{00000000-0005-0000-0000-0000DF040000}"/>
    <cellStyle name="Currency 4 6 2" xfId="1964" xr:uid="{00000000-0005-0000-0000-0000E0040000}"/>
    <cellStyle name="Currency 4 6 2 2" xfId="1965" xr:uid="{00000000-0005-0000-0000-0000E1040000}"/>
    <cellStyle name="Currency 4 6 2 2 2" xfId="1966" xr:uid="{00000000-0005-0000-0000-0000E2040000}"/>
    <cellStyle name="Currency 4 6 2 2 2 2" xfId="1967" xr:uid="{00000000-0005-0000-0000-0000E3040000}"/>
    <cellStyle name="Currency 4 6 2 2 2 3" xfId="1968" xr:uid="{00000000-0005-0000-0000-0000E4040000}"/>
    <cellStyle name="Currency 4 6 2 2 3" xfId="1969" xr:uid="{00000000-0005-0000-0000-0000E5040000}"/>
    <cellStyle name="Currency 4 6 2 2 4" xfId="1970" xr:uid="{00000000-0005-0000-0000-0000E6040000}"/>
    <cellStyle name="Currency 4 6 2 2 5" xfId="1971" xr:uid="{00000000-0005-0000-0000-0000E7040000}"/>
    <cellStyle name="Currency 4 6 2 3" xfId="1972" xr:uid="{00000000-0005-0000-0000-0000E8040000}"/>
    <cellStyle name="Currency 4 6 2 3 2" xfId="1973" xr:uid="{00000000-0005-0000-0000-0000E9040000}"/>
    <cellStyle name="Currency 4 6 2 3 2 2" xfId="1974" xr:uid="{00000000-0005-0000-0000-0000EA040000}"/>
    <cellStyle name="Currency 4 6 2 3 2 3" xfId="1975" xr:uid="{00000000-0005-0000-0000-0000EB040000}"/>
    <cellStyle name="Currency 4 6 2 3 3" xfId="1976" xr:uid="{00000000-0005-0000-0000-0000EC040000}"/>
    <cellStyle name="Currency 4 6 2 3 4" xfId="1977" xr:uid="{00000000-0005-0000-0000-0000ED040000}"/>
    <cellStyle name="Currency 4 6 2 3 5" xfId="1978" xr:uid="{00000000-0005-0000-0000-0000EE040000}"/>
    <cellStyle name="Currency 4 6 2 4" xfId="1979" xr:uid="{00000000-0005-0000-0000-0000EF040000}"/>
    <cellStyle name="Currency 4 6 2 4 2" xfId="1980" xr:uid="{00000000-0005-0000-0000-0000F0040000}"/>
    <cellStyle name="Currency 4 6 2 4 3" xfId="1981" xr:uid="{00000000-0005-0000-0000-0000F1040000}"/>
    <cellStyle name="Currency 4 6 2 5" xfId="1982" xr:uid="{00000000-0005-0000-0000-0000F2040000}"/>
    <cellStyle name="Currency 4 6 2 6" xfId="1983" xr:uid="{00000000-0005-0000-0000-0000F3040000}"/>
    <cellStyle name="Currency 4 6 2 7" xfId="1984" xr:uid="{00000000-0005-0000-0000-0000F4040000}"/>
    <cellStyle name="Currency 4 6 3" xfId="1985" xr:uid="{00000000-0005-0000-0000-0000F5040000}"/>
    <cellStyle name="Currency 4 6 3 2" xfId="1986" xr:uid="{00000000-0005-0000-0000-0000F6040000}"/>
    <cellStyle name="Currency 4 6 3 2 2" xfId="1987" xr:uid="{00000000-0005-0000-0000-0000F7040000}"/>
    <cellStyle name="Currency 4 6 3 2 3" xfId="1988" xr:uid="{00000000-0005-0000-0000-0000F8040000}"/>
    <cellStyle name="Currency 4 6 3 3" xfId="1989" xr:uid="{00000000-0005-0000-0000-0000F9040000}"/>
    <cellStyle name="Currency 4 6 3 4" xfId="1990" xr:uid="{00000000-0005-0000-0000-0000FA040000}"/>
    <cellStyle name="Currency 4 6 3 5" xfId="1991" xr:uid="{00000000-0005-0000-0000-0000FB040000}"/>
    <cellStyle name="Currency 4 6 4" xfId="1992" xr:uid="{00000000-0005-0000-0000-0000FC040000}"/>
    <cellStyle name="Currency 4 6 4 2" xfId="1993" xr:uid="{00000000-0005-0000-0000-0000FD040000}"/>
    <cellStyle name="Currency 4 6 4 2 2" xfId="1994" xr:uid="{00000000-0005-0000-0000-0000FE040000}"/>
    <cellStyle name="Currency 4 6 4 2 3" xfId="1995" xr:uid="{00000000-0005-0000-0000-0000FF040000}"/>
    <cellStyle name="Currency 4 6 4 3" xfId="1996" xr:uid="{00000000-0005-0000-0000-000000050000}"/>
    <cellStyle name="Currency 4 6 4 4" xfId="1997" xr:uid="{00000000-0005-0000-0000-000001050000}"/>
    <cellStyle name="Currency 4 6 4 5" xfId="1998" xr:uid="{00000000-0005-0000-0000-000002050000}"/>
    <cellStyle name="Currency 4 6 5" xfId="1999" xr:uid="{00000000-0005-0000-0000-000003050000}"/>
    <cellStyle name="Currency 4 6 5 2" xfId="2000" xr:uid="{00000000-0005-0000-0000-000004050000}"/>
    <cellStyle name="Currency 4 6 5 3" xfId="2001" xr:uid="{00000000-0005-0000-0000-000005050000}"/>
    <cellStyle name="Currency 4 6 6" xfId="2002" xr:uid="{00000000-0005-0000-0000-000006050000}"/>
    <cellStyle name="Currency 4 6 7" xfId="2003" xr:uid="{00000000-0005-0000-0000-000007050000}"/>
    <cellStyle name="Currency 4 6 8" xfId="2004" xr:uid="{00000000-0005-0000-0000-000008050000}"/>
    <cellStyle name="Currency 4 7" xfId="2005" xr:uid="{00000000-0005-0000-0000-000009050000}"/>
    <cellStyle name="Currency 4 7 2" xfId="2006" xr:uid="{00000000-0005-0000-0000-00000A050000}"/>
    <cellStyle name="Currency 4 7 2 2" xfId="2007" xr:uid="{00000000-0005-0000-0000-00000B050000}"/>
    <cellStyle name="Currency 4 7 2 2 2" xfId="2008" xr:uid="{00000000-0005-0000-0000-00000C050000}"/>
    <cellStyle name="Currency 4 7 2 2 3" xfId="2009" xr:uid="{00000000-0005-0000-0000-00000D050000}"/>
    <cellStyle name="Currency 4 7 2 3" xfId="2010" xr:uid="{00000000-0005-0000-0000-00000E050000}"/>
    <cellStyle name="Currency 4 7 2 4" xfId="2011" xr:uid="{00000000-0005-0000-0000-00000F050000}"/>
    <cellStyle name="Currency 4 7 2 5" xfId="2012" xr:uid="{00000000-0005-0000-0000-000010050000}"/>
    <cellStyle name="Currency 4 7 3" xfId="2013" xr:uid="{00000000-0005-0000-0000-000011050000}"/>
    <cellStyle name="Currency 4 7 3 2" xfId="2014" xr:uid="{00000000-0005-0000-0000-000012050000}"/>
    <cellStyle name="Currency 4 7 3 2 2" xfId="2015" xr:uid="{00000000-0005-0000-0000-000013050000}"/>
    <cellStyle name="Currency 4 7 3 2 3" xfId="2016" xr:uid="{00000000-0005-0000-0000-000014050000}"/>
    <cellStyle name="Currency 4 7 3 3" xfId="2017" xr:uid="{00000000-0005-0000-0000-000015050000}"/>
    <cellStyle name="Currency 4 7 3 4" xfId="2018" xr:uid="{00000000-0005-0000-0000-000016050000}"/>
    <cellStyle name="Currency 4 7 3 5" xfId="2019" xr:uid="{00000000-0005-0000-0000-000017050000}"/>
    <cellStyle name="Currency 4 8" xfId="2020" xr:uid="{00000000-0005-0000-0000-000018050000}"/>
    <cellStyle name="Currency 4 8 2" xfId="2021" xr:uid="{00000000-0005-0000-0000-000019050000}"/>
    <cellStyle name="Currency 4 8 2 2" xfId="2022" xr:uid="{00000000-0005-0000-0000-00001A050000}"/>
    <cellStyle name="Currency 4 8 2 2 2" xfId="2023" xr:uid="{00000000-0005-0000-0000-00001B050000}"/>
    <cellStyle name="Currency 4 8 2 2 3" xfId="2024" xr:uid="{00000000-0005-0000-0000-00001C050000}"/>
    <cellStyle name="Currency 4 8 2 3" xfId="2025" xr:uid="{00000000-0005-0000-0000-00001D050000}"/>
    <cellStyle name="Currency 4 8 2 4" xfId="2026" xr:uid="{00000000-0005-0000-0000-00001E050000}"/>
    <cellStyle name="Currency 4 8 2 5" xfId="2027" xr:uid="{00000000-0005-0000-0000-00001F050000}"/>
    <cellStyle name="Currency 4 8 3" xfId="2028" xr:uid="{00000000-0005-0000-0000-000020050000}"/>
    <cellStyle name="Currency 4 8 3 2" xfId="2029" xr:uid="{00000000-0005-0000-0000-000021050000}"/>
    <cellStyle name="Currency 4 8 3 2 2" xfId="2030" xr:uid="{00000000-0005-0000-0000-000022050000}"/>
    <cellStyle name="Currency 4 8 3 2 3" xfId="2031" xr:uid="{00000000-0005-0000-0000-000023050000}"/>
    <cellStyle name="Currency 4 8 3 3" xfId="2032" xr:uid="{00000000-0005-0000-0000-000024050000}"/>
    <cellStyle name="Currency 4 8 3 4" xfId="2033" xr:uid="{00000000-0005-0000-0000-000025050000}"/>
    <cellStyle name="Currency 4 8 3 5" xfId="2034" xr:uid="{00000000-0005-0000-0000-000026050000}"/>
    <cellStyle name="Currency 4 8 4" xfId="2035" xr:uid="{00000000-0005-0000-0000-000027050000}"/>
    <cellStyle name="Currency 4 8 4 2" xfId="2036" xr:uid="{00000000-0005-0000-0000-000028050000}"/>
    <cellStyle name="Currency 4 8 4 3" xfId="2037" xr:uid="{00000000-0005-0000-0000-000029050000}"/>
    <cellStyle name="Currency 4 8 5" xfId="2038" xr:uid="{00000000-0005-0000-0000-00002A050000}"/>
    <cellStyle name="Currency 4 8 6" xfId="2039" xr:uid="{00000000-0005-0000-0000-00002B050000}"/>
    <cellStyle name="Currency 4 8 7" xfId="2040" xr:uid="{00000000-0005-0000-0000-00002C050000}"/>
    <cellStyle name="Currency 4 9" xfId="2041" xr:uid="{00000000-0005-0000-0000-00002D050000}"/>
    <cellStyle name="Currency 4 9 2" xfId="2042" xr:uid="{00000000-0005-0000-0000-00002E050000}"/>
    <cellStyle name="Currency 4 9 2 2" xfId="2043" xr:uid="{00000000-0005-0000-0000-00002F050000}"/>
    <cellStyle name="Currency 4 9 2 3" xfId="2044" xr:uid="{00000000-0005-0000-0000-000030050000}"/>
    <cellStyle name="Currency 4 9 3" xfId="2045" xr:uid="{00000000-0005-0000-0000-000031050000}"/>
    <cellStyle name="Currency 4 9 4" xfId="2046" xr:uid="{00000000-0005-0000-0000-000032050000}"/>
    <cellStyle name="Currency 4 9 5" xfId="2047" xr:uid="{00000000-0005-0000-0000-000033050000}"/>
    <cellStyle name="Currency 5" xfId="472" xr:uid="{00000000-0005-0000-0000-000034050000}"/>
    <cellStyle name="Currency 6" xfId="471" xr:uid="{00000000-0005-0000-0000-000035050000}"/>
    <cellStyle name="Currency 7" xfId="470" xr:uid="{00000000-0005-0000-0000-000036050000}"/>
    <cellStyle name="Currency 8" xfId="469" xr:uid="{00000000-0005-0000-0000-000037050000}"/>
    <cellStyle name="Currency 9" xfId="468" xr:uid="{00000000-0005-0000-0000-000038050000}"/>
    <cellStyle name="Currency Input" xfId="106" xr:uid="{00000000-0005-0000-0000-000039050000}"/>
    <cellStyle name="Currency0" xfId="107" xr:uid="{00000000-0005-0000-0000-00003A050000}"/>
    <cellStyle name="Currency0 2" xfId="2048" xr:uid="{00000000-0005-0000-0000-00003B050000}"/>
    <cellStyle name="d" xfId="108" xr:uid="{00000000-0005-0000-0000-00003C050000}"/>
    <cellStyle name="d," xfId="109" xr:uid="{00000000-0005-0000-0000-00003D050000}"/>
    <cellStyle name="d1" xfId="110" xr:uid="{00000000-0005-0000-0000-00003E050000}"/>
    <cellStyle name="d1," xfId="111" xr:uid="{00000000-0005-0000-0000-00003F050000}"/>
    <cellStyle name="d2" xfId="112" xr:uid="{00000000-0005-0000-0000-000040050000}"/>
    <cellStyle name="d2," xfId="113" xr:uid="{00000000-0005-0000-0000-000041050000}"/>
    <cellStyle name="d3" xfId="114" xr:uid="{00000000-0005-0000-0000-000042050000}"/>
    <cellStyle name="Dash" xfId="115" xr:uid="{00000000-0005-0000-0000-000043050000}"/>
    <cellStyle name="Date" xfId="116" xr:uid="{00000000-0005-0000-0000-000044050000}"/>
    <cellStyle name="Date [Abbreviated]" xfId="117" xr:uid="{00000000-0005-0000-0000-000045050000}"/>
    <cellStyle name="Date [Long Europe]" xfId="118" xr:uid="{00000000-0005-0000-0000-000046050000}"/>
    <cellStyle name="Date [Long U.S.]" xfId="119" xr:uid="{00000000-0005-0000-0000-000047050000}"/>
    <cellStyle name="Date [Short Europe]" xfId="120" xr:uid="{00000000-0005-0000-0000-000048050000}"/>
    <cellStyle name="Date [Short U.S.]" xfId="121" xr:uid="{00000000-0005-0000-0000-000049050000}"/>
    <cellStyle name="Date 2" xfId="2049" xr:uid="{00000000-0005-0000-0000-00004A050000}"/>
    <cellStyle name="Date_ITCM 2010 Template" xfId="122" xr:uid="{00000000-0005-0000-0000-00004B050000}"/>
    <cellStyle name="Define$0" xfId="123" xr:uid="{00000000-0005-0000-0000-00004C050000}"/>
    <cellStyle name="Define$1" xfId="124" xr:uid="{00000000-0005-0000-0000-00004D050000}"/>
    <cellStyle name="Define$2" xfId="125" xr:uid="{00000000-0005-0000-0000-00004E050000}"/>
    <cellStyle name="Define0" xfId="126" xr:uid="{00000000-0005-0000-0000-00004F050000}"/>
    <cellStyle name="Define1" xfId="127" xr:uid="{00000000-0005-0000-0000-000050050000}"/>
    <cellStyle name="Define1x" xfId="128" xr:uid="{00000000-0005-0000-0000-000051050000}"/>
    <cellStyle name="Define2" xfId="129" xr:uid="{00000000-0005-0000-0000-000052050000}"/>
    <cellStyle name="Define2x" xfId="130" xr:uid="{00000000-0005-0000-0000-000053050000}"/>
    <cellStyle name="Dollar" xfId="131" xr:uid="{00000000-0005-0000-0000-000054050000}"/>
    <cellStyle name="e" xfId="132" xr:uid="{00000000-0005-0000-0000-000055050000}"/>
    <cellStyle name="e1" xfId="133" xr:uid="{00000000-0005-0000-0000-000056050000}"/>
    <cellStyle name="e2" xfId="134" xr:uid="{00000000-0005-0000-0000-000057050000}"/>
    <cellStyle name="Euro" xfId="135" xr:uid="{00000000-0005-0000-0000-000058050000}"/>
    <cellStyle name="Explanatory Text 2" xfId="591" xr:uid="{00000000-0005-0000-0000-000059050000}"/>
    <cellStyle name="Explanatory Text 2 2" xfId="2050" xr:uid="{00000000-0005-0000-0000-00005A050000}"/>
    <cellStyle name="Explanatory Text 3" xfId="2051" xr:uid="{00000000-0005-0000-0000-00005B050000}"/>
    <cellStyle name="Explanatory Text 4" xfId="2052" xr:uid="{00000000-0005-0000-0000-00005C050000}"/>
    <cellStyle name="Explanatory Text 5" xfId="2053" xr:uid="{00000000-0005-0000-0000-00005D050000}"/>
    <cellStyle name="Explanatory Text 6" xfId="2054" xr:uid="{00000000-0005-0000-0000-00005E050000}"/>
    <cellStyle name="Explanatory Text 7" xfId="2055" xr:uid="{00000000-0005-0000-0000-00005F050000}"/>
    <cellStyle name="Explanatory Text 8" xfId="2056" xr:uid="{00000000-0005-0000-0000-000060050000}"/>
    <cellStyle name="Explanatory Text 9" xfId="2057" xr:uid="{00000000-0005-0000-0000-000061050000}"/>
    <cellStyle name="Fixed" xfId="136" xr:uid="{00000000-0005-0000-0000-000062050000}"/>
    <cellStyle name="Fixed 2" xfId="2058" xr:uid="{00000000-0005-0000-0000-000063050000}"/>
    <cellStyle name="FOOTER - Style1" xfId="137" xr:uid="{00000000-0005-0000-0000-000064050000}"/>
    <cellStyle name="g" xfId="138" xr:uid="{00000000-0005-0000-0000-000065050000}"/>
    <cellStyle name="general" xfId="139" xr:uid="{00000000-0005-0000-0000-000066050000}"/>
    <cellStyle name="General [C]" xfId="140" xr:uid="{00000000-0005-0000-0000-000067050000}"/>
    <cellStyle name="General [R]" xfId="141" xr:uid="{00000000-0005-0000-0000-000068050000}"/>
    <cellStyle name="Good 2" xfId="592" xr:uid="{00000000-0005-0000-0000-000069050000}"/>
    <cellStyle name="Good 2 2" xfId="2059" xr:uid="{00000000-0005-0000-0000-00006A050000}"/>
    <cellStyle name="Good 3" xfId="2060" xr:uid="{00000000-0005-0000-0000-00006B050000}"/>
    <cellStyle name="Good 4" xfId="2061" xr:uid="{00000000-0005-0000-0000-00006C050000}"/>
    <cellStyle name="Good 5" xfId="2062" xr:uid="{00000000-0005-0000-0000-00006D050000}"/>
    <cellStyle name="Good 6" xfId="2063" xr:uid="{00000000-0005-0000-0000-00006E050000}"/>
    <cellStyle name="Good 7" xfId="2064" xr:uid="{00000000-0005-0000-0000-00006F050000}"/>
    <cellStyle name="Good 8" xfId="2065" xr:uid="{00000000-0005-0000-0000-000070050000}"/>
    <cellStyle name="Good 9" xfId="2066" xr:uid="{00000000-0005-0000-0000-000071050000}"/>
    <cellStyle name="Green" xfId="142" xr:uid="{00000000-0005-0000-0000-000072050000}"/>
    <cellStyle name="grey" xfId="143" xr:uid="{00000000-0005-0000-0000-000073050000}"/>
    <cellStyle name="Header1" xfId="144" xr:uid="{00000000-0005-0000-0000-000074050000}"/>
    <cellStyle name="Header2" xfId="145" xr:uid="{00000000-0005-0000-0000-000075050000}"/>
    <cellStyle name="Heading" xfId="146" xr:uid="{00000000-0005-0000-0000-000076050000}"/>
    <cellStyle name="Heading 1" xfId="147" builtinId="16" customBuiltin="1"/>
    <cellStyle name="Heading 1 2" xfId="2067" xr:uid="{00000000-0005-0000-0000-000078050000}"/>
    <cellStyle name="Heading 1 2 2" xfId="2068" xr:uid="{00000000-0005-0000-0000-000079050000}"/>
    <cellStyle name="Heading 1 3" xfId="2069" xr:uid="{00000000-0005-0000-0000-00007A050000}"/>
    <cellStyle name="Heading 1 4" xfId="2070" xr:uid="{00000000-0005-0000-0000-00007B050000}"/>
    <cellStyle name="Heading 1 5" xfId="2071" xr:uid="{00000000-0005-0000-0000-00007C050000}"/>
    <cellStyle name="Heading 1 6" xfId="2072" xr:uid="{00000000-0005-0000-0000-00007D050000}"/>
    <cellStyle name="Heading 1 7" xfId="2073" xr:uid="{00000000-0005-0000-0000-00007E050000}"/>
    <cellStyle name="Heading 1 8" xfId="2074" xr:uid="{00000000-0005-0000-0000-00007F050000}"/>
    <cellStyle name="Heading 2" xfId="148" builtinId="17" customBuiltin="1"/>
    <cellStyle name="Heading 2 2" xfId="149" xr:uid="{00000000-0005-0000-0000-000081050000}"/>
    <cellStyle name="Heading 2 2 2" xfId="2075" xr:uid="{00000000-0005-0000-0000-000082050000}"/>
    <cellStyle name="Heading 2 3" xfId="2076" xr:uid="{00000000-0005-0000-0000-000083050000}"/>
    <cellStyle name="Heading 2 4" xfId="2077" xr:uid="{00000000-0005-0000-0000-000084050000}"/>
    <cellStyle name="Heading 2 5" xfId="2078" xr:uid="{00000000-0005-0000-0000-000085050000}"/>
    <cellStyle name="Heading 2 6" xfId="2079" xr:uid="{00000000-0005-0000-0000-000086050000}"/>
    <cellStyle name="Heading 2 7" xfId="2080" xr:uid="{00000000-0005-0000-0000-000087050000}"/>
    <cellStyle name="Heading 2 8" xfId="2081" xr:uid="{00000000-0005-0000-0000-000088050000}"/>
    <cellStyle name="Heading 3 2" xfId="594" xr:uid="{00000000-0005-0000-0000-000089050000}"/>
    <cellStyle name="Heading 3 2 2" xfId="2082" xr:uid="{00000000-0005-0000-0000-00008A050000}"/>
    <cellStyle name="Heading 3 3" xfId="2083" xr:uid="{00000000-0005-0000-0000-00008B050000}"/>
    <cellStyle name="Heading 3 4" xfId="2084" xr:uid="{00000000-0005-0000-0000-00008C050000}"/>
    <cellStyle name="Heading 3 5" xfId="2085" xr:uid="{00000000-0005-0000-0000-00008D050000}"/>
    <cellStyle name="Heading 3 6" xfId="2086" xr:uid="{00000000-0005-0000-0000-00008E050000}"/>
    <cellStyle name="Heading 3 7" xfId="2087" xr:uid="{00000000-0005-0000-0000-00008F050000}"/>
    <cellStyle name="Heading 3 8" xfId="2088" xr:uid="{00000000-0005-0000-0000-000090050000}"/>
    <cellStyle name="Heading 3 9" xfId="2089" xr:uid="{00000000-0005-0000-0000-000091050000}"/>
    <cellStyle name="Heading 4 2" xfId="595" xr:uid="{00000000-0005-0000-0000-000092050000}"/>
    <cellStyle name="Heading 4 2 2" xfId="2090" xr:uid="{00000000-0005-0000-0000-000093050000}"/>
    <cellStyle name="Heading 4 3" xfId="2091" xr:uid="{00000000-0005-0000-0000-000094050000}"/>
    <cellStyle name="Heading 4 4" xfId="2092" xr:uid="{00000000-0005-0000-0000-000095050000}"/>
    <cellStyle name="Heading 4 5" xfId="2093" xr:uid="{00000000-0005-0000-0000-000096050000}"/>
    <cellStyle name="Heading 4 6" xfId="2094" xr:uid="{00000000-0005-0000-0000-000097050000}"/>
    <cellStyle name="Heading 4 7" xfId="2095" xr:uid="{00000000-0005-0000-0000-000098050000}"/>
    <cellStyle name="Heading 4 8" xfId="2096" xr:uid="{00000000-0005-0000-0000-000099050000}"/>
    <cellStyle name="Heading 4 9" xfId="2097" xr:uid="{00000000-0005-0000-0000-00009A050000}"/>
    <cellStyle name="Heading 5" xfId="9381" xr:uid="{00000000-0005-0000-0000-00009B050000}"/>
    <cellStyle name="Heading No Underline" xfId="150" xr:uid="{00000000-0005-0000-0000-00009C050000}"/>
    <cellStyle name="Heading With Underline" xfId="151" xr:uid="{00000000-0005-0000-0000-00009D050000}"/>
    <cellStyle name="Heading1" xfId="152" xr:uid="{00000000-0005-0000-0000-00009E050000}"/>
    <cellStyle name="Heading1 2" xfId="9382" xr:uid="{00000000-0005-0000-0000-00009F050000}"/>
    <cellStyle name="Heading2" xfId="153" xr:uid="{00000000-0005-0000-0000-0000A0050000}"/>
    <cellStyle name="Headline" xfId="154" xr:uid="{00000000-0005-0000-0000-0000A1050000}"/>
    <cellStyle name="Highlight" xfId="155" xr:uid="{00000000-0005-0000-0000-0000A2050000}"/>
    <cellStyle name="Hyperlink 2" xfId="156" xr:uid="{00000000-0005-0000-0000-0000A3050000}"/>
    <cellStyle name="in" xfId="157" xr:uid="{00000000-0005-0000-0000-0000A4050000}"/>
    <cellStyle name="Indented [0]" xfId="158" xr:uid="{00000000-0005-0000-0000-0000A5050000}"/>
    <cellStyle name="Indented [2]" xfId="159" xr:uid="{00000000-0005-0000-0000-0000A6050000}"/>
    <cellStyle name="Indented [4]" xfId="160" xr:uid="{00000000-0005-0000-0000-0000A7050000}"/>
    <cellStyle name="Indented [6]" xfId="161" xr:uid="{00000000-0005-0000-0000-0000A8050000}"/>
    <cellStyle name="Input [yellow]" xfId="162" xr:uid="{00000000-0005-0000-0000-0000A9050000}"/>
    <cellStyle name="Input 2" xfId="596" xr:uid="{00000000-0005-0000-0000-0000AA050000}"/>
    <cellStyle name="Input 2 2" xfId="2098" xr:uid="{00000000-0005-0000-0000-0000AB050000}"/>
    <cellStyle name="Input 3" xfId="643" xr:uid="{00000000-0005-0000-0000-0000AC050000}"/>
    <cellStyle name="Input 4" xfId="636" xr:uid="{00000000-0005-0000-0000-0000AD050000}"/>
    <cellStyle name="Input 5" xfId="2099" xr:uid="{00000000-0005-0000-0000-0000AE050000}"/>
    <cellStyle name="Input 6" xfId="2100" xr:uid="{00000000-0005-0000-0000-0000AF050000}"/>
    <cellStyle name="Input 7" xfId="2101" xr:uid="{00000000-0005-0000-0000-0000B0050000}"/>
    <cellStyle name="Input 8" xfId="2102" xr:uid="{00000000-0005-0000-0000-0000B1050000}"/>
    <cellStyle name="Input 9" xfId="2103" xr:uid="{00000000-0005-0000-0000-0000B2050000}"/>
    <cellStyle name="Input$0" xfId="163" xr:uid="{00000000-0005-0000-0000-0000B3050000}"/>
    <cellStyle name="Input$1" xfId="164" xr:uid="{00000000-0005-0000-0000-0000B4050000}"/>
    <cellStyle name="Input$2" xfId="165" xr:uid="{00000000-0005-0000-0000-0000B5050000}"/>
    <cellStyle name="Input0" xfId="166" xr:uid="{00000000-0005-0000-0000-0000B6050000}"/>
    <cellStyle name="Input1" xfId="167" xr:uid="{00000000-0005-0000-0000-0000B7050000}"/>
    <cellStyle name="Input1x" xfId="168" xr:uid="{00000000-0005-0000-0000-0000B8050000}"/>
    <cellStyle name="Input2" xfId="169" xr:uid="{00000000-0005-0000-0000-0000B9050000}"/>
    <cellStyle name="Input2x" xfId="170" xr:uid="{00000000-0005-0000-0000-0000BA050000}"/>
    <cellStyle name="lborder" xfId="171" xr:uid="{00000000-0005-0000-0000-0000BB050000}"/>
    <cellStyle name="LeftSubtitle" xfId="172" xr:uid="{00000000-0005-0000-0000-0000BC050000}"/>
    <cellStyle name="Lines" xfId="173" xr:uid="{00000000-0005-0000-0000-0000BD050000}"/>
    <cellStyle name="Linked Cell 2" xfId="597" xr:uid="{00000000-0005-0000-0000-0000BE050000}"/>
    <cellStyle name="Linked Cell 2 2" xfId="2104" xr:uid="{00000000-0005-0000-0000-0000BF050000}"/>
    <cellStyle name="Linked Cell 3" xfId="2105" xr:uid="{00000000-0005-0000-0000-0000C0050000}"/>
    <cellStyle name="Linked Cell 4" xfId="2106" xr:uid="{00000000-0005-0000-0000-0000C1050000}"/>
    <cellStyle name="Linked Cell 5" xfId="2107" xr:uid="{00000000-0005-0000-0000-0000C2050000}"/>
    <cellStyle name="Linked Cell 6" xfId="2108" xr:uid="{00000000-0005-0000-0000-0000C3050000}"/>
    <cellStyle name="Linked Cell 7" xfId="2109" xr:uid="{00000000-0005-0000-0000-0000C4050000}"/>
    <cellStyle name="Linked Cell 8" xfId="2110" xr:uid="{00000000-0005-0000-0000-0000C5050000}"/>
    <cellStyle name="Linked Cell 9" xfId="2111" xr:uid="{00000000-0005-0000-0000-0000C6050000}"/>
    <cellStyle name="m" xfId="174" xr:uid="{00000000-0005-0000-0000-0000C7050000}"/>
    <cellStyle name="m1" xfId="175" xr:uid="{00000000-0005-0000-0000-0000C8050000}"/>
    <cellStyle name="m2" xfId="176" xr:uid="{00000000-0005-0000-0000-0000C9050000}"/>
    <cellStyle name="m3" xfId="177" xr:uid="{00000000-0005-0000-0000-0000CA050000}"/>
    <cellStyle name="Multiple" xfId="178" xr:uid="{00000000-0005-0000-0000-0000CB050000}"/>
    <cellStyle name="Negative" xfId="179" xr:uid="{00000000-0005-0000-0000-0000CC050000}"/>
    <cellStyle name="Neutral 2" xfId="598" xr:uid="{00000000-0005-0000-0000-0000CD050000}"/>
    <cellStyle name="Neutral 2 2" xfId="2112" xr:uid="{00000000-0005-0000-0000-0000CE050000}"/>
    <cellStyle name="Neutral 3" xfId="2113" xr:uid="{00000000-0005-0000-0000-0000CF050000}"/>
    <cellStyle name="Neutral 4" xfId="2114" xr:uid="{00000000-0005-0000-0000-0000D0050000}"/>
    <cellStyle name="Neutral 5" xfId="2115" xr:uid="{00000000-0005-0000-0000-0000D1050000}"/>
    <cellStyle name="Neutral 6" xfId="2116" xr:uid="{00000000-0005-0000-0000-0000D2050000}"/>
    <cellStyle name="Neutral 7" xfId="2117" xr:uid="{00000000-0005-0000-0000-0000D3050000}"/>
    <cellStyle name="Neutral 8" xfId="2118" xr:uid="{00000000-0005-0000-0000-0000D4050000}"/>
    <cellStyle name="Neutral 9" xfId="2119" xr:uid="{00000000-0005-0000-0000-0000D5050000}"/>
    <cellStyle name="no dec" xfId="180" xr:uid="{00000000-0005-0000-0000-0000D6050000}"/>
    <cellStyle name="Normal" xfId="0" builtinId="0"/>
    <cellStyle name="Normal - Style1" xfId="181" xr:uid="{00000000-0005-0000-0000-0000D8050000}"/>
    <cellStyle name="Normal 10" xfId="182" xr:uid="{00000000-0005-0000-0000-0000D9050000}"/>
    <cellStyle name="Normal 10 10" xfId="844" xr:uid="{00000000-0005-0000-0000-0000DA050000}"/>
    <cellStyle name="Normal 10 10 2" xfId="9601" xr:uid="{00000000-0005-0000-0000-0000DB050000}"/>
    <cellStyle name="Normal 10 11" xfId="9383" xr:uid="{00000000-0005-0000-0000-0000DC050000}"/>
    <cellStyle name="Normal 10 2" xfId="367" xr:uid="{00000000-0005-0000-0000-0000DD050000}"/>
    <cellStyle name="Normal 10 2 2" xfId="701" xr:uid="{00000000-0005-0000-0000-0000DE050000}"/>
    <cellStyle name="Normal 10 2 2 2" xfId="929" xr:uid="{00000000-0005-0000-0000-0000DF050000}"/>
    <cellStyle name="Normal 10 2 2 2 2" xfId="9686" xr:uid="{00000000-0005-0000-0000-0000E0050000}"/>
    <cellStyle name="Normal 10 2 2 3" xfId="9470" xr:uid="{00000000-0005-0000-0000-0000E1050000}"/>
    <cellStyle name="Normal 10 2 3" xfId="785" xr:uid="{00000000-0005-0000-0000-0000E2050000}"/>
    <cellStyle name="Normal 10 2 3 2" xfId="1001" xr:uid="{00000000-0005-0000-0000-0000E3050000}"/>
    <cellStyle name="Normal 10 2 3 2 2" xfId="9758" xr:uid="{00000000-0005-0000-0000-0000E4050000}"/>
    <cellStyle name="Normal 10 2 3 3" xfId="9542" xr:uid="{00000000-0005-0000-0000-0000E5050000}"/>
    <cellStyle name="Normal 10 2 4" xfId="857" xr:uid="{00000000-0005-0000-0000-0000E6050000}"/>
    <cellStyle name="Normal 10 2 4 2" xfId="9614" xr:uid="{00000000-0005-0000-0000-0000E7050000}"/>
    <cellStyle name="Normal 10 2 5" xfId="9398" xr:uid="{00000000-0005-0000-0000-0000E8050000}"/>
    <cellStyle name="Normal 10 3" xfId="399" xr:uid="{00000000-0005-0000-0000-0000E9050000}"/>
    <cellStyle name="Normal 10 3 2" xfId="714" xr:uid="{00000000-0005-0000-0000-0000EA050000}"/>
    <cellStyle name="Normal 10 3 2 2" xfId="942" xr:uid="{00000000-0005-0000-0000-0000EB050000}"/>
    <cellStyle name="Normal 10 3 2 2 2" xfId="9699" xr:uid="{00000000-0005-0000-0000-0000EC050000}"/>
    <cellStyle name="Normal 10 3 2 3" xfId="9483" xr:uid="{00000000-0005-0000-0000-0000ED050000}"/>
    <cellStyle name="Normal 10 3 3" xfId="798" xr:uid="{00000000-0005-0000-0000-0000EE050000}"/>
    <cellStyle name="Normal 10 3 3 2" xfId="1014" xr:uid="{00000000-0005-0000-0000-0000EF050000}"/>
    <cellStyle name="Normal 10 3 3 2 2" xfId="9771" xr:uid="{00000000-0005-0000-0000-0000F0050000}"/>
    <cellStyle name="Normal 10 3 3 3" xfId="9555" xr:uid="{00000000-0005-0000-0000-0000F1050000}"/>
    <cellStyle name="Normal 10 3 4" xfId="870" xr:uid="{00000000-0005-0000-0000-0000F2050000}"/>
    <cellStyle name="Normal 10 3 4 2" xfId="9627" xr:uid="{00000000-0005-0000-0000-0000F3050000}"/>
    <cellStyle name="Normal 10 3 5" xfId="9411" xr:uid="{00000000-0005-0000-0000-0000F4050000}"/>
    <cellStyle name="Normal 10 4" xfId="615" xr:uid="{00000000-0005-0000-0000-0000F5050000}"/>
    <cellStyle name="Normal 10 4 2" xfId="731" xr:uid="{00000000-0005-0000-0000-0000F6050000}"/>
    <cellStyle name="Normal 10 4 2 2" xfId="959" xr:uid="{00000000-0005-0000-0000-0000F7050000}"/>
    <cellStyle name="Normal 10 4 2 2 2" xfId="9716" xr:uid="{00000000-0005-0000-0000-0000F8050000}"/>
    <cellStyle name="Normal 10 4 2 3" xfId="9500" xr:uid="{00000000-0005-0000-0000-0000F9050000}"/>
    <cellStyle name="Normal 10 4 3" xfId="815" xr:uid="{00000000-0005-0000-0000-0000FA050000}"/>
    <cellStyle name="Normal 10 4 3 2" xfId="1031" xr:uid="{00000000-0005-0000-0000-0000FB050000}"/>
    <cellStyle name="Normal 10 4 3 2 2" xfId="9788" xr:uid="{00000000-0005-0000-0000-0000FC050000}"/>
    <cellStyle name="Normal 10 4 3 3" xfId="9572" xr:uid="{00000000-0005-0000-0000-0000FD050000}"/>
    <cellStyle name="Normal 10 4 4" xfId="887" xr:uid="{00000000-0005-0000-0000-0000FE050000}"/>
    <cellStyle name="Normal 10 4 4 2" xfId="9644" xr:uid="{00000000-0005-0000-0000-0000FF050000}"/>
    <cellStyle name="Normal 10 4 5" xfId="9428" xr:uid="{00000000-0005-0000-0000-000000060000}"/>
    <cellStyle name="Normal 10 5" xfId="629" xr:uid="{00000000-0005-0000-0000-000001060000}"/>
    <cellStyle name="Normal 10 5 2" xfId="737" xr:uid="{00000000-0005-0000-0000-000002060000}"/>
    <cellStyle name="Normal 10 5 2 2" xfId="965" xr:uid="{00000000-0005-0000-0000-000003060000}"/>
    <cellStyle name="Normal 10 5 2 2 2" xfId="9722" xr:uid="{00000000-0005-0000-0000-000004060000}"/>
    <cellStyle name="Normal 10 5 2 3" xfId="9506" xr:uid="{00000000-0005-0000-0000-000005060000}"/>
    <cellStyle name="Normal 10 5 3" xfId="821" xr:uid="{00000000-0005-0000-0000-000006060000}"/>
    <cellStyle name="Normal 10 5 3 2" xfId="1037" xr:uid="{00000000-0005-0000-0000-000007060000}"/>
    <cellStyle name="Normal 10 5 3 2 2" xfId="9794" xr:uid="{00000000-0005-0000-0000-000008060000}"/>
    <cellStyle name="Normal 10 5 3 3" xfId="9578" xr:uid="{00000000-0005-0000-0000-000009060000}"/>
    <cellStyle name="Normal 10 5 4" xfId="893" xr:uid="{00000000-0005-0000-0000-00000A060000}"/>
    <cellStyle name="Normal 10 5 4 2" xfId="9650" xr:uid="{00000000-0005-0000-0000-00000B060000}"/>
    <cellStyle name="Normal 10 5 5" xfId="9434" xr:uid="{00000000-0005-0000-0000-00000C060000}"/>
    <cellStyle name="Normal 10 6" xfId="648" xr:uid="{00000000-0005-0000-0000-00000D060000}"/>
    <cellStyle name="Normal 10 6 2" xfId="753" xr:uid="{00000000-0005-0000-0000-00000E060000}"/>
    <cellStyle name="Normal 10 6 2 2" xfId="969" xr:uid="{00000000-0005-0000-0000-00000F060000}"/>
    <cellStyle name="Normal 10 6 2 2 2" xfId="9726" xr:uid="{00000000-0005-0000-0000-000010060000}"/>
    <cellStyle name="Normal 10 6 2 3" xfId="9510" xr:uid="{00000000-0005-0000-0000-000011060000}"/>
    <cellStyle name="Normal 10 6 3" xfId="825" xr:uid="{00000000-0005-0000-0000-000012060000}"/>
    <cellStyle name="Normal 10 6 3 2" xfId="1041" xr:uid="{00000000-0005-0000-0000-000013060000}"/>
    <cellStyle name="Normal 10 6 3 2 2" xfId="9798" xr:uid="{00000000-0005-0000-0000-000014060000}"/>
    <cellStyle name="Normal 10 6 3 3" xfId="9582" xr:uid="{00000000-0005-0000-0000-000015060000}"/>
    <cellStyle name="Normal 10 6 4" xfId="897" xr:uid="{00000000-0005-0000-0000-000016060000}"/>
    <cellStyle name="Normal 10 6 4 2" xfId="9654" xr:uid="{00000000-0005-0000-0000-000017060000}"/>
    <cellStyle name="Normal 10 6 5" xfId="9438" xr:uid="{00000000-0005-0000-0000-000018060000}"/>
    <cellStyle name="Normal 10 7" xfId="673" xr:uid="{00000000-0005-0000-0000-000019060000}"/>
    <cellStyle name="Normal 10 7 2" xfId="768" xr:uid="{00000000-0005-0000-0000-00001A060000}"/>
    <cellStyle name="Normal 10 7 2 2" xfId="984" xr:uid="{00000000-0005-0000-0000-00001B060000}"/>
    <cellStyle name="Normal 10 7 2 2 2" xfId="9741" xr:uid="{00000000-0005-0000-0000-00001C060000}"/>
    <cellStyle name="Normal 10 7 2 3" xfId="9525" xr:uid="{00000000-0005-0000-0000-00001D060000}"/>
    <cellStyle name="Normal 10 7 3" xfId="840" xr:uid="{00000000-0005-0000-0000-00001E060000}"/>
    <cellStyle name="Normal 10 7 3 2" xfId="1056" xr:uid="{00000000-0005-0000-0000-00001F060000}"/>
    <cellStyle name="Normal 10 7 3 2 2" xfId="9813" xr:uid="{00000000-0005-0000-0000-000020060000}"/>
    <cellStyle name="Normal 10 7 3 3" xfId="9597" xr:uid="{00000000-0005-0000-0000-000021060000}"/>
    <cellStyle name="Normal 10 7 4" xfId="912" xr:uid="{00000000-0005-0000-0000-000022060000}"/>
    <cellStyle name="Normal 10 7 4 2" xfId="9669" xr:uid="{00000000-0005-0000-0000-000023060000}"/>
    <cellStyle name="Normal 10 7 5" xfId="9453" xr:uid="{00000000-0005-0000-0000-000024060000}"/>
    <cellStyle name="Normal 10 8" xfId="687" xr:uid="{00000000-0005-0000-0000-000025060000}"/>
    <cellStyle name="Normal 10 8 2" xfId="916" xr:uid="{00000000-0005-0000-0000-000026060000}"/>
    <cellStyle name="Normal 10 8 2 2" xfId="9673" xr:uid="{00000000-0005-0000-0000-000027060000}"/>
    <cellStyle name="Normal 10 8 3" xfId="9457" xr:uid="{00000000-0005-0000-0000-000028060000}"/>
    <cellStyle name="Normal 10 9" xfId="772" xr:uid="{00000000-0005-0000-0000-000029060000}"/>
    <cellStyle name="Normal 10 9 2" xfId="988" xr:uid="{00000000-0005-0000-0000-00002A060000}"/>
    <cellStyle name="Normal 10 9 2 2" xfId="9745" xr:uid="{00000000-0005-0000-0000-00002B060000}"/>
    <cellStyle name="Normal 10 9 3" xfId="9529" xr:uid="{00000000-0005-0000-0000-00002C060000}"/>
    <cellStyle name="Normal 11" xfId="183" xr:uid="{00000000-0005-0000-0000-00002D060000}"/>
    <cellStyle name="Normal 11 2" xfId="616" xr:uid="{00000000-0005-0000-0000-00002E060000}"/>
    <cellStyle name="Normal 11 2 2" xfId="732" xr:uid="{00000000-0005-0000-0000-00002F060000}"/>
    <cellStyle name="Normal 11 2 2 2" xfId="960" xr:uid="{00000000-0005-0000-0000-000030060000}"/>
    <cellStyle name="Normal 11 2 2 2 2" xfId="9717" xr:uid="{00000000-0005-0000-0000-000031060000}"/>
    <cellStyle name="Normal 11 2 2 3" xfId="9501" xr:uid="{00000000-0005-0000-0000-000032060000}"/>
    <cellStyle name="Normal 11 2 3" xfId="816" xr:uid="{00000000-0005-0000-0000-000033060000}"/>
    <cellStyle name="Normal 11 2 3 2" xfId="1032" xr:uid="{00000000-0005-0000-0000-000034060000}"/>
    <cellStyle name="Normal 11 2 3 2 2" xfId="9789" xr:uid="{00000000-0005-0000-0000-000035060000}"/>
    <cellStyle name="Normal 11 2 3 3" xfId="9573" xr:uid="{00000000-0005-0000-0000-000036060000}"/>
    <cellStyle name="Normal 11 2 4" xfId="888" xr:uid="{00000000-0005-0000-0000-000037060000}"/>
    <cellStyle name="Normal 11 2 4 2" xfId="9645" xr:uid="{00000000-0005-0000-0000-000038060000}"/>
    <cellStyle name="Normal 11 2 5" xfId="9429" xr:uid="{00000000-0005-0000-0000-000039060000}"/>
    <cellStyle name="Normal 11 3" xfId="630" xr:uid="{00000000-0005-0000-0000-00003A060000}"/>
    <cellStyle name="Normal 11 3 2" xfId="738" xr:uid="{00000000-0005-0000-0000-00003B060000}"/>
    <cellStyle name="Normal 11 3 2 2" xfId="966" xr:uid="{00000000-0005-0000-0000-00003C060000}"/>
    <cellStyle name="Normal 11 3 2 2 2" xfId="9723" xr:uid="{00000000-0005-0000-0000-00003D060000}"/>
    <cellStyle name="Normal 11 3 2 3" xfId="9507" xr:uid="{00000000-0005-0000-0000-00003E060000}"/>
    <cellStyle name="Normal 11 3 3" xfId="822" xr:uid="{00000000-0005-0000-0000-00003F060000}"/>
    <cellStyle name="Normal 11 3 3 2" xfId="1038" xr:uid="{00000000-0005-0000-0000-000040060000}"/>
    <cellStyle name="Normal 11 3 3 2 2" xfId="9795" xr:uid="{00000000-0005-0000-0000-000041060000}"/>
    <cellStyle name="Normal 11 3 3 3" xfId="9579" xr:uid="{00000000-0005-0000-0000-000042060000}"/>
    <cellStyle name="Normal 11 3 4" xfId="894" xr:uid="{00000000-0005-0000-0000-000043060000}"/>
    <cellStyle name="Normal 11 3 4 2" xfId="9651" xr:uid="{00000000-0005-0000-0000-000044060000}"/>
    <cellStyle name="Normal 11 3 5" xfId="9435" xr:uid="{00000000-0005-0000-0000-000045060000}"/>
    <cellStyle name="Normal 11 4" xfId="674" xr:uid="{00000000-0005-0000-0000-000046060000}"/>
    <cellStyle name="Normal 11 4 2" xfId="769" xr:uid="{00000000-0005-0000-0000-000047060000}"/>
    <cellStyle name="Normal 11 4 2 2" xfId="985" xr:uid="{00000000-0005-0000-0000-000048060000}"/>
    <cellStyle name="Normal 11 4 2 2 2" xfId="9742" xr:uid="{00000000-0005-0000-0000-000049060000}"/>
    <cellStyle name="Normal 11 4 2 3" xfId="9526" xr:uid="{00000000-0005-0000-0000-00004A060000}"/>
    <cellStyle name="Normal 11 4 3" xfId="841" xr:uid="{00000000-0005-0000-0000-00004B060000}"/>
    <cellStyle name="Normal 11 4 3 2" xfId="1057" xr:uid="{00000000-0005-0000-0000-00004C060000}"/>
    <cellStyle name="Normal 11 4 3 2 2" xfId="9814" xr:uid="{00000000-0005-0000-0000-00004D060000}"/>
    <cellStyle name="Normal 11 4 3 3" xfId="9598" xr:uid="{00000000-0005-0000-0000-00004E060000}"/>
    <cellStyle name="Normal 11 4 4" xfId="913" xr:uid="{00000000-0005-0000-0000-00004F060000}"/>
    <cellStyle name="Normal 11 4 4 2" xfId="9670" xr:uid="{00000000-0005-0000-0000-000050060000}"/>
    <cellStyle name="Normal 11 4 5" xfId="9454" xr:uid="{00000000-0005-0000-0000-000051060000}"/>
    <cellStyle name="Normal 12" xfId="365" xr:uid="{00000000-0005-0000-0000-000052060000}"/>
    <cellStyle name="Normal 12 2" xfId="617" xr:uid="{00000000-0005-0000-0000-000053060000}"/>
    <cellStyle name="Normal 12 3" xfId="700" xr:uid="{00000000-0005-0000-0000-000054060000}"/>
    <cellStyle name="Normal 12 4" xfId="1060" xr:uid="{00000000-0005-0000-0000-000055060000}"/>
    <cellStyle name="Normal 12 4 2" xfId="9817" xr:uid="{00000000-0005-0000-0000-000056060000}"/>
    <cellStyle name="Normal 13" xfId="467" xr:uid="{00000000-0005-0000-0000-000057060000}"/>
    <cellStyle name="Normal 13 2" xfId="2120" xr:uid="{00000000-0005-0000-0000-000058060000}"/>
    <cellStyle name="Normal 13 2 2" xfId="2121" xr:uid="{00000000-0005-0000-0000-000059060000}"/>
    <cellStyle name="Normal 13 2 3" xfId="2122" xr:uid="{00000000-0005-0000-0000-00005A060000}"/>
    <cellStyle name="Normal 13 3" xfId="2123" xr:uid="{00000000-0005-0000-0000-00005B060000}"/>
    <cellStyle name="Normal 13 4" xfId="2124" xr:uid="{00000000-0005-0000-0000-00005C060000}"/>
    <cellStyle name="Normal 13 5" xfId="2125" xr:uid="{00000000-0005-0000-0000-00005D060000}"/>
    <cellStyle name="Normal 14" xfId="466" xr:uid="{00000000-0005-0000-0000-00005E060000}"/>
    <cellStyle name="Normal 14 2" xfId="2126" xr:uid="{00000000-0005-0000-0000-00005F060000}"/>
    <cellStyle name="Normal 15" xfId="465" xr:uid="{00000000-0005-0000-0000-000060060000}"/>
    <cellStyle name="Normal 16" xfId="464" xr:uid="{00000000-0005-0000-0000-000061060000}"/>
    <cellStyle name="Normal 16 2" xfId="2127" xr:uid="{00000000-0005-0000-0000-000062060000}"/>
    <cellStyle name="Normal 17" xfId="463" xr:uid="{00000000-0005-0000-0000-000063060000}"/>
    <cellStyle name="Normal 17 2" xfId="2128" xr:uid="{00000000-0005-0000-0000-000064060000}"/>
    <cellStyle name="Normal 18" xfId="462" xr:uid="{00000000-0005-0000-0000-000065060000}"/>
    <cellStyle name="Normal 18 2" xfId="461" xr:uid="{00000000-0005-0000-0000-000066060000}"/>
    <cellStyle name="Normal 18 2 2" xfId="460" xr:uid="{00000000-0005-0000-0000-000067060000}"/>
    <cellStyle name="Normal 18 3" xfId="459" xr:uid="{00000000-0005-0000-0000-000068060000}"/>
    <cellStyle name="Normal 18 3 2" xfId="458" xr:uid="{00000000-0005-0000-0000-000069060000}"/>
    <cellStyle name="Normal 18 4" xfId="457" xr:uid="{00000000-0005-0000-0000-00006A060000}"/>
    <cellStyle name="Normal 18 4 2" xfId="456" xr:uid="{00000000-0005-0000-0000-00006B060000}"/>
    <cellStyle name="Normal 18 5" xfId="455" xr:uid="{00000000-0005-0000-0000-00006C060000}"/>
    <cellStyle name="Normal 18 6" xfId="454" xr:uid="{00000000-0005-0000-0000-00006D060000}"/>
    <cellStyle name="Normal 19" xfId="453" xr:uid="{00000000-0005-0000-0000-00006E060000}"/>
    <cellStyle name="Normal 19 2" xfId="452" xr:uid="{00000000-0005-0000-0000-00006F060000}"/>
    <cellStyle name="Normal 19 2 2" xfId="2129" xr:uid="{00000000-0005-0000-0000-000070060000}"/>
    <cellStyle name="Normal 19 3" xfId="2130" xr:uid="{00000000-0005-0000-0000-000071060000}"/>
    <cellStyle name="Normal 2" xfId="184" xr:uid="{00000000-0005-0000-0000-000072060000}"/>
    <cellStyle name="Normal 2 17" xfId="9819" xr:uid="{FF72FDE0-2F7D-4D8A-B285-B51FD7A12FD3}"/>
    <cellStyle name="Normal 2 2" xfId="185" xr:uid="{00000000-0005-0000-0000-000073060000}"/>
    <cellStyle name="Normal 2 2 2" xfId="451" xr:uid="{00000000-0005-0000-0000-000074060000}"/>
    <cellStyle name="Normal 2 2 3" xfId="619" xr:uid="{00000000-0005-0000-0000-000075060000}"/>
    <cellStyle name="Normal 2 2 3 2" xfId="733" xr:uid="{00000000-0005-0000-0000-000076060000}"/>
    <cellStyle name="Normal 2 2 3 2 2" xfId="961" xr:uid="{00000000-0005-0000-0000-000077060000}"/>
    <cellStyle name="Normal 2 2 3 2 2 2" xfId="9718" xr:uid="{00000000-0005-0000-0000-000078060000}"/>
    <cellStyle name="Normal 2 2 3 2 3" xfId="9502" xr:uid="{00000000-0005-0000-0000-000079060000}"/>
    <cellStyle name="Normal 2 2 3 3" xfId="817" xr:uid="{00000000-0005-0000-0000-00007A060000}"/>
    <cellStyle name="Normal 2 2 3 3 2" xfId="1033" xr:uid="{00000000-0005-0000-0000-00007B060000}"/>
    <cellStyle name="Normal 2 2 3 3 2 2" xfId="9790" xr:uid="{00000000-0005-0000-0000-00007C060000}"/>
    <cellStyle name="Normal 2 2 3 3 3" xfId="9574" xr:uid="{00000000-0005-0000-0000-00007D060000}"/>
    <cellStyle name="Normal 2 2 3 4" xfId="889" xr:uid="{00000000-0005-0000-0000-00007E060000}"/>
    <cellStyle name="Normal 2 2 3 4 2" xfId="9646" xr:uid="{00000000-0005-0000-0000-00007F060000}"/>
    <cellStyle name="Normal 2 2 3 5" xfId="9430" xr:uid="{00000000-0005-0000-0000-000080060000}"/>
    <cellStyle name="Normal 2 2 4" xfId="631" xr:uid="{00000000-0005-0000-0000-000081060000}"/>
    <cellStyle name="Normal 2 2 4 2" xfId="739" xr:uid="{00000000-0005-0000-0000-000082060000}"/>
    <cellStyle name="Normal 2 2 4 2 2" xfId="967" xr:uid="{00000000-0005-0000-0000-000083060000}"/>
    <cellStyle name="Normal 2 2 4 2 2 2" xfId="9724" xr:uid="{00000000-0005-0000-0000-000084060000}"/>
    <cellStyle name="Normal 2 2 4 2 3" xfId="9508" xr:uid="{00000000-0005-0000-0000-000085060000}"/>
    <cellStyle name="Normal 2 2 4 3" xfId="823" xr:uid="{00000000-0005-0000-0000-000086060000}"/>
    <cellStyle name="Normal 2 2 4 3 2" xfId="1039" xr:uid="{00000000-0005-0000-0000-000087060000}"/>
    <cellStyle name="Normal 2 2 4 3 2 2" xfId="9796" xr:uid="{00000000-0005-0000-0000-000088060000}"/>
    <cellStyle name="Normal 2 2 4 3 3" xfId="9580" xr:uid="{00000000-0005-0000-0000-000089060000}"/>
    <cellStyle name="Normal 2 2 4 4" xfId="895" xr:uid="{00000000-0005-0000-0000-00008A060000}"/>
    <cellStyle name="Normal 2 2 4 4 2" xfId="9652" xr:uid="{00000000-0005-0000-0000-00008B060000}"/>
    <cellStyle name="Normal 2 2 4 5" xfId="9436" xr:uid="{00000000-0005-0000-0000-00008C060000}"/>
    <cellStyle name="Normal 2 2 5" xfId="675" xr:uid="{00000000-0005-0000-0000-00008D060000}"/>
    <cellStyle name="Normal 2 2 5 2" xfId="770" xr:uid="{00000000-0005-0000-0000-00008E060000}"/>
    <cellStyle name="Normal 2 2 5 2 2" xfId="986" xr:uid="{00000000-0005-0000-0000-00008F060000}"/>
    <cellStyle name="Normal 2 2 5 2 2 2" xfId="9743" xr:uid="{00000000-0005-0000-0000-000090060000}"/>
    <cellStyle name="Normal 2 2 5 2 3" xfId="9527" xr:uid="{00000000-0005-0000-0000-000091060000}"/>
    <cellStyle name="Normal 2 2 5 3" xfId="842" xr:uid="{00000000-0005-0000-0000-000092060000}"/>
    <cellStyle name="Normal 2 2 5 3 2" xfId="1058" xr:uid="{00000000-0005-0000-0000-000093060000}"/>
    <cellStyle name="Normal 2 2 5 3 2 2" xfId="9815" xr:uid="{00000000-0005-0000-0000-000094060000}"/>
    <cellStyle name="Normal 2 2 5 3 3" xfId="9599" xr:uid="{00000000-0005-0000-0000-000095060000}"/>
    <cellStyle name="Normal 2 2 5 4" xfId="914" xr:uid="{00000000-0005-0000-0000-000096060000}"/>
    <cellStyle name="Normal 2 2 5 4 2" xfId="9671" xr:uid="{00000000-0005-0000-0000-000097060000}"/>
    <cellStyle name="Normal 2 2 5 5" xfId="9455" xr:uid="{00000000-0005-0000-0000-000098060000}"/>
    <cellStyle name="Normal 2 2 6" xfId="9833" xr:uid="{2619BDD9-9C97-455E-898E-E2DFB13D5BB6}"/>
    <cellStyle name="Normal 2 3" xfId="450" xr:uid="{00000000-0005-0000-0000-000099060000}"/>
    <cellStyle name="Normal 2 4" xfId="618" xr:uid="{00000000-0005-0000-0000-00009A060000}"/>
    <cellStyle name="Normal 2 5" xfId="9832" xr:uid="{D0957C55-8BAF-4E40-8FA1-953D995B2E61}"/>
    <cellStyle name="Normal 20" xfId="449" xr:uid="{00000000-0005-0000-0000-00009B060000}"/>
    <cellStyle name="Normal 20 2" xfId="448" xr:uid="{00000000-0005-0000-0000-00009C060000}"/>
    <cellStyle name="Normal 21" xfId="447" xr:uid="{00000000-0005-0000-0000-00009D060000}"/>
    <cellStyle name="Normal 21 2" xfId="446" xr:uid="{00000000-0005-0000-0000-00009E060000}"/>
    <cellStyle name="Normal 22" xfId="556" xr:uid="{00000000-0005-0000-0000-00009F060000}"/>
    <cellStyle name="Normal 23" xfId="634" xr:uid="{00000000-0005-0000-0000-0000A0060000}"/>
    <cellStyle name="Normal 23 2" xfId="741" xr:uid="{00000000-0005-0000-0000-0000A1060000}"/>
    <cellStyle name="Normal 24" xfId="647" xr:uid="{00000000-0005-0000-0000-0000A2060000}"/>
    <cellStyle name="Normal 24 2" xfId="752" xr:uid="{00000000-0005-0000-0000-0000A3060000}"/>
    <cellStyle name="Normal 25" xfId="2131" xr:uid="{00000000-0005-0000-0000-0000A4060000}"/>
    <cellStyle name="Normal 26" xfId="2132" xr:uid="{00000000-0005-0000-0000-0000A5060000}"/>
    <cellStyle name="Normal 26 2" xfId="2133" xr:uid="{00000000-0005-0000-0000-0000A6060000}"/>
    <cellStyle name="Normal 27" xfId="2134" xr:uid="{00000000-0005-0000-0000-0000A7060000}"/>
    <cellStyle name="Normal 28" xfId="2135" xr:uid="{00000000-0005-0000-0000-0000A8060000}"/>
    <cellStyle name="Normal 29" xfId="2136" xr:uid="{00000000-0005-0000-0000-0000A9060000}"/>
    <cellStyle name="Normal 29 2" xfId="2137" xr:uid="{00000000-0005-0000-0000-0000AA060000}"/>
    <cellStyle name="Normal 29 3" xfId="2138" xr:uid="{00000000-0005-0000-0000-0000AB060000}"/>
    <cellStyle name="Normal 3" xfId="186" xr:uid="{00000000-0005-0000-0000-0000AC060000}"/>
    <cellStyle name="Normal 3 2" xfId="187" xr:uid="{00000000-0005-0000-0000-0000AD060000}"/>
    <cellStyle name="Normal 3 2 2" xfId="9828" xr:uid="{ECCCBDC1-0609-47BB-A431-98373BBD0AE2}"/>
    <cellStyle name="Normal 3 3" xfId="620" xr:uid="{00000000-0005-0000-0000-0000AE060000}"/>
    <cellStyle name="Normal 3_Attach O, GG, Support -New Method 2-14-11" xfId="188" xr:uid="{00000000-0005-0000-0000-0000AF060000}"/>
    <cellStyle name="Normal 30" xfId="2139" xr:uid="{00000000-0005-0000-0000-0000B0060000}"/>
    <cellStyle name="Normal 30 2" xfId="2140" xr:uid="{00000000-0005-0000-0000-0000B1060000}"/>
    <cellStyle name="Normal 31" xfId="2141" xr:uid="{00000000-0005-0000-0000-0000B2060000}"/>
    <cellStyle name="Normal 31 2" xfId="2142" xr:uid="{00000000-0005-0000-0000-0000B3060000}"/>
    <cellStyle name="Normal 32" xfId="2143" xr:uid="{00000000-0005-0000-0000-0000B4060000}"/>
    <cellStyle name="Normal 32 2" xfId="2144" xr:uid="{00000000-0005-0000-0000-0000B5060000}"/>
    <cellStyle name="Normal 33" xfId="2145" xr:uid="{00000000-0005-0000-0000-0000B6060000}"/>
    <cellStyle name="Normal 33 2" xfId="2146" xr:uid="{00000000-0005-0000-0000-0000B7060000}"/>
    <cellStyle name="Normal 34" xfId="2147" xr:uid="{00000000-0005-0000-0000-0000B8060000}"/>
    <cellStyle name="Normal 34 2" xfId="2148" xr:uid="{00000000-0005-0000-0000-0000B9060000}"/>
    <cellStyle name="Normal 35" xfId="9380" xr:uid="{00000000-0005-0000-0000-0000BA060000}"/>
    <cellStyle name="Normal 35 2" xfId="9820" xr:uid="{16D5C428-A3B3-4A40-92C2-D71315ED3DE3}"/>
    <cellStyle name="Normal 36" xfId="9830" xr:uid="{941B2AA8-678A-4E26-8820-559F46C828E2}"/>
    <cellStyle name="Normal 4" xfId="189" xr:uid="{00000000-0005-0000-0000-0000BB060000}"/>
    <cellStyle name="Normal 4 10" xfId="2149" xr:uid="{00000000-0005-0000-0000-0000BC060000}"/>
    <cellStyle name="Normal 4 10 2" xfId="2150" xr:uid="{00000000-0005-0000-0000-0000BD060000}"/>
    <cellStyle name="Normal 4 10 2 2" xfId="2151" xr:uid="{00000000-0005-0000-0000-0000BE060000}"/>
    <cellStyle name="Normal 4 10 2 2 2" xfId="2152" xr:uid="{00000000-0005-0000-0000-0000BF060000}"/>
    <cellStyle name="Normal 4 10 2 2 2 2" xfId="2153" xr:uid="{00000000-0005-0000-0000-0000C0060000}"/>
    <cellStyle name="Normal 4 10 2 2 2 3" xfId="2154" xr:uid="{00000000-0005-0000-0000-0000C1060000}"/>
    <cellStyle name="Normal 4 10 2 2 3" xfId="2155" xr:uid="{00000000-0005-0000-0000-0000C2060000}"/>
    <cellStyle name="Normal 4 10 2 2 4" xfId="2156" xr:uid="{00000000-0005-0000-0000-0000C3060000}"/>
    <cellStyle name="Normal 4 10 2 2 5" xfId="2157" xr:uid="{00000000-0005-0000-0000-0000C4060000}"/>
    <cellStyle name="Normal 4 10 2 3" xfId="2158" xr:uid="{00000000-0005-0000-0000-0000C5060000}"/>
    <cellStyle name="Normal 4 10 2 3 2" xfId="2159" xr:uid="{00000000-0005-0000-0000-0000C6060000}"/>
    <cellStyle name="Normal 4 10 2 3 2 2" xfId="2160" xr:uid="{00000000-0005-0000-0000-0000C7060000}"/>
    <cellStyle name="Normal 4 10 2 3 2 3" xfId="2161" xr:uid="{00000000-0005-0000-0000-0000C8060000}"/>
    <cellStyle name="Normal 4 10 2 3 3" xfId="2162" xr:uid="{00000000-0005-0000-0000-0000C9060000}"/>
    <cellStyle name="Normal 4 10 2 3 4" xfId="2163" xr:uid="{00000000-0005-0000-0000-0000CA060000}"/>
    <cellStyle name="Normal 4 10 2 3 5" xfId="2164" xr:uid="{00000000-0005-0000-0000-0000CB060000}"/>
    <cellStyle name="Normal 4 10 2 4" xfId="2165" xr:uid="{00000000-0005-0000-0000-0000CC060000}"/>
    <cellStyle name="Normal 4 10 2 4 2" xfId="2166" xr:uid="{00000000-0005-0000-0000-0000CD060000}"/>
    <cellStyle name="Normal 4 10 2 4 3" xfId="2167" xr:uid="{00000000-0005-0000-0000-0000CE060000}"/>
    <cellStyle name="Normal 4 10 2 5" xfId="2168" xr:uid="{00000000-0005-0000-0000-0000CF060000}"/>
    <cellStyle name="Normal 4 10 2 6" xfId="2169" xr:uid="{00000000-0005-0000-0000-0000D0060000}"/>
    <cellStyle name="Normal 4 10 2 7" xfId="2170" xr:uid="{00000000-0005-0000-0000-0000D1060000}"/>
    <cellStyle name="Normal 4 10 3" xfId="2171" xr:uid="{00000000-0005-0000-0000-0000D2060000}"/>
    <cellStyle name="Normal 4 10 3 2" xfId="2172" xr:uid="{00000000-0005-0000-0000-0000D3060000}"/>
    <cellStyle name="Normal 4 10 3 2 2" xfId="2173" xr:uid="{00000000-0005-0000-0000-0000D4060000}"/>
    <cellStyle name="Normal 4 10 3 2 3" xfId="2174" xr:uid="{00000000-0005-0000-0000-0000D5060000}"/>
    <cellStyle name="Normal 4 10 3 3" xfId="2175" xr:uid="{00000000-0005-0000-0000-0000D6060000}"/>
    <cellStyle name="Normal 4 10 3 4" xfId="2176" xr:uid="{00000000-0005-0000-0000-0000D7060000}"/>
    <cellStyle name="Normal 4 10 3 5" xfId="2177" xr:uid="{00000000-0005-0000-0000-0000D8060000}"/>
    <cellStyle name="Normal 4 10 4" xfId="2178" xr:uid="{00000000-0005-0000-0000-0000D9060000}"/>
    <cellStyle name="Normal 4 10 4 2" xfId="2179" xr:uid="{00000000-0005-0000-0000-0000DA060000}"/>
    <cellStyle name="Normal 4 10 4 2 2" xfId="2180" xr:uid="{00000000-0005-0000-0000-0000DB060000}"/>
    <cellStyle name="Normal 4 10 4 2 3" xfId="2181" xr:uid="{00000000-0005-0000-0000-0000DC060000}"/>
    <cellStyle name="Normal 4 10 4 3" xfId="2182" xr:uid="{00000000-0005-0000-0000-0000DD060000}"/>
    <cellStyle name="Normal 4 10 4 4" xfId="2183" xr:uid="{00000000-0005-0000-0000-0000DE060000}"/>
    <cellStyle name="Normal 4 10 4 5" xfId="2184" xr:uid="{00000000-0005-0000-0000-0000DF060000}"/>
    <cellStyle name="Normal 4 10 5" xfId="2185" xr:uid="{00000000-0005-0000-0000-0000E0060000}"/>
    <cellStyle name="Normal 4 10 5 2" xfId="2186" xr:uid="{00000000-0005-0000-0000-0000E1060000}"/>
    <cellStyle name="Normal 4 10 5 3" xfId="2187" xr:uid="{00000000-0005-0000-0000-0000E2060000}"/>
    <cellStyle name="Normal 4 10 6" xfId="2188" xr:uid="{00000000-0005-0000-0000-0000E3060000}"/>
    <cellStyle name="Normal 4 10 7" xfId="2189" xr:uid="{00000000-0005-0000-0000-0000E4060000}"/>
    <cellStyle name="Normal 4 10 8" xfId="2190" xr:uid="{00000000-0005-0000-0000-0000E5060000}"/>
    <cellStyle name="Normal 4 11" xfId="2191" xr:uid="{00000000-0005-0000-0000-0000E6060000}"/>
    <cellStyle name="Normal 4 11 2" xfId="2192" xr:uid="{00000000-0005-0000-0000-0000E7060000}"/>
    <cellStyle name="Normal 4 11 2 2" xfId="2193" xr:uid="{00000000-0005-0000-0000-0000E8060000}"/>
    <cellStyle name="Normal 4 11 2 2 2" xfId="2194" xr:uid="{00000000-0005-0000-0000-0000E9060000}"/>
    <cellStyle name="Normal 4 11 2 2 3" xfId="2195" xr:uid="{00000000-0005-0000-0000-0000EA060000}"/>
    <cellStyle name="Normal 4 11 2 3" xfId="2196" xr:uid="{00000000-0005-0000-0000-0000EB060000}"/>
    <cellStyle name="Normal 4 11 2 4" xfId="2197" xr:uid="{00000000-0005-0000-0000-0000EC060000}"/>
    <cellStyle name="Normal 4 11 2 5" xfId="2198" xr:uid="{00000000-0005-0000-0000-0000ED060000}"/>
    <cellStyle name="Normal 4 11 3" xfId="2199" xr:uid="{00000000-0005-0000-0000-0000EE060000}"/>
    <cellStyle name="Normal 4 11 3 2" xfId="2200" xr:uid="{00000000-0005-0000-0000-0000EF060000}"/>
    <cellStyle name="Normal 4 11 3 2 2" xfId="2201" xr:uid="{00000000-0005-0000-0000-0000F0060000}"/>
    <cellStyle name="Normal 4 11 3 2 3" xfId="2202" xr:uid="{00000000-0005-0000-0000-0000F1060000}"/>
    <cellStyle name="Normal 4 11 3 3" xfId="2203" xr:uid="{00000000-0005-0000-0000-0000F2060000}"/>
    <cellStyle name="Normal 4 11 3 4" xfId="2204" xr:uid="{00000000-0005-0000-0000-0000F3060000}"/>
    <cellStyle name="Normal 4 11 3 5" xfId="2205" xr:uid="{00000000-0005-0000-0000-0000F4060000}"/>
    <cellStyle name="Normal 4 11 4" xfId="2206" xr:uid="{00000000-0005-0000-0000-0000F5060000}"/>
    <cellStyle name="Normal 4 11 4 2" xfId="2207" xr:uid="{00000000-0005-0000-0000-0000F6060000}"/>
    <cellStyle name="Normal 4 11 4 3" xfId="2208" xr:uid="{00000000-0005-0000-0000-0000F7060000}"/>
    <cellStyle name="Normal 4 11 5" xfId="2209" xr:uid="{00000000-0005-0000-0000-0000F8060000}"/>
    <cellStyle name="Normal 4 11 6" xfId="2210" xr:uid="{00000000-0005-0000-0000-0000F9060000}"/>
    <cellStyle name="Normal 4 11 7" xfId="2211" xr:uid="{00000000-0005-0000-0000-0000FA060000}"/>
    <cellStyle name="Normal 4 12" xfId="2212" xr:uid="{00000000-0005-0000-0000-0000FB060000}"/>
    <cellStyle name="Normal 4 12 2" xfId="2213" xr:uid="{00000000-0005-0000-0000-0000FC060000}"/>
    <cellStyle name="Normal 4 12 2 2" xfId="2214" xr:uid="{00000000-0005-0000-0000-0000FD060000}"/>
    <cellStyle name="Normal 4 12 2 2 2" xfId="2215" xr:uid="{00000000-0005-0000-0000-0000FE060000}"/>
    <cellStyle name="Normal 4 12 2 2 3" xfId="2216" xr:uid="{00000000-0005-0000-0000-0000FF060000}"/>
    <cellStyle name="Normal 4 12 2 3" xfId="2217" xr:uid="{00000000-0005-0000-0000-000000070000}"/>
    <cellStyle name="Normal 4 12 2 4" xfId="2218" xr:uid="{00000000-0005-0000-0000-000001070000}"/>
    <cellStyle name="Normal 4 12 2 5" xfId="2219" xr:uid="{00000000-0005-0000-0000-000002070000}"/>
    <cellStyle name="Normal 4 12 3" xfId="2220" xr:uid="{00000000-0005-0000-0000-000003070000}"/>
    <cellStyle name="Normal 4 12 3 2" xfId="2221" xr:uid="{00000000-0005-0000-0000-000004070000}"/>
    <cellStyle name="Normal 4 12 3 2 2" xfId="2222" xr:uid="{00000000-0005-0000-0000-000005070000}"/>
    <cellStyle name="Normal 4 12 3 2 3" xfId="2223" xr:uid="{00000000-0005-0000-0000-000006070000}"/>
    <cellStyle name="Normal 4 12 3 3" xfId="2224" xr:uid="{00000000-0005-0000-0000-000007070000}"/>
    <cellStyle name="Normal 4 12 3 4" xfId="2225" xr:uid="{00000000-0005-0000-0000-000008070000}"/>
    <cellStyle name="Normal 4 12 3 5" xfId="2226" xr:uid="{00000000-0005-0000-0000-000009070000}"/>
    <cellStyle name="Normal 4 12 4" xfId="2227" xr:uid="{00000000-0005-0000-0000-00000A070000}"/>
    <cellStyle name="Normal 4 12 4 2" xfId="2228" xr:uid="{00000000-0005-0000-0000-00000B070000}"/>
    <cellStyle name="Normal 4 12 4 3" xfId="2229" xr:uid="{00000000-0005-0000-0000-00000C070000}"/>
    <cellStyle name="Normal 4 12 5" xfId="2230" xr:uid="{00000000-0005-0000-0000-00000D070000}"/>
    <cellStyle name="Normal 4 12 6" xfId="2231" xr:uid="{00000000-0005-0000-0000-00000E070000}"/>
    <cellStyle name="Normal 4 12 7" xfId="2232" xr:uid="{00000000-0005-0000-0000-00000F070000}"/>
    <cellStyle name="Normal 4 13" xfId="2233" xr:uid="{00000000-0005-0000-0000-000010070000}"/>
    <cellStyle name="Normal 4 13 2" xfId="2234" xr:uid="{00000000-0005-0000-0000-000011070000}"/>
    <cellStyle name="Normal 4 13 2 2" xfId="2235" xr:uid="{00000000-0005-0000-0000-000012070000}"/>
    <cellStyle name="Normal 4 13 2 3" xfId="2236" xr:uid="{00000000-0005-0000-0000-000013070000}"/>
    <cellStyle name="Normal 4 13 3" xfId="2237" xr:uid="{00000000-0005-0000-0000-000014070000}"/>
    <cellStyle name="Normal 4 13 4" xfId="2238" xr:uid="{00000000-0005-0000-0000-000015070000}"/>
    <cellStyle name="Normal 4 13 5" xfId="2239" xr:uid="{00000000-0005-0000-0000-000016070000}"/>
    <cellStyle name="Normal 4 14" xfId="2240" xr:uid="{00000000-0005-0000-0000-000017070000}"/>
    <cellStyle name="Normal 4 14 2" xfId="2241" xr:uid="{00000000-0005-0000-0000-000018070000}"/>
    <cellStyle name="Normal 4 14 2 2" xfId="2242" xr:uid="{00000000-0005-0000-0000-000019070000}"/>
    <cellStyle name="Normal 4 14 2 3" xfId="2243" xr:uid="{00000000-0005-0000-0000-00001A070000}"/>
    <cellStyle name="Normal 4 14 3" xfId="2244" xr:uid="{00000000-0005-0000-0000-00001B070000}"/>
    <cellStyle name="Normal 4 14 4" xfId="2245" xr:uid="{00000000-0005-0000-0000-00001C070000}"/>
    <cellStyle name="Normal 4 14 5" xfId="2246" xr:uid="{00000000-0005-0000-0000-00001D070000}"/>
    <cellStyle name="Normal 4 2" xfId="190" xr:uid="{00000000-0005-0000-0000-00001E070000}"/>
    <cellStyle name="Normal 4 2 10" xfId="2247" xr:uid="{00000000-0005-0000-0000-00001F070000}"/>
    <cellStyle name="Normal 4 2 10 2" xfId="2248" xr:uid="{00000000-0005-0000-0000-000020070000}"/>
    <cellStyle name="Normal 4 2 10 2 2" xfId="2249" xr:uid="{00000000-0005-0000-0000-000021070000}"/>
    <cellStyle name="Normal 4 2 10 2 2 2" xfId="2250" xr:uid="{00000000-0005-0000-0000-000022070000}"/>
    <cellStyle name="Normal 4 2 10 2 2 3" xfId="2251" xr:uid="{00000000-0005-0000-0000-000023070000}"/>
    <cellStyle name="Normal 4 2 10 2 3" xfId="2252" xr:uid="{00000000-0005-0000-0000-000024070000}"/>
    <cellStyle name="Normal 4 2 10 2 4" xfId="2253" xr:uid="{00000000-0005-0000-0000-000025070000}"/>
    <cellStyle name="Normal 4 2 10 2 5" xfId="2254" xr:uid="{00000000-0005-0000-0000-000026070000}"/>
    <cellStyle name="Normal 4 2 10 3" xfId="2255" xr:uid="{00000000-0005-0000-0000-000027070000}"/>
    <cellStyle name="Normal 4 2 10 3 2" xfId="2256" xr:uid="{00000000-0005-0000-0000-000028070000}"/>
    <cellStyle name="Normal 4 2 10 3 2 2" xfId="2257" xr:uid="{00000000-0005-0000-0000-000029070000}"/>
    <cellStyle name="Normal 4 2 10 3 2 3" xfId="2258" xr:uid="{00000000-0005-0000-0000-00002A070000}"/>
    <cellStyle name="Normal 4 2 10 3 3" xfId="2259" xr:uid="{00000000-0005-0000-0000-00002B070000}"/>
    <cellStyle name="Normal 4 2 10 3 4" xfId="2260" xr:uid="{00000000-0005-0000-0000-00002C070000}"/>
    <cellStyle name="Normal 4 2 10 3 5" xfId="2261" xr:uid="{00000000-0005-0000-0000-00002D070000}"/>
    <cellStyle name="Normal 4 2 10 4" xfId="2262" xr:uid="{00000000-0005-0000-0000-00002E070000}"/>
    <cellStyle name="Normal 4 2 10 4 2" xfId="2263" xr:uid="{00000000-0005-0000-0000-00002F070000}"/>
    <cellStyle name="Normal 4 2 10 4 3" xfId="2264" xr:uid="{00000000-0005-0000-0000-000030070000}"/>
    <cellStyle name="Normal 4 2 10 5" xfId="2265" xr:uid="{00000000-0005-0000-0000-000031070000}"/>
    <cellStyle name="Normal 4 2 10 6" xfId="2266" xr:uid="{00000000-0005-0000-0000-000032070000}"/>
    <cellStyle name="Normal 4 2 10 7" xfId="2267" xr:uid="{00000000-0005-0000-0000-000033070000}"/>
    <cellStyle name="Normal 4 2 11" xfId="2268" xr:uid="{00000000-0005-0000-0000-000034070000}"/>
    <cellStyle name="Normal 4 2 11 2" xfId="2269" xr:uid="{00000000-0005-0000-0000-000035070000}"/>
    <cellStyle name="Normal 4 2 11 2 2" xfId="2270" xr:uid="{00000000-0005-0000-0000-000036070000}"/>
    <cellStyle name="Normal 4 2 11 2 3" xfId="2271" xr:uid="{00000000-0005-0000-0000-000037070000}"/>
    <cellStyle name="Normal 4 2 11 3" xfId="2272" xr:uid="{00000000-0005-0000-0000-000038070000}"/>
    <cellStyle name="Normal 4 2 11 4" xfId="2273" xr:uid="{00000000-0005-0000-0000-000039070000}"/>
    <cellStyle name="Normal 4 2 11 5" xfId="2274" xr:uid="{00000000-0005-0000-0000-00003A070000}"/>
    <cellStyle name="Normal 4 2 12" xfId="2275" xr:uid="{00000000-0005-0000-0000-00003B070000}"/>
    <cellStyle name="Normal 4 2 12 2" xfId="2276" xr:uid="{00000000-0005-0000-0000-00003C070000}"/>
    <cellStyle name="Normal 4 2 12 2 2" xfId="2277" xr:uid="{00000000-0005-0000-0000-00003D070000}"/>
    <cellStyle name="Normal 4 2 12 2 3" xfId="2278" xr:uid="{00000000-0005-0000-0000-00003E070000}"/>
    <cellStyle name="Normal 4 2 12 3" xfId="2279" xr:uid="{00000000-0005-0000-0000-00003F070000}"/>
    <cellStyle name="Normal 4 2 12 4" xfId="2280" xr:uid="{00000000-0005-0000-0000-000040070000}"/>
    <cellStyle name="Normal 4 2 12 5" xfId="2281" xr:uid="{00000000-0005-0000-0000-000041070000}"/>
    <cellStyle name="Normal 4 2 2" xfId="445" xr:uid="{00000000-0005-0000-0000-000042070000}"/>
    <cellStyle name="Normal 4 2 2 10" xfId="2282" xr:uid="{00000000-0005-0000-0000-000043070000}"/>
    <cellStyle name="Normal 4 2 2 10 2" xfId="2283" xr:uid="{00000000-0005-0000-0000-000044070000}"/>
    <cellStyle name="Normal 4 2 2 10 2 2" xfId="2284" xr:uid="{00000000-0005-0000-0000-000045070000}"/>
    <cellStyle name="Normal 4 2 2 10 2 3" xfId="2285" xr:uid="{00000000-0005-0000-0000-000046070000}"/>
    <cellStyle name="Normal 4 2 2 10 3" xfId="2286" xr:uid="{00000000-0005-0000-0000-000047070000}"/>
    <cellStyle name="Normal 4 2 2 10 4" xfId="2287" xr:uid="{00000000-0005-0000-0000-000048070000}"/>
    <cellStyle name="Normal 4 2 2 10 5" xfId="2288" xr:uid="{00000000-0005-0000-0000-000049070000}"/>
    <cellStyle name="Normal 4 2 2 11" xfId="2289" xr:uid="{00000000-0005-0000-0000-00004A070000}"/>
    <cellStyle name="Normal 4 2 2 11 2" xfId="2290" xr:uid="{00000000-0005-0000-0000-00004B070000}"/>
    <cellStyle name="Normal 4 2 2 11 3" xfId="2291" xr:uid="{00000000-0005-0000-0000-00004C070000}"/>
    <cellStyle name="Normal 4 2 2 12" xfId="2292" xr:uid="{00000000-0005-0000-0000-00004D070000}"/>
    <cellStyle name="Normal 4 2 2 13" xfId="2293" xr:uid="{00000000-0005-0000-0000-00004E070000}"/>
    <cellStyle name="Normal 4 2 2 14" xfId="2294" xr:uid="{00000000-0005-0000-0000-00004F070000}"/>
    <cellStyle name="Normal 4 2 2 2" xfId="2295" xr:uid="{00000000-0005-0000-0000-000050070000}"/>
    <cellStyle name="Normal 4 2 2 2 10" xfId="2296" xr:uid="{00000000-0005-0000-0000-000051070000}"/>
    <cellStyle name="Normal 4 2 2 2 10 2" xfId="2297" xr:uid="{00000000-0005-0000-0000-000052070000}"/>
    <cellStyle name="Normal 4 2 2 2 10 3" xfId="2298" xr:uid="{00000000-0005-0000-0000-000053070000}"/>
    <cellStyle name="Normal 4 2 2 2 11" xfId="2299" xr:uid="{00000000-0005-0000-0000-000054070000}"/>
    <cellStyle name="Normal 4 2 2 2 12" xfId="2300" xr:uid="{00000000-0005-0000-0000-000055070000}"/>
    <cellStyle name="Normal 4 2 2 2 13" xfId="2301" xr:uid="{00000000-0005-0000-0000-000056070000}"/>
    <cellStyle name="Normal 4 2 2 2 2" xfId="2302" xr:uid="{00000000-0005-0000-0000-000057070000}"/>
    <cellStyle name="Normal 4 2 2 2 2 2" xfId="2303" xr:uid="{00000000-0005-0000-0000-000058070000}"/>
    <cellStyle name="Normal 4 2 2 2 2 2 2" xfId="2304" xr:uid="{00000000-0005-0000-0000-000059070000}"/>
    <cellStyle name="Normal 4 2 2 2 2 2 2 2" xfId="2305" xr:uid="{00000000-0005-0000-0000-00005A070000}"/>
    <cellStyle name="Normal 4 2 2 2 2 2 2 2 2" xfId="2306" xr:uid="{00000000-0005-0000-0000-00005B070000}"/>
    <cellStyle name="Normal 4 2 2 2 2 2 2 2 2 2" xfId="2307" xr:uid="{00000000-0005-0000-0000-00005C070000}"/>
    <cellStyle name="Normal 4 2 2 2 2 2 2 2 2 3" xfId="2308" xr:uid="{00000000-0005-0000-0000-00005D070000}"/>
    <cellStyle name="Normal 4 2 2 2 2 2 2 2 3" xfId="2309" xr:uid="{00000000-0005-0000-0000-00005E070000}"/>
    <cellStyle name="Normal 4 2 2 2 2 2 2 2 4" xfId="2310" xr:uid="{00000000-0005-0000-0000-00005F070000}"/>
    <cellStyle name="Normal 4 2 2 2 2 2 2 2 5" xfId="2311" xr:uid="{00000000-0005-0000-0000-000060070000}"/>
    <cellStyle name="Normal 4 2 2 2 2 2 2 3" xfId="2312" xr:uid="{00000000-0005-0000-0000-000061070000}"/>
    <cellStyle name="Normal 4 2 2 2 2 2 2 3 2" xfId="2313" xr:uid="{00000000-0005-0000-0000-000062070000}"/>
    <cellStyle name="Normal 4 2 2 2 2 2 2 3 2 2" xfId="2314" xr:uid="{00000000-0005-0000-0000-000063070000}"/>
    <cellStyle name="Normal 4 2 2 2 2 2 2 3 2 3" xfId="2315" xr:uid="{00000000-0005-0000-0000-000064070000}"/>
    <cellStyle name="Normal 4 2 2 2 2 2 2 3 3" xfId="2316" xr:uid="{00000000-0005-0000-0000-000065070000}"/>
    <cellStyle name="Normal 4 2 2 2 2 2 2 3 4" xfId="2317" xr:uid="{00000000-0005-0000-0000-000066070000}"/>
    <cellStyle name="Normal 4 2 2 2 2 2 2 3 5" xfId="2318" xr:uid="{00000000-0005-0000-0000-000067070000}"/>
    <cellStyle name="Normal 4 2 2 2 2 2 2 4" xfId="2319" xr:uid="{00000000-0005-0000-0000-000068070000}"/>
    <cellStyle name="Normal 4 2 2 2 2 2 2 4 2" xfId="2320" xr:uid="{00000000-0005-0000-0000-000069070000}"/>
    <cellStyle name="Normal 4 2 2 2 2 2 2 4 3" xfId="2321" xr:uid="{00000000-0005-0000-0000-00006A070000}"/>
    <cellStyle name="Normal 4 2 2 2 2 2 2 5" xfId="2322" xr:uid="{00000000-0005-0000-0000-00006B070000}"/>
    <cellStyle name="Normal 4 2 2 2 2 2 2 6" xfId="2323" xr:uid="{00000000-0005-0000-0000-00006C070000}"/>
    <cellStyle name="Normal 4 2 2 2 2 2 2 7" xfId="2324" xr:uid="{00000000-0005-0000-0000-00006D070000}"/>
    <cellStyle name="Normal 4 2 2 2 2 2 3" xfId="2325" xr:uid="{00000000-0005-0000-0000-00006E070000}"/>
    <cellStyle name="Normal 4 2 2 2 2 2 3 2" xfId="2326" xr:uid="{00000000-0005-0000-0000-00006F070000}"/>
    <cellStyle name="Normal 4 2 2 2 2 2 3 2 2" xfId="2327" xr:uid="{00000000-0005-0000-0000-000070070000}"/>
    <cellStyle name="Normal 4 2 2 2 2 2 3 2 3" xfId="2328" xr:uid="{00000000-0005-0000-0000-000071070000}"/>
    <cellStyle name="Normal 4 2 2 2 2 2 3 3" xfId="2329" xr:uid="{00000000-0005-0000-0000-000072070000}"/>
    <cellStyle name="Normal 4 2 2 2 2 2 3 4" xfId="2330" xr:uid="{00000000-0005-0000-0000-000073070000}"/>
    <cellStyle name="Normal 4 2 2 2 2 2 3 5" xfId="2331" xr:uid="{00000000-0005-0000-0000-000074070000}"/>
    <cellStyle name="Normal 4 2 2 2 2 2 4" xfId="2332" xr:uid="{00000000-0005-0000-0000-000075070000}"/>
    <cellStyle name="Normal 4 2 2 2 2 2 4 2" xfId="2333" xr:uid="{00000000-0005-0000-0000-000076070000}"/>
    <cellStyle name="Normal 4 2 2 2 2 2 4 2 2" xfId="2334" xr:uid="{00000000-0005-0000-0000-000077070000}"/>
    <cellStyle name="Normal 4 2 2 2 2 2 4 2 3" xfId="2335" xr:uid="{00000000-0005-0000-0000-000078070000}"/>
    <cellStyle name="Normal 4 2 2 2 2 2 4 3" xfId="2336" xr:uid="{00000000-0005-0000-0000-000079070000}"/>
    <cellStyle name="Normal 4 2 2 2 2 2 4 4" xfId="2337" xr:uid="{00000000-0005-0000-0000-00007A070000}"/>
    <cellStyle name="Normal 4 2 2 2 2 2 4 5" xfId="2338" xr:uid="{00000000-0005-0000-0000-00007B070000}"/>
    <cellStyle name="Normal 4 2 2 2 2 2 5" xfId="2339" xr:uid="{00000000-0005-0000-0000-00007C070000}"/>
    <cellStyle name="Normal 4 2 2 2 2 2 5 2" xfId="2340" xr:uid="{00000000-0005-0000-0000-00007D070000}"/>
    <cellStyle name="Normal 4 2 2 2 2 2 5 3" xfId="2341" xr:uid="{00000000-0005-0000-0000-00007E070000}"/>
    <cellStyle name="Normal 4 2 2 2 2 2 6" xfId="2342" xr:uid="{00000000-0005-0000-0000-00007F070000}"/>
    <cellStyle name="Normal 4 2 2 2 2 2 7" xfId="2343" xr:uid="{00000000-0005-0000-0000-000080070000}"/>
    <cellStyle name="Normal 4 2 2 2 2 2 8" xfId="2344" xr:uid="{00000000-0005-0000-0000-000081070000}"/>
    <cellStyle name="Normal 4 2 2 2 2 3" xfId="2345" xr:uid="{00000000-0005-0000-0000-000082070000}"/>
    <cellStyle name="Normal 4 2 2 2 2 3 2" xfId="2346" xr:uid="{00000000-0005-0000-0000-000083070000}"/>
    <cellStyle name="Normal 4 2 2 2 2 3 2 2" xfId="2347" xr:uid="{00000000-0005-0000-0000-000084070000}"/>
    <cellStyle name="Normal 4 2 2 2 2 3 2 2 2" xfId="2348" xr:uid="{00000000-0005-0000-0000-000085070000}"/>
    <cellStyle name="Normal 4 2 2 2 2 3 2 2 3" xfId="2349" xr:uid="{00000000-0005-0000-0000-000086070000}"/>
    <cellStyle name="Normal 4 2 2 2 2 3 2 3" xfId="2350" xr:uid="{00000000-0005-0000-0000-000087070000}"/>
    <cellStyle name="Normal 4 2 2 2 2 3 2 4" xfId="2351" xr:uid="{00000000-0005-0000-0000-000088070000}"/>
    <cellStyle name="Normal 4 2 2 2 2 3 2 5" xfId="2352" xr:uid="{00000000-0005-0000-0000-000089070000}"/>
    <cellStyle name="Normal 4 2 2 2 2 3 3" xfId="2353" xr:uid="{00000000-0005-0000-0000-00008A070000}"/>
    <cellStyle name="Normal 4 2 2 2 2 3 3 2" xfId="2354" xr:uid="{00000000-0005-0000-0000-00008B070000}"/>
    <cellStyle name="Normal 4 2 2 2 2 3 3 2 2" xfId="2355" xr:uid="{00000000-0005-0000-0000-00008C070000}"/>
    <cellStyle name="Normal 4 2 2 2 2 3 3 2 3" xfId="2356" xr:uid="{00000000-0005-0000-0000-00008D070000}"/>
    <cellStyle name="Normal 4 2 2 2 2 3 3 3" xfId="2357" xr:uid="{00000000-0005-0000-0000-00008E070000}"/>
    <cellStyle name="Normal 4 2 2 2 2 3 3 4" xfId="2358" xr:uid="{00000000-0005-0000-0000-00008F070000}"/>
    <cellStyle name="Normal 4 2 2 2 2 3 3 5" xfId="2359" xr:uid="{00000000-0005-0000-0000-000090070000}"/>
    <cellStyle name="Normal 4 2 2 2 2 3 4" xfId="2360" xr:uid="{00000000-0005-0000-0000-000091070000}"/>
    <cellStyle name="Normal 4 2 2 2 2 3 4 2" xfId="2361" xr:uid="{00000000-0005-0000-0000-000092070000}"/>
    <cellStyle name="Normal 4 2 2 2 2 3 4 3" xfId="2362" xr:uid="{00000000-0005-0000-0000-000093070000}"/>
    <cellStyle name="Normal 4 2 2 2 2 3 5" xfId="2363" xr:uid="{00000000-0005-0000-0000-000094070000}"/>
    <cellStyle name="Normal 4 2 2 2 2 3 6" xfId="2364" xr:uid="{00000000-0005-0000-0000-000095070000}"/>
    <cellStyle name="Normal 4 2 2 2 2 3 7" xfId="2365" xr:uid="{00000000-0005-0000-0000-000096070000}"/>
    <cellStyle name="Normal 4 2 2 2 2 4" xfId="2366" xr:uid="{00000000-0005-0000-0000-000097070000}"/>
    <cellStyle name="Normal 4 2 2 2 2 4 2" xfId="2367" xr:uid="{00000000-0005-0000-0000-000098070000}"/>
    <cellStyle name="Normal 4 2 2 2 2 4 2 2" xfId="2368" xr:uid="{00000000-0005-0000-0000-000099070000}"/>
    <cellStyle name="Normal 4 2 2 2 2 4 2 3" xfId="2369" xr:uid="{00000000-0005-0000-0000-00009A070000}"/>
    <cellStyle name="Normal 4 2 2 2 2 4 3" xfId="2370" xr:uid="{00000000-0005-0000-0000-00009B070000}"/>
    <cellStyle name="Normal 4 2 2 2 2 4 4" xfId="2371" xr:uid="{00000000-0005-0000-0000-00009C070000}"/>
    <cellStyle name="Normal 4 2 2 2 2 4 5" xfId="2372" xr:uid="{00000000-0005-0000-0000-00009D070000}"/>
    <cellStyle name="Normal 4 2 2 2 2 5" xfId="2373" xr:uid="{00000000-0005-0000-0000-00009E070000}"/>
    <cellStyle name="Normal 4 2 2 2 2 5 2" xfId="2374" xr:uid="{00000000-0005-0000-0000-00009F070000}"/>
    <cellStyle name="Normal 4 2 2 2 2 5 2 2" xfId="2375" xr:uid="{00000000-0005-0000-0000-0000A0070000}"/>
    <cellStyle name="Normal 4 2 2 2 2 5 2 3" xfId="2376" xr:uid="{00000000-0005-0000-0000-0000A1070000}"/>
    <cellStyle name="Normal 4 2 2 2 2 5 3" xfId="2377" xr:uid="{00000000-0005-0000-0000-0000A2070000}"/>
    <cellStyle name="Normal 4 2 2 2 2 5 4" xfId="2378" xr:uid="{00000000-0005-0000-0000-0000A3070000}"/>
    <cellStyle name="Normal 4 2 2 2 2 5 5" xfId="2379" xr:uid="{00000000-0005-0000-0000-0000A4070000}"/>
    <cellStyle name="Normal 4 2 2 2 2 6" xfId="2380" xr:uid="{00000000-0005-0000-0000-0000A5070000}"/>
    <cellStyle name="Normal 4 2 2 2 2 6 2" xfId="2381" xr:uid="{00000000-0005-0000-0000-0000A6070000}"/>
    <cellStyle name="Normal 4 2 2 2 2 6 3" xfId="2382" xr:uid="{00000000-0005-0000-0000-0000A7070000}"/>
    <cellStyle name="Normal 4 2 2 2 2 7" xfId="2383" xr:uid="{00000000-0005-0000-0000-0000A8070000}"/>
    <cellStyle name="Normal 4 2 2 2 2 8" xfId="2384" xr:uid="{00000000-0005-0000-0000-0000A9070000}"/>
    <cellStyle name="Normal 4 2 2 2 2 9" xfId="2385" xr:uid="{00000000-0005-0000-0000-0000AA070000}"/>
    <cellStyle name="Normal 4 2 2 2 3" xfId="2386" xr:uid="{00000000-0005-0000-0000-0000AB070000}"/>
    <cellStyle name="Normal 4 2 2 2 3 2" xfId="2387" xr:uid="{00000000-0005-0000-0000-0000AC070000}"/>
    <cellStyle name="Normal 4 2 2 2 3 2 2" xfId="2388" xr:uid="{00000000-0005-0000-0000-0000AD070000}"/>
    <cellStyle name="Normal 4 2 2 2 3 2 2 2" xfId="2389" xr:uid="{00000000-0005-0000-0000-0000AE070000}"/>
    <cellStyle name="Normal 4 2 2 2 3 2 2 2 2" xfId="2390" xr:uid="{00000000-0005-0000-0000-0000AF070000}"/>
    <cellStyle name="Normal 4 2 2 2 3 2 2 2 2 2" xfId="2391" xr:uid="{00000000-0005-0000-0000-0000B0070000}"/>
    <cellStyle name="Normal 4 2 2 2 3 2 2 2 2 3" xfId="2392" xr:uid="{00000000-0005-0000-0000-0000B1070000}"/>
    <cellStyle name="Normal 4 2 2 2 3 2 2 2 3" xfId="2393" xr:uid="{00000000-0005-0000-0000-0000B2070000}"/>
    <cellStyle name="Normal 4 2 2 2 3 2 2 2 4" xfId="2394" xr:uid="{00000000-0005-0000-0000-0000B3070000}"/>
    <cellStyle name="Normal 4 2 2 2 3 2 2 2 5" xfId="2395" xr:uid="{00000000-0005-0000-0000-0000B4070000}"/>
    <cellStyle name="Normal 4 2 2 2 3 2 2 3" xfId="2396" xr:uid="{00000000-0005-0000-0000-0000B5070000}"/>
    <cellStyle name="Normal 4 2 2 2 3 2 2 3 2" xfId="2397" xr:uid="{00000000-0005-0000-0000-0000B6070000}"/>
    <cellStyle name="Normal 4 2 2 2 3 2 2 3 2 2" xfId="2398" xr:uid="{00000000-0005-0000-0000-0000B7070000}"/>
    <cellStyle name="Normal 4 2 2 2 3 2 2 3 2 3" xfId="2399" xr:uid="{00000000-0005-0000-0000-0000B8070000}"/>
    <cellStyle name="Normal 4 2 2 2 3 2 2 3 3" xfId="2400" xr:uid="{00000000-0005-0000-0000-0000B9070000}"/>
    <cellStyle name="Normal 4 2 2 2 3 2 2 3 4" xfId="2401" xr:uid="{00000000-0005-0000-0000-0000BA070000}"/>
    <cellStyle name="Normal 4 2 2 2 3 2 2 3 5" xfId="2402" xr:uid="{00000000-0005-0000-0000-0000BB070000}"/>
    <cellStyle name="Normal 4 2 2 2 3 2 2 4" xfId="2403" xr:uid="{00000000-0005-0000-0000-0000BC070000}"/>
    <cellStyle name="Normal 4 2 2 2 3 2 2 4 2" xfId="2404" xr:uid="{00000000-0005-0000-0000-0000BD070000}"/>
    <cellStyle name="Normal 4 2 2 2 3 2 2 4 3" xfId="2405" xr:uid="{00000000-0005-0000-0000-0000BE070000}"/>
    <cellStyle name="Normal 4 2 2 2 3 2 2 5" xfId="2406" xr:uid="{00000000-0005-0000-0000-0000BF070000}"/>
    <cellStyle name="Normal 4 2 2 2 3 2 2 6" xfId="2407" xr:uid="{00000000-0005-0000-0000-0000C0070000}"/>
    <cellStyle name="Normal 4 2 2 2 3 2 2 7" xfId="2408" xr:uid="{00000000-0005-0000-0000-0000C1070000}"/>
    <cellStyle name="Normal 4 2 2 2 3 2 3" xfId="2409" xr:uid="{00000000-0005-0000-0000-0000C2070000}"/>
    <cellStyle name="Normal 4 2 2 2 3 2 3 2" xfId="2410" xr:uid="{00000000-0005-0000-0000-0000C3070000}"/>
    <cellStyle name="Normal 4 2 2 2 3 2 3 2 2" xfId="2411" xr:uid="{00000000-0005-0000-0000-0000C4070000}"/>
    <cellStyle name="Normal 4 2 2 2 3 2 3 2 3" xfId="2412" xr:uid="{00000000-0005-0000-0000-0000C5070000}"/>
    <cellStyle name="Normal 4 2 2 2 3 2 3 3" xfId="2413" xr:uid="{00000000-0005-0000-0000-0000C6070000}"/>
    <cellStyle name="Normal 4 2 2 2 3 2 3 4" xfId="2414" xr:uid="{00000000-0005-0000-0000-0000C7070000}"/>
    <cellStyle name="Normal 4 2 2 2 3 2 3 5" xfId="2415" xr:uid="{00000000-0005-0000-0000-0000C8070000}"/>
    <cellStyle name="Normal 4 2 2 2 3 2 4" xfId="2416" xr:uid="{00000000-0005-0000-0000-0000C9070000}"/>
    <cellStyle name="Normal 4 2 2 2 3 2 4 2" xfId="2417" xr:uid="{00000000-0005-0000-0000-0000CA070000}"/>
    <cellStyle name="Normal 4 2 2 2 3 2 4 2 2" xfId="2418" xr:uid="{00000000-0005-0000-0000-0000CB070000}"/>
    <cellStyle name="Normal 4 2 2 2 3 2 4 2 3" xfId="2419" xr:uid="{00000000-0005-0000-0000-0000CC070000}"/>
    <cellStyle name="Normal 4 2 2 2 3 2 4 3" xfId="2420" xr:uid="{00000000-0005-0000-0000-0000CD070000}"/>
    <cellStyle name="Normal 4 2 2 2 3 2 4 4" xfId="2421" xr:uid="{00000000-0005-0000-0000-0000CE070000}"/>
    <cellStyle name="Normal 4 2 2 2 3 2 4 5" xfId="2422" xr:uid="{00000000-0005-0000-0000-0000CF070000}"/>
    <cellStyle name="Normal 4 2 2 2 3 2 5" xfId="2423" xr:uid="{00000000-0005-0000-0000-0000D0070000}"/>
    <cellStyle name="Normal 4 2 2 2 3 2 5 2" xfId="2424" xr:uid="{00000000-0005-0000-0000-0000D1070000}"/>
    <cellStyle name="Normal 4 2 2 2 3 2 5 3" xfId="2425" xr:uid="{00000000-0005-0000-0000-0000D2070000}"/>
    <cellStyle name="Normal 4 2 2 2 3 2 6" xfId="2426" xr:uid="{00000000-0005-0000-0000-0000D3070000}"/>
    <cellStyle name="Normal 4 2 2 2 3 2 7" xfId="2427" xr:uid="{00000000-0005-0000-0000-0000D4070000}"/>
    <cellStyle name="Normal 4 2 2 2 3 2 8" xfId="2428" xr:uid="{00000000-0005-0000-0000-0000D5070000}"/>
    <cellStyle name="Normal 4 2 2 2 3 3" xfId="2429" xr:uid="{00000000-0005-0000-0000-0000D6070000}"/>
    <cellStyle name="Normal 4 2 2 2 3 3 2" xfId="2430" xr:uid="{00000000-0005-0000-0000-0000D7070000}"/>
    <cellStyle name="Normal 4 2 2 2 3 3 2 2" xfId="2431" xr:uid="{00000000-0005-0000-0000-0000D8070000}"/>
    <cellStyle name="Normal 4 2 2 2 3 3 2 2 2" xfId="2432" xr:uid="{00000000-0005-0000-0000-0000D9070000}"/>
    <cellStyle name="Normal 4 2 2 2 3 3 2 2 3" xfId="2433" xr:uid="{00000000-0005-0000-0000-0000DA070000}"/>
    <cellStyle name="Normal 4 2 2 2 3 3 2 3" xfId="2434" xr:uid="{00000000-0005-0000-0000-0000DB070000}"/>
    <cellStyle name="Normal 4 2 2 2 3 3 2 4" xfId="2435" xr:uid="{00000000-0005-0000-0000-0000DC070000}"/>
    <cellStyle name="Normal 4 2 2 2 3 3 2 5" xfId="2436" xr:uid="{00000000-0005-0000-0000-0000DD070000}"/>
    <cellStyle name="Normal 4 2 2 2 3 3 3" xfId="2437" xr:uid="{00000000-0005-0000-0000-0000DE070000}"/>
    <cellStyle name="Normal 4 2 2 2 3 3 3 2" xfId="2438" xr:uid="{00000000-0005-0000-0000-0000DF070000}"/>
    <cellStyle name="Normal 4 2 2 2 3 3 3 2 2" xfId="2439" xr:uid="{00000000-0005-0000-0000-0000E0070000}"/>
    <cellStyle name="Normal 4 2 2 2 3 3 3 2 3" xfId="2440" xr:uid="{00000000-0005-0000-0000-0000E1070000}"/>
    <cellStyle name="Normal 4 2 2 2 3 3 3 3" xfId="2441" xr:uid="{00000000-0005-0000-0000-0000E2070000}"/>
    <cellStyle name="Normal 4 2 2 2 3 3 3 4" xfId="2442" xr:uid="{00000000-0005-0000-0000-0000E3070000}"/>
    <cellStyle name="Normal 4 2 2 2 3 3 3 5" xfId="2443" xr:uid="{00000000-0005-0000-0000-0000E4070000}"/>
    <cellStyle name="Normal 4 2 2 2 3 3 4" xfId="2444" xr:uid="{00000000-0005-0000-0000-0000E5070000}"/>
    <cellStyle name="Normal 4 2 2 2 3 3 4 2" xfId="2445" xr:uid="{00000000-0005-0000-0000-0000E6070000}"/>
    <cellStyle name="Normal 4 2 2 2 3 3 4 3" xfId="2446" xr:uid="{00000000-0005-0000-0000-0000E7070000}"/>
    <cellStyle name="Normal 4 2 2 2 3 3 5" xfId="2447" xr:uid="{00000000-0005-0000-0000-0000E8070000}"/>
    <cellStyle name="Normal 4 2 2 2 3 3 6" xfId="2448" xr:uid="{00000000-0005-0000-0000-0000E9070000}"/>
    <cellStyle name="Normal 4 2 2 2 3 3 7" xfId="2449" xr:uid="{00000000-0005-0000-0000-0000EA070000}"/>
    <cellStyle name="Normal 4 2 2 2 3 4" xfId="2450" xr:uid="{00000000-0005-0000-0000-0000EB070000}"/>
    <cellStyle name="Normal 4 2 2 2 3 4 2" xfId="2451" xr:uid="{00000000-0005-0000-0000-0000EC070000}"/>
    <cellStyle name="Normal 4 2 2 2 3 4 2 2" xfId="2452" xr:uid="{00000000-0005-0000-0000-0000ED070000}"/>
    <cellStyle name="Normal 4 2 2 2 3 4 2 3" xfId="2453" xr:uid="{00000000-0005-0000-0000-0000EE070000}"/>
    <cellStyle name="Normal 4 2 2 2 3 4 3" xfId="2454" xr:uid="{00000000-0005-0000-0000-0000EF070000}"/>
    <cellStyle name="Normal 4 2 2 2 3 4 4" xfId="2455" xr:uid="{00000000-0005-0000-0000-0000F0070000}"/>
    <cellStyle name="Normal 4 2 2 2 3 4 5" xfId="2456" xr:uid="{00000000-0005-0000-0000-0000F1070000}"/>
    <cellStyle name="Normal 4 2 2 2 3 5" xfId="2457" xr:uid="{00000000-0005-0000-0000-0000F2070000}"/>
    <cellStyle name="Normal 4 2 2 2 3 5 2" xfId="2458" xr:uid="{00000000-0005-0000-0000-0000F3070000}"/>
    <cellStyle name="Normal 4 2 2 2 3 5 2 2" xfId="2459" xr:uid="{00000000-0005-0000-0000-0000F4070000}"/>
    <cellStyle name="Normal 4 2 2 2 3 5 2 3" xfId="2460" xr:uid="{00000000-0005-0000-0000-0000F5070000}"/>
    <cellStyle name="Normal 4 2 2 2 3 5 3" xfId="2461" xr:uid="{00000000-0005-0000-0000-0000F6070000}"/>
    <cellStyle name="Normal 4 2 2 2 3 5 4" xfId="2462" xr:uid="{00000000-0005-0000-0000-0000F7070000}"/>
    <cellStyle name="Normal 4 2 2 2 3 5 5" xfId="2463" xr:uid="{00000000-0005-0000-0000-0000F8070000}"/>
    <cellStyle name="Normal 4 2 2 2 3 6" xfId="2464" xr:uid="{00000000-0005-0000-0000-0000F9070000}"/>
    <cellStyle name="Normal 4 2 2 2 3 6 2" xfId="2465" xr:uid="{00000000-0005-0000-0000-0000FA070000}"/>
    <cellStyle name="Normal 4 2 2 2 3 6 3" xfId="2466" xr:uid="{00000000-0005-0000-0000-0000FB070000}"/>
    <cellStyle name="Normal 4 2 2 2 3 7" xfId="2467" xr:uid="{00000000-0005-0000-0000-0000FC070000}"/>
    <cellStyle name="Normal 4 2 2 2 3 8" xfId="2468" xr:uid="{00000000-0005-0000-0000-0000FD070000}"/>
    <cellStyle name="Normal 4 2 2 2 3 9" xfId="2469" xr:uid="{00000000-0005-0000-0000-0000FE070000}"/>
    <cellStyle name="Normal 4 2 2 2 4" xfId="2470" xr:uid="{00000000-0005-0000-0000-0000FF070000}"/>
    <cellStyle name="Normal 4 2 2 2 4 2" xfId="2471" xr:uid="{00000000-0005-0000-0000-000000080000}"/>
    <cellStyle name="Normal 4 2 2 2 4 2 2" xfId="2472" xr:uid="{00000000-0005-0000-0000-000001080000}"/>
    <cellStyle name="Normal 4 2 2 2 4 2 2 2" xfId="2473" xr:uid="{00000000-0005-0000-0000-000002080000}"/>
    <cellStyle name="Normal 4 2 2 2 4 2 2 2 2" xfId="2474" xr:uid="{00000000-0005-0000-0000-000003080000}"/>
    <cellStyle name="Normal 4 2 2 2 4 2 2 2 2 2" xfId="2475" xr:uid="{00000000-0005-0000-0000-000004080000}"/>
    <cellStyle name="Normal 4 2 2 2 4 2 2 2 2 3" xfId="2476" xr:uid="{00000000-0005-0000-0000-000005080000}"/>
    <cellStyle name="Normal 4 2 2 2 4 2 2 2 3" xfId="2477" xr:uid="{00000000-0005-0000-0000-000006080000}"/>
    <cellStyle name="Normal 4 2 2 2 4 2 2 2 4" xfId="2478" xr:uid="{00000000-0005-0000-0000-000007080000}"/>
    <cellStyle name="Normal 4 2 2 2 4 2 2 2 5" xfId="2479" xr:uid="{00000000-0005-0000-0000-000008080000}"/>
    <cellStyle name="Normal 4 2 2 2 4 2 2 3" xfId="2480" xr:uid="{00000000-0005-0000-0000-000009080000}"/>
    <cellStyle name="Normal 4 2 2 2 4 2 2 3 2" xfId="2481" xr:uid="{00000000-0005-0000-0000-00000A080000}"/>
    <cellStyle name="Normal 4 2 2 2 4 2 2 3 2 2" xfId="2482" xr:uid="{00000000-0005-0000-0000-00000B080000}"/>
    <cellStyle name="Normal 4 2 2 2 4 2 2 3 2 3" xfId="2483" xr:uid="{00000000-0005-0000-0000-00000C080000}"/>
    <cellStyle name="Normal 4 2 2 2 4 2 2 3 3" xfId="2484" xr:uid="{00000000-0005-0000-0000-00000D080000}"/>
    <cellStyle name="Normal 4 2 2 2 4 2 2 3 4" xfId="2485" xr:uid="{00000000-0005-0000-0000-00000E080000}"/>
    <cellStyle name="Normal 4 2 2 2 4 2 2 3 5" xfId="2486" xr:uid="{00000000-0005-0000-0000-00000F080000}"/>
    <cellStyle name="Normal 4 2 2 2 4 2 2 4" xfId="2487" xr:uid="{00000000-0005-0000-0000-000010080000}"/>
    <cellStyle name="Normal 4 2 2 2 4 2 2 4 2" xfId="2488" xr:uid="{00000000-0005-0000-0000-000011080000}"/>
    <cellStyle name="Normal 4 2 2 2 4 2 2 4 3" xfId="2489" xr:uid="{00000000-0005-0000-0000-000012080000}"/>
    <cellStyle name="Normal 4 2 2 2 4 2 2 5" xfId="2490" xr:uid="{00000000-0005-0000-0000-000013080000}"/>
    <cellStyle name="Normal 4 2 2 2 4 2 2 6" xfId="2491" xr:uid="{00000000-0005-0000-0000-000014080000}"/>
    <cellStyle name="Normal 4 2 2 2 4 2 2 7" xfId="2492" xr:uid="{00000000-0005-0000-0000-000015080000}"/>
    <cellStyle name="Normal 4 2 2 2 4 2 3" xfId="2493" xr:uid="{00000000-0005-0000-0000-000016080000}"/>
    <cellStyle name="Normal 4 2 2 2 4 2 3 2" xfId="2494" xr:uid="{00000000-0005-0000-0000-000017080000}"/>
    <cellStyle name="Normal 4 2 2 2 4 2 3 2 2" xfId="2495" xr:uid="{00000000-0005-0000-0000-000018080000}"/>
    <cellStyle name="Normal 4 2 2 2 4 2 3 2 3" xfId="2496" xr:uid="{00000000-0005-0000-0000-000019080000}"/>
    <cellStyle name="Normal 4 2 2 2 4 2 3 3" xfId="2497" xr:uid="{00000000-0005-0000-0000-00001A080000}"/>
    <cellStyle name="Normal 4 2 2 2 4 2 3 4" xfId="2498" xr:uid="{00000000-0005-0000-0000-00001B080000}"/>
    <cellStyle name="Normal 4 2 2 2 4 2 3 5" xfId="2499" xr:uid="{00000000-0005-0000-0000-00001C080000}"/>
    <cellStyle name="Normal 4 2 2 2 4 2 4" xfId="2500" xr:uid="{00000000-0005-0000-0000-00001D080000}"/>
    <cellStyle name="Normal 4 2 2 2 4 2 4 2" xfId="2501" xr:uid="{00000000-0005-0000-0000-00001E080000}"/>
    <cellStyle name="Normal 4 2 2 2 4 2 4 2 2" xfId="2502" xr:uid="{00000000-0005-0000-0000-00001F080000}"/>
    <cellStyle name="Normal 4 2 2 2 4 2 4 2 3" xfId="2503" xr:uid="{00000000-0005-0000-0000-000020080000}"/>
    <cellStyle name="Normal 4 2 2 2 4 2 4 3" xfId="2504" xr:uid="{00000000-0005-0000-0000-000021080000}"/>
    <cellStyle name="Normal 4 2 2 2 4 2 4 4" xfId="2505" xr:uid="{00000000-0005-0000-0000-000022080000}"/>
    <cellStyle name="Normal 4 2 2 2 4 2 4 5" xfId="2506" xr:uid="{00000000-0005-0000-0000-000023080000}"/>
    <cellStyle name="Normal 4 2 2 2 4 2 5" xfId="2507" xr:uid="{00000000-0005-0000-0000-000024080000}"/>
    <cellStyle name="Normal 4 2 2 2 4 2 5 2" xfId="2508" xr:uid="{00000000-0005-0000-0000-000025080000}"/>
    <cellStyle name="Normal 4 2 2 2 4 2 5 3" xfId="2509" xr:uid="{00000000-0005-0000-0000-000026080000}"/>
    <cellStyle name="Normal 4 2 2 2 4 2 6" xfId="2510" xr:uid="{00000000-0005-0000-0000-000027080000}"/>
    <cellStyle name="Normal 4 2 2 2 4 2 7" xfId="2511" xr:uid="{00000000-0005-0000-0000-000028080000}"/>
    <cellStyle name="Normal 4 2 2 2 4 2 8" xfId="2512" xr:uid="{00000000-0005-0000-0000-000029080000}"/>
    <cellStyle name="Normal 4 2 2 2 4 3" xfId="2513" xr:uid="{00000000-0005-0000-0000-00002A080000}"/>
    <cellStyle name="Normal 4 2 2 2 4 3 2" xfId="2514" xr:uid="{00000000-0005-0000-0000-00002B080000}"/>
    <cellStyle name="Normal 4 2 2 2 4 3 2 2" xfId="2515" xr:uid="{00000000-0005-0000-0000-00002C080000}"/>
    <cellStyle name="Normal 4 2 2 2 4 3 2 2 2" xfId="2516" xr:uid="{00000000-0005-0000-0000-00002D080000}"/>
    <cellStyle name="Normal 4 2 2 2 4 3 2 2 3" xfId="2517" xr:uid="{00000000-0005-0000-0000-00002E080000}"/>
    <cellStyle name="Normal 4 2 2 2 4 3 2 3" xfId="2518" xr:uid="{00000000-0005-0000-0000-00002F080000}"/>
    <cellStyle name="Normal 4 2 2 2 4 3 2 4" xfId="2519" xr:uid="{00000000-0005-0000-0000-000030080000}"/>
    <cellStyle name="Normal 4 2 2 2 4 3 2 5" xfId="2520" xr:uid="{00000000-0005-0000-0000-000031080000}"/>
    <cellStyle name="Normal 4 2 2 2 4 3 3" xfId="2521" xr:uid="{00000000-0005-0000-0000-000032080000}"/>
    <cellStyle name="Normal 4 2 2 2 4 3 3 2" xfId="2522" xr:uid="{00000000-0005-0000-0000-000033080000}"/>
    <cellStyle name="Normal 4 2 2 2 4 3 3 2 2" xfId="2523" xr:uid="{00000000-0005-0000-0000-000034080000}"/>
    <cellStyle name="Normal 4 2 2 2 4 3 3 2 3" xfId="2524" xr:uid="{00000000-0005-0000-0000-000035080000}"/>
    <cellStyle name="Normal 4 2 2 2 4 3 3 3" xfId="2525" xr:uid="{00000000-0005-0000-0000-000036080000}"/>
    <cellStyle name="Normal 4 2 2 2 4 3 3 4" xfId="2526" xr:uid="{00000000-0005-0000-0000-000037080000}"/>
    <cellStyle name="Normal 4 2 2 2 4 3 3 5" xfId="2527" xr:uid="{00000000-0005-0000-0000-000038080000}"/>
    <cellStyle name="Normal 4 2 2 2 4 3 4" xfId="2528" xr:uid="{00000000-0005-0000-0000-000039080000}"/>
    <cellStyle name="Normal 4 2 2 2 4 3 4 2" xfId="2529" xr:uid="{00000000-0005-0000-0000-00003A080000}"/>
    <cellStyle name="Normal 4 2 2 2 4 3 4 3" xfId="2530" xr:uid="{00000000-0005-0000-0000-00003B080000}"/>
    <cellStyle name="Normal 4 2 2 2 4 3 5" xfId="2531" xr:uid="{00000000-0005-0000-0000-00003C080000}"/>
    <cellStyle name="Normal 4 2 2 2 4 3 6" xfId="2532" xr:uid="{00000000-0005-0000-0000-00003D080000}"/>
    <cellStyle name="Normal 4 2 2 2 4 3 7" xfId="2533" xr:uid="{00000000-0005-0000-0000-00003E080000}"/>
    <cellStyle name="Normal 4 2 2 2 4 4" xfId="2534" xr:uid="{00000000-0005-0000-0000-00003F080000}"/>
    <cellStyle name="Normal 4 2 2 2 4 4 2" xfId="2535" xr:uid="{00000000-0005-0000-0000-000040080000}"/>
    <cellStyle name="Normal 4 2 2 2 4 4 2 2" xfId="2536" xr:uid="{00000000-0005-0000-0000-000041080000}"/>
    <cellStyle name="Normal 4 2 2 2 4 4 2 3" xfId="2537" xr:uid="{00000000-0005-0000-0000-000042080000}"/>
    <cellStyle name="Normal 4 2 2 2 4 4 3" xfId="2538" xr:uid="{00000000-0005-0000-0000-000043080000}"/>
    <cellStyle name="Normal 4 2 2 2 4 4 4" xfId="2539" xr:uid="{00000000-0005-0000-0000-000044080000}"/>
    <cellStyle name="Normal 4 2 2 2 4 4 5" xfId="2540" xr:uid="{00000000-0005-0000-0000-000045080000}"/>
    <cellStyle name="Normal 4 2 2 2 4 5" xfId="2541" xr:uid="{00000000-0005-0000-0000-000046080000}"/>
    <cellStyle name="Normal 4 2 2 2 4 5 2" xfId="2542" xr:uid="{00000000-0005-0000-0000-000047080000}"/>
    <cellStyle name="Normal 4 2 2 2 4 5 2 2" xfId="2543" xr:uid="{00000000-0005-0000-0000-000048080000}"/>
    <cellStyle name="Normal 4 2 2 2 4 5 2 3" xfId="2544" xr:uid="{00000000-0005-0000-0000-000049080000}"/>
    <cellStyle name="Normal 4 2 2 2 4 5 3" xfId="2545" xr:uid="{00000000-0005-0000-0000-00004A080000}"/>
    <cellStyle name="Normal 4 2 2 2 4 5 4" xfId="2546" xr:uid="{00000000-0005-0000-0000-00004B080000}"/>
    <cellStyle name="Normal 4 2 2 2 4 5 5" xfId="2547" xr:uid="{00000000-0005-0000-0000-00004C080000}"/>
    <cellStyle name="Normal 4 2 2 2 4 6" xfId="2548" xr:uid="{00000000-0005-0000-0000-00004D080000}"/>
    <cellStyle name="Normal 4 2 2 2 4 6 2" xfId="2549" xr:uid="{00000000-0005-0000-0000-00004E080000}"/>
    <cellStyle name="Normal 4 2 2 2 4 6 3" xfId="2550" xr:uid="{00000000-0005-0000-0000-00004F080000}"/>
    <cellStyle name="Normal 4 2 2 2 4 7" xfId="2551" xr:uid="{00000000-0005-0000-0000-000050080000}"/>
    <cellStyle name="Normal 4 2 2 2 4 8" xfId="2552" xr:uid="{00000000-0005-0000-0000-000051080000}"/>
    <cellStyle name="Normal 4 2 2 2 4 9" xfId="2553" xr:uid="{00000000-0005-0000-0000-000052080000}"/>
    <cellStyle name="Normal 4 2 2 2 5" xfId="2554" xr:uid="{00000000-0005-0000-0000-000053080000}"/>
    <cellStyle name="Normal 4 2 2 2 5 2" xfId="2555" xr:uid="{00000000-0005-0000-0000-000054080000}"/>
    <cellStyle name="Normal 4 2 2 2 5 2 2" xfId="2556" xr:uid="{00000000-0005-0000-0000-000055080000}"/>
    <cellStyle name="Normal 4 2 2 2 5 2 2 2" xfId="2557" xr:uid="{00000000-0005-0000-0000-000056080000}"/>
    <cellStyle name="Normal 4 2 2 2 5 2 2 2 2" xfId="2558" xr:uid="{00000000-0005-0000-0000-000057080000}"/>
    <cellStyle name="Normal 4 2 2 2 5 2 2 2 3" xfId="2559" xr:uid="{00000000-0005-0000-0000-000058080000}"/>
    <cellStyle name="Normal 4 2 2 2 5 2 2 3" xfId="2560" xr:uid="{00000000-0005-0000-0000-000059080000}"/>
    <cellStyle name="Normal 4 2 2 2 5 2 2 4" xfId="2561" xr:uid="{00000000-0005-0000-0000-00005A080000}"/>
    <cellStyle name="Normal 4 2 2 2 5 2 2 5" xfId="2562" xr:uid="{00000000-0005-0000-0000-00005B080000}"/>
    <cellStyle name="Normal 4 2 2 2 5 2 3" xfId="2563" xr:uid="{00000000-0005-0000-0000-00005C080000}"/>
    <cellStyle name="Normal 4 2 2 2 5 2 3 2" xfId="2564" xr:uid="{00000000-0005-0000-0000-00005D080000}"/>
    <cellStyle name="Normal 4 2 2 2 5 2 3 2 2" xfId="2565" xr:uid="{00000000-0005-0000-0000-00005E080000}"/>
    <cellStyle name="Normal 4 2 2 2 5 2 3 2 3" xfId="2566" xr:uid="{00000000-0005-0000-0000-00005F080000}"/>
    <cellStyle name="Normal 4 2 2 2 5 2 3 3" xfId="2567" xr:uid="{00000000-0005-0000-0000-000060080000}"/>
    <cellStyle name="Normal 4 2 2 2 5 2 3 4" xfId="2568" xr:uid="{00000000-0005-0000-0000-000061080000}"/>
    <cellStyle name="Normal 4 2 2 2 5 2 3 5" xfId="2569" xr:uid="{00000000-0005-0000-0000-000062080000}"/>
    <cellStyle name="Normal 4 2 2 2 5 2 4" xfId="2570" xr:uid="{00000000-0005-0000-0000-000063080000}"/>
    <cellStyle name="Normal 4 2 2 2 5 2 4 2" xfId="2571" xr:uid="{00000000-0005-0000-0000-000064080000}"/>
    <cellStyle name="Normal 4 2 2 2 5 2 4 3" xfId="2572" xr:uid="{00000000-0005-0000-0000-000065080000}"/>
    <cellStyle name="Normal 4 2 2 2 5 2 5" xfId="2573" xr:uid="{00000000-0005-0000-0000-000066080000}"/>
    <cellStyle name="Normal 4 2 2 2 5 2 6" xfId="2574" xr:uid="{00000000-0005-0000-0000-000067080000}"/>
    <cellStyle name="Normal 4 2 2 2 5 2 7" xfId="2575" xr:uid="{00000000-0005-0000-0000-000068080000}"/>
    <cellStyle name="Normal 4 2 2 2 5 3" xfId="2576" xr:uid="{00000000-0005-0000-0000-000069080000}"/>
    <cellStyle name="Normal 4 2 2 2 5 3 2" xfId="2577" xr:uid="{00000000-0005-0000-0000-00006A080000}"/>
    <cellStyle name="Normal 4 2 2 2 5 3 2 2" xfId="2578" xr:uid="{00000000-0005-0000-0000-00006B080000}"/>
    <cellStyle name="Normal 4 2 2 2 5 3 2 3" xfId="2579" xr:uid="{00000000-0005-0000-0000-00006C080000}"/>
    <cellStyle name="Normal 4 2 2 2 5 3 3" xfId="2580" xr:uid="{00000000-0005-0000-0000-00006D080000}"/>
    <cellStyle name="Normal 4 2 2 2 5 3 4" xfId="2581" xr:uid="{00000000-0005-0000-0000-00006E080000}"/>
    <cellStyle name="Normal 4 2 2 2 5 3 5" xfId="2582" xr:uid="{00000000-0005-0000-0000-00006F080000}"/>
    <cellStyle name="Normal 4 2 2 2 5 4" xfId="2583" xr:uid="{00000000-0005-0000-0000-000070080000}"/>
    <cellStyle name="Normal 4 2 2 2 5 4 2" xfId="2584" xr:uid="{00000000-0005-0000-0000-000071080000}"/>
    <cellStyle name="Normal 4 2 2 2 5 4 2 2" xfId="2585" xr:uid="{00000000-0005-0000-0000-000072080000}"/>
    <cellStyle name="Normal 4 2 2 2 5 4 2 3" xfId="2586" xr:uid="{00000000-0005-0000-0000-000073080000}"/>
    <cellStyle name="Normal 4 2 2 2 5 4 3" xfId="2587" xr:uid="{00000000-0005-0000-0000-000074080000}"/>
    <cellStyle name="Normal 4 2 2 2 5 4 4" xfId="2588" xr:uid="{00000000-0005-0000-0000-000075080000}"/>
    <cellStyle name="Normal 4 2 2 2 5 4 5" xfId="2589" xr:uid="{00000000-0005-0000-0000-000076080000}"/>
    <cellStyle name="Normal 4 2 2 2 5 5" xfId="2590" xr:uid="{00000000-0005-0000-0000-000077080000}"/>
    <cellStyle name="Normal 4 2 2 2 5 5 2" xfId="2591" xr:uid="{00000000-0005-0000-0000-000078080000}"/>
    <cellStyle name="Normal 4 2 2 2 5 5 3" xfId="2592" xr:uid="{00000000-0005-0000-0000-000079080000}"/>
    <cellStyle name="Normal 4 2 2 2 5 6" xfId="2593" xr:uid="{00000000-0005-0000-0000-00007A080000}"/>
    <cellStyle name="Normal 4 2 2 2 5 7" xfId="2594" xr:uid="{00000000-0005-0000-0000-00007B080000}"/>
    <cellStyle name="Normal 4 2 2 2 5 8" xfId="2595" xr:uid="{00000000-0005-0000-0000-00007C080000}"/>
    <cellStyle name="Normal 4 2 2 2 6" xfId="2596" xr:uid="{00000000-0005-0000-0000-00007D080000}"/>
    <cellStyle name="Normal 4 2 2 2 6 2" xfId="2597" xr:uid="{00000000-0005-0000-0000-00007E080000}"/>
    <cellStyle name="Normal 4 2 2 2 6 2 2" xfId="2598" xr:uid="{00000000-0005-0000-0000-00007F080000}"/>
    <cellStyle name="Normal 4 2 2 2 6 2 2 2" xfId="2599" xr:uid="{00000000-0005-0000-0000-000080080000}"/>
    <cellStyle name="Normal 4 2 2 2 6 2 2 3" xfId="2600" xr:uid="{00000000-0005-0000-0000-000081080000}"/>
    <cellStyle name="Normal 4 2 2 2 6 2 3" xfId="2601" xr:uid="{00000000-0005-0000-0000-000082080000}"/>
    <cellStyle name="Normal 4 2 2 2 6 2 4" xfId="2602" xr:uid="{00000000-0005-0000-0000-000083080000}"/>
    <cellStyle name="Normal 4 2 2 2 6 2 5" xfId="2603" xr:uid="{00000000-0005-0000-0000-000084080000}"/>
    <cellStyle name="Normal 4 2 2 2 6 3" xfId="2604" xr:uid="{00000000-0005-0000-0000-000085080000}"/>
    <cellStyle name="Normal 4 2 2 2 6 3 2" xfId="2605" xr:uid="{00000000-0005-0000-0000-000086080000}"/>
    <cellStyle name="Normal 4 2 2 2 6 3 2 2" xfId="2606" xr:uid="{00000000-0005-0000-0000-000087080000}"/>
    <cellStyle name="Normal 4 2 2 2 6 3 2 3" xfId="2607" xr:uid="{00000000-0005-0000-0000-000088080000}"/>
    <cellStyle name="Normal 4 2 2 2 6 3 3" xfId="2608" xr:uid="{00000000-0005-0000-0000-000089080000}"/>
    <cellStyle name="Normal 4 2 2 2 6 3 4" xfId="2609" xr:uid="{00000000-0005-0000-0000-00008A080000}"/>
    <cellStyle name="Normal 4 2 2 2 6 3 5" xfId="2610" xr:uid="{00000000-0005-0000-0000-00008B080000}"/>
    <cellStyle name="Normal 4 2 2 2 6 4" xfId="2611" xr:uid="{00000000-0005-0000-0000-00008C080000}"/>
    <cellStyle name="Normal 4 2 2 2 6 4 2" xfId="2612" xr:uid="{00000000-0005-0000-0000-00008D080000}"/>
    <cellStyle name="Normal 4 2 2 2 6 4 3" xfId="2613" xr:uid="{00000000-0005-0000-0000-00008E080000}"/>
    <cellStyle name="Normal 4 2 2 2 6 5" xfId="2614" xr:uid="{00000000-0005-0000-0000-00008F080000}"/>
    <cellStyle name="Normal 4 2 2 2 6 6" xfId="2615" xr:uid="{00000000-0005-0000-0000-000090080000}"/>
    <cellStyle name="Normal 4 2 2 2 6 7" xfId="2616" xr:uid="{00000000-0005-0000-0000-000091080000}"/>
    <cellStyle name="Normal 4 2 2 2 7" xfId="2617" xr:uid="{00000000-0005-0000-0000-000092080000}"/>
    <cellStyle name="Normal 4 2 2 2 7 2" xfId="2618" xr:uid="{00000000-0005-0000-0000-000093080000}"/>
    <cellStyle name="Normal 4 2 2 2 7 2 2" xfId="2619" xr:uid="{00000000-0005-0000-0000-000094080000}"/>
    <cellStyle name="Normal 4 2 2 2 7 2 2 2" xfId="2620" xr:uid="{00000000-0005-0000-0000-000095080000}"/>
    <cellStyle name="Normal 4 2 2 2 7 2 2 3" xfId="2621" xr:uid="{00000000-0005-0000-0000-000096080000}"/>
    <cellStyle name="Normal 4 2 2 2 7 2 3" xfId="2622" xr:uid="{00000000-0005-0000-0000-000097080000}"/>
    <cellStyle name="Normal 4 2 2 2 7 2 4" xfId="2623" xr:uid="{00000000-0005-0000-0000-000098080000}"/>
    <cellStyle name="Normal 4 2 2 2 7 2 5" xfId="2624" xr:uid="{00000000-0005-0000-0000-000099080000}"/>
    <cellStyle name="Normal 4 2 2 2 7 3" xfId="2625" xr:uid="{00000000-0005-0000-0000-00009A080000}"/>
    <cellStyle name="Normal 4 2 2 2 7 3 2" xfId="2626" xr:uid="{00000000-0005-0000-0000-00009B080000}"/>
    <cellStyle name="Normal 4 2 2 2 7 3 2 2" xfId="2627" xr:uid="{00000000-0005-0000-0000-00009C080000}"/>
    <cellStyle name="Normal 4 2 2 2 7 3 2 3" xfId="2628" xr:uid="{00000000-0005-0000-0000-00009D080000}"/>
    <cellStyle name="Normal 4 2 2 2 7 3 3" xfId="2629" xr:uid="{00000000-0005-0000-0000-00009E080000}"/>
    <cellStyle name="Normal 4 2 2 2 7 3 4" xfId="2630" xr:uid="{00000000-0005-0000-0000-00009F080000}"/>
    <cellStyle name="Normal 4 2 2 2 7 3 5" xfId="2631" xr:uid="{00000000-0005-0000-0000-0000A0080000}"/>
    <cellStyle name="Normal 4 2 2 2 7 4" xfId="2632" xr:uid="{00000000-0005-0000-0000-0000A1080000}"/>
    <cellStyle name="Normal 4 2 2 2 7 4 2" xfId="2633" xr:uid="{00000000-0005-0000-0000-0000A2080000}"/>
    <cellStyle name="Normal 4 2 2 2 7 4 3" xfId="2634" xr:uid="{00000000-0005-0000-0000-0000A3080000}"/>
    <cellStyle name="Normal 4 2 2 2 7 5" xfId="2635" xr:uid="{00000000-0005-0000-0000-0000A4080000}"/>
    <cellStyle name="Normal 4 2 2 2 7 6" xfId="2636" xr:uid="{00000000-0005-0000-0000-0000A5080000}"/>
    <cellStyle name="Normal 4 2 2 2 7 7" xfId="2637" xr:uid="{00000000-0005-0000-0000-0000A6080000}"/>
    <cellStyle name="Normal 4 2 2 2 8" xfId="2638" xr:uid="{00000000-0005-0000-0000-0000A7080000}"/>
    <cellStyle name="Normal 4 2 2 2 8 2" xfId="2639" xr:uid="{00000000-0005-0000-0000-0000A8080000}"/>
    <cellStyle name="Normal 4 2 2 2 8 2 2" xfId="2640" xr:uid="{00000000-0005-0000-0000-0000A9080000}"/>
    <cellStyle name="Normal 4 2 2 2 8 2 3" xfId="2641" xr:uid="{00000000-0005-0000-0000-0000AA080000}"/>
    <cellStyle name="Normal 4 2 2 2 8 3" xfId="2642" xr:uid="{00000000-0005-0000-0000-0000AB080000}"/>
    <cellStyle name="Normal 4 2 2 2 8 4" xfId="2643" xr:uid="{00000000-0005-0000-0000-0000AC080000}"/>
    <cellStyle name="Normal 4 2 2 2 8 5" xfId="2644" xr:uid="{00000000-0005-0000-0000-0000AD080000}"/>
    <cellStyle name="Normal 4 2 2 2 9" xfId="2645" xr:uid="{00000000-0005-0000-0000-0000AE080000}"/>
    <cellStyle name="Normal 4 2 2 2 9 2" xfId="2646" xr:uid="{00000000-0005-0000-0000-0000AF080000}"/>
    <cellStyle name="Normal 4 2 2 2 9 2 2" xfId="2647" xr:uid="{00000000-0005-0000-0000-0000B0080000}"/>
    <cellStyle name="Normal 4 2 2 2 9 2 3" xfId="2648" xr:uid="{00000000-0005-0000-0000-0000B1080000}"/>
    <cellStyle name="Normal 4 2 2 2 9 3" xfId="2649" xr:uid="{00000000-0005-0000-0000-0000B2080000}"/>
    <cellStyle name="Normal 4 2 2 2 9 4" xfId="2650" xr:uid="{00000000-0005-0000-0000-0000B3080000}"/>
    <cellStyle name="Normal 4 2 2 2 9 5" xfId="2651" xr:uid="{00000000-0005-0000-0000-0000B4080000}"/>
    <cellStyle name="Normal 4 2 2 3" xfId="2652" xr:uid="{00000000-0005-0000-0000-0000B5080000}"/>
    <cellStyle name="Normal 4 2 2 3 2" xfId="2653" xr:uid="{00000000-0005-0000-0000-0000B6080000}"/>
    <cellStyle name="Normal 4 2 2 3 2 2" xfId="2654" xr:uid="{00000000-0005-0000-0000-0000B7080000}"/>
    <cellStyle name="Normal 4 2 2 3 2 2 2" xfId="2655" xr:uid="{00000000-0005-0000-0000-0000B8080000}"/>
    <cellStyle name="Normal 4 2 2 3 2 2 2 2" xfId="2656" xr:uid="{00000000-0005-0000-0000-0000B9080000}"/>
    <cellStyle name="Normal 4 2 2 3 2 2 2 2 2" xfId="2657" xr:uid="{00000000-0005-0000-0000-0000BA080000}"/>
    <cellStyle name="Normal 4 2 2 3 2 2 2 2 3" xfId="2658" xr:uid="{00000000-0005-0000-0000-0000BB080000}"/>
    <cellStyle name="Normal 4 2 2 3 2 2 2 3" xfId="2659" xr:uid="{00000000-0005-0000-0000-0000BC080000}"/>
    <cellStyle name="Normal 4 2 2 3 2 2 2 4" xfId="2660" xr:uid="{00000000-0005-0000-0000-0000BD080000}"/>
    <cellStyle name="Normal 4 2 2 3 2 2 2 5" xfId="2661" xr:uid="{00000000-0005-0000-0000-0000BE080000}"/>
    <cellStyle name="Normal 4 2 2 3 2 2 3" xfId="2662" xr:uid="{00000000-0005-0000-0000-0000BF080000}"/>
    <cellStyle name="Normal 4 2 2 3 2 2 3 2" xfId="2663" xr:uid="{00000000-0005-0000-0000-0000C0080000}"/>
    <cellStyle name="Normal 4 2 2 3 2 2 3 2 2" xfId="2664" xr:uid="{00000000-0005-0000-0000-0000C1080000}"/>
    <cellStyle name="Normal 4 2 2 3 2 2 3 2 3" xfId="2665" xr:uid="{00000000-0005-0000-0000-0000C2080000}"/>
    <cellStyle name="Normal 4 2 2 3 2 2 3 3" xfId="2666" xr:uid="{00000000-0005-0000-0000-0000C3080000}"/>
    <cellStyle name="Normal 4 2 2 3 2 2 3 4" xfId="2667" xr:uid="{00000000-0005-0000-0000-0000C4080000}"/>
    <cellStyle name="Normal 4 2 2 3 2 2 3 5" xfId="2668" xr:uid="{00000000-0005-0000-0000-0000C5080000}"/>
    <cellStyle name="Normal 4 2 2 3 2 2 4" xfId="2669" xr:uid="{00000000-0005-0000-0000-0000C6080000}"/>
    <cellStyle name="Normal 4 2 2 3 2 2 4 2" xfId="2670" xr:uid="{00000000-0005-0000-0000-0000C7080000}"/>
    <cellStyle name="Normal 4 2 2 3 2 2 4 3" xfId="2671" xr:uid="{00000000-0005-0000-0000-0000C8080000}"/>
    <cellStyle name="Normal 4 2 2 3 2 2 5" xfId="2672" xr:uid="{00000000-0005-0000-0000-0000C9080000}"/>
    <cellStyle name="Normal 4 2 2 3 2 2 6" xfId="2673" xr:uid="{00000000-0005-0000-0000-0000CA080000}"/>
    <cellStyle name="Normal 4 2 2 3 2 2 7" xfId="2674" xr:uid="{00000000-0005-0000-0000-0000CB080000}"/>
    <cellStyle name="Normal 4 2 2 3 2 3" xfId="2675" xr:uid="{00000000-0005-0000-0000-0000CC080000}"/>
    <cellStyle name="Normal 4 2 2 3 2 3 2" xfId="2676" xr:uid="{00000000-0005-0000-0000-0000CD080000}"/>
    <cellStyle name="Normal 4 2 2 3 2 3 2 2" xfId="2677" xr:uid="{00000000-0005-0000-0000-0000CE080000}"/>
    <cellStyle name="Normal 4 2 2 3 2 3 2 3" xfId="2678" xr:uid="{00000000-0005-0000-0000-0000CF080000}"/>
    <cellStyle name="Normal 4 2 2 3 2 3 3" xfId="2679" xr:uid="{00000000-0005-0000-0000-0000D0080000}"/>
    <cellStyle name="Normal 4 2 2 3 2 3 4" xfId="2680" xr:uid="{00000000-0005-0000-0000-0000D1080000}"/>
    <cellStyle name="Normal 4 2 2 3 2 3 5" xfId="2681" xr:uid="{00000000-0005-0000-0000-0000D2080000}"/>
    <cellStyle name="Normal 4 2 2 3 2 4" xfId="2682" xr:uid="{00000000-0005-0000-0000-0000D3080000}"/>
    <cellStyle name="Normal 4 2 2 3 2 4 2" xfId="2683" xr:uid="{00000000-0005-0000-0000-0000D4080000}"/>
    <cellStyle name="Normal 4 2 2 3 2 4 2 2" xfId="2684" xr:uid="{00000000-0005-0000-0000-0000D5080000}"/>
    <cellStyle name="Normal 4 2 2 3 2 4 2 3" xfId="2685" xr:uid="{00000000-0005-0000-0000-0000D6080000}"/>
    <cellStyle name="Normal 4 2 2 3 2 4 3" xfId="2686" xr:uid="{00000000-0005-0000-0000-0000D7080000}"/>
    <cellStyle name="Normal 4 2 2 3 2 4 4" xfId="2687" xr:uid="{00000000-0005-0000-0000-0000D8080000}"/>
    <cellStyle name="Normal 4 2 2 3 2 4 5" xfId="2688" xr:uid="{00000000-0005-0000-0000-0000D9080000}"/>
    <cellStyle name="Normal 4 2 2 3 2 5" xfId="2689" xr:uid="{00000000-0005-0000-0000-0000DA080000}"/>
    <cellStyle name="Normal 4 2 2 3 2 5 2" xfId="2690" xr:uid="{00000000-0005-0000-0000-0000DB080000}"/>
    <cellStyle name="Normal 4 2 2 3 2 5 3" xfId="2691" xr:uid="{00000000-0005-0000-0000-0000DC080000}"/>
    <cellStyle name="Normal 4 2 2 3 2 6" xfId="2692" xr:uid="{00000000-0005-0000-0000-0000DD080000}"/>
    <cellStyle name="Normal 4 2 2 3 2 7" xfId="2693" xr:uid="{00000000-0005-0000-0000-0000DE080000}"/>
    <cellStyle name="Normal 4 2 2 3 2 8" xfId="2694" xr:uid="{00000000-0005-0000-0000-0000DF080000}"/>
    <cellStyle name="Normal 4 2 2 3 3" xfId="2695" xr:uid="{00000000-0005-0000-0000-0000E0080000}"/>
    <cellStyle name="Normal 4 2 2 3 3 2" xfId="2696" xr:uid="{00000000-0005-0000-0000-0000E1080000}"/>
    <cellStyle name="Normal 4 2 2 3 3 2 2" xfId="2697" xr:uid="{00000000-0005-0000-0000-0000E2080000}"/>
    <cellStyle name="Normal 4 2 2 3 3 2 2 2" xfId="2698" xr:uid="{00000000-0005-0000-0000-0000E3080000}"/>
    <cellStyle name="Normal 4 2 2 3 3 2 2 3" xfId="2699" xr:uid="{00000000-0005-0000-0000-0000E4080000}"/>
    <cellStyle name="Normal 4 2 2 3 3 2 3" xfId="2700" xr:uid="{00000000-0005-0000-0000-0000E5080000}"/>
    <cellStyle name="Normal 4 2 2 3 3 2 4" xfId="2701" xr:uid="{00000000-0005-0000-0000-0000E6080000}"/>
    <cellStyle name="Normal 4 2 2 3 3 2 5" xfId="2702" xr:uid="{00000000-0005-0000-0000-0000E7080000}"/>
    <cellStyle name="Normal 4 2 2 3 3 3" xfId="2703" xr:uid="{00000000-0005-0000-0000-0000E8080000}"/>
    <cellStyle name="Normal 4 2 2 3 3 3 2" xfId="2704" xr:uid="{00000000-0005-0000-0000-0000E9080000}"/>
    <cellStyle name="Normal 4 2 2 3 3 3 2 2" xfId="2705" xr:uid="{00000000-0005-0000-0000-0000EA080000}"/>
    <cellStyle name="Normal 4 2 2 3 3 3 2 3" xfId="2706" xr:uid="{00000000-0005-0000-0000-0000EB080000}"/>
    <cellStyle name="Normal 4 2 2 3 3 3 3" xfId="2707" xr:uid="{00000000-0005-0000-0000-0000EC080000}"/>
    <cellStyle name="Normal 4 2 2 3 3 3 4" xfId="2708" xr:uid="{00000000-0005-0000-0000-0000ED080000}"/>
    <cellStyle name="Normal 4 2 2 3 3 3 5" xfId="2709" xr:uid="{00000000-0005-0000-0000-0000EE080000}"/>
    <cellStyle name="Normal 4 2 2 3 3 4" xfId="2710" xr:uid="{00000000-0005-0000-0000-0000EF080000}"/>
    <cellStyle name="Normal 4 2 2 3 3 4 2" xfId="2711" xr:uid="{00000000-0005-0000-0000-0000F0080000}"/>
    <cellStyle name="Normal 4 2 2 3 3 4 3" xfId="2712" xr:uid="{00000000-0005-0000-0000-0000F1080000}"/>
    <cellStyle name="Normal 4 2 2 3 3 5" xfId="2713" xr:uid="{00000000-0005-0000-0000-0000F2080000}"/>
    <cellStyle name="Normal 4 2 2 3 3 6" xfId="2714" xr:uid="{00000000-0005-0000-0000-0000F3080000}"/>
    <cellStyle name="Normal 4 2 2 3 3 7" xfId="2715" xr:uid="{00000000-0005-0000-0000-0000F4080000}"/>
    <cellStyle name="Normal 4 2 2 3 4" xfId="2716" xr:uid="{00000000-0005-0000-0000-0000F5080000}"/>
    <cellStyle name="Normal 4 2 2 3 4 2" xfId="2717" xr:uid="{00000000-0005-0000-0000-0000F6080000}"/>
    <cellStyle name="Normal 4 2 2 3 4 2 2" xfId="2718" xr:uid="{00000000-0005-0000-0000-0000F7080000}"/>
    <cellStyle name="Normal 4 2 2 3 4 2 3" xfId="2719" xr:uid="{00000000-0005-0000-0000-0000F8080000}"/>
    <cellStyle name="Normal 4 2 2 3 4 3" xfId="2720" xr:uid="{00000000-0005-0000-0000-0000F9080000}"/>
    <cellStyle name="Normal 4 2 2 3 4 4" xfId="2721" xr:uid="{00000000-0005-0000-0000-0000FA080000}"/>
    <cellStyle name="Normal 4 2 2 3 4 5" xfId="2722" xr:uid="{00000000-0005-0000-0000-0000FB080000}"/>
    <cellStyle name="Normal 4 2 2 3 5" xfId="2723" xr:uid="{00000000-0005-0000-0000-0000FC080000}"/>
    <cellStyle name="Normal 4 2 2 3 5 2" xfId="2724" xr:uid="{00000000-0005-0000-0000-0000FD080000}"/>
    <cellStyle name="Normal 4 2 2 3 5 2 2" xfId="2725" xr:uid="{00000000-0005-0000-0000-0000FE080000}"/>
    <cellStyle name="Normal 4 2 2 3 5 2 3" xfId="2726" xr:uid="{00000000-0005-0000-0000-0000FF080000}"/>
    <cellStyle name="Normal 4 2 2 3 5 3" xfId="2727" xr:uid="{00000000-0005-0000-0000-000000090000}"/>
    <cellStyle name="Normal 4 2 2 3 5 4" xfId="2728" xr:uid="{00000000-0005-0000-0000-000001090000}"/>
    <cellStyle name="Normal 4 2 2 3 5 5" xfId="2729" xr:uid="{00000000-0005-0000-0000-000002090000}"/>
    <cellStyle name="Normal 4 2 2 3 6" xfId="2730" xr:uid="{00000000-0005-0000-0000-000003090000}"/>
    <cellStyle name="Normal 4 2 2 3 6 2" xfId="2731" xr:uid="{00000000-0005-0000-0000-000004090000}"/>
    <cellStyle name="Normal 4 2 2 3 6 3" xfId="2732" xr:uid="{00000000-0005-0000-0000-000005090000}"/>
    <cellStyle name="Normal 4 2 2 3 7" xfId="2733" xr:uid="{00000000-0005-0000-0000-000006090000}"/>
    <cellStyle name="Normal 4 2 2 3 8" xfId="2734" xr:uid="{00000000-0005-0000-0000-000007090000}"/>
    <cellStyle name="Normal 4 2 2 3 9" xfId="2735" xr:uid="{00000000-0005-0000-0000-000008090000}"/>
    <cellStyle name="Normal 4 2 2 4" xfId="2736" xr:uid="{00000000-0005-0000-0000-000009090000}"/>
    <cellStyle name="Normal 4 2 2 4 2" xfId="2737" xr:uid="{00000000-0005-0000-0000-00000A090000}"/>
    <cellStyle name="Normal 4 2 2 4 2 2" xfId="2738" xr:uid="{00000000-0005-0000-0000-00000B090000}"/>
    <cellStyle name="Normal 4 2 2 4 2 2 2" xfId="2739" xr:uid="{00000000-0005-0000-0000-00000C090000}"/>
    <cellStyle name="Normal 4 2 2 4 2 2 2 2" xfId="2740" xr:uid="{00000000-0005-0000-0000-00000D090000}"/>
    <cellStyle name="Normal 4 2 2 4 2 2 2 2 2" xfId="2741" xr:uid="{00000000-0005-0000-0000-00000E090000}"/>
    <cellStyle name="Normal 4 2 2 4 2 2 2 2 3" xfId="2742" xr:uid="{00000000-0005-0000-0000-00000F090000}"/>
    <cellStyle name="Normal 4 2 2 4 2 2 2 3" xfId="2743" xr:uid="{00000000-0005-0000-0000-000010090000}"/>
    <cellStyle name="Normal 4 2 2 4 2 2 2 4" xfId="2744" xr:uid="{00000000-0005-0000-0000-000011090000}"/>
    <cellStyle name="Normal 4 2 2 4 2 2 2 5" xfId="2745" xr:uid="{00000000-0005-0000-0000-000012090000}"/>
    <cellStyle name="Normal 4 2 2 4 2 2 3" xfId="2746" xr:uid="{00000000-0005-0000-0000-000013090000}"/>
    <cellStyle name="Normal 4 2 2 4 2 2 3 2" xfId="2747" xr:uid="{00000000-0005-0000-0000-000014090000}"/>
    <cellStyle name="Normal 4 2 2 4 2 2 3 2 2" xfId="2748" xr:uid="{00000000-0005-0000-0000-000015090000}"/>
    <cellStyle name="Normal 4 2 2 4 2 2 3 2 3" xfId="2749" xr:uid="{00000000-0005-0000-0000-000016090000}"/>
    <cellStyle name="Normal 4 2 2 4 2 2 3 3" xfId="2750" xr:uid="{00000000-0005-0000-0000-000017090000}"/>
    <cellStyle name="Normal 4 2 2 4 2 2 3 4" xfId="2751" xr:uid="{00000000-0005-0000-0000-000018090000}"/>
    <cellStyle name="Normal 4 2 2 4 2 2 3 5" xfId="2752" xr:uid="{00000000-0005-0000-0000-000019090000}"/>
    <cellStyle name="Normal 4 2 2 4 2 2 4" xfId="2753" xr:uid="{00000000-0005-0000-0000-00001A090000}"/>
    <cellStyle name="Normal 4 2 2 4 2 2 4 2" xfId="2754" xr:uid="{00000000-0005-0000-0000-00001B090000}"/>
    <cellStyle name="Normal 4 2 2 4 2 2 4 3" xfId="2755" xr:uid="{00000000-0005-0000-0000-00001C090000}"/>
    <cellStyle name="Normal 4 2 2 4 2 2 5" xfId="2756" xr:uid="{00000000-0005-0000-0000-00001D090000}"/>
    <cellStyle name="Normal 4 2 2 4 2 2 6" xfId="2757" xr:uid="{00000000-0005-0000-0000-00001E090000}"/>
    <cellStyle name="Normal 4 2 2 4 2 2 7" xfId="2758" xr:uid="{00000000-0005-0000-0000-00001F090000}"/>
    <cellStyle name="Normal 4 2 2 4 2 3" xfId="2759" xr:uid="{00000000-0005-0000-0000-000020090000}"/>
    <cellStyle name="Normal 4 2 2 4 2 3 2" xfId="2760" xr:uid="{00000000-0005-0000-0000-000021090000}"/>
    <cellStyle name="Normal 4 2 2 4 2 3 2 2" xfId="2761" xr:uid="{00000000-0005-0000-0000-000022090000}"/>
    <cellStyle name="Normal 4 2 2 4 2 3 2 3" xfId="2762" xr:uid="{00000000-0005-0000-0000-000023090000}"/>
    <cellStyle name="Normal 4 2 2 4 2 3 3" xfId="2763" xr:uid="{00000000-0005-0000-0000-000024090000}"/>
    <cellStyle name="Normal 4 2 2 4 2 3 4" xfId="2764" xr:uid="{00000000-0005-0000-0000-000025090000}"/>
    <cellStyle name="Normal 4 2 2 4 2 3 5" xfId="2765" xr:uid="{00000000-0005-0000-0000-000026090000}"/>
    <cellStyle name="Normal 4 2 2 4 2 4" xfId="2766" xr:uid="{00000000-0005-0000-0000-000027090000}"/>
    <cellStyle name="Normal 4 2 2 4 2 4 2" xfId="2767" xr:uid="{00000000-0005-0000-0000-000028090000}"/>
    <cellStyle name="Normal 4 2 2 4 2 4 2 2" xfId="2768" xr:uid="{00000000-0005-0000-0000-000029090000}"/>
    <cellStyle name="Normal 4 2 2 4 2 4 2 3" xfId="2769" xr:uid="{00000000-0005-0000-0000-00002A090000}"/>
    <cellStyle name="Normal 4 2 2 4 2 4 3" xfId="2770" xr:uid="{00000000-0005-0000-0000-00002B090000}"/>
    <cellStyle name="Normal 4 2 2 4 2 4 4" xfId="2771" xr:uid="{00000000-0005-0000-0000-00002C090000}"/>
    <cellStyle name="Normal 4 2 2 4 2 4 5" xfId="2772" xr:uid="{00000000-0005-0000-0000-00002D090000}"/>
    <cellStyle name="Normal 4 2 2 4 2 5" xfId="2773" xr:uid="{00000000-0005-0000-0000-00002E090000}"/>
    <cellStyle name="Normal 4 2 2 4 2 5 2" xfId="2774" xr:uid="{00000000-0005-0000-0000-00002F090000}"/>
    <cellStyle name="Normal 4 2 2 4 2 5 3" xfId="2775" xr:uid="{00000000-0005-0000-0000-000030090000}"/>
    <cellStyle name="Normal 4 2 2 4 2 6" xfId="2776" xr:uid="{00000000-0005-0000-0000-000031090000}"/>
    <cellStyle name="Normal 4 2 2 4 2 7" xfId="2777" xr:uid="{00000000-0005-0000-0000-000032090000}"/>
    <cellStyle name="Normal 4 2 2 4 2 8" xfId="2778" xr:uid="{00000000-0005-0000-0000-000033090000}"/>
    <cellStyle name="Normal 4 2 2 4 3" xfId="2779" xr:uid="{00000000-0005-0000-0000-000034090000}"/>
    <cellStyle name="Normal 4 2 2 4 3 2" xfId="2780" xr:uid="{00000000-0005-0000-0000-000035090000}"/>
    <cellStyle name="Normal 4 2 2 4 3 2 2" xfId="2781" xr:uid="{00000000-0005-0000-0000-000036090000}"/>
    <cellStyle name="Normal 4 2 2 4 3 2 2 2" xfId="2782" xr:uid="{00000000-0005-0000-0000-000037090000}"/>
    <cellStyle name="Normal 4 2 2 4 3 2 2 3" xfId="2783" xr:uid="{00000000-0005-0000-0000-000038090000}"/>
    <cellStyle name="Normal 4 2 2 4 3 2 3" xfId="2784" xr:uid="{00000000-0005-0000-0000-000039090000}"/>
    <cellStyle name="Normal 4 2 2 4 3 2 4" xfId="2785" xr:uid="{00000000-0005-0000-0000-00003A090000}"/>
    <cellStyle name="Normal 4 2 2 4 3 2 5" xfId="2786" xr:uid="{00000000-0005-0000-0000-00003B090000}"/>
    <cellStyle name="Normal 4 2 2 4 3 3" xfId="2787" xr:uid="{00000000-0005-0000-0000-00003C090000}"/>
    <cellStyle name="Normal 4 2 2 4 3 3 2" xfId="2788" xr:uid="{00000000-0005-0000-0000-00003D090000}"/>
    <cellStyle name="Normal 4 2 2 4 3 3 2 2" xfId="2789" xr:uid="{00000000-0005-0000-0000-00003E090000}"/>
    <cellStyle name="Normal 4 2 2 4 3 3 2 3" xfId="2790" xr:uid="{00000000-0005-0000-0000-00003F090000}"/>
    <cellStyle name="Normal 4 2 2 4 3 3 3" xfId="2791" xr:uid="{00000000-0005-0000-0000-000040090000}"/>
    <cellStyle name="Normal 4 2 2 4 3 3 4" xfId="2792" xr:uid="{00000000-0005-0000-0000-000041090000}"/>
    <cellStyle name="Normal 4 2 2 4 3 3 5" xfId="2793" xr:uid="{00000000-0005-0000-0000-000042090000}"/>
    <cellStyle name="Normal 4 2 2 4 3 4" xfId="2794" xr:uid="{00000000-0005-0000-0000-000043090000}"/>
    <cellStyle name="Normal 4 2 2 4 3 4 2" xfId="2795" xr:uid="{00000000-0005-0000-0000-000044090000}"/>
    <cellStyle name="Normal 4 2 2 4 3 4 3" xfId="2796" xr:uid="{00000000-0005-0000-0000-000045090000}"/>
    <cellStyle name="Normal 4 2 2 4 3 5" xfId="2797" xr:uid="{00000000-0005-0000-0000-000046090000}"/>
    <cellStyle name="Normal 4 2 2 4 3 6" xfId="2798" xr:uid="{00000000-0005-0000-0000-000047090000}"/>
    <cellStyle name="Normal 4 2 2 4 3 7" xfId="2799" xr:uid="{00000000-0005-0000-0000-000048090000}"/>
    <cellStyle name="Normal 4 2 2 4 4" xfId="2800" xr:uid="{00000000-0005-0000-0000-000049090000}"/>
    <cellStyle name="Normal 4 2 2 4 4 2" xfId="2801" xr:uid="{00000000-0005-0000-0000-00004A090000}"/>
    <cellStyle name="Normal 4 2 2 4 4 2 2" xfId="2802" xr:uid="{00000000-0005-0000-0000-00004B090000}"/>
    <cellStyle name="Normal 4 2 2 4 4 2 3" xfId="2803" xr:uid="{00000000-0005-0000-0000-00004C090000}"/>
    <cellStyle name="Normal 4 2 2 4 4 3" xfId="2804" xr:uid="{00000000-0005-0000-0000-00004D090000}"/>
    <cellStyle name="Normal 4 2 2 4 4 4" xfId="2805" xr:uid="{00000000-0005-0000-0000-00004E090000}"/>
    <cellStyle name="Normal 4 2 2 4 4 5" xfId="2806" xr:uid="{00000000-0005-0000-0000-00004F090000}"/>
    <cellStyle name="Normal 4 2 2 4 5" xfId="2807" xr:uid="{00000000-0005-0000-0000-000050090000}"/>
    <cellStyle name="Normal 4 2 2 4 5 2" xfId="2808" xr:uid="{00000000-0005-0000-0000-000051090000}"/>
    <cellStyle name="Normal 4 2 2 4 5 2 2" xfId="2809" xr:uid="{00000000-0005-0000-0000-000052090000}"/>
    <cellStyle name="Normal 4 2 2 4 5 2 3" xfId="2810" xr:uid="{00000000-0005-0000-0000-000053090000}"/>
    <cellStyle name="Normal 4 2 2 4 5 3" xfId="2811" xr:uid="{00000000-0005-0000-0000-000054090000}"/>
    <cellStyle name="Normal 4 2 2 4 5 4" xfId="2812" xr:uid="{00000000-0005-0000-0000-000055090000}"/>
    <cellStyle name="Normal 4 2 2 4 5 5" xfId="2813" xr:uid="{00000000-0005-0000-0000-000056090000}"/>
    <cellStyle name="Normal 4 2 2 4 6" xfId="2814" xr:uid="{00000000-0005-0000-0000-000057090000}"/>
    <cellStyle name="Normal 4 2 2 4 6 2" xfId="2815" xr:uid="{00000000-0005-0000-0000-000058090000}"/>
    <cellStyle name="Normal 4 2 2 4 6 3" xfId="2816" xr:uid="{00000000-0005-0000-0000-000059090000}"/>
    <cellStyle name="Normal 4 2 2 4 7" xfId="2817" xr:uid="{00000000-0005-0000-0000-00005A090000}"/>
    <cellStyle name="Normal 4 2 2 4 8" xfId="2818" xr:uid="{00000000-0005-0000-0000-00005B090000}"/>
    <cellStyle name="Normal 4 2 2 4 9" xfId="2819" xr:uid="{00000000-0005-0000-0000-00005C090000}"/>
    <cellStyle name="Normal 4 2 2 5" xfId="2820" xr:uid="{00000000-0005-0000-0000-00005D090000}"/>
    <cellStyle name="Normal 4 2 2 5 2" xfId="2821" xr:uid="{00000000-0005-0000-0000-00005E090000}"/>
    <cellStyle name="Normal 4 2 2 5 2 2" xfId="2822" xr:uid="{00000000-0005-0000-0000-00005F090000}"/>
    <cellStyle name="Normal 4 2 2 5 2 2 2" xfId="2823" xr:uid="{00000000-0005-0000-0000-000060090000}"/>
    <cellStyle name="Normal 4 2 2 5 2 2 2 2" xfId="2824" xr:uid="{00000000-0005-0000-0000-000061090000}"/>
    <cellStyle name="Normal 4 2 2 5 2 2 2 2 2" xfId="2825" xr:uid="{00000000-0005-0000-0000-000062090000}"/>
    <cellStyle name="Normal 4 2 2 5 2 2 2 2 3" xfId="2826" xr:uid="{00000000-0005-0000-0000-000063090000}"/>
    <cellStyle name="Normal 4 2 2 5 2 2 2 3" xfId="2827" xr:uid="{00000000-0005-0000-0000-000064090000}"/>
    <cellStyle name="Normal 4 2 2 5 2 2 2 4" xfId="2828" xr:uid="{00000000-0005-0000-0000-000065090000}"/>
    <cellStyle name="Normal 4 2 2 5 2 2 2 5" xfId="2829" xr:uid="{00000000-0005-0000-0000-000066090000}"/>
    <cellStyle name="Normal 4 2 2 5 2 2 3" xfId="2830" xr:uid="{00000000-0005-0000-0000-000067090000}"/>
    <cellStyle name="Normal 4 2 2 5 2 2 3 2" xfId="2831" xr:uid="{00000000-0005-0000-0000-000068090000}"/>
    <cellStyle name="Normal 4 2 2 5 2 2 3 2 2" xfId="2832" xr:uid="{00000000-0005-0000-0000-000069090000}"/>
    <cellStyle name="Normal 4 2 2 5 2 2 3 2 3" xfId="2833" xr:uid="{00000000-0005-0000-0000-00006A090000}"/>
    <cellStyle name="Normal 4 2 2 5 2 2 3 3" xfId="2834" xr:uid="{00000000-0005-0000-0000-00006B090000}"/>
    <cellStyle name="Normal 4 2 2 5 2 2 3 4" xfId="2835" xr:uid="{00000000-0005-0000-0000-00006C090000}"/>
    <cellStyle name="Normal 4 2 2 5 2 2 3 5" xfId="2836" xr:uid="{00000000-0005-0000-0000-00006D090000}"/>
    <cellStyle name="Normal 4 2 2 5 2 2 4" xfId="2837" xr:uid="{00000000-0005-0000-0000-00006E090000}"/>
    <cellStyle name="Normal 4 2 2 5 2 2 4 2" xfId="2838" xr:uid="{00000000-0005-0000-0000-00006F090000}"/>
    <cellStyle name="Normal 4 2 2 5 2 2 4 3" xfId="2839" xr:uid="{00000000-0005-0000-0000-000070090000}"/>
    <cellStyle name="Normal 4 2 2 5 2 2 5" xfId="2840" xr:uid="{00000000-0005-0000-0000-000071090000}"/>
    <cellStyle name="Normal 4 2 2 5 2 2 6" xfId="2841" xr:uid="{00000000-0005-0000-0000-000072090000}"/>
    <cellStyle name="Normal 4 2 2 5 2 2 7" xfId="2842" xr:uid="{00000000-0005-0000-0000-000073090000}"/>
    <cellStyle name="Normal 4 2 2 5 2 3" xfId="2843" xr:uid="{00000000-0005-0000-0000-000074090000}"/>
    <cellStyle name="Normal 4 2 2 5 2 3 2" xfId="2844" xr:uid="{00000000-0005-0000-0000-000075090000}"/>
    <cellStyle name="Normal 4 2 2 5 2 3 2 2" xfId="2845" xr:uid="{00000000-0005-0000-0000-000076090000}"/>
    <cellStyle name="Normal 4 2 2 5 2 3 2 3" xfId="2846" xr:uid="{00000000-0005-0000-0000-000077090000}"/>
    <cellStyle name="Normal 4 2 2 5 2 3 3" xfId="2847" xr:uid="{00000000-0005-0000-0000-000078090000}"/>
    <cellStyle name="Normal 4 2 2 5 2 3 4" xfId="2848" xr:uid="{00000000-0005-0000-0000-000079090000}"/>
    <cellStyle name="Normal 4 2 2 5 2 3 5" xfId="2849" xr:uid="{00000000-0005-0000-0000-00007A090000}"/>
    <cellStyle name="Normal 4 2 2 5 2 4" xfId="2850" xr:uid="{00000000-0005-0000-0000-00007B090000}"/>
    <cellStyle name="Normal 4 2 2 5 2 4 2" xfId="2851" xr:uid="{00000000-0005-0000-0000-00007C090000}"/>
    <cellStyle name="Normal 4 2 2 5 2 4 2 2" xfId="2852" xr:uid="{00000000-0005-0000-0000-00007D090000}"/>
    <cellStyle name="Normal 4 2 2 5 2 4 2 3" xfId="2853" xr:uid="{00000000-0005-0000-0000-00007E090000}"/>
    <cellStyle name="Normal 4 2 2 5 2 4 3" xfId="2854" xr:uid="{00000000-0005-0000-0000-00007F090000}"/>
    <cellStyle name="Normal 4 2 2 5 2 4 4" xfId="2855" xr:uid="{00000000-0005-0000-0000-000080090000}"/>
    <cellStyle name="Normal 4 2 2 5 2 4 5" xfId="2856" xr:uid="{00000000-0005-0000-0000-000081090000}"/>
    <cellStyle name="Normal 4 2 2 5 2 5" xfId="2857" xr:uid="{00000000-0005-0000-0000-000082090000}"/>
    <cellStyle name="Normal 4 2 2 5 2 5 2" xfId="2858" xr:uid="{00000000-0005-0000-0000-000083090000}"/>
    <cellStyle name="Normal 4 2 2 5 2 5 3" xfId="2859" xr:uid="{00000000-0005-0000-0000-000084090000}"/>
    <cellStyle name="Normal 4 2 2 5 2 6" xfId="2860" xr:uid="{00000000-0005-0000-0000-000085090000}"/>
    <cellStyle name="Normal 4 2 2 5 2 7" xfId="2861" xr:uid="{00000000-0005-0000-0000-000086090000}"/>
    <cellStyle name="Normal 4 2 2 5 2 8" xfId="2862" xr:uid="{00000000-0005-0000-0000-000087090000}"/>
    <cellStyle name="Normal 4 2 2 5 3" xfId="2863" xr:uid="{00000000-0005-0000-0000-000088090000}"/>
    <cellStyle name="Normal 4 2 2 5 3 2" xfId="2864" xr:uid="{00000000-0005-0000-0000-000089090000}"/>
    <cellStyle name="Normal 4 2 2 5 3 2 2" xfId="2865" xr:uid="{00000000-0005-0000-0000-00008A090000}"/>
    <cellStyle name="Normal 4 2 2 5 3 2 2 2" xfId="2866" xr:uid="{00000000-0005-0000-0000-00008B090000}"/>
    <cellStyle name="Normal 4 2 2 5 3 2 2 3" xfId="2867" xr:uid="{00000000-0005-0000-0000-00008C090000}"/>
    <cellStyle name="Normal 4 2 2 5 3 2 3" xfId="2868" xr:uid="{00000000-0005-0000-0000-00008D090000}"/>
    <cellStyle name="Normal 4 2 2 5 3 2 4" xfId="2869" xr:uid="{00000000-0005-0000-0000-00008E090000}"/>
    <cellStyle name="Normal 4 2 2 5 3 2 5" xfId="2870" xr:uid="{00000000-0005-0000-0000-00008F090000}"/>
    <cellStyle name="Normal 4 2 2 5 3 3" xfId="2871" xr:uid="{00000000-0005-0000-0000-000090090000}"/>
    <cellStyle name="Normal 4 2 2 5 3 3 2" xfId="2872" xr:uid="{00000000-0005-0000-0000-000091090000}"/>
    <cellStyle name="Normal 4 2 2 5 3 3 2 2" xfId="2873" xr:uid="{00000000-0005-0000-0000-000092090000}"/>
    <cellStyle name="Normal 4 2 2 5 3 3 2 3" xfId="2874" xr:uid="{00000000-0005-0000-0000-000093090000}"/>
    <cellStyle name="Normal 4 2 2 5 3 3 3" xfId="2875" xr:uid="{00000000-0005-0000-0000-000094090000}"/>
    <cellStyle name="Normal 4 2 2 5 3 3 4" xfId="2876" xr:uid="{00000000-0005-0000-0000-000095090000}"/>
    <cellStyle name="Normal 4 2 2 5 3 3 5" xfId="2877" xr:uid="{00000000-0005-0000-0000-000096090000}"/>
    <cellStyle name="Normal 4 2 2 5 3 4" xfId="2878" xr:uid="{00000000-0005-0000-0000-000097090000}"/>
    <cellStyle name="Normal 4 2 2 5 3 4 2" xfId="2879" xr:uid="{00000000-0005-0000-0000-000098090000}"/>
    <cellStyle name="Normal 4 2 2 5 3 4 3" xfId="2880" xr:uid="{00000000-0005-0000-0000-000099090000}"/>
    <cellStyle name="Normal 4 2 2 5 3 5" xfId="2881" xr:uid="{00000000-0005-0000-0000-00009A090000}"/>
    <cellStyle name="Normal 4 2 2 5 3 6" xfId="2882" xr:uid="{00000000-0005-0000-0000-00009B090000}"/>
    <cellStyle name="Normal 4 2 2 5 3 7" xfId="2883" xr:uid="{00000000-0005-0000-0000-00009C090000}"/>
    <cellStyle name="Normal 4 2 2 5 4" xfId="2884" xr:uid="{00000000-0005-0000-0000-00009D090000}"/>
    <cellStyle name="Normal 4 2 2 5 4 2" xfId="2885" xr:uid="{00000000-0005-0000-0000-00009E090000}"/>
    <cellStyle name="Normal 4 2 2 5 4 2 2" xfId="2886" xr:uid="{00000000-0005-0000-0000-00009F090000}"/>
    <cellStyle name="Normal 4 2 2 5 4 2 3" xfId="2887" xr:uid="{00000000-0005-0000-0000-0000A0090000}"/>
    <cellStyle name="Normal 4 2 2 5 4 3" xfId="2888" xr:uid="{00000000-0005-0000-0000-0000A1090000}"/>
    <cellStyle name="Normal 4 2 2 5 4 4" xfId="2889" xr:uid="{00000000-0005-0000-0000-0000A2090000}"/>
    <cellStyle name="Normal 4 2 2 5 4 5" xfId="2890" xr:uid="{00000000-0005-0000-0000-0000A3090000}"/>
    <cellStyle name="Normal 4 2 2 5 5" xfId="2891" xr:uid="{00000000-0005-0000-0000-0000A4090000}"/>
    <cellStyle name="Normal 4 2 2 5 5 2" xfId="2892" xr:uid="{00000000-0005-0000-0000-0000A5090000}"/>
    <cellStyle name="Normal 4 2 2 5 5 2 2" xfId="2893" xr:uid="{00000000-0005-0000-0000-0000A6090000}"/>
    <cellStyle name="Normal 4 2 2 5 5 2 3" xfId="2894" xr:uid="{00000000-0005-0000-0000-0000A7090000}"/>
    <cellStyle name="Normal 4 2 2 5 5 3" xfId="2895" xr:uid="{00000000-0005-0000-0000-0000A8090000}"/>
    <cellStyle name="Normal 4 2 2 5 5 4" xfId="2896" xr:uid="{00000000-0005-0000-0000-0000A9090000}"/>
    <cellStyle name="Normal 4 2 2 5 5 5" xfId="2897" xr:uid="{00000000-0005-0000-0000-0000AA090000}"/>
    <cellStyle name="Normal 4 2 2 5 6" xfId="2898" xr:uid="{00000000-0005-0000-0000-0000AB090000}"/>
    <cellStyle name="Normal 4 2 2 5 6 2" xfId="2899" xr:uid="{00000000-0005-0000-0000-0000AC090000}"/>
    <cellStyle name="Normal 4 2 2 5 6 3" xfId="2900" xr:uid="{00000000-0005-0000-0000-0000AD090000}"/>
    <cellStyle name="Normal 4 2 2 5 7" xfId="2901" xr:uid="{00000000-0005-0000-0000-0000AE090000}"/>
    <cellStyle name="Normal 4 2 2 5 8" xfId="2902" xr:uid="{00000000-0005-0000-0000-0000AF090000}"/>
    <cellStyle name="Normal 4 2 2 5 9" xfId="2903" xr:uid="{00000000-0005-0000-0000-0000B0090000}"/>
    <cellStyle name="Normal 4 2 2 6" xfId="2904" xr:uid="{00000000-0005-0000-0000-0000B1090000}"/>
    <cellStyle name="Normal 4 2 2 6 2" xfId="2905" xr:uid="{00000000-0005-0000-0000-0000B2090000}"/>
    <cellStyle name="Normal 4 2 2 6 2 2" xfId="2906" xr:uid="{00000000-0005-0000-0000-0000B3090000}"/>
    <cellStyle name="Normal 4 2 2 6 2 2 2" xfId="2907" xr:uid="{00000000-0005-0000-0000-0000B4090000}"/>
    <cellStyle name="Normal 4 2 2 6 2 2 2 2" xfId="2908" xr:uid="{00000000-0005-0000-0000-0000B5090000}"/>
    <cellStyle name="Normal 4 2 2 6 2 2 2 3" xfId="2909" xr:uid="{00000000-0005-0000-0000-0000B6090000}"/>
    <cellStyle name="Normal 4 2 2 6 2 2 3" xfId="2910" xr:uid="{00000000-0005-0000-0000-0000B7090000}"/>
    <cellStyle name="Normal 4 2 2 6 2 2 4" xfId="2911" xr:uid="{00000000-0005-0000-0000-0000B8090000}"/>
    <cellStyle name="Normal 4 2 2 6 2 2 5" xfId="2912" xr:uid="{00000000-0005-0000-0000-0000B9090000}"/>
    <cellStyle name="Normal 4 2 2 6 2 3" xfId="2913" xr:uid="{00000000-0005-0000-0000-0000BA090000}"/>
    <cellStyle name="Normal 4 2 2 6 2 3 2" xfId="2914" xr:uid="{00000000-0005-0000-0000-0000BB090000}"/>
    <cellStyle name="Normal 4 2 2 6 2 3 2 2" xfId="2915" xr:uid="{00000000-0005-0000-0000-0000BC090000}"/>
    <cellStyle name="Normal 4 2 2 6 2 3 2 3" xfId="2916" xr:uid="{00000000-0005-0000-0000-0000BD090000}"/>
    <cellStyle name="Normal 4 2 2 6 2 3 3" xfId="2917" xr:uid="{00000000-0005-0000-0000-0000BE090000}"/>
    <cellStyle name="Normal 4 2 2 6 2 3 4" xfId="2918" xr:uid="{00000000-0005-0000-0000-0000BF090000}"/>
    <cellStyle name="Normal 4 2 2 6 2 3 5" xfId="2919" xr:uid="{00000000-0005-0000-0000-0000C0090000}"/>
    <cellStyle name="Normal 4 2 2 6 2 4" xfId="2920" xr:uid="{00000000-0005-0000-0000-0000C1090000}"/>
    <cellStyle name="Normal 4 2 2 6 2 4 2" xfId="2921" xr:uid="{00000000-0005-0000-0000-0000C2090000}"/>
    <cellStyle name="Normal 4 2 2 6 2 4 3" xfId="2922" xr:uid="{00000000-0005-0000-0000-0000C3090000}"/>
    <cellStyle name="Normal 4 2 2 6 2 5" xfId="2923" xr:uid="{00000000-0005-0000-0000-0000C4090000}"/>
    <cellStyle name="Normal 4 2 2 6 2 6" xfId="2924" xr:uid="{00000000-0005-0000-0000-0000C5090000}"/>
    <cellStyle name="Normal 4 2 2 6 2 7" xfId="2925" xr:uid="{00000000-0005-0000-0000-0000C6090000}"/>
    <cellStyle name="Normal 4 2 2 6 3" xfId="2926" xr:uid="{00000000-0005-0000-0000-0000C7090000}"/>
    <cellStyle name="Normal 4 2 2 6 3 2" xfId="2927" xr:uid="{00000000-0005-0000-0000-0000C8090000}"/>
    <cellStyle name="Normal 4 2 2 6 3 2 2" xfId="2928" xr:uid="{00000000-0005-0000-0000-0000C9090000}"/>
    <cellStyle name="Normal 4 2 2 6 3 2 3" xfId="2929" xr:uid="{00000000-0005-0000-0000-0000CA090000}"/>
    <cellStyle name="Normal 4 2 2 6 3 3" xfId="2930" xr:uid="{00000000-0005-0000-0000-0000CB090000}"/>
    <cellStyle name="Normal 4 2 2 6 3 4" xfId="2931" xr:uid="{00000000-0005-0000-0000-0000CC090000}"/>
    <cellStyle name="Normal 4 2 2 6 3 5" xfId="2932" xr:uid="{00000000-0005-0000-0000-0000CD090000}"/>
    <cellStyle name="Normal 4 2 2 6 4" xfId="2933" xr:uid="{00000000-0005-0000-0000-0000CE090000}"/>
    <cellStyle name="Normal 4 2 2 6 4 2" xfId="2934" xr:uid="{00000000-0005-0000-0000-0000CF090000}"/>
    <cellStyle name="Normal 4 2 2 6 4 2 2" xfId="2935" xr:uid="{00000000-0005-0000-0000-0000D0090000}"/>
    <cellStyle name="Normal 4 2 2 6 4 2 3" xfId="2936" xr:uid="{00000000-0005-0000-0000-0000D1090000}"/>
    <cellStyle name="Normal 4 2 2 6 4 3" xfId="2937" xr:uid="{00000000-0005-0000-0000-0000D2090000}"/>
    <cellStyle name="Normal 4 2 2 6 4 4" xfId="2938" xr:uid="{00000000-0005-0000-0000-0000D3090000}"/>
    <cellStyle name="Normal 4 2 2 6 4 5" xfId="2939" xr:uid="{00000000-0005-0000-0000-0000D4090000}"/>
    <cellStyle name="Normal 4 2 2 6 5" xfId="2940" xr:uid="{00000000-0005-0000-0000-0000D5090000}"/>
    <cellStyle name="Normal 4 2 2 6 5 2" xfId="2941" xr:uid="{00000000-0005-0000-0000-0000D6090000}"/>
    <cellStyle name="Normal 4 2 2 6 5 3" xfId="2942" xr:uid="{00000000-0005-0000-0000-0000D7090000}"/>
    <cellStyle name="Normal 4 2 2 6 6" xfId="2943" xr:uid="{00000000-0005-0000-0000-0000D8090000}"/>
    <cellStyle name="Normal 4 2 2 6 7" xfId="2944" xr:uid="{00000000-0005-0000-0000-0000D9090000}"/>
    <cellStyle name="Normal 4 2 2 6 8" xfId="2945" xr:uid="{00000000-0005-0000-0000-0000DA090000}"/>
    <cellStyle name="Normal 4 2 2 7" xfId="2946" xr:uid="{00000000-0005-0000-0000-0000DB090000}"/>
    <cellStyle name="Normal 4 2 2 7 2" xfId="2947" xr:uid="{00000000-0005-0000-0000-0000DC090000}"/>
    <cellStyle name="Normal 4 2 2 7 2 2" xfId="2948" xr:uid="{00000000-0005-0000-0000-0000DD090000}"/>
    <cellStyle name="Normal 4 2 2 7 2 2 2" xfId="2949" xr:uid="{00000000-0005-0000-0000-0000DE090000}"/>
    <cellStyle name="Normal 4 2 2 7 2 2 3" xfId="2950" xr:uid="{00000000-0005-0000-0000-0000DF090000}"/>
    <cellStyle name="Normal 4 2 2 7 2 3" xfId="2951" xr:uid="{00000000-0005-0000-0000-0000E0090000}"/>
    <cellStyle name="Normal 4 2 2 7 2 4" xfId="2952" xr:uid="{00000000-0005-0000-0000-0000E1090000}"/>
    <cellStyle name="Normal 4 2 2 7 2 5" xfId="2953" xr:uid="{00000000-0005-0000-0000-0000E2090000}"/>
    <cellStyle name="Normal 4 2 2 7 3" xfId="2954" xr:uid="{00000000-0005-0000-0000-0000E3090000}"/>
    <cellStyle name="Normal 4 2 2 7 3 2" xfId="2955" xr:uid="{00000000-0005-0000-0000-0000E4090000}"/>
    <cellStyle name="Normal 4 2 2 7 3 2 2" xfId="2956" xr:uid="{00000000-0005-0000-0000-0000E5090000}"/>
    <cellStyle name="Normal 4 2 2 7 3 2 3" xfId="2957" xr:uid="{00000000-0005-0000-0000-0000E6090000}"/>
    <cellStyle name="Normal 4 2 2 7 3 3" xfId="2958" xr:uid="{00000000-0005-0000-0000-0000E7090000}"/>
    <cellStyle name="Normal 4 2 2 7 3 4" xfId="2959" xr:uid="{00000000-0005-0000-0000-0000E8090000}"/>
    <cellStyle name="Normal 4 2 2 7 3 5" xfId="2960" xr:uid="{00000000-0005-0000-0000-0000E9090000}"/>
    <cellStyle name="Normal 4 2 2 7 4" xfId="2961" xr:uid="{00000000-0005-0000-0000-0000EA090000}"/>
    <cellStyle name="Normal 4 2 2 7 4 2" xfId="2962" xr:uid="{00000000-0005-0000-0000-0000EB090000}"/>
    <cellStyle name="Normal 4 2 2 7 4 3" xfId="2963" xr:uid="{00000000-0005-0000-0000-0000EC090000}"/>
    <cellStyle name="Normal 4 2 2 7 5" xfId="2964" xr:uid="{00000000-0005-0000-0000-0000ED090000}"/>
    <cellStyle name="Normal 4 2 2 7 6" xfId="2965" xr:uid="{00000000-0005-0000-0000-0000EE090000}"/>
    <cellStyle name="Normal 4 2 2 7 7" xfId="2966" xr:uid="{00000000-0005-0000-0000-0000EF090000}"/>
    <cellStyle name="Normal 4 2 2 8" xfId="2967" xr:uid="{00000000-0005-0000-0000-0000F0090000}"/>
    <cellStyle name="Normal 4 2 2 8 2" xfId="2968" xr:uid="{00000000-0005-0000-0000-0000F1090000}"/>
    <cellStyle name="Normal 4 2 2 8 2 2" xfId="2969" xr:uid="{00000000-0005-0000-0000-0000F2090000}"/>
    <cellStyle name="Normal 4 2 2 8 2 2 2" xfId="2970" xr:uid="{00000000-0005-0000-0000-0000F3090000}"/>
    <cellStyle name="Normal 4 2 2 8 2 2 3" xfId="2971" xr:uid="{00000000-0005-0000-0000-0000F4090000}"/>
    <cellStyle name="Normal 4 2 2 8 2 3" xfId="2972" xr:uid="{00000000-0005-0000-0000-0000F5090000}"/>
    <cellStyle name="Normal 4 2 2 8 2 4" xfId="2973" xr:uid="{00000000-0005-0000-0000-0000F6090000}"/>
    <cellStyle name="Normal 4 2 2 8 2 5" xfId="2974" xr:uid="{00000000-0005-0000-0000-0000F7090000}"/>
    <cellStyle name="Normal 4 2 2 8 3" xfId="2975" xr:uid="{00000000-0005-0000-0000-0000F8090000}"/>
    <cellStyle name="Normal 4 2 2 8 3 2" xfId="2976" xr:uid="{00000000-0005-0000-0000-0000F9090000}"/>
    <cellStyle name="Normal 4 2 2 8 3 2 2" xfId="2977" xr:uid="{00000000-0005-0000-0000-0000FA090000}"/>
    <cellStyle name="Normal 4 2 2 8 3 2 3" xfId="2978" xr:uid="{00000000-0005-0000-0000-0000FB090000}"/>
    <cellStyle name="Normal 4 2 2 8 3 3" xfId="2979" xr:uid="{00000000-0005-0000-0000-0000FC090000}"/>
    <cellStyle name="Normal 4 2 2 8 3 4" xfId="2980" xr:uid="{00000000-0005-0000-0000-0000FD090000}"/>
    <cellStyle name="Normal 4 2 2 8 3 5" xfId="2981" xr:uid="{00000000-0005-0000-0000-0000FE090000}"/>
    <cellStyle name="Normal 4 2 2 8 4" xfId="2982" xr:uid="{00000000-0005-0000-0000-0000FF090000}"/>
    <cellStyle name="Normal 4 2 2 8 4 2" xfId="2983" xr:uid="{00000000-0005-0000-0000-0000000A0000}"/>
    <cellStyle name="Normal 4 2 2 8 4 3" xfId="2984" xr:uid="{00000000-0005-0000-0000-0000010A0000}"/>
    <cellStyle name="Normal 4 2 2 8 5" xfId="2985" xr:uid="{00000000-0005-0000-0000-0000020A0000}"/>
    <cellStyle name="Normal 4 2 2 8 6" xfId="2986" xr:uid="{00000000-0005-0000-0000-0000030A0000}"/>
    <cellStyle name="Normal 4 2 2 8 7" xfId="2987" xr:uid="{00000000-0005-0000-0000-0000040A0000}"/>
    <cellStyle name="Normal 4 2 2 9" xfId="2988" xr:uid="{00000000-0005-0000-0000-0000050A0000}"/>
    <cellStyle name="Normal 4 2 2 9 2" xfId="2989" xr:uid="{00000000-0005-0000-0000-0000060A0000}"/>
    <cellStyle name="Normal 4 2 2 9 2 2" xfId="2990" xr:uid="{00000000-0005-0000-0000-0000070A0000}"/>
    <cellStyle name="Normal 4 2 2 9 2 3" xfId="2991" xr:uid="{00000000-0005-0000-0000-0000080A0000}"/>
    <cellStyle name="Normal 4 2 2 9 3" xfId="2992" xr:uid="{00000000-0005-0000-0000-0000090A0000}"/>
    <cellStyle name="Normal 4 2 2 9 4" xfId="2993" xr:uid="{00000000-0005-0000-0000-00000A0A0000}"/>
    <cellStyle name="Normal 4 2 2 9 5" xfId="2994" xr:uid="{00000000-0005-0000-0000-00000B0A0000}"/>
    <cellStyle name="Normal 4 2 3" xfId="2995" xr:uid="{00000000-0005-0000-0000-00000C0A0000}"/>
    <cellStyle name="Normal 4 2 3 10" xfId="2996" xr:uid="{00000000-0005-0000-0000-00000D0A0000}"/>
    <cellStyle name="Normal 4 2 3 10 2" xfId="2997" xr:uid="{00000000-0005-0000-0000-00000E0A0000}"/>
    <cellStyle name="Normal 4 2 3 10 2 2" xfId="2998" xr:uid="{00000000-0005-0000-0000-00000F0A0000}"/>
    <cellStyle name="Normal 4 2 3 10 2 3" xfId="2999" xr:uid="{00000000-0005-0000-0000-0000100A0000}"/>
    <cellStyle name="Normal 4 2 3 10 3" xfId="3000" xr:uid="{00000000-0005-0000-0000-0000110A0000}"/>
    <cellStyle name="Normal 4 2 3 10 4" xfId="3001" xr:uid="{00000000-0005-0000-0000-0000120A0000}"/>
    <cellStyle name="Normal 4 2 3 10 5" xfId="3002" xr:uid="{00000000-0005-0000-0000-0000130A0000}"/>
    <cellStyle name="Normal 4 2 3 11" xfId="3003" xr:uid="{00000000-0005-0000-0000-0000140A0000}"/>
    <cellStyle name="Normal 4 2 3 11 2" xfId="3004" xr:uid="{00000000-0005-0000-0000-0000150A0000}"/>
    <cellStyle name="Normal 4 2 3 11 3" xfId="3005" xr:uid="{00000000-0005-0000-0000-0000160A0000}"/>
    <cellStyle name="Normal 4 2 3 12" xfId="3006" xr:uid="{00000000-0005-0000-0000-0000170A0000}"/>
    <cellStyle name="Normal 4 2 3 13" xfId="3007" xr:uid="{00000000-0005-0000-0000-0000180A0000}"/>
    <cellStyle name="Normal 4 2 3 14" xfId="3008" xr:uid="{00000000-0005-0000-0000-0000190A0000}"/>
    <cellStyle name="Normal 4 2 3 2" xfId="3009" xr:uid="{00000000-0005-0000-0000-00001A0A0000}"/>
    <cellStyle name="Normal 4 2 3 2 10" xfId="3010" xr:uid="{00000000-0005-0000-0000-00001B0A0000}"/>
    <cellStyle name="Normal 4 2 3 2 11" xfId="3011" xr:uid="{00000000-0005-0000-0000-00001C0A0000}"/>
    <cellStyle name="Normal 4 2 3 2 12" xfId="3012" xr:uid="{00000000-0005-0000-0000-00001D0A0000}"/>
    <cellStyle name="Normal 4 2 3 2 2" xfId="3013" xr:uid="{00000000-0005-0000-0000-00001E0A0000}"/>
    <cellStyle name="Normal 4 2 3 2 2 2" xfId="3014" xr:uid="{00000000-0005-0000-0000-00001F0A0000}"/>
    <cellStyle name="Normal 4 2 3 2 2 2 2" xfId="3015" xr:uid="{00000000-0005-0000-0000-0000200A0000}"/>
    <cellStyle name="Normal 4 2 3 2 2 2 2 2" xfId="3016" xr:uid="{00000000-0005-0000-0000-0000210A0000}"/>
    <cellStyle name="Normal 4 2 3 2 2 2 2 2 2" xfId="3017" xr:uid="{00000000-0005-0000-0000-0000220A0000}"/>
    <cellStyle name="Normal 4 2 3 2 2 2 2 2 2 2" xfId="3018" xr:uid="{00000000-0005-0000-0000-0000230A0000}"/>
    <cellStyle name="Normal 4 2 3 2 2 2 2 2 2 3" xfId="3019" xr:uid="{00000000-0005-0000-0000-0000240A0000}"/>
    <cellStyle name="Normal 4 2 3 2 2 2 2 2 3" xfId="3020" xr:uid="{00000000-0005-0000-0000-0000250A0000}"/>
    <cellStyle name="Normal 4 2 3 2 2 2 2 2 4" xfId="3021" xr:uid="{00000000-0005-0000-0000-0000260A0000}"/>
    <cellStyle name="Normal 4 2 3 2 2 2 2 2 5" xfId="3022" xr:uid="{00000000-0005-0000-0000-0000270A0000}"/>
    <cellStyle name="Normal 4 2 3 2 2 2 2 3" xfId="3023" xr:uid="{00000000-0005-0000-0000-0000280A0000}"/>
    <cellStyle name="Normal 4 2 3 2 2 2 2 3 2" xfId="3024" xr:uid="{00000000-0005-0000-0000-0000290A0000}"/>
    <cellStyle name="Normal 4 2 3 2 2 2 2 3 2 2" xfId="3025" xr:uid="{00000000-0005-0000-0000-00002A0A0000}"/>
    <cellStyle name="Normal 4 2 3 2 2 2 2 3 2 3" xfId="3026" xr:uid="{00000000-0005-0000-0000-00002B0A0000}"/>
    <cellStyle name="Normal 4 2 3 2 2 2 2 3 3" xfId="3027" xr:uid="{00000000-0005-0000-0000-00002C0A0000}"/>
    <cellStyle name="Normal 4 2 3 2 2 2 2 3 4" xfId="3028" xr:uid="{00000000-0005-0000-0000-00002D0A0000}"/>
    <cellStyle name="Normal 4 2 3 2 2 2 2 3 5" xfId="3029" xr:uid="{00000000-0005-0000-0000-00002E0A0000}"/>
    <cellStyle name="Normal 4 2 3 2 2 2 2 4" xfId="3030" xr:uid="{00000000-0005-0000-0000-00002F0A0000}"/>
    <cellStyle name="Normal 4 2 3 2 2 2 2 4 2" xfId="3031" xr:uid="{00000000-0005-0000-0000-0000300A0000}"/>
    <cellStyle name="Normal 4 2 3 2 2 2 2 4 3" xfId="3032" xr:uid="{00000000-0005-0000-0000-0000310A0000}"/>
    <cellStyle name="Normal 4 2 3 2 2 2 2 5" xfId="3033" xr:uid="{00000000-0005-0000-0000-0000320A0000}"/>
    <cellStyle name="Normal 4 2 3 2 2 2 2 6" xfId="3034" xr:uid="{00000000-0005-0000-0000-0000330A0000}"/>
    <cellStyle name="Normal 4 2 3 2 2 2 2 7" xfId="3035" xr:uid="{00000000-0005-0000-0000-0000340A0000}"/>
    <cellStyle name="Normal 4 2 3 2 2 2 3" xfId="3036" xr:uid="{00000000-0005-0000-0000-0000350A0000}"/>
    <cellStyle name="Normal 4 2 3 2 2 2 3 2" xfId="3037" xr:uid="{00000000-0005-0000-0000-0000360A0000}"/>
    <cellStyle name="Normal 4 2 3 2 2 2 3 2 2" xfId="3038" xr:uid="{00000000-0005-0000-0000-0000370A0000}"/>
    <cellStyle name="Normal 4 2 3 2 2 2 3 2 3" xfId="3039" xr:uid="{00000000-0005-0000-0000-0000380A0000}"/>
    <cellStyle name="Normal 4 2 3 2 2 2 3 3" xfId="3040" xr:uid="{00000000-0005-0000-0000-0000390A0000}"/>
    <cellStyle name="Normal 4 2 3 2 2 2 3 4" xfId="3041" xr:uid="{00000000-0005-0000-0000-00003A0A0000}"/>
    <cellStyle name="Normal 4 2 3 2 2 2 3 5" xfId="3042" xr:uid="{00000000-0005-0000-0000-00003B0A0000}"/>
    <cellStyle name="Normal 4 2 3 2 2 2 4" xfId="3043" xr:uid="{00000000-0005-0000-0000-00003C0A0000}"/>
    <cellStyle name="Normal 4 2 3 2 2 2 4 2" xfId="3044" xr:uid="{00000000-0005-0000-0000-00003D0A0000}"/>
    <cellStyle name="Normal 4 2 3 2 2 2 4 2 2" xfId="3045" xr:uid="{00000000-0005-0000-0000-00003E0A0000}"/>
    <cellStyle name="Normal 4 2 3 2 2 2 4 2 3" xfId="3046" xr:uid="{00000000-0005-0000-0000-00003F0A0000}"/>
    <cellStyle name="Normal 4 2 3 2 2 2 4 3" xfId="3047" xr:uid="{00000000-0005-0000-0000-0000400A0000}"/>
    <cellStyle name="Normal 4 2 3 2 2 2 4 4" xfId="3048" xr:uid="{00000000-0005-0000-0000-0000410A0000}"/>
    <cellStyle name="Normal 4 2 3 2 2 2 4 5" xfId="3049" xr:uid="{00000000-0005-0000-0000-0000420A0000}"/>
    <cellStyle name="Normal 4 2 3 2 2 2 5" xfId="3050" xr:uid="{00000000-0005-0000-0000-0000430A0000}"/>
    <cellStyle name="Normal 4 2 3 2 2 2 5 2" xfId="3051" xr:uid="{00000000-0005-0000-0000-0000440A0000}"/>
    <cellStyle name="Normal 4 2 3 2 2 2 5 3" xfId="3052" xr:uid="{00000000-0005-0000-0000-0000450A0000}"/>
    <cellStyle name="Normal 4 2 3 2 2 2 6" xfId="3053" xr:uid="{00000000-0005-0000-0000-0000460A0000}"/>
    <cellStyle name="Normal 4 2 3 2 2 2 7" xfId="3054" xr:uid="{00000000-0005-0000-0000-0000470A0000}"/>
    <cellStyle name="Normal 4 2 3 2 2 2 8" xfId="3055" xr:uid="{00000000-0005-0000-0000-0000480A0000}"/>
    <cellStyle name="Normal 4 2 3 2 2 3" xfId="3056" xr:uid="{00000000-0005-0000-0000-0000490A0000}"/>
    <cellStyle name="Normal 4 2 3 2 2 3 2" xfId="3057" xr:uid="{00000000-0005-0000-0000-00004A0A0000}"/>
    <cellStyle name="Normal 4 2 3 2 2 3 2 2" xfId="3058" xr:uid="{00000000-0005-0000-0000-00004B0A0000}"/>
    <cellStyle name="Normal 4 2 3 2 2 3 2 2 2" xfId="3059" xr:uid="{00000000-0005-0000-0000-00004C0A0000}"/>
    <cellStyle name="Normal 4 2 3 2 2 3 2 2 3" xfId="3060" xr:uid="{00000000-0005-0000-0000-00004D0A0000}"/>
    <cellStyle name="Normal 4 2 3 2 2 3 2 3" xfId="3061" xr:uid="{00000000-0005-0000-0000-00004E0A0000}"/>
    <cellStyle name="Normal 4 2 3 2 2 3 2 4" xfId="3062" xr:uid="{00000000-0005-0000-0000-00004F0A0000}"/>
    <cellStyle name="Normal 4 2 3 2 2 3 2 5" xfId="3063" xr:uid="{00000000-0005-0000-0000-0000500A0000}"/>
    <cellStyle name="Normal 4 2 3 2 2 3 3" xfId="3064" xr:uid="{00000000-0005-0000-0000-0000510A0000}"/>
    <cellStyle name="Normal 4 2 3 2 2 3 3 2" xfId="3065" xr:uid="{00000000-0005-0000-0000-0000520A0000}"/>
    <cellStyle name="Normal 4 2 3 2 2 3 3 2 2" xfId="3066" xr:uid="{00000000-0005-0000-0000-0000530A0000}"/>
    <cellStyle name="Normal 4 2 3 2 2 3 3 2 3" xfId="3067" xr:uid="{00000000-0005-0000-0000-0000540A0000}"/>
    <cellStyle name="Normal 4 2 3 2 2 3 3 3" xfId="3068" xr:uid="{00000000-0005-0000-0000-0000550A0000}"/>
    <cellStyle name="Normal 4 2 3 2 2 3 3 4" xfId="3069" xr:uid="{00000000-0005-0000-0000-0000560A0000}"/>
    <cellStyle name="Normal 4 2 3 2 2 3 3 5" xfId="3070" xr:uid="{00000000-0005-0000-0000-0000570A0000}"/>
    <cellStyle name="Normal 4 2 3 2 2 3 4" xfId="3071" xr:uid="{00000000-0005-0000-0000-0000580A0000}"/>
    <cellStyle name="Normal 4 2 3 2 2 3 4 2" xfId="3072" xr:uid="{00000000-0005-0000-0000-0000590A0000}"/>
    <cellStyle name="Normal 4 2 3 2 2 3 4 3" xfId="3073" xr:uid="{00000000-0005-0000-0000-00005A0A0000}"/>
    <cellStyle name="Normal 4 2 3 2 2 3 5" xfId="3074" xr:uid="{00000000-0005-0000-0000-00005B0A0000}"/>
    <cellStyle name="Normal 4 2 3 2 2 3 6" xfId="3075" xr:uid="{00000000-0005-0000-0000-00005C0A0000}"/>
    <cellStyle name="Normal 4 2 3 2 2 3 7" xfId="3076" xr:uid="{00000000-0005-0000-0000-00005D0A0000}"/>
    <cellStyle name="Normal 4 2 3 2 2 4" xfId="3077" xr:uid="{00000000-0005-0000-0000-00005E0A0000}"/>
    <cellStyle name="Normal 4 2 3 2 2 4 2" xfId="3078" xr:uid="{00000000-0005-0000-0000-00005F0A0000}"/>
    <cellStyle name="Normal 4 2 3 2 2 4 2 2" xfId="3079" xr:uid="{00000000-0005-0000-0000-0000600A0000}"/>
    <cellStyle name="Normal 4 2 3 2 2 4 2 3" xfId="3080" xr:uid="{00000000-0005-0000-0000-0000610A0000}"/>
    <cellStyle name="Normal 4 2 3 2 2 4 3" xfId="3081" xr:uid="{00000000-0005-0000-0000-0000620A0000}"/>
    <cellStyle name="Normal 4 2 3 2 2 4 4" xfId="3082" xr:uid="{00000000-0005-0000-0000-0000630A0000}"/>
    <cellStyle name="Normal 4 2 3 2 2 4 5" xfId="3083" xr:uid="{00000000-0005-0000-0000-0000640A0000}"/>
    <cellStyle name="Normal 4 2 3 2 2 5" xfId="3084" xr:uid="{00000000-0005-0000-0000-0000650A0000}"/>
    <cellStyle name="Normal 4 2 3 2 2 5 2" xfId="3085" xr:uid="{00000000-0005-0000-0000-0000660A0000}"/>
    <cellStyle name="Normal 4 2 3 2 2 5 2 2" xfId="3086" xr:uid="{00000000-0005-0000-0000-0000670A0000}"/>
    <cellStyle name="Normal 4 2 3 2 2 5 2 3" xfId="3087" xr:uid="{00000000-0005-0000-0000-0000680A0000}"/>
    <cellStyle name="Normal 4 2 3 2 2 5 3" xfId="3088" xr:uid="{00000000-0005-0000-0000-0000690A0000}"/>
    <cellStyle name="Normal 4 2 3 2 2 5 4" xfId="3089" xr:uid="{00000000-0005-0000-0000-00006A0A0000}"/>
    <cellStyle name="Normal 4 2 3 2 2 5 5" xfId="3090" xr:uid="{00000000-0005-0000-0000-00006B0A0000}"/>
    <cellStyle name="Normal 4 2 3 2 2 6" xfId="3091" xr:uid="{00000000-0005-0000-0000-00006C0A0000}"/>
    <cellStyle name="Normal 4 2 3 2 2 6 2" xfId="3092" xr:uid="{00000000-0005-0000-0000-00006D0A0000}"/>
    <cellStyle name="Normal 4 2 3 2 2 6 3" xfId="3093" xr:uid="{00000000-0005-0000-0000-00006E0A0000}"/>
    <cellStyle name="Normal 4 2 3 2 2 7" xfId="3094" xr:uid="{00000000-0005-0000-0000-00006F0A0000}"/>
    <cellStyle name="Normal 4 2 3 2 2 8" xfId="3095" xr:uid="{00000000-0005-0000-0000-0000700A0000}"/>
    <cellStyle name="Normal 4 2 3 2 2 9" xfId="3096" xr:uid="{00000000-0005-0000-0000-0000710A0000}"/>
    <cellStyle name="Normal 4 2 3 2 3" xfId="3097" xr:uid="{00000000-0005-0000-0000-0000720A0000}"/>
    <cellStyle name="Normal 4 2 3 2 3 2" xfId="3098" xr:uid="{00000000-0005-0000-0000-0000730A0000}"/>
    <cellStyle name="Normal 4 2 3 2 3 2 2" xfId="3099" xr:uid="{00000000-0005-0000-0000-0000740A0000}"/>
    <cellStyle name="Normal 4 2 3 2 3 2 2 2" xfId="3100" xr:uid="{00000000-0005-0000-0000-0000750A0000}"/>
    <cellStyle name="Normal 4 2 3 2 3 2 2 2 2" xfId="3101" xr:uid="{00000000-0005-0000-0000-0000760A0000}"/>
    <cellStyle name="Normal 4 2 3 2 3 2 2 2 2 2" xfId="3102" xr:uid="{00000000-0005-0000-0000-0000770A0000}"/>
    <cellStyle name="Normal 4 2 3 2 3 2 2 2 2 3" xfId="3103" xr:uid="{00000000-0005-0000-0000-0000780A0000}"/>
    <cellStyle name="Normal 4 2 3 2 3 2 2 2 3" xfId="3104" xr:uid="{00000000-0005-0000-0000-0000790A0000}"/>
    <cellStyle name="Normal 4 2 3 2 3 2 2 2 4" xfId="3105" xr:uid="{00000000-0005-0000-0000-00007A0A0000}"/>
    <cellStyle name="Normal 4 2 3 2 3 2 2 2 5" xfId="3106" xr:uid="{00000000-0005-0000-0000-00007B0A0000}"/>
    <cellStyle name="Normal 4 2 3 2 3 2 2 3" xfId="3107" xr:uid="{00000000-0005-0000-0000-00007C0A0000}"/>
    <cellStyle name="Normal 4 2 3 2 3 2 2 3 2" xfId="3108" xr:uid="{00000000-0005-0000-0000-00007D0A0000}"/>
    <cellStyle name="Normal 4 2 3 2 3 2 2 3 2 2" xfId="3109" xr:uid="{00000000-0005-0000-0000-00007E0A0000}"/>
    <cellStyle name="Normal 4 2 3 2 3 2 2 3 2 3" xfId="3110" xr:uid="{00000000-0005-0000-0000-00007F0A0000}"/>
    <cellStyle name="Normal 4 2 3 2 3 2 2 3 3" xfId="3111" xr:uid="{00000000-0005-0000-0000-0000800A0000}"/>
    <cellStyle name="Normal 4 2 3 2 3 2 2 3 4" xfId="3112" xr:uid="{00000000-0005-0000-0000-0000810A0000}"/>
    <cellStyle name="Normal 4 2 3 2 3 2 2 3 5" xfId="3113" xr:uid="{00000000-0005-0000-0000-0000820A0000}"/>
    <cellStyle name="Normal 4 2 3 2 3 2 2 4" xfId="3114" xr:uid="{00000000-0005-0000-0000-0000830A0000}"/>
    <cellStyle name="Normal 4 2 3 2 3 2 2 4 2" xfId="3115" xr:uid="{00000000-0005-0000-0000-0000840A0000}"/>
    <cellStyle name="Normal 4 2 3 2 3 2 2 4 3" xfId="3116" xr:uid="{00000000-0005-0000-0000-0000850A0000}"/>
    <cellStyle name="Normal 4 2 3 2 3 2 2 5" xfId="3117" xr:uid="{00000000-0005-0000-0000-0000860A0000}"/>
    <cellStyle name="Normal 4 2 3 2 3 2 2 6" xfId="3118" xr:uid="{00000000-0005-0000-0000-0000870A0000}"/>
    <cellStyle name="Normal 4 2 3 2 3 2 2 7" xfId="3119" xr:uid="{00000000-0005-0000-0000-0000880A0000}"/>
    <cellStyle name="Normal 4 2 3 2 3 2 3" xfId="3120" xr:uid="{00000000-0005-0000-0000-0000890A0000}"/>
    <cellStyle name="Normal 4 2 3 2 3 2 3 2" xfId="3121" xr:uid="{00000000-0005-0000-0000-00008A0A0000}"/>
    <cellStyle name="Normal 4 2 3 2 3 2 3 2 2" xfId="3122" xr:uid="{00000000-0005-0000-0000-00008B0A0000}"/>
    <cellStyle name="Normal 4 2 3 2 3 2 3 2 3" xfId="3123" xr:uid="{00000000-0005-0000-0000-00008C0A0000}"/>
    <cellStyle name="Normal 4 2 3 2 3 2 3 3" xfId="3124" xr:uid="{00000000-0005-0000-0000-00008D0A0000}"/>
    <cellStyle name="Normal 4 2 3 2 3 2 3 4" xfId="3125" xr:uid="{00000000-0005-0000-0000-00008E0A0000}"/>
    <cellStyle name="Normal 4 2 3 2 3 2 3 5" xfId="3126" xr:uid="{00000000-0005-0000-0000-00008F0A0000}"/>
    <cellStyle name="Normal 4 2 3 2 3 2 4" xfId="3127" xr:uid="{00000000-0005-0000-0000-0000900A0000}"/>
    <cellStyle name="Normal 4 2 3 2 3 2 4 2" xfId="3128" xr:uid="{00000000-0005-0000-0000-0000910A0000}"/>
    <cellStyle name="Normal 4 2 3 2 3 2 4 2 2" xfId="3129" xr:uid="{00000000-0005-0000-0000-0000920A0000}"/>
    <cellStyle name="Normal 4 2 3 2 3 2 4 2 3" xfId="3130" xr:uid="{00000000-0005-0000-0000-0000930A0000}"/>
    <cellStyle name="Normal 4 2 3 2 3 2 4 3" xfId="3131" xr:uid="{00000000-0005-0000-0000-0000940A0000}"/>
    <cellStyle name="Normal 4 2 3 2 3 2 4 4" xfId="3132" xr:uid="{00000000-0005-0000-0000-0000950A0000}"/>
    <cellStyle name="Normal 4 2 3 2 3 2 4 5" xfId="3133" xr:uid="{00000000-0005-0000-0000-0000960A0000}"/>
    <cellStyle name="Normal 4 2 3 2 3 2 5" xfId="3134" xr:uid="{00000000-0005-0000-0000-0000970A0000}"/>
    <cellStyle name="Normal 4 2 3 2 3 2 5 2" xfId="3135" xr:uid="{00000000-0005-0000-0000-0000980A0000}"/>
    <cellStyle name="Normal 4 2 3 2 3 2 5 3" xfId="3136" xr:uid="{00000000-0005-0000-0000-0000990A0000}"/>
    <cellStyle name="Normal 4 2 3 2 3 2 6" xfId="3137" xr:uid="{00000000-0005-0000-0000-00009A0A0000}"/>
    <cellStyle name="Normal 4 2 3 2 3 2 7" xfId="3138" xr:uid="{00000000-0005-0000-0000-00009B0A0000}"/>
    <cellStyle name="Normal 4 2 3 2 3 2 8" xfId="3139" xr:uid="{00000000-0005-0000-0000-00009C0A0000}"/>
    <cellStyle name="Normal 4 2 3 2 3 3" xfId="3140" xr:uid="{00000000-0005-0000-0000-00009D0A0000}"/>
    <cellStyle name="Normal 4 2 3 2 3 3 2" xfId="3141" xr:uid="{00000000-0005-0000-0000-00009E0A0000}"/>
    <cellStyle name="Normal 4 2 3 2 3 3 2 2" xfId="3142" xr:uid="{00000000-0005-0000-0000-00009F0A0000}"/>
    <cellStyle name="Normal 4 2 3 2 3 3 2 2 2" xfId="3143" xr:uid="{00000000-0005-0000-0000-0000A00A0000}"/>
    <cellStyle name="Normal 4 2 3 2 3 3 2 2 3" xfId="3144" xr:uid="{00000000-0005-0000-0000-0000A10A0000}"/>
    <cellStyle name="Normal 4 2 3 2 3 3 2 3" xfId="3145" xr:uid="{00000000-0005-0000-0000-0000A20A0000}"/>
    <cellStyle name="Normal 4 2 3 2 3 3 2 4" xfId="3146" xr:uid="{00000000-0005-0000-0000-0000A30A0000}"/>
    <cellStyle name="Normal 4 2 3 2 3 3 2 5" xfId="3147" xr:uid="{00000000-0005-0000-0000-0000A40A0000}"/>
    <cellStyle name="Normal 4 2 3 2 3 3 3" xfId="3148" xr:uid="{00000000-0005-0000-0000-0000A50A0000}"/>
    <cellStyle name="Normal 4 2 3 2 3 3 3 2" xfId="3149" xr:uid="{00000000-0005-0000-0000-0000A60A0000}"/>
    <cellStyle name="Normal 4 2 3 2 3 3 3 2 2" xfId="3150" xr:uid="{00000000-0005-0000-0000-0000A70A0000}"/>
    <cellStyle name="Normal 4 2 3 2 3 3 3 2 3" xfId="3151" xr:uid="{00000000-0005-0000-0000-0000A80A0000}"/>
    <cellStyle name="Normal 4 2 3 2 3 3 3 3" xfId="3152" xr:uid="{00000000-0005-0000-0000-0000A90A0000}"/>
    <cellStyle name="Normal 4 2 3 2 3 3 3 4" xfId="3153" xr:uid="{00000000-0005-0000-0000-0000AA0A0000}"/>
    <cellStyle name="Normal 4 2 3 2 3 3 3 5" xfId="3154" xr:uid="{00000000-0005-0000-0000-0000AB0A0000}"/>
    <cellStyle name="Normal 4 2 3 2 3 3 4" xfId="3155" xr:uid="{00000000-0005-0000-0000-0000AC0A0000}"/>
    <cellStyle name="Normal 4 2 3 2 3 3 4 2" xfId="3156" xr:uid="{00000000-0005-0000-0000-0000AD0A0000}"/>
    <cellStyle name="Normal 4 2 3 2 3 3 4 3" xfId="3157" xr:uid="{00000000-0005-0000-0000-0000AE0A0000}"/>
    <cellStyle name="Normal 4 2 3 2 3 3 5" xfId="3158" xr:uid="{00000000-0005-0000-0000-0000AF0A0000}"/>
    <cellStyle name="Normal 4 2 3 2 3 3 6" xfId="3159" xr:uid="{00000000-0005-0000-0000-0000B00A0000}"/>
    <cellStyle name="Normal 4 2 3 2 3 3 7" xfId="3160" xr:uid="{00000000-0005-0000-0000-0000B10A0000}"/>
    <cellStyle name="Normal 4 2 3 2 3 4" xfId="3161" xr:uid="{00000000-0005-0000-0000-0000B20A0000}"/>
    <cellStyle name="Normal 4 2 3 2 3 4 2" xfId="3162" xr:uid="{00000000-0005-0000-0000-0000B30A0000}"/>
    <cellStyle name="Normal 4 2 3 2 3 4 2 2" xfId="3163" xr:uid="{00000000-0005-0000-0000-0000B40A0000}"/>
    <cellStyle name="Normal 4 2 3 2 3 4 2 3" xfId="3164" xr:uid="{00000000-0005-0000-0000-0000B50A0000}"/>
    <cellStyle name="Normal 4 2 3 2 3 4 3" xfId="3165" xr:uid="{00000000-0005-0000-0000-0000B60A0000}"/>
    <cellStyle name="Normal 4 2 3 2 3 4 4" xfId="3166" xr:uid="{00000000-0005-0000-0000-0000B70A0000}"/>
    <cellStyle name="Normal 4 2 3 2 3 4 5" xfId="3167" xr:uid="{00000000-0005-0000-0000-0000B80A0000}"/>
    <cellStyle name="Normal 4 2 3 2 3 5" xfId="3168" xr:uid="{00000000-0005-0000-0000-0000B90A0000}"/>
    <cellStyle name="Normal 4 2 3 2 3 5 2" xfId="3169" xr:uid="{00000000-0005-0000-0000-0000BA0A0000}"/>
    <cellStyle name="Normal 4 2 3 2 3 5 2 2" xfId="3170" xr:uid="{00000000-0005-0000-0000-0000BB0A0000}"/>
    <cellStyle name="Normal 4 2 3 2 3 5 2 3" xfId="3171" xr:uid="{00000000-0005-0000-0000-0000BC0A0000}"/>
    <cellStyle name="Normal 4 2 3 2 3 5 3" xfId="3172" xr:uid="{00000000-0005-0000-0000-0000BD0A0000}"/>
    <cellStyle name="Normal 4 2 3 2 3 5 4" xfId="3173" xr:uid="{00000000-0005-0000-0000-0000BE0A0000}"/>
    <cellStyle name="Normal 4 2 3 2 3 5 5" xfId="3174" xr:uid="{00000000-0005-0000-0000-0000BF0A0000}"/>
    <cellStyle name="Normal 4 2 3 2 3 6" xfId="3175" xr:uid="{00000000-0005-0000-0000-0000C00A0000}"/>
    <cellStyle name="Normal 4 2 3 2 3 6 2" xfId="3176" xr:uid="{00000000-0005-0000-0000-0000C10A0000}"/>
    <cellStyle name="Normal 4 2 3 2 3 6 3" xfId="3177" xr:uid="{00000000-0005-0000-0000-0000C20A0000}"/>
    <cellStyle name="Normal 4 2 3 2 3 7" xfId="3178" xr:uid="{00000000-0005-0000-0000-0000C30A0000}"/>
    <cellStyle name="Normal 4 2 3 2 3 8" xfId="3179" xr:uid="{00000000-0005-0000-0000-0000C40A0000}"/>
    <cellStyle name="Normal 4 2 3 2 3 9" xfId="3180" xr:uid="{00000000-0005-0000-0000-0000C50A0000}"/>
    <cellStyle name="Normal 4 2 3 2 4" xfId="3181" xr:uid="{00000000-0005-0000-0000-0000C60A0000}"/>
    <cellStyle name="Normal 4 2 3 2 4 2" xfId="3182" xr:uid="{00000000-0005-0000-0000-0000C70A0000}"/>
    <cellStyle name="Normal 4 2 3 2 4 2 2" xfId="3183" xr:uid="{00000000-0005-0000-0000-0000C80A0000}"/>
    <cellStyle name="Normal 4 2 3 2 4 2 2 2" xfId="3184" xr:uid="{00000000-0005-0000-0000-0000C90A0000}"/>
    <cellStyle name="Normal 4 2 3 2 4 2 2 2 2" xfId="3185" xr:uid="{00000000-0005-0000-0000-0000CA0A0000}"/>
    <cellStyle name="Normal 4 2 3 2 4 2 2 2 2 2" xfId="3186" xr:uid="{00000000-0005-0000-0000-0000CB0A0000}"/>
    <cellStyle name="Normal 4 2 3 2 4 2 2 2 2 3" xfId="3187" xr:uid="{00000000-0005-0000-0000-0000CC0A0000}"/>
    <cellStyle name="Normal 4 2 3 2 4 2 2 2 3" xfId="3188" xr:uid="{00000000-0005-0000-0000-0000CD0A0000}"/>
    <cellStyle name="Normal 4 2 3 2 4 2 2 2 4" xfId="3189" xr:uid="{00000000-0005-0000-0000-0000CE0A0000}"/>
    <cellStyle name="Normal 4 2 3 2 4 2 2 2 5" xfId="3190" xr:uid="{00000000-0005-0000-0000-0000CF0A0000}"/>
    <cellStyle name="Normal 4 2 3 2 4 2 2 3" xfId="3191" xr:uid="{00000000-0005-0000-0000-0000D00A0000}"/>
    <cellStyle name="Normal 4 2 3 2 4 2 2 3 2" xfId="3192" xr:uid="{00000000-0005-0000-0000-0000D10A0000}"/>
    <cellStyle name="Normal 4 2 3 2 4 2 2 3 2 2" xfId="3193" xr:uid="{00000000-0005-0000-0000-0000D20A0000}"/>
    <cellStyle name="Normal 4 2 3 2 4 2 2 3 2 3" xfId="3194" xr:uid="{00000000-0005-0000-0000-0000D30A0000}"/>
    <cellStyle name="Normal 4 2 3 2 4 2 2 3 3" xfId="3195" xr:uid="{00000000-0005-0000-0000-0000D40A0000}"/>
    <cellStyle name="Normal 4 2 3 2 4 2 2 3 4" xfId="3196" xr:uid="{00000000-0005-0000-0000-0000D50A0000}"/>
    <cellStyle name="Normal 4 2 3 2 4 2 2 3 5" xfId="3197" xr:uid="{00000000-0005-0000-0000-0000D60A0000}"/>
    <cellStyle name="Normal 4 2 3 2 4 2 2 4" xfId="3198" xr:uid="{00000000-0005-0000-0000-0000D70A0000}"/>
    <cellStyle name="Normal 4 2 3 2 4 2 2 4 2" xfId="3199" xr:uid="{00000000-0005-0000-0000-0000D80A0000}"/>
    <cellStyle name="Normal 4 2 3 2 4 2 2 4 3" xfId="3200" xr:uid="{00000000-0005-0000-0000-0000D90A0000}"/>
    <cellStyle name="Normal 4 2 3 2 4 2 2 5" xfId="3201" xr:uid="{00000000-0005-0000-0000-0000DA0A0000}"/>
    <cellStyle name="Normal 4 2 3 2 4 2 2 6" xfId="3202" xr:uid="{00000000-0005-0000-0000-0000DB0A0000}"/>
    <cellStyle name="Normal 4 2 3 2 4 2 2 7" xfId="3203" xr:uid="{00000000-0005-0000-0000-0000DC0A0000}"/>
    <cellStyle name="Normal 4 2 3 2 4 2 3" xfId="3204" xr:uid="{00000000-0005-0000-0000-0000DD0A0000}"/>
    <cellStyle name="Normal 4 2 3 2 4 2 3 2" xfId="3205" xr:uid="{00000000-0005-0000-0000-0000DE0A0000}"/>
    <cellStyle name="Normal 4 2 3 2 4 2 3 2 2" xfId="3206" xr:uid="{00000000-0005-0000-0000-0000DF0A0000}"/>
    <cellStyle name="Normal 4 2 3 2 4 2 3 2 3" xfId="3207" xr:uid="{00000000-0005-0000-0000-0000E00A0000}"/>
    <cellStyle name="Normal 4 2 3 2 4 2 3 3" xfId="3208" xr:uid="{00000000-0005-0000-0000-0000E10A0000}"/>
    <cellStyle name="Normal 4 2 3 2 4 2 3 4" xfId="3209" xr:uid="{00000000-0005-0000-0000-0000E20A0000}"/>
    <cellStyle name="Normal 4 2 3 2 4 2 3 5" xfId="3210" xr:uid="{00000000-0005-0000-0000-0000E30A0000}"/>
    <cellStyle name="Normal 4 2 3 2 4 2 4" xfId="3211" xr:uid="{00000000-0005-0000-0000-0000E40A0000}"/>
    <cellStyle name="Normal 4 2 3 2 4 2 4 2" xfId="3212" xr:uid="{00000000-0005-0000-0000-0000E50A0000}"/>
    <cellStyle name="Normal 4 2 3 2 4 2 4 2 2" xfId="3213" xr:uid="{00000000-0005-0000-0000-0000E60A0000}"/>
    <cellStyle name="Normal 4 2 3 2 4 2 4 2 3" xfId="3214" xr:uid="{00000000-0005-0000-0000-0000E70A0000}"/>
    <cellStyle name="Normal 4 2 3 2 4 2 4 3" xfId="3215" xr:uid="{00000000-0005-0000-0000-0000E80A0000}"/>
    <cellStyle name="Normal 4 2 3 2 4 2 4 4" xfId="3216" xr:uid="{00000000-0005-0000-0000-0000E90A0000}"/>
    <cellStyle name="Normal 4 2 3 2 4 2 4 5" xfId="3217" xr:uid="{00000000-0005-0000-0000-0000EA0A0000}"/>
    <cellStyle name="Normal 4 2 3 2 4 2 5" xfId="3218" xr:uid="{00000000-0005-0000-0000-0000EB0A0000}"/>
    <cellStyle name="Normal 4 2 3 2 4 2 5 2" xfId="3219" xr:uid="{00000000-0005-0000-0000-0000EC0A0000}"/>
    <cellStyle name="Normal 4 2 3 2 4 2 5 3" xfId="3220" xr:uid="{00000000-0005-0000-0000-0000ED0A0000}"/>
    <cellStyle name="Normal 4 2 3 2 4 2 6" xfId="3221" xr:uid="{00000000-0005-0000-0000-0000EE0A0000}"/>
    <cellStyle name="Normal 4 2 3 2 4 2 7" xfId="3222" xr:uid="{00000000-0005-0000-0000-0000EF0A0000}"/>
    <cellStyle name="Normal 4 2 3 2 4 2 8" xfId="3223" xr:uid="{00000000-0005-0000-0000-0000F00A0000}"/>
    <cellStyle name="Normal 4 2 3 2 4 3" xfId="3224" xr:uid="{00000000-0005-0000-0000-0000F10A0000}"/>
    <cellStyle name="Normal 4 2 3 2 4 3 2" xfId="3225" xr:uid="{00000000-0005-0000-0000-0000F20A0000}"/>
    <cellStyle name="Normal 4 2 3 2 4 3 2 2" xfId="3226" xr:uid="{00000000-0005-0000-0000-0000F30A0000}"/>
    <cellStyle name="Normal 4 2 3 2 4 3 2 2 2" xfId="3227" xr:uid="{00000000-0005-0000-0000-0000F40A0000}"/>
    <cellStyle name="Normal 4 2 3 2 4 3 2 2 3" xfId="3228" xr:uid="{00000000-0005-0000-0000-0000F50A0000}"/>
    <cellStyle name="Normal 4 2 3 2 4 3 2 3" xfId="3229" xr:uid="{00000000-0005-0000-0000-0000F60A0000}"/>
    <cellStyle name="Normal 4 2 3 2 4 3 2 4" xfId="3230" xr:uid="{00000000-0005-0000-0000-0000F70A0000}"/>
    <cellStyle name="Normal 4 2 3 2 4 3 2 5" xfId="3231" xr:uid="{00000000-0005-0000-0000-0000F80A0000}"/>
    <cellStyle name="Normal 4 2 3 2 4 3 3" xfId="3232" xr:uid="{00000000-0005-0000-0000-0000F90A0000}"/>
    <cellStyle name="Normal 4 2 3 2 4 3 3 2" xfId="3233" xr:uid="{00000000-0005-0000-0000-0000FA0A0000}"/>
    <cellStyle name="Normal 4 2 3 2 4 3 3 2 2" xfId="3234" xr:uid="{00000000-0005-0000-0000-0000FB0A0000}"/>
    <cellStyle name="Normal 4 2 3 2 4 3 3 2 3" xfId="3235" xr:uid="{00000000-0005-0000-0000-0000FC0A0000}"/>
    <cellStyle name="Normal 4 2 3 2 4 3 3 3" xfId="3236" xr:uid="{00000000-0005-0000-0000-0000FD0A0000}"/>
    <cellStyle name="Normal 4 2 3 2 4 3 3 4" xfId="3237" xr:uid="{00000000-0005-0000-0000-0000FE0A0000}"/>
    <cellStyle name="Normal 4 2 3 2 4 3 3 5" xfId="3238" xr:uid="{00000000-0005-0000-0000-0000FF0A0000}"/>
    <cellStyle name="Normal 4 2 3 2 4 3 4" xfId="3239" xr:uid="{00000000-0005-0000-0000-0000000B0000}"/>
    <cellStyle name="Normal 4 2 3 2 4 3 4 2" xfId="3240" xr:uid="{00000000-0005-0000-0000-0000010B0000}"/>
    <cellStyle name="Normal 4 2 3 2 4 3 4 3" xfId="3241" xr:uid="{00000000-0005-0000-0000-0000020B0000}"/>
    <cellStyle name="Normal 4 2 3 2 4 3 5" xfId="3242" xr:uid="{00000000-0005-0000-0000-0000030B0000}"/>
    <cellStyle name="Normal 4 2 3 2 4 3 6" xfId="3243" xr:uid="{00000000-0005-0000-0000-0000040B0000}"/>
    <cellStyle name="Normal 4 2 3 2 4 3 7" xfId="3244" xr:uid="{00000000-0005-0000-0000-0000050B0000}"/>
    <cellStyle name="Normal 4 2 3 2 4 4" xfId="3245" xr:uid="{00000000-0005-0000-0000-0000060B0000}"/>
    <cellStyle name="Normal 4 2 3 2 4 4 2" xfId="3246" xr:uid="{00000000-0005-0000-0000-0000070B0000}"/>
    <cellStyle name="Normal 4 2 3 2 4 4 2 2" xfId="3247" xr:uid="{00000000-0005-0000-0000-0000080B0000}"/>
    <cellStyle name="Normal 4 2 3 2 4 4 2 3" xfId="3248" xr:uid="{00000000-0005-0000-0000-0000090B0000}"/>
    <cellStyle name="Normal 4 2 3 2 4 4 3" xfId="3249" xr:uid="{00000000-0005-0000-0000-00000A0B0000}"/>
    <cellStyle name="Normal 4 2 3 2 4 4 4" xfId="3250" xr:uid="{00000000-0005-0000-0000-00000B0B0000}"/>
    <cellStyle name="Normal 4 2 3 2 4 4 5" xfId="3251" xr:uid="{00000000-0005-0000-0000-00000C0B0000}"/>
    <cellStyle name="Normal 4 2 3 2 4 5" xfId="3252" xr:uid="{00000000-0005-0000-0000-00000D0B0000}"/>
    <cellStyle name="Normal 4 2 3 2 4 5 2" xfId="3253" xr:uid="{00000000-0005-0000-0000-00000E0B0000}"/>
    <cellStyle name="Normal 4 2 3 2 4 5 2 2" xfId="3254" xr:uid="{00000000-0005-0000-0000-00000F0B0000}"/>
    <cellStyle name="Normal 4 2 3 2 4 5 2 3" xfId="3255" xr:uid="{00000000-0005-0000-0000-0000100B0000}"/>
    <cellStyle name="Normal 4 2 3 2 4 5 3" xfId="3256" xr:uid="{00000000-0005-0000-0000-0000110B0000}"/>
    <cellStyle name="Normal 4 2 3 2 4 5 4" xfId="3257" xr:uid="{00000000-0005-0000-0000-0000120B0000}"/>
    <cellStyle name="Normal 4 2 3 2 4 5 5" xfId="3258" xr:uid="{00000000-0005-0000-0000-0000130B0000}"/>
    <cellStyle name="Normal 4 2 3 2 4 6" xfId="3259" xr:uid="{00000000-0005-0000-0000-0000140B0000}"/>
    <cellStyle name="Normal 4 2 3 2 4 6 2" xfId="3260" xr:uid="{00000000-0005-0000-0000-0000150B0000}"/>
    <cellStyle name="Normal 4 2 3 2 4 6 3" xfId="3261" xr:uid="{00000000-0005-0000-0000-0000160B0000}"/>
    <cellStyle name="Normal 4 2 3 2 4 7" xfId="3262" xr:uid="{00000000-0005-0000-0000-0000170B0000}"/>
    <cellStyle name="Normal 4 2 3 2 4 8" xfId="3263" xr:uid="{00000000-0005-0000-0000-0000180B0000}"/>
    <cellStyle name="Normal 4 2 3 2 4 9" xfId="3264" xr:uid="{00000000-0005-0000-0000-0000190B0000}"/>
    <cellStyle name="Normal 4 2 3 2 5" xfId="3265" xr:uid="{00000000-0005-0000-0000-00001A0B0000}"/>
    <cellStyle name="Normal 4 2 3 2 5 2" xfId="3266" xr:uid="{00000000-0005-0000-0000-00001B0B0000}"/>
    <cellStyle name="Normal 4 2 3 2 5 2 2" xfId="3267" xr:uid="{00000000-0005-0000-0000-00001C0B0000}"/>
    <cellStyle name="Normal 4 2 3 2 5 2 2 2" xfId="3268" xr:uid="{00000000-0005-0000-0000-00001D0B0000}"/>
    <cellStyle name="Normal 4 2 3 2 5 2 2 2 2" xfId="3269" xr:uid="{00000000-0005-0000-0000-00001E0B0000}"/>
    <cellStyle name="Normal 4 2 3 2 5 2 2 2 3" xfId="3270" xr:uid="{00000000-0005-0000-0000-00001F0B0000}"/>
    <cellStyle name="Normal 4 2 3 2 5 2 2 3" xfId="3271" xr:uid="{00000000-0005-0000-0000-0000200B0000}"/>
    <cellStyle name="Normal 4 2 3 2 5 2 2 4" xfId="3272" xr:uid="{00000000-0005-0000-0000-0000210B0000}"/>
    <cellStyle name="Normal 4 2 3 2 5 2 2 5" xfId="3273" xr:uid="{00000000-0005-0000-0000-0000220B0000}"/>
    <cellStyle name="Normal 4 2 3 2 5 2 3" xfId="3274" xr:uid="{00000000-0005-0000-0000-0000230B0000}"/>
    <cellStyle name="Normal 4 2 3 2 5 2 3 2" xfId="3275" xr:uid="{00000000-0005-0000-0000-0000240B0000}"/>
    <cellStyle name="Normal 4 2 3 2 5 2 3 2 2" xfId="3276" xr:uid="{00000000-0005-0000-0000-0000250B0000}"/>
    <cellStyle name="Normal 4 2 3 2 5 2 3 2 3" xfId="3277" xr:uid="{00000000-0005-0000-0000-0000260B0000}"/>
    <cellStyle name="Normal 4 2 3 2 5 2 3 3" xfId="3278" xr:uid="{00000000-0005-0000-0000-0000270B0000}"/>
    <cellStyle name="Normal 4 2 3 2 5 2 3 4" xfId="3279" xr:uid="{00000000-0005-0000-0000-0000280B0000}"/>
    <cellStyle name="Normal 4 2 3 2 5 2 3 5" xfId="3280" xr:uid="{00000000-0005-0000-0000-0000290B0000}"/>
    <cellStyle name="Normal 4 2 3 2 5 2 4" xfId="3281" xr:uid="{00000000-0005-0000-0000-00002A0B0000}"/>
    <cellStyle name="Normal 4 2 3 2 5 2 4 2" xfId="3282" xr:uid="{00000000-0005-0000-0000-00002B0B0000}"/>
    <cellStyle name="Normal 4 2 3 2 5 2 4 3" xfId="3283" xr:uid="{00000000-0005-0000-0000-00002C0B0000}"/>
    <cellStyle name="Normal 4 2 3 2 5 2 5" xfId="3284" xr:uid="{00000000-0005-0000-0000-00002D0B0000}"/>
    <cellStyle name="Normal 4 2 3 2 5 2 6" xfId="3285" xr:uid="{00000000-0005-0000-0000-00002E0B0000}"/>
    <cellStyle name="Normal 4 2 3 2 5 2 7" xfId="3286" xr:uid="{00000000-0005-0000-0000-00002F0B0000}"/>
    <cellStyle name="Normal 4 2 3 2 5 3" xfId="3287" xr:uid="{00000000-0005-0000-0000-0000300B0000}"/>
    <cellStyle name="Normal 4 2 3 2 5 3 2" xfId="3288" xr:uid="{00000000-0005-0000-0000-0000310B0000}"/>
    <cellStyle name="Normal 4 2 3 2 5 3 2 2" xfId="3289" xr:uid="{00000000-0005-0000-0000-0000320B0000}"/>
    <cellStyle name="Normal 4 2 3 2 5 3 2 3" xfId="3290" xr:uid="{00000000-0005-0000-0000-0000330B0000}"/>
    <cellStyle name="Normal 4 2 3 2 5 3 3" xfId="3291" xr:uid="{00000000-0005-0000-0000-0000340B0000}"/>
    <cellStyle name="Normal 4 2 3 2 5 3 4" xfId="3292" xr:uid="{00000000-0005-0000-0000-0000350B0000}"/>
    <cellStyle name="Normal 4 2 3 2 5 3 5" xfId="3293" xr:uid="{00000000-0005-0000-0000-0000360B0000}"/>
    <cellStyle name="Normal 4 2 3 2 5 4" xfId="3294" xr:uid="{00000000-0005-0000-0000-0000370B0000}"/>
    <cellStyle name="Normal 4 2 3 2 5 4 2" xfId="3295" xr:uid="{00000000-0005-0000-0000-0000380B0000}"/>
    <cellStyle name="Normal 4 2 3 2 5 4 2 2" xfId="3296" xr:uid="{00000000-0005-0000-0000-0000390B0000}"/>
    <cellStyle name="Normal 4 2 3 2 5 4 2 3" xfId="3297" xr:uid="{00000000-0005-0000-0000-00003A0B0000}"/>
    <cellStyle name="Normal 4 2 3 2 5 4 3" xfId="3298" xr:uid="{00000000-0005-0000-0000-00003B0B0000}"/>
    <cellStyle name="Normal 4 2 3 2 5 4 4" xfId="3299" xr:uid="{00000000-0005-0000-0000-00003C0B0000}"/>
    <cellStyle name="Normal 4 2 3 2 5 4 5" xfId="3300" xr:uid="{00000000-0005-0000-0000-00003D0B0000}"/>
    <cellStyle name="Normal 4 2 3 2 5 5" xfId="3301" xr:uid="{00000000-0005-0000-0000-00003E0B0000}"/>
    <cellStyle name="Normal 4 2 3 2 5 5 2" xfId="3302" xr:uid="{00000000-0005-0000-0000-00003F0B0000}"/>
    <cellStyle name="Normal 4 2 3 2 5 5 3" xfId="3303" xr:uid="{00000000-0005-0000-0000-0000400B0000}"/>
    <cellStyle name="Normal 4 2 3 2 5 6" xfId="3304" xr:uid="{00000000-0005-0000-0000-0000410B0000}"/>
    <cellStyle name="Normal 4 2 3 2 5 7" xfId="3305" xr:uid="{00000000-0005-0000-0000-0000420B0000}"/>
    <cellStyle name="Normal 4 2 3 2 5 8" xfId="3306" xr:uid="{00000000-0005-0000-0000-0000430B0000}"/>
    <cellStyle name="Normal 4 2 3 2 6" xfId="3307" xr:uid="{00000000-0005-0000-0000-0000440B0000}"/>
    <cellStyle name="Normal 4 2 3 2 6 2" xfId="3308" xr:uid="{00000000-0005-0000-0000-0000450B0000}"/>
    <cellStyle name="Normal 4 2 3 2 6 2 2" xfId="3309" xr:uid="{00000000-0005-0000-0000-0000460B0000}"/>
    <cellStyle name="Normal 4 2 3 2 6 2 2 2" xfId="3310" xr:uid="{00000000-0005-0000-0000-0000470B0000}"/>
    <cellStyle name="Normal 4 2 3 2 6 2 2 3" xfId="3311" xr:uid="{00000000-0005-0000-0000-0000480B0000}"/>
    <cellStyle name="Normal 4 2 3 2 6 2 3" xfId="3312" xr:uid="{00000000-0005-0000-0000-0000490B0000}"/>
    <cellStyle name="Normal 4 2 3 2 6 2 4" xfId="3313" xr:uid="{00000000-0005-0000-0000-00004A0B0000}"/>
    <cellStyle name="Normal 4 2 3 2 6 2 5" xfId="3314" xr:uid="{00000000-0005-0000-0000-00004B0B0000}"/>
    <cellStyle name="Normal 4 2 3 2 6 3" xfId="3315" xr:uid="{00000000-0005-0000-0000-00004C0B0000}"/>
    <cellStyle name="Normal 4 2 3 2 6 3 2" xfId="3316" xr:uid="{00000000-0005-0000-0000-00004D0B0000}"/>
    <cellStyle name="Normal 4 2 3 2 6 3 2 2" xfId="3317" xr:uid="{00000000-0005-0000-0000-00004E0B0000}"/>
    <cellStyle name="Normal 4 2 3 2 6 3 2 3" xfId="3318" xr:uid="{00000000-0005-0000-0000-00004F0B0000}"/>
    <cellStyle name="Normal 4 2 3 2 6 3 3" xfId="3319" xr:uid="{00000000-0005-0000-0000-0000500B0000}"/>
    <cellStyle name="Normal 4 2 3 2 6 3 4" xfId="3320" xr:uid="{00000000-0005-0000-0000-0000510B0000}"/>
    <cellStyle name="Normal 4 2 3 2 6 3 5" xfId="3321" xr:uid="{00000000-0005-0000-0000-0000520B0000}"/>
    <cellStyle name="Normal 4 2 3 2 6 4" xfId="3322" xr:uid="{00000000-0005-0000-0000-0000530B0000}"/>
    <cellStyle name="Normal 4 2 3 2 6 4 2" xfId="3323" xr:uid="{00000000-0005-0000-0000-0000540B0000}"/>
    <cellStyle name="Normal 4 2 3 2 6 4 3" xfId="3324" xr:uid="{00000000-0005-0000-0000-0000550B0000}"/>
    <cellStyle name="Normal 4 2 3 2 6 5" xfId="3325" xr:uid="{00000000-0005-0000-0000-0000560B0000}"/>
    <cellStyle name="Normal 4 2 3 2 6 6" xfId="3326" xr:uid="{00000000-0005-0000-0000-0000570B0000}"/>
    <cellStyle name="Normal 4 2 3 2 6 7" xfId="3327" xr:uid="{00000000-0005-0000-0000-0000580B0000}"/>
    <cellStyle name="Normal 4 2 3 2 7" xfId="3328" xr:uid="{00000000-0005-0000-0000-0000590B0000}"/>
    <cellStyle name="Normal 4 2 3 2 7 2" xfId="3329" xr:uid="{00000000-0005-0000-0000-00005A0B0000}"/>
    <cellStyle name="Normal 4 2 3 2 7 2 2" xfId="3330" xr:uid="{00000000-0005-0000-0000-00005B0B0000}"/>
    <cellStyle name="Normal 4 2 3 2 7 2 3" xfId="3331" xr:uid="{00000000-0005-0000-0000-00005C0B0000}"/>
    <cellStyle name="Normal 4 2 3 2 7 3" xfId="3332" xr:uid="{00000000-0005-0000-0000-00005D0B0000}"/>
    <cellStyle name="Normal 4 2 3 2 7 4" xfId="3333" xr:uid="{00000000-0005-0000-0000-00005E0B0000}"/>
    <cellStyle name="Normal 4 2 3 2 7 5" xfId="3334" xr:uid="{00000000-0005-0000-0000-00005F0B0000}"/>
    <cellStyle name="Normal 4 2 3 2 8" xfId="3335" xr:uid="{00000000-0005-0000-0000-0000600B0000}"/>
    <cellStyle name="Normal 4 2 3 2 8 2" xfId="3336" xr:uid="{00000000-0005-0000-0000-0000610B0000}"/>
    <cellStyle name="Normal 4 2 3 2 8 2 2" xfId="3337" xr:uid="{00000000-0005-0000-0000-0000620B0000}"/>
    <cellStyle name="Normal 4 2 3 2 8 2 3" xfId="3338" xr:uid="{00000000-0005-0000-0000-0000630B0000}"/>
    <cellStyle name="Normal 4 2 3 2 8 3" xfId="3339" xr:uid="{00000000-0005-0000-0000-0000640B0000}"/>
    <cellStyle name="Normal 4 2 3 2 8 4" xfId="3340" xr:uid="{00000000-0005-0000-0000-0000650B0000}"/>
    <cellStyle name="Normal 4 2 3 2 8 5" xfId="3341" xr:uid="{00000000-0005-0000-0000-0000660B0000}"/>
    <cellStyle name="Normal 4 2 3 2 9" xfId="3342" xr:uid="{00000000-0005-0000-0000-0000670B0000}"/>
    <cellStyle name="Normal 4 2 3 2 9 2" xfId="3343" xr:uid="{00000000-0005-0000-0000-0000680B0000}"/>
    <cellStyle name="Normal 4 2 3 2 9 3" xfId="3344" xr:uid="{00000000-0005-0000-0000-0000690B0000}"/>
    <cellStyle name="Normal 4 2 3 3" xfId="3345" xr:uid="{00000000-0005-0000-0000-00006A0B0000}"/>
    <cellStyle name="Normal 4 2 3 3 2" xfId="3346" xr:uid="{00000000-0005-0000-0000-00006B0B0000}"/>
    <cellStyle name="Normal 4 2 3 3 2 2" xfId="3347" xr:uid="{00000000-0005-0000-0000-00006C0B0000}"/>
    <cellStyle name="Normal 4 2 3 3 2 2 2" xfId="3348" xr:uid="{00000000-0005-0000-0000-00006D0B0000}"/>
    <cellStyle name="Normal 4 2 3 3 2 2 2 2" xfId="3349" xr:uid="{00000000-0005-0000-0000-00006E0B0000}"/>
    <cellStyle name="Normal 4 2 3 3 2 2 2 2 2" xfId="3350" xr:uid="{00000000-0005-0000-0000-00006F0B0000}"/>
    <cellStyle name="Normal 4 2 3 3 2 2 2 2 3" xfId="3351" xr:uid="{00000000-0005-0000-0000-0000700B0000}"/>
    <cellStyle name="Normal 4 2 3 3 2 2 2 3" xfId="3352" xr:uid="{00000000-0005-0000-0000-0000710B0000}"/>
    <cellStyle name="Normal 4 2 3 3 2 2 2 4" xfId="3353" xr:uid="{00000000-0005-0000-0000-0000720B0000}"/>
    <cellStyle name="Normal 4 2 3 3 2 2 2 5" xfId="3354" xr:uid="{00000000-0005-0000-0000-0000730B0000}"/>
    <cellStyle name="Normal 4 2 3 3 2 2 3" xfId="3355" xr:uid="{00000000-0005-0000-0000-0000740B0000}"/>
    <cellStyle name="Normal 4 2 3 3 2 2 3 2" xfId="3356" xr:uid="{00000000-0005-0000-0000-0000750B0000}"/>
    <cellStyle name="Normal 4 2 3 3 2 2 3 2 2" xfId="3357" xr:uid="{00000000-0005-0000-0000-0000760B0000}"/>
    <cellStyle name="Normal 4 2 3 3 2 2 3 2 3" xfId="3358" xr:uid="{00000000-0005-0000-0000-0000770B0000}"/>
    <cellStyle name="Normal 4 2 3 3 2 2 3 3" xfId="3359" xr:uid="{00000000-0005-0000-0000-0000780B0000}"/>
    <cellStyle name="Normal 4 2 3 3 2 2 3 4" xfId="3360" xr:uid="{00000000-0005-0000-0000-0000790B0000}"/>
    <cellStyle name="Normal 4 2 3 3 2 2 3 5" xfId="3361" xr:uid="{00000000-0005-0000-0000-00007A0B0000}"/>
    <cellStyle name="Normal 4 2 3 3 2 2 4" xfId="3362" xr:uid="{00000000-0005-0000-0000-00007B0B0000}"/>
    <cellStyle name="Normal 4 2 3 3 2 2 4 2" xfId="3363" xr:uid="{00000000-0005-0000-0000-00007C0B0000}"/>
    <cellStyle name="Normal 4 2 3 3 2 2 4 3" xfId="3364" xr:uid="{00000000-0005-0000-0000-00007D0B0000}"/>
    <cellStyle name="Normal 4 2 3 3 2 2 5" xfId="3365" xr:uid="{00000000-0005-0000-0000-00007E0B0000}"/>
    <cellStyle name="Normal 4 2 3 3 2 2 6" xfId="3366" xr:uid="{00000000-0005-0000-0000-00007F0B0000}"/>
    <cellStyle name="Normal 4 2 3 3 2 2 7" xfId="3367" xr:uid="{00000000-0005-0000-0000-0000800B0000}"/>
    <cellStyle name="Normal 4 2 3 3 2 3" xfId="3368" xr:uid="{00000000-0005-0000-0000-0000810B0000}"/>
    <cellStyle name="Normal 4 2 3 3 2 3 2" xfId="3369" xr:uid="{00000000-0005-0000-0000-0000820B0000}"/>
    <cellStyle name="Normal 4 2 3 3 2 3 2 2" xfId="3370" xr:uid="{00000000-0005-0000-0000-0000830B0000}"/>
    <cellStyle name="Normal 4 2 3 3 2 3 2 3" xfId="3371" xr:uid="{00000000-0005-0000-0000-0000840B0000}"/>
    <cellStyle name="Normal 4 2 3 3 2 3 3" xfId="3372" xr:uid="{00000000-0005-0000-0000-0000850B0000}"/>
    <cellStyle name="Normal 4 2 3 3 2 3 4" xfId="3373" xr:uid="{00000000-0005-0000-0000-0000860B0000}"/>
    <cellStyle name="Normal 4 2 3 3 2 3 5" xfId="3374" xr:uid="{00000000-0005-0000-0000-0000870B0000}"/>
    <cellStyle name="Normal 4 2 3 3 2 4" xfId="3375" xr:uid="{00000000-0005-0000-0000-0000880B0000}"/>
    <cellStyle name="Normal 4 2 3 3 2 4 2" xfId="3376" xr:uid="{00000000-0005-0000-0000-0000890B0000}"/>
    <cellStyle name="Normal 4 2 3 3 2 4 2 2" xfId="3377" xr:uid="{00000000-0005-0000-0000-00008A0B0000}"/>
    <cellStyle name="Normal 4 2 3 3 2 4 2 3" xfId="3378" xr:uid="{00000000-0005-0000-0000-00008B0B0000}"/>
    <cellStyle name="Normal 4 2 3 3 2 4 3" xfId="3379" xr:uid="{00000000-0005-0000-0000-00008C0B0000}"/>
    <cellStyle name="Normal 4 2 3 3 2 4 4" xfId="3380" xr:uid="{00000000-0005-0000-0000-00008D0B0000}"/>
    <cellStyle name="Normal 4 2 3 3 2 4 5" xfId="3381" xr:uid="{00000000-0005-0000-0000-00008E0B0000}"/>
    <cellStyle name="Normal 4 2 3 3 2 5" xfId="3382" xr:uid="{00000000-0005-0000-0000-00008F0B0000}"/>
    <cellStyle name="Normal 4 2 3 3 2 5 2" xfId="3383" xr:uid="{00000000-0005-0000-0000-0000900B0000}"/>
    <cellStyle name="Normal 4 2 3 3 2 5 3" xfId="3384" xr:uid="{00000000-0005-0000-0000-0000910B0000}"/>
    <cellStyle name="Normal 4 2 3 3 2 6" xfId="3385" xr:uid="{00000000-0005-0000-0000-0000920B0000}"/>
    <cellStyle name="Normal 4 2 3 3 2 7" xfId="3386" xr:uid="{00000000-0005-0000-0000-0000930B0000}"/>
    <cellStyle name="Normal 4 2 3 3 2 8" xfId="3387" xr:uid="{00000000-0005-0000-0000-0000940B0000}"/>
    <cellStyle name="Normal 4 2 3 3 3" xfId="3388" xr:uid="{00000000-0005-0000-0000-0000950B0000}"/>
    <cellStyle name="Normal 4 2 3 3 3 2" xfId="3389" xr:uid="{00000000-0005-0000-0000-0000960B0000}"/>
    <cellStyle name="Normal 4 2 3 3 3 2 2" xfId="3390" xr:uid="{00000000-0005-0000-0000-0000970B0000}"/>
    <cellStyle name="Normal 4 2 3 3 3 2 2 2" xfId="3391" xr:uid="{00000000-0005-0000-0000-0000980B0000}"/>
    <cellStyle name="Normal 4 2 3 3 3 2 2 3" xfId="3392" xr:uid="{00000000-0005-0000-0000-0000990B0000}"/>
    <cellStyle name="Normal 4 2 3 3 3 2 3" xfId="3393" xr:uid="{00000000-0005-0000-0000-00009A0B0000}"/>
    <cellStyle name="Normal 4 2 3 3 3 2 4" xfId="3394" xr:uid="{00000000-0005-0000-0000-00009B0B0000}"/>
    <cellStyle name="Normal 4 2 3 3 3 2 5" xfId="3395" xr:uid="{00000000-0005-0000-0000-00009C0B0000}"/>
    <cellStyle name="Normal 4 2 3 3 3 3" xfId="3396" xr:uid="{00000000-0005-0000-0000-00009D0B0000}"/>
    <cellStyle name="Normal 4 2 3 3 3 3 2" xfId="3397" xr:uid="{00000000-0005-0000-0000-00009E0B0000}"/>
    <cellStyle name="Normal 4 2 3 3 3 3 2 2" xfId="3398" xr:uid="{00000000-0005-0000-0000-00009F0B0000}"/>
    <cellStyle name="Normal 4 2 3 3 3 3 2 3" xfId="3399" xr:uid="{00000000-0005-0000-0000-0000A00B0000}"/>
    <cellStyle name="Normal 4 2 3 3 3 3 3" xfId="3400" xr:uid="{00000000-0005-0000-0000-0000A10B0000}"/>
    <cellStyle name="Normal 4 2 3 3 3 3 4" xfId="3401" xr:uid="{00000000-0005-0000-0000-0000A20B0000}"/>
    <cellStyle name="Normal 4 2 3 3 3 3 5" xfId="3402" xr:uid="{00000000-0005-0000-0000-0000A30B0000}"/>
    <cellStyle name="Normal 4 2 3 3 3 4" xfId="3403" xr:uid="{00000000-0005-0000-0000-0000A40B0000}"/>
    <cellStyle name="Normal 4 2 3 3 3 4 2" xfId="3404" xr:uid="{00000000-0005-0000-0000-0000A50B0000}"/>
    <cellStyle name="Normal 4 2 3 3 3 4 3" xfId="3405" xr:uid="{00000000-0005-0000-0000-0000A60B0000}"/>
    <cellStyle name="Normal 4 2 3 3 3 5" xfId="3406" xr:uid="{00000000-0005-0000-0000-0000A70B0000}"/>
    <cellStyle name="Normal 4 2 3 3 3 6" xfId="3407" xr:uid="{00000000-0005-0000-0000-0000A80B0000}"/>
    <cellStyle name="Normal 4 2 3 3 3 7" xfId="3408" xr:uid="{00000000-0005-0000-0000-0000A90B0000}"/>
    <cellStyle name="Normal 4 2 3 3 4" xfId="3409" xr:uid="{00000000-0005-0000-0000-0000AA0B0000}"/>
    <cellStyle name="Normal 4 2 3 3 4 2" xfId="3410" xr:uid="{00000000-0005-0000-0000-0000AB0B0000}"/>
    <cellStyle name="Normal 4 2 3 3 4 2 2" xfId="3411" xr:uid="{00000000-0005-0000-0000-0000AC0B0000}"/>
    <cellStyle name="Normal 4 2 3 3 4 2 3" xfId="3412" xr:uid="{00000000-0005-0000-0000-0000AD0B0000}"/>
    <cellStyle name="Normal 4 2 3 3 4 3" xfId="3413" xr:uid="{00000000-0005-0000-0000-0000AE0B0000}"/>
    <cellStyle name="Normal 4 2 3 3 4 4" xfId="3414" xr:uid="{00000000-0005-0000-0000-0000AF0B0000}"/>
    <cellStyle name="Normal 4 2 3 3 4 5" xfId="3415" xr:uid="{00000000-0005-0000-0000-0000B00B0000}"/>
    <cellStyle name="Normal 4 2 3 3 5" xfId="3416" xr:uid="{00000000-0005-0000-0000-0000B10B0000}"/>
    <cellStyle name="Normal 4 2 3 3 5 2" xfId="3417" xr:uid="{00000000-0005-0000-0000-0000B20B0000}"/>
    <cellStyle name="Normal 4 2 3 3 5 2 2" xfId="3418" xr:uid="{00000000-0005-0000-0000-0000B30B0000}"/>
    <cellStyle name="Normal 4 2 3 3 5 2 3" xfId="3419" xr:uid="{00000000-0005-0000-0000-0000B40B0000}"/>
    <cellStyle name="Normal 4 2 3 3 5 3" xfId="3420" xr:uid="{00000000-0005-0000-0000-0000B50B0000}"/>
    <cellStyle name="Normal 4 2 3 3 5 4" xfId="3421" xr:uid="{00000000-0005-0000-0000-0000B60B0000}"/>
    <cellStyle name="Normal 4 2 3 3 5 5" xfId="3422" xr:uid="{00000000-0005-0000-0000-0000B70B0000}"/>
    <cellStyle name="Normal 4 2 3 3 6" xfId="3423" xr:uid="{00000000-0005-0000-0000-0000B80B0000}"/>
    <cellStyle name="Normal 4 2 3 3 6 2" xfId="3424" xr:uid="{00000000-0005-0000-0000-0000B90B0000}"/>
    <cellStyle name="Normal 4 2 3 3 6 3" xfId="3425" xr:uid="{00000000-0005-0000-0000-0000BA0B0000}"/>
    <cellStyle name="Normal 4 2 3 3 7" xfId="3426" xr:uid="{00000000-0005-0000-0000-0000BB0B0000}"/>
    <cellStyle name="Normal 4 2 3 3 8" xfId="3427" xr:uid="{00000000-0005-0000-0000-0000BC0B0000}"/>
    <cellStyle name="Normal 4 2 3 3 9" xfId="3428" xr:uid="{00000000-0005-0000-0000-0000BD0B0000}"/>
    <cellStyle name="Normal 4 2 3 4" xfId="3429" xr:uid="{00000000-0005-0000-0000-0000BE0B0000}"/>
    <cellStyle name="Normal 4 2 3 4 2" xfId="3430" xr:uid="{00000000-0005-0000-0000-0000BF0B0000}"/>
    <cellStyle name="Normal 4 2 3 4 2 2" xfId="3431" xr:uid="{00000000-0005-0000-0000-0000C00B0000}"/>
    <cellStyle name="Normal 4 2 3 4 2 2 2" xfId="3432" xr:uid="{00000000-0005-0000-0000-0000C10B0000}"/>
    <cellStyle name="Normal 4 2 3 4 2 2 2 2" xfId="3433" xr:uid="{00000000-0005-0000-0000-0000C20B0000}"/>
    <cellStyle name="Normal 4 2 3 4 2 2 2 2 2" xfId="3434" xr:uid="{00000000-0005-0000-0000-0000C30B0000}"/>
    <cellStyle name="Normal 4 2 3 4 2 2 2 2 3" xfId="3435" xr:uid="{00000000-0005-0000-0000-0000C40B0000}"/>
    <cellStyle name="Normal 4 2 3 4 2 2 2 3" xfId="3436" xr:uid="{00000000-0005-0000-0000-0000C50B0000}"/>
    <cellStyle name="Normal 4 2 3 4 2 2 2 4" xfId="3437" xr:uid="{00000000-0005-0000-0000-0000C60B0000}"/>
    <cellStyle name="Normal 4 2 3 4 2 2 2 5" xfId="3438" xr:uid="{00000000-0005-0000-0000-0000C70B0000}"/>
    <cellStyle name="Normal 4 2 3 4 2 2 3" xfId="3439" xr:uid="{00000000-0005-0000-0000-0000C80B0000}"/>
    <cellStyle name="Normal 4 2 3 4 2 2 3 2" xfId="3440" xr:uid="{00000000-0005-0000-0000-0000C90B0000}"/>
    <cellStyle name="Normal 4 2 3 4 2 2 3 2 2" xfId="3441" xr:uid="{00000000-0005-0000-0000-0000CA0B0000}"/>
    <cellStyle name="Normal 4 2 3 4 2 2 3 2 3" xfId="3442" xr:uid="{00000000-0005-0000-0000-0000CB0B0000}"/>
    <cellStyle name="Normal 4 2 3 4 2 2 3 3" xfId="3443" xr:uid="{00000000-0005-0000-0000-0000CC0B0000}"/>
    <cellStyle name="Normal 4 2 3 4 2 2 3 4" xfId="3444" xr:uid="{00000000-0005-0000-0000-0000CD0B0000}"/>
    <cellStyle name="Normal 4 2 3 4 2 2 3 5" xfId="3445" xr:uid="{00000000-0005-0000-0000-0000CE0B0000}"/>
    <cellStyle name="Normal 4 2 3 4 2 2 4" xfId="3446" xr:uid="{00000000-0005-0000-0000-0000CF0B0000}"/>
    <cellStyle name="Normal 4 2 3 4 2 2 4 2" xfId="3447" xr:uid="{00000000-0005-0000-0000-0000D00B0000}"/>
    <cellStyle name="Normal 4 2 3 4 2 2 4 3" xfId="3448" xr:uid="{00000000-0005-0000-0000-0000D10B0000}"/>
    <cellStyle name="Normal 4 2 3 4 2 2 5" xfId="3449" xr:uid="{00000000-0005-0000-0000-0000D20B0000}"/>
    <cellStyle name="Normal 4 2 3 4 2 2 6" xfId="3450" xr:uid="{00000000-0005-0000-0000-0000D30B0000}"/>
    <cellStyle name="Normal 4 2 3 4 2 2 7" xfId="3451" xr:uid="{00000000-0005-0000-0000-0000D40B0000}"/>
    <cellStyle name="Normal 4 2 3 4 2 3" xfId="3452" xr:uid="{00000000-0005-0000-0000-0000D50B0000}"/>
    <cellStyle name="Normal 4 2 3 4 2 3 2" xfId="3453" xr:uid="{00000000-0005-0000-0000-0000D60B0000}"/>
    <cellStyle name="Normal 4 2 3 4 2 3 2 2" xfId="3454" xr:uid="{00000000-0005-0000-0000-0000D70B0000}"/>
    <cellStyle name="Normal 4 2 3 4 2 3 2 3" xfId="3455" xr:uid="{00000000-0005-0000-0000-0000D80B0000}"/>
    <cellStyle name="Normal 4 2 3 4 2 3 3" xfId="3456" xr:uid="{00000000-0005-0000-0000-0000D90B0000}"/>
    <cellStyle name="Normal 4 2 3 4 2 3 4" xfId="3457" xr:uid="{00000000-0005-0000-0000-0000DA0B0000}"/>
    <cellStyle name="Normal 4 2 3 4 2 3 5" xfId="3458" xr:uid="{00000000-0005-0000-0000-0000DB0B0000}"/>
    <cellStyle name="Normal 4 2 3 4 2 4" xfId="3459" xr:uid="{00000000-0005-0000-0000-0000DC0B0000}"/>
    <cellStyle name="Normal 4 2 3 4 2 4 2" xfId="3460" xr:uid="{00000000-0005-0000-0000-0000DD0B0000}"/>
    <cellStyle name="Normal 4 2 3 4 2 4 2 2" xfId="3461" xr:uid="{00000000-0005-0000-0000-0000DE0B0000}"/>
    <cellStyle name="Normal 4 2 3 4 2 4 2 3" xfId="3462" xr:uid="{00000000-0005-0000-0000-0000DF0B0000}"/>
    <cellStyle name="Normal 4 2 3 4 2 4 3" xfId="3463" xr:uid="{00000000-0005-0000-0000-0000E00B0000}"/>
    <cellStyle name="Normal 4 2 3 4 2 4 4" xfId="3464" xr:uid="{00000000-0005-0000-0000-0000E10B0000}"/>
    <cellStyle name="Normal 4 2 3 4 2 4 5" xfId="3465" xr:uid="{00000000-0005-0000-0000-0000E20B0000}"/>
    <cellStyle name="Normal 4 2 3 4 2 5" xfId="3466" xr:uid="{00000000-0005-0000-0000-0000E30B0000}"/>
    <cellStyle name="Normal 4 2 3 4 2 5 2" xfId="3467" xr:uid="{00000000-0005-0000-0000-0000E40B0000}"/>
    <cellStyle name="Normal 4 2 3 4 2 5 3" xfId="3468" xr:uid="{00000000-0005-0000-0000-0000E50B0000}"/>
    <cellStyle name="Normal 4 2 3 4 2 6" xfId="3469" xr:uid="{00000000-0005-0000-0000-0000E60B0000}"/>
    <cellStyle name="Normal 4 2 3 4 2 7" xfId="3470" xr:uid="{00000000-0005-0000-0000-0000E70B0000}"/>
    <cellStyle name="Normal 4 2 3 4 2 8" xfId="3471" xr:uid="{00000000-0005-0000-0000-0000E80B0000}"/>
    <cellStyle name="Normal 4 2 3 4 3" xfId="3472" xr:uid="{00000000-0005-0000-0000-0000E90B0000}"/>
    <cellStyle name="Normal 4 2 3 4 3 2" xfId="3473" xr:uid="{00000000-0005-0000-0000-0000EA0B0000}"/>
    <cellStyle name="Normal 4 2 3 4 3 2 2" xfId="3474" xr:uid="{00000000-0005-0000-0000-0000EB0B0000}"/>
    <cellStyle name="Normal 4 2 3 4 3 2 2 2" xfId="3475" xr:uid="{00000000-0005-0000-0000-0000EC0B0000}"/>
    <cellStyle name="Normal 4 2 3 4 3 2 2 3" xfId="3476" xr:uid="{00000000-0005-0000-0000-0000ED0B0000}"/>
    <cellStyle name="Normal 4 2 3 4 3 2 3" xfId="3477" xr:uid="{00000000-0005-0000-0000-0000EE0B0000}"/>
    <cellStyle name="Normal 4 2 3 4 3 2 4" xfId="3478" xr:uid="{00000000-0005-0000-0000-0000EF0B0000}"/>
    <cellStyle name="Normal 4 2 3 4 3 2 5" xfId="3479" xr:uid="{00000000-0005-0000-0000-0000F00B0000}"/>
    <cellStyle name="Normal 4 2 3 4 3 3" xfId="3480" xr:uid="{00000000-0005-0000-0000-0000F10B0000}"/>
    <cellStyle name="Normal 4 2 3 4 3 3 2" xfId="3481" xr:uid="{00000000-0005-0000-0000-0000F20B0000}"/>
    <cellStyle name="Normal 4 2 3 4 3 3 2 2" xfId="3482" xr:uid="{00000000-0005-0000-0000-0000F30B0000}"/>
    <cellStyle name="Normal 4 2 3 4 3 3 2 3" xfId="3483" xr:uid="{00000000-0005-0000-0000-0000F40B0000}"/>
    <cellStyle name="Normal 4 2 3 4 3 3 3" xfId="3484" xr:uid="{00000000-0005-0000-0000-0000F50B0000}"/>
    <cellStyle name="Normal 4 2 3 4 3 3 4" xfId="3485" xr:uid="{00000000-0005-0000-0000-0000F60B0000}"/>
    <cellStyle name="Normal 4 2 3 4 3 3 5" xfId="3486" xr:uid="{00000000-0005-0000-0000-0000F70B0000}"/>
    <cellStyle name="Normal 4 2 3 4 3 4" xfId="3487" xr:uid="{00000000-0005-0000-0000-0000F80B0000}"/>
    <cellStyle name="Normal 4 2 3 4 3 4 2" xfId="3488" xr:uid="{00000000-0005-0000-0000-0000F90B0000}"/>
    <cellStyle name="Normal 4 2 3 4 3 4 3" xfId="3489" xr:uid="{00000000-0005-0000-0000-0000FA0B0000}"/>
    <cellStyle name="Normal 4 2 3 4 3 5" xfId="3490" xr:uid="{00000000-0005-0000-0000-0000FB0B0000}"/>
    <cellStyle name="Normal 4 2 3 4 3 6" xfId="3491" xr:uid="{00000000-0005-0000-0000-0000FC0B0000}"/>
    <cellStyle name="Normal 4 2 3 4 3 7" xfId="3492" xr:uid="{00000000-0005-0000-0000-0000FD0B0000}"/>
    <cellStyle name="Normal 4 2 3 4 4" xfId="3493" xr:uid="{00000000-0005-0000-0000-0000FE0B0000}"/>
    <cellStyle name="Normal 4 2 3 4 4 2" xfId="3494" xr:uid="{00000000-0005-0000-0000-0000FF0B0000}"/>
    <cellStyle name="Normal 4 2 3 4 4 2 2" xfId="3495" xr:uid="{00000000-0005-0000-0000-0000000C0000}"/>
    <cellStyle name="Normal 4 2 3 4 4 2 3" xfId="3496" xr:uid="{00000000-0005-0000-0000-0000010C0000}"/>
    <cellStyle name="Normal 4 2 3 4 4 3" xfId="3497" xr:uid="{00000000-0005-0000-0000-0000020C0000}"/>
    <cellStyle name="Normal 4 2 3 4 4 4" xfId="3498" xr:uid="{00000000-0005-0000-0000-0000030C0000}"/>
    <cellStyle name="Normal 4 2 3 4 4 5" xfId="3499" xr:uid="{00000000-0005-0000-0000-0000040C0000}"/>
    <cellStyle name="Normal 4 2 3 4 5" xfId="3500" xr:uid="{00000000-0005-0000-0000-0000050C0000}"/>
    <cellStyle name="Normal 4 2 3 4 5 2" xfId="3501" xr:uid="{00000000-0005-0000-0000-0000060C0000}"/>
    <cellStyle name="Normal 4 2 3 4 5 2 2" xfId="3502" xr:uid="{00000000-0005-0000-0000-0000070C0000}"/>
    <cellStyle name="Normal 4 2 3 4 5 2 3" xfId="3503" xr:uid="{00000000-0005-0000-0000-0000080C0000}"/>
    <cellStyle name="Normal 4 2 3 4 5 3" xfId="3504" xr:uid="{00000000-0005-0000-0000-0000090C0000}"/>
    <cellStyle name="Normal 4 2 3 4 5 4" xfId="3505" xr:uid="{00000000-0005-0000-0000-00000A0C0000}"/>
    <cellStyle name="Normal 4 2 3 4 5 5" xfId="3506" xr:uid="{00000000-0005-0000-0000-00000B0C0000}"/>
    <cellStyle name="Normal 4 2 3 4 6" xfId="3507" xr:uid="{00000000-0005-0000-0000-00000C0C0000}"/>
    <cellStyle name="Normal 4 2 3 4 6 2" xfId="3508" xr:uid="{00000000-0005-0000-0000-00000D0C0000}"/>
    <cellStyle name="Normal 4 2 3 4 6 3" xfId="3509" xr:uid="{00000000-0005-0000-0000-00000E0C0000}"/>
    <cellStyle name="Normal 4 2 3 4 7" xfId="3510" xr:uid="{00000000-0005-0000-0000-00000F0C0000}"/>
    <cellStyle name="Normal 4 2 3 4 8" xfId="3511" xr:uid="{00000000-0005-0000-0000-0000100C0000}"/>
    <cellStyle name="Normal 4 2 3 4 9" xfId="3512" xr:uid="{00000000-0005-0000-0000-0000110C0000}"/>
    <cellStyle name="Normal 4 2 3 5" xfId="3513" xr:uid="{00000000-0005-0000-0000-0000120C0000}"/>
    <cellStyle name="Normal 4 2 3 5 2" xfId="3514" xr:uid="{00000000-0005-0000-0000-0000130C0000}"/>
    <cellStyle name="Normal 4 2 3 5 2 2" xfId="3515" xr:uid="{00000000-0005-0000-0000-0000140C0000}"/>
    <cellStyle name="Normal 4 2 3 5 2 2 2" xfId="3516" xr:uid="{00000000-0005-0000-0000-0000150C0000}"/>
    <cellStyle name="Normal 4 2 3 5 2 2 2 2" xfId="3517" xr:uid="{00000000-0005-0000-0000-0000160C0000}"/>
    <cellStyle name="Normal 4 2 3 5 2 2 2 2 2" xfId="3518" xr:uid="{00000000-0005-0000-0000-0000170C0000}"/>
    <cellStyle name="Normal 4 2 3 5 2 2 2 2 3" xfId="3519" xr:uid="{00000000-0005-0000-0000-0000180C0000}"/>
    <cellStyle name="Normal 4 2 3 5 2 2 2 3" xfId="3520" xr:uid="{00000000-0005-0000-0000-0000190C0000}"/>
    <cellStyle name="Normal 4 2 3 5 2 2 2 4" xfId="3521" xr:uid="{00000000-0005-0000-0000-00001A0C0000}"/>
    <cellStyle name="Normal 4 2 3 5 2 2 2 5" xfId="3522" xr:uid="{00000000-0005-0000-0000-00001B0C0000}"/>
    <cellStyle name="Normal 4 2 3 5 2 2 3" xfId="3523" xr:uid="{00000000-0005-0000-0000-00001C0C0000}"/>
    <cellStyle name="Normal 4 2 3 5 2 2 3 2" xfId="3524" xr:uid="{00000000-0005-0000-0000-00001D0C0000}"/>
    <cellStyle name="Normal 4 2 3 5 2 2 3 2 2" xfId="3525" xr:uid="{00000000-0005-0000-0000-00001E0C0000}"/>
    <cellStyle name="Normal 4 2 3 5 2 2 3 2 3" xfId="3526" xr:uid="{00000000-0005-0000-0000-00001F0C0000}"/>
    <cellStyle name="Normal 4 2 3 5 2 2 3 3" xfId="3527" xr:uid="{00000000-0005-0000-0000-0000200C0000}"/>
    <cellStyle name="Normal 4 2 3 5 2 2 3 4" xfId="3528" xr:uid="{00000000-0005-0000-0000-0000210C0000}"/>
    <cellStyle name="Normal 4 2 3 5 2 2 3 5" xfId="3529" xr:uid="{00000000-0005-0000-0000-0000220C0000}"/>
    <cellStyle name="Normal 4 2 3 5 2 2 4" xfId="3530" xr:uid="{00000000-0005-0000-0000-0000230C0000}"/>
    <cellStyle name="Normal 4 2 3 5 2 2 4 2" xfId="3531" xr:uid="{00000000-0005-0000-0000-0000240C0000}"/>
    <cellStyle name="Normal 4 2 3 5 2 2 4 3" xfId="3532" xr:uid="{00000000-0005-0000-0000-0000250C0000}"/>
    <cellStyle name="Normal 4 2 3 5 2 2 5" xfId="3533" xr:uid="{00000000-0005-0000-0000-0000260C0000}"/>
    <cellStyle name="Normal 4 2 3 5 2 2 6" xfId="3534" xr:uid="{00000000-0005-0000-0000-0000270C0000}"/>
    <cellStyle name="Normal 4 2 3 5 2 2 7" xfId="3535" xr:uid="{00000000-0005-0000-0000-0000280C0000}"/>
    <cellStyle name="Normal 4 2 3 5 2 3" xfId="3536" xr:uid="{00000000-0005-0000-0000-0000290C0000}"/>
    <cellStyle name="Normal 4 2 3 5 2 3 2" xfId="3537" xr:uid="{00000000-0005-0000-0000-00002A0C0000}"/>
    <cellStyle name="Normal 4 2 3 5 2 3 2 2" xfId="3538" xr:uid="{00000000-0005-0000-0000-00002B0C0000}"/>
    <cellStyle name="Normal 4 2 3 5 2 3 2 3" xfId="3539" xr:uid="{00000000-0005-0000-0000-00002C0C0000}"/>
    <cellStyle name="Normal 4 2 3 5 2 3 3" xfId="3540" xr:uid="{00000000-0005-0000-0000-00002D0C0000}"/>
    <cellStyle name="Normal 4 2 3 5 2 3 4" xfId="3541" xr:uid="{00000000-0005-0000-0000-00002E0C0000}"/>
    <cellStyle name="Normal 4 2 3 5 2 3 5" xfId="3542" xr:uid="{00000000-0005-0000-0000-00002F0C0000}"/>
    <cellStyle name="Normal 4 2 3 5 2 4" xfId="3543" xr:uid="{00000000-0005-0000-0000-0000300C0000}"/>
    <cellStyle name="Normal 4 2 3 5 2 4 2" xfId="3544" xr:uid="{00000000-0005-0000-0000-0000310C0000}"/>
    <cellStyle name="Normal 4 2 3 5 2 4 2 2" xfId="3545" xr:uid="{00000000-0005-0000-0000-0000320C0000}"/>
    <cellStyle name="Normal 4 2 3 5 2 4 2 3" xfId="3546" xr:uid="{00000000-0005-0000-0000-0000330C0000}"/>
    <cellStyle name="Normal 4 2 3 5 2 4 3" xfId="3547" xr:uid="{00000000-0005-0000-0000-0000340C0000}"/>
    <cellStyle name="Normal 4 2 3 5 2 4 4" xfId="3548" xr:uid="{00000000-0005-0000-0000-0000350C0000}"/>
    <cellStyle name="Normal 4 2 3 5 2 4 5" xfId="3549" xr:uid="{00000000-0005-0000-0000-0000360C0000}"/>
    <cellStyle name="Normal 4 2 3 5 2 5" xfId="3550" xr:uid="{00000000-0005-0000-0000-0000370C0000}"/>
    <cellStyle name="Normal 4 2 3 5 2 5 2" xfId="3551" xr:uid="{00000000-0005-0000-0000-0000380C0000}"/>
    <cellStyle name="Normal 4 2 3 5 2 5 3" xfId="3552" xr:uid="{00000000-0005-0000-0000-0000390C0000}"/>
    <cellStyle name="Normal 4 2 3 5 2 6" xfId="3553" xr:uid="{00000000-0005-0000-0000-00003A0C0000}"/>
    <cellStyle name="Normal 4 2 3 5 2 7" xfId="3554" xr:uid="{00000000-0005-0000-0000-00003B0C0000}"/>
    <cellStyle name="Normal 4 2 3 5 2 8" xfId="3555" xr:uid="{00000000-0005-0000-0000-00003C0C0000}"/>
    <cellStyle name="Normal 4 2 3 5 3" xfId="3556" xr:uid="{00000000-0005-0000-0000-00003D0C0000}"/>
    <cellStyle name="Normal 4 2 3 5 3 2" xfId="3557" xr:uid="{00000000-0005-0000-0000-00003E0C0000}"/>
    <cellStyle name="Normal 4 2 3 5 3 2 2" xfId="3558" xr:uid="{00000000-0005-0000-0000-00003F0C0000}"/>
    <cellStyle name="Normal 4 2 3 5 3 2 2 2" xfId="3559" xr:uid="{00000000-0005-0000-0000-0000400C0000}"/>
    <cellStyle name="Normal 4 2 3 5 3 2 2 3" xfId="3560" xr:uid="{00000000-0005-0000-0000-0000410C0000}"/>
    <cellStyle name="Normal 4 2 3 5 3 2 3" xfId="3561" xr:uid="{00000000-0005-0000-0000-0000420C0000}"/>
    <cellStyle name="Normal 4 2 3 5 3 2 4" xfId="3562" xr:uid="{00000000-0005-0000-0000-0000430C0000}"/>
    <cellStyle name="Normal 4 2 3 5 3 2 5" xfId="3563" xr:uid="{00000000-0005-0000-0000-0000440C0000}"/>
    <cellStyle name="Normal 4 2 3 5 3 3" xfId="3564" xr:uid="{00000000-0005-0000-0000-0000450C0000}"/>
    <cellStyle name="Normal 4 2 3 5 3 3 2" xfId="3565" xr:uid="{00000000-0005-0000-0000-0000460C0000}"/>
    <cellStyle name="Normal 4 2 3 5 3 3 2 2" xfId="3566" xr:uid="{00000000-0005-0000-0000-0000470C0000}"/>
    <cellStyle name="Normal 4 2 3 5 3 3 2 3" xfId="3567" xr:uid="{00000000-0005-0000-0000-0000480C0000}"/>
    <cellStyle name="Normal 4 2 3 5 3 3 3" xfId="3568" xr:uid="{00000000-0005-0000-0000-0000490C0000}"/>
    <cellStyle name="Normal 4 2 3 5 3 3 4" xfId="3569" xr:uid="{00000000-0005-0000-0000-00004A0C0000}"/>
    <cellStyle name="Normal 4 2 3 5 3 3 5" xfId="3570" xr:uid="{00000000-0005-0000-0000-00004B0C0000}"/>
    <cellStyle name="Normal 4 2 3 5 3 4" xfId="3571" xr:uid="{00000000-0005-0000-0000-00004C0C0000}"/>
    <cellStyle name="Normal 4 2 3 5 3 4 2" xfId="3572" xr:uid="{00000000-0005-0000-0000-00004D0C0000}"/>
    <cellStyle name="Normal 4 2 3 5 3 4 3" xfId="3573" xr:uid="{00000000-0005-0000-0000-00004E0C0000}"/>
    <cellStyle name="Normal 4 2 3 5 3 5" xfId="3574" xr:uid="{00000000-0005-0000-0000-00004F0C0000}"/>
    <cellStyle name="Normal 4 2 3 5 3 6" xfId="3575" xr:uid="{00000000-0005-0000-0000-0000500C0000}"/>
    <cellStyle name="Normal 4 2 3 5 3 7" xfId="3576" xr:uid="{00000000-0005-0000-0000-0000510C0000}"/>
    <cellStyle name="Normal 4 2 3 5 4" xfId="3577" xr:uid="{00000000-0005-0000-0000-0000520C0000}"/>
    <cellStyle name="Normal 4 2 3 5 4 2" xfId="3578" xr:uid="{00000000-0005-0000-0000-0000530C0000}"/>
    <cellStyle name="Normal 4 2 3 5 4 2 2" xfId="3579" xr:uid="{00000000-0005-0000-0000-0000540C0000}"/>
    <cellStyle name="Normal 4 2 3 5 4 2 3" xfId="3580" xr:uid="{00000000-0005-0000-0000-0000550C0000}"/>
    <cellStyle name="Normal 4 2 3 5 4 3" xfId="3581" xr:uid="{00000000-0005-0000-0000-0000560C0000}"/>
    <cellStyle name="Normal 4 2 3 5 4 4" xfId="3582" xr:uid="{00000000-0005-0000-0000-0000570C0000}"/>
    <cellStyle name="Normal 4 2 3 5 4 5" xfId="3583" xr:uid="{00000000-0005-0000-0000-0000580C0000}"/>
    <cellStyle name="Normal 4 2 3 5 5" xfId="3584" xr:uid="{00000000-0005-0000-0000-0000590C0000}"/>
    <cellStyle name="Normal 4 2 3 5 5 2" xfId="3585" xr:uid="{00000000-0005-0000-0000-00005A0C0000}"/>
    <cellStyle name="Normal 4 2 3 5 5 2 2" xfId="3586" xr:uid="{00000000-0005-0000-0000-00005B0C0000}"/>
    <cellStyle name="Normal 4 2 3 5 5 2 3" xfId="3587" xr:uid="{00000000-0005-0000-0000-00005C0C0000}"/>
    <cellStyle name="Normal 4 2 3 5 5 3" xfId="3588" xr:uid="{00000000-0005-0000-0000-00005D0C0000}"/>
    <cellStyle name="Normal 4 2 3 5 5 4" xfId="3589" xr:uid="{00000000-0005-0000-0000-00005E0C0000}"/>
    <cellStyle name="Normal 4 2 3 5 5 5" xfId="3590" xr:uid="{00000000-0005-0000-0000-00005F0C0000}"/>
    <cellStyle name="Normal 4 2 3 5 6" xfId="3591" xr:uid="{00000000-0005-0000-0000-0000600C0000}"/>
    <cellStyle name="Normal 4 2 3 5 6 2" xfId="3592" xr:uid="{00000000-0005-0000-0000-0000610C0000}"/>
    <cellStyle name="Normal 4 2 3 5 6 3" xfId="3593" xr:uid="{00000000-0005-0000-0000-0000620C0000}"/>
    <cellStyle name="Normal 4 2 3 5 7" xfId="3594" xr:uid="{00000000-0005-0000-0000-0000630C0000}"/>
    <cellStyle name="Normal 4 2 3 5 8" xfId="3595" xr:uid="{00000000-0005-0000-0000-0000640C0000}"/>
    <cellStyle name="Normal 4 2 3 5 9" xfId="3596" xr:uid="{00000000-0005-0000-0000-0000650C0000}"/>
    <cellStyle name="Normal 4 2 3 6" xfId="3597" xr:uid="{00000000-0005-0000-0000-0000660C0000}"/>
    <cellStyle name="Normal 4 2 3 6 2" xfId="3598" xr:uid="{00000000-0005-0000-0000-0000670C0000}"/>
    <cellStyle name="Normal 4 2 3 6 2 2" xfId="3599" xr:uid="{00000000-0005-0000-0000-0000680C0000}"/>
    <cellStyle name="Normal 4 2 3 6 2 2 2" xfId="3600" xr:uid="{00000000-0005-0000-0000-0000690C0000}"/>
    <cellStyle name="Normal 4 2 3 6 2 2 2 2" xfId="3601" xr:uid="{00000000-0005-0000-0000-00006A0C0000}"/>
    <cellStyle name="Normal 4 2 3 6 2 2 2 3" xfId="3602" xr:uid="{00000000-0005-0000-0000-00006B0C0000}"/>
    <cellStyle name="Normal 4 2 3 6 2 2 3" xfId="3603" xr:uid="{00000000-0005-0000-0000-00006C0C0000}"/>
    <cellStyle name="Normal 4 2 3 6 2 2 4" xfId="3604" xr:uid="{00000000-0005-0000-0000-00006D0C0000}"/>
    <cellStyle name="Normal 4 2 3 6 2 2 5" xfId="3605" xr:uid="{00000000-0005-0000-0000-00006E0C0000}"/>
    <cellStyle name="Normal 4 2 3 6 2 3" xfId="3606" xr:uid="{00000000-0005-0000-0000-00006F0C0000}"/>
    <cellStyle name="Normal 4 2 3 6 2 3 2" xfId="3607" xr:uid="{00000000-0005-0000-0000-0000700C0000}"/>
    <cellStyle name="Normal 4 2 3 6 2 3 2 2" xfId="3608" xr:uid="{00000000-0005-0000-0000-0000710C0000}"/>
    <cellStyle name="Normal 4 2 3 6 2 3 2 3" xfId="3609" xr:uid="{00000000-0005-0000-0000-0000720C0000}"/>
    <cellStyle name="Normal 4 2 3 6 2 3 3" xfId="3610" xr:uid="{00000000-0005-0000-0000-0000730C0000}"/>
    <cellStyle name="Normal 4 2 3 6 2 3 4" xfId="3611" xr:uid="{00000000-0005-0000-0000-0000740C0000}"/>
    <cellStyle name="Normal 4 2 3 6 2 3 5" xfId="3612" xr:uid="{00000000-0005-0000-0000-0000750C0000}"/>
    <cellStyle name="Normal 4 2 3 6 2 4" xfId="3613" xr:uid="{00000000-0005-0000-0000-0000760C0000}"/>
    <cellStyle name="Normal 4 2 3 6 2 4 2" xfId="3614" xr:uid="{00000000-0005-0000-0000-0000770C0000}"/>
    <cellStyle name="Normal 4 2 3 6 2 4 3" xfId="3615" xr:uid="{00000000-0005-0000-0000-0000780C0000}"/>
    <cellStyle name="Normal 4 2 3 6 2 5" xfId="3616" xr:uid="{00000000-0005-0000-0000-0000790C0000}"/>
    <cellStyle name="Normal 4 2 3 6 2 6" xfId="3617" xr:uid="{00000000-0005-0000-0000-00007A0C0000}"/>
    <cellStyle name="Normal 4 2 3 6 2 7" xfId="3618" xr:uid="{00000000-0005-0000-0000-00007B0C0000}"/>
    <cellStyle name="Normal 4 2 3 6 3" xfId="3619" xr:uid="{00000000-0005-0000-0000-00007C0C0000}"/>
    <cellStyle name="Normal 4 2 3 6 3 2" xfId="3620" xr:uid="{00000000-0005-0000-0000-00007D0C0000}"/>
    <cellStyle name="Normal 4 2 3 6 3 2 2" xfId="3621" xr:uid="{00000000-0005-0000-0000-00007E0C0000}"/>
    <cellStyle name="Normal 4 2 3 6 3 2 3" xfId="3622" xr:uid="{00000000-0005-0000-0000-00007F0C0000}"/>
    <cellStyle name="Normal 4 2 3 6 3 3" xfId="3623" xr:uid="{00000000-0005-0000-0000-0000800C0000}"/>
    <cellStyle name="Normal 4 2 3 6 3 4" xfId="3624" xr:uid="{00000000-0005-0000-0000-0000810C0000}"/>
    <cellStyle name="Normal 4 2 3 6 3 5" xfId="3625" xr:uid="{00000000-0005-0000-0000-0000820C0000}"/>
    <cellStyle name="Normal 4 2 3 6 4" xfId="3626" xr:uid="{00000000-0005-0000-0000-0000830C0000}"/>
    <cellStyle name="Normal 4 2 3 6 4 2" xfId="3627" xr:uid="{00000000-0005-0000-0000-0000840C0000}"/>
    <cellStyle name="Normal 4 2 3 6 4 2 2" xfId="3628" xr:uid="{00000000-0005-0000-0000-0000850C0000}"/>
    <cellStyle name="Normal 4 2 3 6 4 2 3" xfId="3629" xr:uid="{00000000-0005-0000-0000-0000860C0000}"/>
    <cellStyle name="Normal 4 2 3 6 4 3" xfId="3630" xr:uid="{00000000-0005-0000-0000-0000870C0000}"/>
    <cellStyle name="Normal 4 2 3 6 4 4" xfId="3631" xr:uid="{00000000-0005-0000-0000-0000880C0000}"/>
    <cellStyle name="Normal 4 2 3 6 4 5" xfId="3632" xr:uid="{00000000-0005-0000-0000-0000890C0000}"/>
    <cellStyle name="Normal 4 2 3 6 5" xfId="3633" xr:uid="{00000000-0005-0000-0000-00008A0C0000}"/>
    <cellStyle name="Normal 4 2 3 6 5 2" xfId="3634" xr:uid="{00000000-0005-0000-0000-00008B0C0000}"/>
    <cellStyle name="Normal 4 2 3 6 5 3" xfId="3635" xr:uid="{00000000-0005-0000-0000-00008C0C0000}"/>
    <cellStyle name="Normal 4 2 3 6 6" xfId="3636" xr:uid="{00000000-0005-0000-0000-00008D0C0000}"/>
    <cellStyle name="Normal 4 2 3 6 7" xfId="3637" xr:uid="{00000000-0005-0000-0000-00008E0C0000}"/>
    <cellStyle name="Normal 4 2 3 6 8" xfId="3638" xr:uid="{00000000-0005-0000-0000-00008F0C0000}"/>
    <cellStyle name="Normal 4 2 3 7" xfId="3639" xr:uid="{00000000-0005-0000-0000-0000900C0000}"/>
    <cellStyle name="Normal 4 2 3 7 2" xfId="3640" xr:uid="{00000000-0005-0000-0000-0000910C0000}"/>
    <cellStyle name="Normal 4 2 3 7 2 2" xfId="3641" xr:uid="{00000000-0005-0000-0000-0000920C0000}"/>
    <cellStyle name="Normal 4 2 3 7 2 2 2" xfId="3642" xr:uid="{00000000-0005-0000-0000-0000930C0000}"/>
    <cellStyle name="Normal 4 2 3 7 2 2 3" xfId="3643" xr:uid="{00000000-0005-0000-0000-0000940C0000}"/>
    <cellStyle name="Normal 4 2 3 7 2 3" xfId="3644" xr:uid="{00000000-0005-0000-0000-0000950C0000}"/>
    <cellStyle name="Normal 4 2 3 7 2 4" xfId="3645" xr:uid="{00000000-0005-0000-0000-0000960C0000}"/>
    <cellStyle name="Normal 4 2 3 7 2 5" xfId="3646" xr:uid="{00000000-0005-0000-0000-0000970C0000}"/>
    <cellStyle name="Normal 4 2 3 7 3" xfId="3647" xr:uid="{00000000-0005-0000-0000-0000980C0000}"/>
    <cellStyle name="Normal 4 2 3 7 3 2" xfId="3648" xr:uid="{00000000-0005-0000-0000-0000990C0000}"/>
    <cellStyle name="Normal 4 2 3 7 3 2 2" xfId="3649" xr:uid="{00000000-0005-0000-0000-00009A0C0000}"/>
    <cellStyle name="Normal 4 2 3 7 3 2 3" xfId="3650" xr:uid="{00000000-0005-0000-0000-00009B0C0000}"/>
    <cellStyle name="Normal 4 2 3 7 3 3" xfId="3651" xr:uid="{00000000-0005-0000-0000-00009C0C0000}"/>
    <cellStyle name="Normal 4 2 3 7 3 4" xfId="3652" xr:uid="{00000000-0005-0000-0000-00009D0C0000}"/>
    <cellStyle name="Normal 4 2 3 7 3 5" xfId="3653" xr:uid="{00000000-0005-0000-0000-00009E0C0000}"/>
    <cellStyle name="Normal 4 2 3 7 4" xfId="3654" xr:uid="{00000000-0005-0000-0000-00009F0C0000}"/>
    <cellStyle name="Normal 4 2 3 7 4 2" xfId="3655" xr:uid="{00000000-0005-0000-0000-0000A00C0000}"/>
    <cellStyle name="Normal 4 2 3 7 4 3" xfId="3656" xr:uid="{00000000-0005-0000-0000-0000A10C0000}"/>
    <cellStyle name="Normal 4 2 3 7 5" xfId="3657" xr:uid="{00000000-0005-0000-0000-0000A20C0000}"/>
    <cellStyle name="Normal 4 2 3 7 6" xfId="3658" xr:uid="{00000000-0005-0000-0000-0000A30C0000}"/>
    <cellStyle name="Normal 4 2 3 7 7" xfId="3659" xr:uid="{00000000-0005-0000-0000-0000A40C0000}"/>
    <cellStyle name="Normal 4 2 3 8" xfId="3660" xr:uid="{00000000-0005-0000-0000-0000A50C0000}"/>
    <cellStyle name="Normal 4 2 3 8 2" xfId="3661" xr:uid="{00000000-0005-0000-0000-0000A60C0000}"/>
    <cellStyle name="Normal 4 2 3 8 2 2" xfId="3662" xr:uid="{00000000-0005-0000-0000-0000A70C0000}"/>
    <cellStyle name="Normal 4 2 3 8 2 2 2" xfId="3663" xr:uid="{00000000-0005-0000-0000-0000A80C0000}"/>
    <cellStyle name="Normal 4 2 3 8 2 2 3" xfId="3664" xr:uid="{00000000-0005-0000-0000-0000A90C0000}"/>
    <cellStyle name="Normal 4 2 3 8 2 3" xfId="3665" xr:uid="{00000000-0005-0000-0000-0000AA0C0000}"/>
    <cellStyle name="Normal 4 2 3 8 2 4" xfId="3666" xr:uid="{00000000-0005-0000-0000-0000AB0C0000}"/>
    <cellStyle name="Normal 4 2 3 8 2 5" xfId="3667" xr:uid="{00000000-0005-0000-0000-0000AC0C0000}"/>
    <cellStyle name="Normal 4 2 3 8 3" xfId="3668" xr:uid="{00000000-0005-0000-0000-0000AD0C0000}"/>
    <cellStyle name="Normal 4 2 3 8 3 2" xfId="3669" xr:uid="{00000000-0005-0000-0000-0000AE0C0000}"/>
    <cellStyle name="Normal 4 2 3 8 3 2 2" xfId="3670" xr:uid="{00000000-0005-0000-0000-0000AF0C0000}"/>
    <cellStyle name="Normal 4 2 3 8 3 2 3" xfId="3671" xr:uid="{00000000-0005-0000-0000-0000B00C0000}"/>
    <cellStyle name="Normal 4 2 3 8 3 3" xfId="3672" xr:uid="{00000000-0005-0000-0000-0000B10C0000}"/>
    <cellStyle name="Normal 4 2 3 8 3 4" xfId="3673" xr:uid="{00000000-0005-0000-0000-0000B20C0000}"/>
    <cellStyle name="Normal 4 2 3 8 3 5" xfId="3674" xr:uid="{00000000-0005-0000-0000-0000B30C0000}"/>
    <cellStyle name="Normal 4 2 3 8 4" xfId="3675" xr:uid="{00000000-0005-0000-0000-0000B40C0000}"/>
    <cellStyle name="Normal 4 2 3 8 4 2" xfId="3676" xr:uid="{00000000-0005-0000-0000-0000B50C0000}"/>
    <cellStyle name="Normal 4 2 3 8 4 3" xfId="3677" xr:uid="{00000000-0005-0000-0000-0000B60C0000}"/>
    <cellStyle name="Normal 4 2 3 8 5" xfId="3678" xr:uid="{00000000-0005-0000-0000-0000B70C0000}"/>
    <cellStyle name="Normal 4 2 3 8 6" xfId="3679" xr:uid="{00000000-0005-0000-0000-0000B80C0000}"/>
    <cellStyle name="Normal 4 2 3 8 7" xfId="3680" xr:uid="{00000000-0005-0000-0000-0000B90C0000}"/>
    <cellStyle name="Normal 4 2 3 9" xfId="3681" xr:uid="{00000000-0005-0000-0000-0000BA0C0000}"/>
    <cellStyle name="Normal 4 2 3 9 2" xfId="3682" xr:uid="{00000000-0005-0000-0000-0000BB0C0000}"/>
    <cellStyle name="Normal 4 2 3 9 2 2" xfId="3683" xr:uid="{00000000-0005-0000-0000-0000BC0C0000}"/>
    <cellStyle name="Normal 4 2 3 9 2 3" xfId="3684" xr:uid="{00000000-0005-0000-0000-0000BD0C0000}"/>
    <cellStyle name="Normal 4 2 3 9 3" xfId="3685" xr:uid="{00000000-0005-0000-0000-0000BE0C0000}"/>
    <cellStyle name="Normal 4 2 3 9 4" xfId="3686" xr:uid="{00000000-0005-0000-0000-0000BF0C0000}"/>
    <cellStyle name="Normal 4 2 3 9 5" xfId="3687" xr:uid="{00000000-0005-0000-0000-0000C00C0000}"/>
    <cellStyle name="Normal 4 2 4" xfId="3688" xr:uid="{00000000-0005-0000-0000-0000C10C0000}"/>
    <cellStyle name="Normal 4 2 4 10" xfId="3689" xr:uid="{00000000-0005-0000-0000-0000C20C0000}"/>
    <cellStyle name="Normal 4 2 4 11" xfId="3690" xr:uid="{00000000-0005-0000-0000-0000C30C0000}"/>
    <cellStyle name="Normal 4 2 4 12" xfId="3691" xr:uid="{00000000-0005-0000-0000-0000C40C0000}"/>
    <cellStyle name="Normal 4 2 4 2" xfId="3692" xr:uid="{00000000-0005-0000-0000-0000C50C0000}"/>
    <cellStyle name="Normal 4 2 4 2 2" xfId="3693" xr:uid="{00000000-0005-0000-0000-0000C60C0000}"/>
    <cellStyle name="Normal 4 2 4 2 2 2" xfId="3694" xr:uid="{00000000-0005-0000-0000-0000C70C0000}"/>
    <cellStyle name="Normal 4 2 4 2 2 2 2" xfId="3695" xr:uid="{00000000-0005-0000-0000-0000C80C0000}"/>
    <cellStyle name="Normal 4 2 4 2 2 2 2 2" xfId="3696" xr:uid="{00000000-0005-0000-0000-0000C90C0000}"/>
    <cellStyle name="Normal 4 2 4 2 2 2 2 2 2" xfId="3697" xr:uid="{00000000-0005-0000-0000-0000CA0C0000}"/>
    <cellStyle name="Normal 4 2 4 2 2 2 2 2 3" xfId="3698" xr:uid="{00000000-0005-0000-0000-0000CB0C0000}"/>
    <cellStyle name="Normal 4 2 4 2 2 2 2 3" xfId="3699" xr:uid="{00000000-0005-0000-0000-0000CC0C0000}"/>
    <cellStyle name="Normal 4 2 4 2 2 2 2 4" xfId="3700" xr:uid="{00000000-0005-0000-0000-0000CD0C0000}"/>
    <cellStyle name="Normal 4 2 4 2 2 2 2 5" xfId="3701" xr:uid="{00000000-0005-0000-0000-0000CE0C0000}"/>
    <cellStyle name="Normal 4 2 4 2 2 2 3" xfId="3702" xr:uid="{00000000-0005-0000-0000-0000CF0C0000}"/>
    <cellStyle name="Normal 4 2 4 2 2 2 3 2" xfId="3703" xr:uid="{00000000-0005-0000-0000-0000D00C0000}"/>
    <cellStyle name="Normal 4 2 4 2 2 2 3 2 2" xfId="3704" xr:uid="{00000000-0005-0000-0000-0000D10C0000}"/>
    <cellStyle name="Normal 4 2 4 2 2 2 3 2 3" xfId="3705" xr:uid="{00000000-0005-0000-0000-0000D20C0000}"/>
    <cellStyle name="Normal 4 2 4 2 2 2 3 3" xfId="3706" xr:uid="{00000000-0005-0000-0000-0000D30C0000}"/>
    <cellStyle name="Normal 4 2 4 2 2 2 3 4" xfId="3707" xr:uid="{00000000-0005-0000-0000-0000D40C0000}"/>
    <cellStyle name="Normal 4 2 4 2 2 2 3 5" xfId="3708" xr:uid="{00000000-0005-0000-0000-0000D50C0000}"/>
    <cellStyle name="Normal 4 2 4 2 2 2 4" xfId="3709" xr:uid="{00000000-0005-0000-0000-0000D60C0000}"/>
    <cellStyle name="Normal 4 2 4 2 2 2 4 2" xfId="3710" xr:uid="{00000000-0005-0000-0000-0000D70C0000}"/>
    <cellStyle name="Normal 4 2 4 2 2 2 4 3" xfId="3711" xr:uid="{00000000-0005-0000-0000-0000D80C0000}"/>
    <cellStyle name="Normal 4 2 4 2 2 2 5" xfId="3712" xr:uid="{00000000-0005-0000-0000-0000D90C0000}"/>
    <cellStyle name="Normal 4 2 4 2 2 2 6" xfId="3713" xr:uid="{00000000-0005-0000-0000-0000DA0C0000}"/>
    <cellStyle name="Normal 4 2 4 2 2 2 7" xfId="3714" xr:uid="{00000000-0005-0000-0000-0000DB0C0000}"/>
    <cellStyle name="Normal 4 2 4 2 2 3" xfId="3715" xr:uid="{00000000-0005-0000-0000-0000DC0C0000}"/>
    <cellStyle name="Normal 4 2 4 2 2 3 2" xfId="3716" xr:uid="{00000000-0005-0000-0000-0000DD0C0000}"/>
    <cellStyle name="Normal 4 2 4 2 2 3 2 2" xfId="3717" xr:uid="{00000000-0005-0000-0000-0000DE0C0000}"/>
    <cellStyle name="Normal 4 2 4 2 2 3 2 3" xfId="3718" xr:uid="{00000000-0005-0000-0000-0000DF0C0000}"/>
    <cellStyle name="Normal 4 2 4 2 2 3 3" xfId="3719" xr:uid="{00000000-0005-0000-0000-0000E00C0000}"/>
    <cellStyle name="Normal 4 2 4 2 2 3 4" xfId="3720" xr:uid="{00000000-0005-0000-0000-0000E10C0000}"/>
    <cellStyle name="Normal 4 2 4 2 2 3 5" xfId="3721" xr:uid="{00000000-0005-0000-0000-0000E20C0000}"/>
    <cellStyle name="Normal 4 2 4 2 2 4" xfId="3722" xr:uid="{00000000-0005-0000-0000-0000E30C0000}"/>
    <cellStyle name="Normal 4 2 4 2 2 4 2" xfId="3723" xr:uid="{00000000-0005-0000-0000-0000E40C0000}"/>
    <cellStyle name="Normal 4 2 4 2 2 4 2 2" xfId="3724" xr:uid="{00000000-0005-0000-0000-0000E50C0000}"/>
    <cellStyle name="Normal 4 2 4 2 2 4 2 3" xfId="3725" xr:uid="{00000000-0005-0000-0000-0000E60C0000}"/>
    <cellStyle name="Normal 4 2 4 2 2 4 3" xfId="3726" xr:uid="{00000000-0005-0000-0000-0000E70C0000}"/>
    <cellStyle name="Normal 4 2 4 2 2 4 4" xfId="3727" xr:uid="{00000000-0005-0000-0000-0000E80C0000}"/>
    <cellStyle name="Normal 4 2 4 2 2 4 5" xfId="3728" xr:uid="{00000000-0005-0000-0000-0000E90C0000}"/>
    <cellStyle name="Normal 4 2 4 2 2 5" xfId="3729" xr:uid="{00000000-0005-0000-0000-0000EA0C0000}"/>
    <cellStyle name="Normal 4 2 4 2 2 5 2" xfId="3730" xr:uid="{00000000-0005-0000-0000-0000EB0C0000}"/>
    <cellStyle name="Normal 4 2 4 2 2 5 3" xfId="3731" xr:uid="{00000000-0005-0000-0000-0000EC0C0000}"/>
    <cellStyle name="Normal 4 2 4 2 2 6" xfId="3732" xr:uid="{00000000-0005-0000-0000-0000ED0C0000}"/>
    <cellStyle name="Normal 4 2 4 2 2 7" xfId="3733" xr:uid="{00000000-0005-0000-0000-0000EE0C0000}"/>
    <cellStyle name="Normal 4 2 4 2 2 8" xfId="3734" xr:uid="{00000000-0005-0000-0000-0000EF0C0000}"/>
    <cellStyle name="Normal 4 2 4 2 3" xfId="3735" xr:uid="{00000000-0005-0000-0000-0000F00C0000}"/>
    <cellStyle name="Normal 4 2 4 2 3 2" xfId="3736" xr:uid="{00000000-0005-0000-0000-0000F10C0000}"/>
    <cellStyle name="Normal 4 2 4 2 3 2 2" xfId="3737" xr:uid="{00000000-0005-0000-0000-0000F20C0000}"/>
    <cellStyle name="Normal 4 2 4 2 3 2 2 2" xfId="3738" xr:uid="{00000000-0005-0000-0000-0000F30C0000}"/>
    <cellStyle name="Normal 4 2 4 2 3 2 2 3" xfId="3739" xr:uid="{00000000-0005-0000-0000-0000F40C0000}"/>
    <cellStyle name="Normal 4 2 4 2 3 2 3" xfId="3740" xr:uid="{00000000-0005-0000-0000-0000F50C0000}"/>
    <cellStyle name="Normal 4 2 4 2 3 2 4" xfId="3741" xr:uid="{00000000-0005-0000-0000-0000F60C0000}"/>
    <cellStyle name="Normal 4 2 4 2 3 2 5" xfId="3742" xr:uid="{00000000-0005-0000-0000-0000F70C0000}"/>
    <cellStyle name="Normal 4 2 4 2 3 3" xfId="3743" xr:uid="{00000000-0005-0000-0000-0000F80C0000}"/>
    <cellStyle name="Normal 4 2 4 2 3 3 2" xfId="3744" xr:uid="{00000000-0005-0000-0000-0000F90C0000}"/>
    <cellStyle name="Normal 4 2 4 2 3 3 2 2" xfId="3745" xr:uid="{00000000-0005-0000-0000-0000FA0C0000}"/>
    <cellStyle name="Normal 4 2 4 2 3 3 2 3" xfId="3746" xr:uid="{00000000-0005-0000-0000-0000FB0C0000}"/>
    <cellStyle name="Normal 4 2 4 2 3 3 3" xfId="3747" xr:uid="{00000000-0005-0000-0000-0000FC0C0000}"/>
    <cellStyle name="Normal 4 2 4 2 3 3 4" xfId="3748" xr:uid="{00000000-0005-0000-0000-0000FD0C0000}"/>
    <cellStyle name="Normal 4 2 4 2 3 3 5" xfId="3749" xr:uid="{00000000-0005-0000-0000-0000FE0C0000}"/>
    <cellStyle name="Normal 4 2 4 2 3 4" xfId="3750" xr:uid="{00000000-0005-0000-0000-0000FF0C0000}"/>
    <cellStyle name="Normal 4 2 4 2 3 4 2" xfId="3751" xr:uid="{00000000-0005-0000-0000-0000000D0000}"/>
    <cellStyle name="Normal 4 2 4 2 3 4 3" xfId="3752" xr:uid="{00000000-0005-0000-0000-0000010D0000}"/>
    <cellStyle name="Normal 4 2 4 2 3 5" xfId="3753" xr:uid="{00000000-0005-0000-0000-0000020D0000}"/>
    <cellStyle name="Normal 4 2 4 2 3 6" xfId="3754" xr:uid="{00000000-0005-0000-0000-0000030D0000}"/>
    <cellStyle name="Normal 4 2 4 2 3 7" xfId="3755" xr:uid="{00000000-0005-0000-0000-0000040D0000}"/>
    <cellStyle name="Normal 4 2 4 2 4" xfId="3756" xr:uid="{00000000-0005-0000-0000-0000050D0000}"/>
    <cellStyle name="Normal 4 2 4 2 4 2" xfId="3757" xr:uid="{00000000-0005-0000-0000-0000060D0000}"/>
    <cellStyle name="Normal 4 2 4 2 4 2 2" xfId="3758" xr:uid="{00000000-0005-0000-0000-0000070D0000}"/>
    <cellStyle name="Normal 4 2 4 2 4 2 3" xfId="3759" xr:uid="{00000000-0005-0000-0000-0000080D0000}"/>
    <cellStyle name="Normal 4 2 4 2 4 3" xfId="3760" xr:uid="{00000000-0005-0000-0000-0000090D0000}"/>
    <cellStyle name="Normal 4 2 4 2 4 4" xfId="3761" xr:uid="{00000000-0005-0000-0000-00000A0D0000}"/>
    <cellStyle name="Normal 4 2 4 2 4 5" xfId="3762" xr:uid="{00000000-0005-0000-0000-00000B0D0000}"/>
    <cellStyle name="Normal 4 2 4 2 5" xfId="3763" xr:uid="{00000000-0005-0000-0000-00000C0D0000}"/>
    <cellStyle name="Normal 4 2 4 2 5 2" xfId="3764" xr:uid="{00000000-0005-0000-0000-00000D0D0000}"/>
    <cellStyle name="Normal 4 2 4 2 5 2 2" xfId="3765" xr:uid="{00000000-0005-0000-0000-00000E0D0000}"/>
    <cellStyle name="Normal 4 2 4 2 5 2 3" xfId="3766" xr:uid="{00000000-0005-0000-0000-00000F0D0000}"/>
    <cellStyle name="Normal 4 2 4 2 5 3" xfId="3767" xr:uid="{00000000-0005-0000-0000-0000100D0000}"/>
    <cellStyle name="Normal 4 2 4 2 5 4" xfId="3768" xr:uid="{00000000-0005-0000-0000-0000110D0000}"/>
    <cellStyle name="Normal 4 2 4 2 5 5" xfId="3769" xr:uid="{00000000-0005-0000-0000-0000120D0000}"/>
    <cellStyle name="Normal 4 2 4 2 6" xfId="3770" xr:uid="{00000000-0005-0000-0000-0000130D0000}"/>
    <cellStyle name="Normal 4 2 4 2 6 2" xfId="3771" xr:uid="{00000000-0005-0000-0000-0000140D0000}"/>
    <cellStyle name="Normal 4 2 4 2 6 3" xfId="3772" xr:uid="{00000000-0005-0000-0000-0000150D0000}"/>
    <cellStyle name="Normal 4 2 4 2 7" xfId="3773" xr:uid="{00000000-0005-0000-0000-0000160D0000}"/>
    <cellStyle name="Normal 4 2 4 2 8" xfId="3774" xr:uid="{00000000-0005-0000-0000-0000170D0000}"/>
    <cellStyle name="Normal 4 2 4 2 9" xfId="3775" xr:uid="{00000000-0005-0000-0000-0000180D0000}"/>
    <cellStyle name="Normal 4 2 4 3" xfId="3776" xr:uid="{00000000-0005-0000-0000-0000190D0000}"/>
    <cellStyle name="Normal 4 2 4 3 2" xfId="3777" xr:uid="{00000000-0005-0000-0000-00001A0D0000}"/>
    <cellStyle name="Normal 4 2 4 3 2 2" xfId="3778" xr:uid="{00000000-0005-0000-0000-00001B0D0000}"/>
    <cellStyle name="Normal 4 2 4 3 2 2 2" xfId="3779" xr:uid="{00000000-0005-0000-0000-00001C0D0000}"/>
    <cellStyle name="Normal 4 2 4 3 2 2 2 2" xfId="3780" xr:uid="{00000000-0005-0000-0000-00001D0D0000}"/>
    <cellStyle name="Normal 4 2 4 3 2 2 2 2 2" xfId="3781" xr:uid="{00000000-0005-0000-0000-00001E0D0000}"/>
    <cellStyle name="Normal 4 2 4 3 2 2 2 2 3" xfId="3782" xr:uid="{00000000-0005-0000-0000-00001F0D0000}"/>
    <cellStyle name="Normal 4 2 4 3 2 2 2 3" xfId="3783" xr:uid="{00000000-0005-0000-0000-0000200D0000}"/>
    <cellStyle name="Normal 4 2 4 3 2 2 2 4" xfId="3784" xr:uid="{00000000-0005-0000-0000-0000210D0000}"/>
    <cellStyle name="Normal 4 2 4 3 2 2 2 5" xfId="3785" xr:uid="{00000000-0005-0000-0000-0000220D0000}"/>
    <cellStyle name="Normal 4 2 4 3 2 2 3" xfId="3786" xr:uid="{00000000-0005-0000-0000-0000230D0000}"/>
    <cellStyle name="Normal 4 2 4 3 2 2 3 2" xfId="3787" xr:uid="{00000000-0005-0000-0000-0000240D0000}"/>
    <cellStyle name="Normal 4 2 4 3 2 2 3 2 2" xfId="3788" xr:uid="{00000000-0005-0000-0000-0000250D0000}"/>
    <cellStyle name="Normal 4 2 4 3 2 2 3 2 3" xfId="3789" xr:uid="{00000000-0005-0000-0000-0000260D0000}"/>
    <cellStyle name="Normal 4 2 4 3 2 2 3 3" xfId="3790" xr:uid="{00000000-0005-0000-0000-0000270D0000}"/>
    <cellStyle name="Normal 4 2 4 3 2 2 3 4" xfId="3791" xr:uid="{00000000-0005-0000-0000-0000280D0000}"/>
    <cellStyle name="Normal 4 2 4 3 2 2 3 5" xfId="3792" xr:uid="{00000000-0005-0000-0000-0000290D0000}"/>
    <cellStyle name="Normal 4 2 4 3 2 2 4" xfId="3793" xr:uid="{00000000-0005-0000-0000-00002A0D0000}"/>
    <cellStyle name="Normal 4 2 4 3 2 2 4 2" xfId="3794" xr:uid="{00000000-0005-0000-0000-00002B0D0000}"/>
    <cellStyle name="Normal 4 2 4 3 2 2 4 3" xfId="3795" xr:uid="{00000000-0005-0000-0000-00002C0D0000}"/>
    <cellStyle name="Normal 4 2 4 3 2 2 5" xfId="3796" xr:uid="{00000000-0005-0000-0000-00002D0D0000}"/>
    <cellStyle name="Normal 4 2 4 3 2 2 6" xfId="3797" xr:uid="{00000000-0005-0000-0000-00002E0D0000}"/>
    <cellStyle name="Normal 4 2 4 3 2 2 7" xfId="3798" xr:uid="{00000000-0005-0000-0000-00002F0D0000}"/>
    <cellStyle name="Normal 4 2 4 3 2 3" xfId="3799" xr:uid="{00000000-0005-0000-0000-0000300D0000}"/>
    <cellStyle name="Normal 4 2 4 3 2 3 2" xfId="3800" xr:uid="{00000000-0005-0000-0000-0000310D0000}"/>
    <cellStyle name="Normal 4 2 4 3 2 3 2 2" xfId="3801" xr:uid="{00000000-0005-0000-0000-0000320D0000}"/>
    <cellStyle name="Normal 4 2 4 3 2 3 2 3" xfId="3802" xr:uid="{00000000-0005-0000-0000-0000330D0000}"/>
    <cellStyle name="Normal 4 2 4 3 2 3 3" xfId="3803" xr:uid="{00000000-0005-0000-0000-0000340D0000}"/>
    <cellStyle name="Normal 4 2 4 3 2 3 4" xfId="3804" xr:uid="{00000000-0005-0000-0000-0000350D0000}"/>
    <cellStyle name="Normal 4 2 4 3 2 3 5" xfId="3805" xr:uid="{00000000-0005-0000-0000-0000360D0000}"/>
    <cellStyle name="Normal 4 2 4 3 2 4" xfId="3806" xr:uid="{00000000-0005-0000-0000-0000370D0000}"/>
    <cellStyle name="Normal 4 2 4 3 2 4 2" xfId="3807" xr:uid="{00000000-0005-0000-0000-0000380D0000}"/>
    <cellStyle name="Normal 4 2 4 3 2 4 2 2" xfId="3808" xr:uid="{00000000-0005-0000-0000-0000390D0000}"/>
    <cellStyle name="Normal 4 2 4 3 2 4 2 3" xfId="3809" xr:uid="{00000000-0005-0000-0000-00003A0D0000}"/>
    <cellStyle name="Normal 4 2 4 3 2 4 3" xfId="3810" xr:uid="{00000000-0005-0000-0000-00003B0D0000}"/>
    <cellStyle name="Normal 4 2 4 3 2 4 4" xfId="3811" xr:uid="{00000000-0005-0000-0000-00003C0D0000}"/>
    <cellStyle name="Normal 4 2 4 3 2 4 5" xfId="3812" xr:uid="{00000000-0005-0000-0000-00003D0D0000}"/>
    <cellStyle name="Normal 4 2 4 3 2 5" xfId="3813" xr:uid="{00000000-0005-0000-0000-00003E0D0000}"/>
    <cellStyle name="Normal 4 2 4 3 2 5 2" xfId="3814" xr:uid="{00000000-0005-0000-0000-00003F0D0000}"/>
    <cellStyle name="Normal 4 2 4 3 2 5 3" xfId="3815" xr:uid="{00000000-0005-0000-0000-0000400D0000}"/>
    <cellStyle name="Normal 4 2 4 3 2 6" xfId="3816" xr:uid="{00000000-0005-0000-0000-0000410D0000}"/>
    <cellStyle name="Normal 4 2 4 3 2 7" xfId="3817" xr:uid="{00000000-0005-0000-0000-0000420D0000}"/>
    <cellStyle name="Normal 4 2 4 3 2 8" xfId="3818" xr:uid="{00000000-0005-0000-0000-0000430D0000}"/>
    <cellStyle name="Normal 4 2 4 3 3" xfId="3819" xr:uid="{00000000-0005-0000-0000-0000440D0000}"/>
    <cellStyle name="Normal 4 2 4 3 3 2" xfId="3820" xr:uid="{00000000-0005-0000-0000-0000450D0000}"/>
    <cellStyle name="Normal 4 2 4 3 3 2 2" xfId="3821" xr:uid="{00000000-0005-0000-0000-0000460D0000}"/>
    <cellStyle name="Normal 4 2 4 3 3 2 2 2" xfId="3822" xr:uid="{00000000-0005-0000-0000-0000470D0000}"/>
    <cellStyle name="Normal 4 2 4 3 3 2 2 3" xfId="3823" xr:uid="{00000000-0005-0000-0000-0000480D0000}"/>
    <cellStyle name="Normal 4 2 4 3 3 2 3" xfId="3824" xr:uid="{00000000-0005-0000-0000-0000490D0000}"/>
    <cellStyle name="Normal 4 2 4 3 3 2 4" xfId="3825" xr:uid="{00000000-0005-0000-0000-00004A0D0000}"/>
    <cellStyle name="Normal 4 2 4 3 3 2 5" xfId="3826" xr:uid="{00000000-0005-0000-0000-00004B0D0000}"/>
    <cellStyle name="Normal 4 2 4 3 3 3" xfId="3827" xr:uid="{00000000-0005-0000-0000-00004C0D0000}"/>
    <cellStyle name="Normal 4 2 4 3 3 3 2" xfId="3828" xr:uid="{00000000-0005-0000-0000-00004D0D0000}"/>
    <cellStyle name="Normal 4 2 4 3 3 3 2 2" xfId="3829" xr:uid="{00000000-0005-0000-0000-00004E0D0000}"/>
    <cellStyle name="Normal 4 2 4 3 3 3 2 3" xfId="3830" xr:uid="{00000000-0005-0000-0000-00004F0D0000}"/>
    <cellStyle name="Normal 4 2 4 3 3 3 3" xfId="3831" xr:uid="{00000000-0005-0000-0000-0000500D0000}"/>
    <cellStyle name="Normal 4 2 4 3 3 3 4" xfId="3832" xr:uid="{00000000-0005-0000-0000-0000510D0000}"/>
    <cellStyle name="Normal 4 2 4 3 3 3 5" xfId="3833" xr:uid="{00000000-0005-0000-0000-0000520D0000}"/>
    <cellStyle name="Normal 4 2 4 3 3 4" xfId="3834" xr:uid="{00000000-0005-0000-0000-0000530D0000}"/>
    <cellStyle name="Normal 4 2 4 3 3 4 2" xfId="3835" xr:uid="{00000000-0005-0000-0000-0000540D0000}"/>
    <cellStyle name="Normal 4 2 4 3 3 4 3" xfId="3836" xr:uid="{00000000-0005-0000-0000-0000550D0000}"/>
    <cellStyle name="Normal 4 2 4 3 3 5" xfId="3837" xr:uid="{00000000-0005-0000-0000-0000560D0000}"/>
    <cellStyle name="Normal 4 2 4 3 3 6" xfId="3838" xr:uid="{00000000-0005-0000-0000-0000570D0000}"/>
    <cellStyle name="Normal 4 2 4 3 3 7" xfId="3839" xr:uid="{00000000-0005-0000-0000-0000580D0000}"/>
    <cellStyle name="Normal 4 2 4 3 4" xfId="3840" xr:uid="{00000000-0005-0000-0000-0000590D0000}"/>
    <cellStyle name="Normal 4 2 4 3 4 2" xfId="3841" xr:uid="{00000000-0005-0000-0000-00005A0D0000}"/>
    <cellStyle name="Normal 4 2 4 3 4 2 2" xfId="3842" xr:uid="{00000000-0005-0000-0000-00005B0D0000}"/>
    <cellStyle name="Normal 4 2 4 3 4 2 3" xfId="3843" xr:uid="{00000000-0005-0000-0000-00005C0D0000}"/>
    <cellStyle name="Normal 4 2 4 3 4 3" xfId="3844" xr:uid="{00000000-0005-0000-0000-00005D0D0000}"/>
    <cellStyle name="Normal 4 2 4 3 4 4" xfId="3845" xr:uid="{00000000-0005-0000-0000-00005E0D0000}"/>
    <cellStyle name="Normal 4 2 4 3 4 5" xfId="3846" xr:uid="{00000000-0005-0000-0000-00005F0D0000}"/>
    <cellStyle name="Normal 4 2 4 3 5" xfId="3847" xr:uid="{00000000-0005-0000-0000-0000600D0000}"/>
    <cellStyle name="Normal 4 2 4 3 5 2" xfId="3848" xr:uid="{00000000-0005-0000-0000-0000610D0000}"/>
    <cellStyle name="Normal 4 2 4 3 5 2 2" xfId="3849" xr:uid="{00000000-0005-0000-0000-0000620D0000}"/>
    <cellStyle name="Normal 4 2 4 3 5 2 3" xfId="3850" xr:uid="{00000000-0005-0000-0000-0000630D0000}"/>
    <cellStyle name="Normal 4 2 4 3 5 3" xfId="3851" xr:uid="{00000000-0005-0000-0000-0000640D0000}"/>
    <cellStyle name="Normal 4 2 4 3 5 4" xfId="3852" xr:uid="{00000000-0005-0000-0000-0000650D0000}"/>
    <cellStyle name="Normal 4 2 4 3 5 5" xfId="3853" xr:uid="{00000000-0005-0000-0000-0000660D0000}"/>
    <cellStyle name="Normal 4 2 4 3 6" xfId="3854" xr:uid="{00000000-0005-0000-0000-0000670D0000}"/>
    <cellStyle name="Normal 4 2 4 3 6 2" xfId="3855" xr:uid="{00000000-0005-0000-0000-0000680D0000}"/>
    <cellStyle name="Normal 4 2 4 3 6 3" xfId="3856" xr:uid="{00000000-0005-0000-0000-0000690D0000}"/>
    <cellStyle name="Normal 4 2 4 3 7" xfId="3857" xr:uid="{00000000-0005-0000-0000-00006A0D0000}"/>
    <cellStyle name="Normal 4 2 4 3 8" xfId="3858" xr:uid="{00000000-0005-0000-0000-00006B0D0000}"/>
    <cellStyle name="Normal 4 2 4 3 9" xfId="3859" xr:uid="{00000000-0005-0000-0000-00006C0D0000}"/>
    <cellStyle name="Normal 4 2 4 4" xfId="3860" xr:uid="{00000000-0005-0000-0000-00006D0D0000}"/>
    <cellStyle name="Normal 4 2 4 4 2" xfId="3861" xr:uid="{00000000-0005-0000-0000-00006E0D0000}"/>
    <cellStyle name="Normal 4 2 4 4 2 2" xfId="3862" xr:uid="{00000000-0005-0000-0000-00006F0D0000}"/>
    <cellStyle name="Normal 4 2 4 4 2 2 2" xfId="3863" xr:uid="{00000000-0005-0000-0000-0000700D0000}"/>
    <cellStyle name="Normal 4 2 4 4 2 2 2 2" xfId="3864" xr:uid="{00000000-0005-0000-0000-0000710D0000}"/>
    <cellStyle name="Normal 4 2 4 4 2 2 2 2 2" xfId="3865" xr:uid="{00000000-0005-0000-0000-0000720D0000}"/>
    <cellStyle name="Normal 4 2 4 4 2 2 2 2 3" xfId="3866" xr:uid="{00000000-0005-0000-0000-0000730D0000}"/>
    <cellStyle name="Normal 4 2 4 4 2 2 2 3" xfId="3867" xr:uid="{00000000-0005-0000-0000-0000740D0000}"/>
    <cellStyle name="Normal 4 2 4 4 2 2 2 4" xfId="3868" xr:uid="{00000000-0005-0000-0000-0000750D0000}"/>
    <cellStyle name="Normal 4 2 4 4 2 2 2 5" xfId="3869" xr:uid="{00000000-0005-0000-0000-0000760D0000}"/>
    <cellStyle name="Normal 4 2 4 4 2 2 3" xfId="3870" xr:uid="{00000000-0005-0000-0000-0000770D0000}"/>
    <cellStyle name="Normal 4 2 4 4 2 2 3 2" xfId="3871" xr:uid="{00000000-0005-0000-0000-0000780D0000}"/>
    <cellStyle name="Normal 4 2 4 4 2 2 3 2 2" xfId="3872" xr:uid="{00000000-0005-0000-0000-0000790D0000}"/>
    <cellStyle name="Normal 4 2 4 4 2 2 3 2 3" xfId="3873" xr:uid="{00000000-0005-0000-0000-00007A0D0000}"/>
    <cellStyle name="Normal 4 2 4 4 2 2 3 3" xfId="3874" xr:uid="{00000000-0005-0000-0000-00007B0D0000}"/>
    <cellStyle name="Normal 4 2 4 4 2 2 3 4" xfId="3875" xr:uid="{00000000-0005-0000-0000-00007C0D0000}"/>
    <cellStyle name="Normal 4 2 4 4 2 2 3 5" xfId="3876" xr:uid="{00000000-0005-0000-0000-00007D0D0000}"/>
    <cellStyle name="Normal 4 2 4 4 2 2 4" xfId="3877" xr:uid="{00000000-0005-0000-0000-00007E0D0000}"/>
    <cellStyle name="Normal 4 2 4 4 2 2 4 2" xfId="3878" xr:uid="{00000000-0005-0000-0000-00007F0D0000}"/>
    <cellStyle name="Normal 4 2 4 4 2 2 4 3" xfId="3879" xr:uid="{00000000-0005-0000-0000-0000800D0000}"/>
    <cellStyle name="Normal 4 2 4 4 2 2 5" xfId="3880" xr:uid="{00000000-0005-0000-0000-0000810D0000}"/>
    <cellStyle name="Normal 4 2 4 4 2 2 6" xfId="3881" xr:uid="{00000000-0005-0000-0000-0000820D0000}"/>
    <cellStyle name="Normal 4 2 4 4 2 2 7" xfId="3882" xr:uid="{00000000-0005-0000-0000-0000830D0000}"/>
    <cellStyle name="Normal 4 2 4 4 2 3" xfId="3883" xr:uid="{00000000-0005-0000-0000-0000840D0000}"/>
    <cellStyle name="Normal 4 2 4 4 2 3 2" xfId="3884" xr:uid="{00000000-0005-0000-0000-0000850D0000}"/>
    <cellStyle name="Normal 4 2 4 4 2 3 2 2" xfId="3885" xr:uid="{00000000-0005-0000-0000-0000860D0000}"/>
    <cellStyle name="Normal 4 2 4 4 2 3 2 3" xfId="3886" xr:uid="{00000000-0005-0000-0000-0000870D0000}"/>
    <cellStyle name="Normal 4 2 4 4 2 3 3" xfId="3887" xr:uid="{00000000-0005-0000-0000-0000880D0000}"/>
    <cellStyle name="Normal 4 2 4 4 2 3 4" xfId="3888" xr:uid="{00000000-0005-0000-0000-0000890D0000}"/>
    <cellStyle name="Normal 4 2 4 4 2 3 5" xfId="3889" xr:uid="{00000000-0005-0000-0000-00008A0D0000}"/>
    <cellStyle name="Normal 4 2 4 4 2 4" xfId="3890" xr:uid="{00000000-0005-0000-0000-00008B0D0000}"/>
    <cellStyle name="Normal 4 2 4 4 2 4 2" xfId="3891" xr:uid="{00000000-0005-0000-0000-00008C0D0000}"/>
    <cellStyle name="Normal 4 2 4 4 2 4 2 2" xfId="3892" xr:uid="{00000000-0005-0000-0000-00008D0D0000}"/>
    <cellStyle name="Normal 4 2 4 4 2 4 2 3" xfId="3893" xr:uid="{00000000-0005-0000-0000-00008E0D0000}"/>
    <cellStyle name="Normal 4 2 4 4 2 4 3" xfId="3894" xr:uid="{00000000-0005-0000-0000-00008F0D0000}"/>
    <cellStyle name="Normal 4 2 4 4 2 4 4" xfId="3895" xr:uid="{00000000-0005-0000-0000-0000900D0000}"/>
    <cellStyle name="Normal 4 2 4 4 2 4 5" xfId="3896" xr:uid="{00000000-0005-0000-0000-0000910D0000}"/>
    <cellStyle name="Normal 4 2 4 4 2 5" xfId="3897" xr:uid="{00000000-0005-0000-0000-0000920D0000}"/>
    <cellStyle name="Normal 4 2 4 4 2 5 2" xfId="3898" xr:uid="{00000000-0005-0000-0000-0000930D0000}"/>
    <cellStyle name="Normal 4 2 4 4 2 5 3" xfId="3899" xr:uid="{00000000-0005-0000-0000-0000940D0000}"/>
    <cellStyle name="Normal 4 2 4 4 2 6" xfId="3900" xr:uid="{00000000-0005-0000-0000-0000950D0000}"/>
    <cellStyle name="Normal 4 2 4 4 2 7" xfId="3901" xr:uid="{00000000-0005-0000-0000-0000960D0000}"/>
    <cellStyle name="Normal 4 2 4 4 2 8" xfId="3902" xr:uid="{00000000-0005-0000-0000-0000970D0000}"/>
    <cellStyle name="Normal 4 2 4 4 3" xfId="3903" xr:uid="{00000000-0005-0000-0000-0000980D0000}"/>
    <cellStyle name="Normal 4 2 4 4 3 2" xfId="3904" xr:uid="{00000000-0005-0000-0000-0000990D0000}"/>
    <cellStyle name="Normal 4 2 4 4 3 2 2" xfId="3905" xr:uid="{00000000-0005-0000-0000-00009A0D0000}"/>
    <cellStyle name="Normal 4 2 4 4 3 2 2 2" xfId="3906" xr:uid="{00000000-0005-0000-0000-00009B0D0000}"/>
    <cellStyle name="Normal 4 2 4 4 3 2 2 3" xfId="3907" xr:uid="{00000000-0005-0000-0000-00009C0D0000}"/>
    <cellStyle name="Normal 4 2 4 4 3 2 3" xfId="3908" xr:uid="{00000000-0005-0000-0000-00009D0D0000}"/>
    <cellStyle name="Normal 4 2 4 4 3 2 4" xfId="3909" xr:uid="{00000000-0005-0000-0000-00009E0D0000}"/>
    <cellStyle name="Normal 4 2 4 4 3 2 5" xfId="3910" xr:uid="{00000000-0005-0000-0000-00009F0D0000}"/>
    <cellStyle name="Normal 4 2 4 4 3 3" xfId="3911" xr:uid="{00000000-0005-0000-0000-0000A00D0000}"/>
    <cellStyle name="Normal 4 2 4 4 3 3 2" xfId="3912" xr:uid="{00000000-0005-0000-0000-0000A10D0000}"/>
    <cellStyle name="Normal 4 2 4 4 3 3 2 2" xfId="3913" xr:uid="{00000000-0005-0000-0000-0000A20D0000}"/>
    <cellStyle name="Normal 4 2 4 4 3 3 2 3" xfId="3914" xr:uid="{00000000-0005-0000-0000-0000A30D0000}"/>
    <cellStyle name="Normal 4 2 4 4 3 3 3" xfId="3915" xr:uid="{00000000-0005-0000-0000-0000A40D0000}"/>
    <cellStyle name="Normal 4 2 4 4 3 3 4" xfId="3916" xr:uid="{00000000-0005-0000-0000-0000A50D0000}"/>
    <cellStyle name="Normal 4 2 4 4 3 3 5" xfId="3917" xr:uid="{00000000-0005-0000-0000-0000A60D0000}"/>
    <cellStyle name="Normal 4 2 4 4 3 4" xfId="3918" xr:uid="{00000000-0005-0000-0000-0000A70D0000}"/>
    <cellStyle name="Normal 4 2 4 4 3 4 2" xfId="3919" xr:uid="{00000000-0005-0000-0000-0000A80D0000}"/>
    <cellStyle name="Normal 4 2 4 4 3 4 3" xfId="3920" xr:uid="{00000000-0005-0000-0000-0000A90D0000}"/>
    <cellStyle name="Normal 4 2 4 4 3 5" xfId="3921" xr:uid="{00000000-0005-0000-0000-0000AA0D0000}"/>
    <cellStyle name="Normal 4 2 4 4 3 6" xfId="3922" xr:uid="{00000000-0005-0000-0000-0000AB0D0000}"/>
    <cellStyle name="Normal 4 2 4 4 3 7" xfId="3923" xr:uid="{00000000-0005-0000-0000-0000AC0D0000}"/>
    <cellStyle name="Normal 4 2 4 4 4" xfId="3924" xr:uid="{00000000-0005-0000-0000-0000AD0D0000}"/>
    <cellStyle name="Normal 4 2 4 4 4 2" xfId="3925" xr:uid="{00000000-0005-0000-0000-0000AE0D0000}"/>
    <cellStyle name="Normal 4 2 4 4 4 2 2" xfId="3926" xr:uid="{00000000-0005-0000-0000-0000AF0D0000}"/>
    <cellStyle name="Normal 4 2 4 4 4 2 3" xfId="3927" xr:uid="{00000000-0005-0000-0000-0000B00D0000}"/>
    <cellStyle name="Normal 4 2 4 4 4 3" xfId="3928" xr:uid="{00000000-0005-0000-0000-0000B10D0000}"/>
    <cellStyle name="Normal 4 2 4 4 4 4" xfId="3929" xr:uid="{00000000-0005-0000-0000-0000B20D0000}"/>
    <cellStyle name="Normal 4 2 4 4 4 5" xfId="3930" xr:uid="{00000000-0005-0000-0000-0000B30D0000}"/>
    <cellStyle name="Normal 4 2 4 4 5" xfId="3931" xr:uid="{00000000-0005-0000-0000-0000B40D0000}"/>
    <cellStyle name="Normal 4 2 4 4 5 2" xfId="3932" xr:uid="{00000000-0005-0000-0000-0000B50D0000}"/>
    <cellStyle name="Normal 4 2 4 4 5 2 2" xfId="3933" xr:uid="{00000000-0005-0000-0000-0000B60D0000}"/>
    <cellStyle name="Normal 4 2 4 4 5 2 3" xfId="3934" xr:uid="{00000000-0005-0000-0000-0000B70D0000}"/>
    <cellStyle name="Normal 4 2 4 4 5 3" xfId="3935" xr:uid="{00000000-0005-0000-0000-0000B80D0000}"/>
    <cellStyle name="Normal 4 2 4 4 5 4" xfId="3936" xr:uid="{00000000-0005-0000-0000-0000B90D0000}"/>
    <cellStyle name="Normal 4 2 4 4 5 5" xfId="3937" xr:uid="{00000000-0005-0000-0000-0000BA0D0000}"/>
    <cellStyle name="Normal 4 2 4 4 6" xfId="3938" xr:uid="{00000000-0005-0000-0000-0000BB0D0000}"/>
    <cellStyle name="Normal 4 2 4 4 6 2" xfId="3939" xr:uid="{00000000-0005-0000-0000-0000BC0D0000}"/>
    <cellStyle name="Normal 4 2 4 4 6 3" xfId="3940" xr:uid="{00000000-0005-0000-0000-0000BD0D0000}"/>
    <cellStyle name="Normal 4 2 4 4 7" xfId="3941" xr:uid="{00000000-0005-0000-0000-0000BE0D0000}"/>
    <cellStyle name="Normal 4 2 4 4 8" xfId="3942" xr:uid="{00000000-0005-0000-0000-0000BF0D0000}"/>
    <cellStyle name="Normal 4 2 4 4 9" xfId="3943" xr:uid="{00000000-0005-0000-0000-0000C00D0000}"/>
    <cellStyle name="Normal 4 2 4 5" xfId="3944" xr:uid="{00000000-0005-0000-0000-0000C10D0000}"/>
    <cellStyle name="Normal 4 2 4 5 2" xfId="3945" xr:uid="{00000000-0005-0000-0000-0000C20D0000}"/>
    <cellStyle name="Normal 4 2 4 5 2 2" xfId="3946" xr:uid="{00000000-0005-0000-0000-0000C30D0000}"/>
    <cellStyle name="Normal 4 2 4 5 2 2 2" xfId="3947" xr:uid="{00000000-0005-0000-0000-0000C40D0000}"/>
    <cellStyle name="Normal 4 2 4 5 2 2 2 2" xfId="3948" xr:uid="{00000000-0005-0000-0000-0000C50D0000}"/>
    <cellStyle name="Normal 4 2 4 5 2 2 2 3" xfId="3949" xr:uid="{00000000-0005-0000-0000-0000C60D0000}"/>
    <cellStyle name="Normal 4 2 4 5 2 2 3" xfId="3950" xr:uid="{00000000-0005-0000-0000-0000C70D0000}"/>
    <cellStyle name="Normal 4 2 4 5 2 2 4" xfId="3951" xr:uid="{00000000-0005-0000-0000-0000C80D0000}"/>
    <cellStyle name="Normal 4 2 4 5 2 2 5" xfId="3952" xr:uid="{00000000-0005-0000-0000-0000C90D0000}"/>
    <cellStyle name="Normal 4 2 4 5 2 3" xfId="3953" xr:uid="{00000000-0005-0000-0000-0000CA0D0000}"/>
    <cellStyle name="Normal 4 2 4 5 2 3 2" xfId="3954" xr:uid="{00000000-0005-0000-0000-0000CB0D0000}"/>
    <cellStyle name="Normal 4 2 4 5 2 3 2 2" xfId="3955" xr:uid="{00000000-0005-0000-0000-0000CC0D0000}"/>
    <cellStyle name="Normal 4 2 4 5 2 3 2 3" xfId="3956" xr:uid="{00000000-0005-0000-0000-0000CD0D0000}"/>
    <cellStyle name="Normal 4 2 4 5 2 3 3" xfId="3957" xr:uid="{00000000-0005-0000-0000-0000CE0D0000}"/>
    <cellStyle name="Normal 4 2 4 5 2 3 4" xfId="3958" xr:uid="{00000000-0005-0000-0000-0000CF0D0000}"/>
    <cellStyle name="Normal 4 2 4 5 2 3 5" xfId="3959" xr:uid="{00000000-0005-0000-0000-0000D00D0000}"/>
    <cellStyle name="Normal 4 2 4 5 2 4" xfId="3960" xr:uid="{00000000-0005-0000-0000-0000D10D0000}"/>
    <cellStyle name="Normal 4 2 4 5 2 4 2" xfId="3961" xr:uid="{00000000-0005-0000-0000-0000D20D0000}"/>
    <cellStyle name="Normal 4 2 4 5 2 4 3" xfId="3962" xr:uid="{00000000-0005-0000-0000-0000D30D0000}"/>
    <cellStyle name="Normal 4 2 4 5 2 5" xfId="3963" xr:uid="{00000000-0005-0000-0000-0000D40D0000}"/>
    <cellStyle name="Normal 4 2 4 5 2 6" xfId="3964" xr:uid="{00000000-0005-0000-0000-0000D50D0000}"/>
    <cellStyle name="Normal 4 2 4 5 2 7" xfId="3965" xr:uid="{00000000-0005-0000-0000-0000D60D0000}"/>
    <cellStyle name="Normal 4 2 4 5 3" xfId="3966" xr:uid="{00000000-0005-0000-0000-0000D70D0000}"/>
    <cellStyle name="Normal 4 2 4 5 3 2" xfId="3967" xr:uid="{00000000-0005-0000-0000-0000D80D0000}"/>
    <cellStyle name="Normal 4 2 4 5 3 2 2" xfId="3968" xr:uid="{00000000-0005-0000-0000-0000D90D0000}"/>
    <cellStyle name="Normal 4 2 4 5 3 2 3" xfId="3969" xr:uid="{00000000-0005-0000-0000-0000DA0D0000}"/>
    <cellStyle name="Normal 4 2 4 5 3 3" xfId="3970" xr:uid="{00000000-0005-0000-0000-0000DB0D0000}"/>
    <cellStyle name="Normal 4 2 4 5 3 4" xfId="3971" xr:uid="{00000000-0005-0000-0000-0000DC0D0000}"/>
    <cellStyle name="Normal 4 2 4 5 3 5" xfId="3972" xr:uid="{00000000-0005-0000-0000-0000DD0D0000}"/>
    <cellStyle name="Normal 4 2 4 5 4" xfId="3973" xr:uid="{00000000-0005-0000-0000-0000DE0D0000}"/>
    <cellStyle name="Normal 4 2 4 5 4 2" xfId="3974" xr:uid="{00000000-0005-0000-0000-0000DF0D0000}"/>
    <cellStyle name="Normal 4 2 4 5 4 2 2" xfId="3975" xr:uid="{00000000-0005-0000-0000-0000E00D0000}"/>
    <cellStyle name="Normal 4 2 4 5 4 2 3" xfId="3976" xr:uid="{00000000-0005-0000-0000-0000E10D0000}"/>
    <cellStyle name="Normal 4 2 4 5 4 3" xfId="3977" xr:uid="{00000000-0005-0000-0000-0000E20D0000}"/>
    <cellStyle name="Normal 4 2 4 5 4 4" xfId="3978" xr:uid="{00000000-0005-0000-0000-0000E30D0000}"/>
    <cellStyle name="Normal 4 2 4 5 4 5" xfId="3979" xr:uid="{00000000-0005-0000-0000-0000E40D0000}"/>
    <cellStyle name="Normal 4 2 4 5 5" xfId="3980" xr:uid="{00000000-0005-0000-0000-0000E50D0000}"/>
    <cellStyle name="Normal 4 2 4 5 5 2" xfId="3981" xr:uid="{00000000-0005-0000-0000-0000E60D0000}"/>
    <cellStyle name="Normal 4 2 4 5 5 3" xfId="3982" xr:uid="{00000000-0005-0000-0000-0000E70D0000}"/>
    <cellStyle name="Normal 4 2 4 5 6" xfId="3983" xr:uid="{00000000-0005-0000-0000-0000E80D0000}"/>
    <cellStyle name="Normal 4 2 4 5 7" xfId="3984" xr:uid="{00000000-0005-0000-0000-0000E90D0000}"/>
    <cellStyle name="Normal 4 2 4 5 8" xfId="3985" xr:uid="{00000000-0005-0000-0000-0000EA0D0000}"/>
    <cellStyle name="Normal 4 2 4 6" xfId="3986" xr:uid="{00000000-0005-0000-0000-0000EB0D0000}"/>
    <cellStyle name="Normal 4 2 4 6 2" xfId="3987" xr:uid="{00000000-0005-0000-0000-0000EC0D0000}"/>
    <cellStyle name="Normal 4 2 4 6 2 2" xfId="3988" xr:uid="{00000000-0005-0000-0000-0000ED0D0000}"/>
    <cellStyle name="Normal 4 2 4 6 2 2 2" xfId="3989" xr:uid="{00000000-0005-0000-0000-0000EE0D0000}"/>
    <cellStyle name="Normal 4 2 4 6 2 2 3" xfId="3990" xr:uid="{00000000-0005-0000-0000-0000EF0D0000}"/>
    <cellStyle name="Normal 4 2 4 6 2 3" xfId="3991" xr:uid="{00000000-0005-0000-0000-0000F00D0000}"/>
    <cellStyle name="Normal 4 2 4 6 2 4" xfId="3992" xr:uid="{00000000-0005-0000-0000-0000F10D0000}"/>
    <cellStyle name="Normal 4 2 4 6 2 5" xfId="3993" xr:uid="{00000000-0005-0000-0000-0000F20D0000}"/>
    <cellStyle name="Normal 4 2 4 6 3" xfId="3994" xr:uid="{00000000-0005-0000-0000-0000F30D0000}"/>
    <cellStyle name="Normal 4 2 4 6 3 2" xfId="3995" xr:uid="{00000000-0005-0000-0000-0000F40D0000}"/>
    <cellStyle name="Normal 4 2 4 6 3 2 2" xfId="3996" xr:uid="{00000000-0005-0000-0000-0000F50D0000}"/>
    <cellStyle name="Normal 4 2 4 6 3 2 3" xfId="3997" xr:uid="{00000000-0005-0000-0000-0000F60D0000}"/>
    <cellStyle name="Normal 4 2 4 6 3 3" xfId="3998" xr:uid="{00000000-0005-0000-0000-0000F70D0000}"/>
    <cellStyle name="Normal 4 2 4 6 3 4" xfId="3999" xr:uid="{00000000-0005-0000-0000-0000F80D0000}"/>
    <cellStyle name="Normal 4 2 4 6 3 5" xfId="4000" xr:uid="{00000000-0005-0000-0000-0000F90D0000}"/>
    <cellStyle name="Normal 4 2 4 6 4" xfId="4001" xr:uid="{00000000-0005-0000-0000-0000FA0D0000}"/>
    <cellStyle name="Normal 4 2 4 6 4 2" xfId="4002" xr:uid="{00000000-0005-0000-0000-0000FB0D0000}"/>
    <cellStyle name="Normal 4 2 4 6 4 3" xfId="4003" xr:uid="{00000000-0005-0000-0000-0000FC0D0000}"/>
    <cellStyle name="Normal 4 2 4 6 5" xfId="4004" xr:uid="{00000000-0005-0000-0000-0000FD0D0000}"/>
    <cellStyle name="Normal 4 2 4 6 6" xfId="4005" xr:uid="{00000000-0005-0000-0000-0000FE0D0000}"/>
    <cellStyle name="Normal 4 2 4 6 7" xfId="4006" xr:uid="{00000000-0005-0000-0000-0000FF0D0000}"/>
    <cellStyle name="Normal 4 2 4 7" xfId="4007" xr:uid="{00000000-0005-0000-0000-0000000E0000}"/>
    <cellStyle name="Normal 4 2 4 7 2" xfId="4008" xr:uid="{00000000-0005-0000-0000-0000010E0000}"/>
    <cellStyle name="Normal 4 2 4 7 2 2" xfId="4009" xr:uid="{00000000-0005-0000-0000-0000020E0000}"/>
    <cellStyle name="Normal 4 2 4 7 2 3" xfId="4010" xr:uid="{00000000-0005-0000-0000-0000030E0000}"/>
    <cellStyle name="Normal 4 2 4 7 3" xfId="4011" xr:uid="{00000000-0005-0000-0000-0000040E0000}"/>
    <cellStyle name="Normal 4 2 4 7 4" xfId="4012" xr:uid="{00000000-0005-0000-0000-0000050E0000}"/>
    <cellStyle name="Normal 4 2 4 7 5" xfId="4013" xr:uid="{00000000-0005-0000-0000-0000060E0000}"/>
    <cellStyle name="Normal 4 2 4 8" xfId="4014" xr:uid="{00000000-0005-0000-0000-0000070E0000}"/>
    <cellStyle name="Normal 4 2 4 8 2" xfId="4015" xr:uid="{00000000-0005-0000-0000-0000080E0000}"/>
    <cellStyle name="Normal 4 2 4 8 2 2" xfId="4016" xr:uid="{00000000-0005-0000-0000-0000090E0000}"/>
    <cellStyle name="Normal 4 2 4 8 2 3" xfId="4017" xr:uid="{00000000-0005-0000-0000-00000A0E0000}"/>
    <cellStyle name="Normal 4 2 4 8 3" xfId="4018" xr:uid="{00000000-0005-0000-0000-00000B0E0000}"/>
    <cellStyle name="Normal 4 2 4 8 4" xfId="4019" xr:uid="{00000000-0005-0000-0000-00000C0E0000}"/>
    <cellStyle name="Normal 4 2 4 8 5" xfId="4020" xr:uid="{00000000-0005-0000-0000-00000D0E0000}"/>
    <cellStyle name="Normal 4 2 4 9" xfId="4021" xr:uid="{00000000-0005-0000-0000-00000E0E0000}"/>
    <cellStyle name="Normal 4 2 4 9 2" xfId="4022" xr:uid="{00000000-0005-0000-0000-00000F0E0000}"/>
    <cellStyle name="Normal 4 2 4 9 3" xfId="4023" xr:uid="{00000000-0005-0000-0000-0000100E0000}"/>
    <cellStyle name="Normal 4 2 5" xfId="4024" xr:uid="{00000000-0005-0000-0000-0000110E0000}"/>
    <cellStyle name="Normal 4 2 5 2" xfId="4025" xr:uid="{00000000-0005-0000-0000-0000120E0000}"/>
    <cellStyle name="Normal 4 2 5 2 2" xfId="4026" xr:uid="{00000000-0005-0000-0000-0000130E0000}"/>
    <cellStyle name="Normal 4 2 5 2 2 2" xfId="4027" xr:uid="{00000000-0005-0000-0000-0000140E0000}"/>
    <cellStyle name="Normal 4 2 5 2 2 2 2" xfId="4028" xr:uid="{00000000-0005-0000-0000-0000150E0000}"/>
    <cellStyle name="Normal 4 2 5 2 2 2 2 2" xfId="4029" xr:uid="{00000000-0005-0000-0000-0000160E0000}"/>
    <cellStyle name="Normal 4 2 5 2 2 2 2 3" xfId="4030" xr:uid="{00000000-0005-0000-0000-0000170E0000}"/>
    <cellStyle name="Normal 4 2 5 2 2 2 3" xfId="4031" xr:uid="{00000000-0005-0000-0000-0000180E0000}"/>
    <cellStyle name="Normal 4 2 5 2 2 2 4" xfId="4032" xr:uid="{00000000-0005-0000-0000-0000190E0000}"/>
    <cellStyle name="Normal 4 2 5 2 2 2 5" xfId="4033" xr:uid="{00000000-0005-0000-0000-00001A0E0000}"/>
    <cellStyle name="Normal 4 2 5 2 2 3" xfId="4034" xr:uid="{00000000-0005-0000-0000-00001B0E0000}"/>
    <cellStyle name="Normal 4 2 5 2 2 3 2" xfId="4035" xr:uid="{00000000-0005-0000-0000-00001C0E0000}"/>
    <cellStyle name="Normal 4 2 5 2 2 3 2 2" xfId="4036" xr:uid="{00000000-0005-0000-0000-00001D0E0000}"/>
    <cellStyle name="Normal 4 2 5 2 2 3 2 3" xfId="4037" xr:uid="{00000000-0005-0000-0000-00001E0E0000}"/>
    <cellStyle name="Normal 4 2 5 2 2 3 3" xfId="4038" xr:uid="{00000000-0005-0000-0000-00001F0E0000}"/>
    <cellStyle name="Normal 4 2 5 2 2 3 4" xfId="4039" xr:uid="{00000000-0005-0000-0000-0000200E0000}"/>
    <cellStyle name="Normal 4 2 5 2 2 3 5" xfId="4040" xr:uid="{00000000-0005-0000-0000-0000210E0000}"/>
    <cellStyle name="Normal 4 2 5 2 2 4" xfId="4041" xr:uid="{00000000-0005-0000-0000-0000220E0000}"/>
    <cellStyle name="Normal 4 2 5 2 2 4 2" xfId="4042" xr:uid="{00000000-0005-0000-0000-0000230E0000}"/>
    <cellStyle name="Normal 4 2 5 2 2 4 3" xfId="4043" xr:uid="{00000000-0005-0000-0000-0000240E0000}"/>
    <cellStyle name="Normal 4 2 5 2 2 5" xfId="4044" xr:uid="{00000000-0005-0000-0000-0000250E0000}"/>
    <cellStyle name="Normal 4 2 5 2 2 6" xfId="4045" xr:uid="{00000000-0005-0000-0000-0000260E0000}"/>
    <cellStyle name="Normal 4 2 5 2 2 7" xfId="4046" xr:uid="{00000000-0005-0000-0000-0000270E0000}"/>
    <cellStyle name="Normal 4 2 5 2 3" xfId="4047" xr:uid="{00000000-0005-0000-0000-0000280E0000}"/>
    <cellStyle name="Normal 4 2 5 2 3 2" xfId="4048" xr:uid="{00000000-0005-0000-0000-0000290E0000}"/>
    <cellStyle name="Normal 4 2 5 2 3 2 2" xfId="4049" xr:uid="{00000000-0005-0000-0000-00002A0E0000}"/>
    <cellStyle name="Normal 4 2 5 2 3 2 3" xfId="4050" xr:uid="{00000000-0005-0000-0000-00002B0E0000}"/>
    <cellStyle name="Normal 4 2 5 2 3 3" xfId="4051" xr:uid="{00000000-0005-0000-0000-00002C0E0000}"/>
    <cellStyle name="Normal 4 2 5 2 3 4" xfId="4052" xr:uid="{00000000-0005-0000-0000-00002D0E0000}"/>
    <cellStyle name="Normal 4 2 5 2 3 5" xfId="4053" xr:uid="{00000000-0005-0000-0000-00002E0E0000}"/>
    <cellStyle name="Normal 4 2 5 2 4" xfId="4054" xr:uid="{00000000-0005-0000-0000-00002F0E0000}"/>
    <cellStyle name="Normal 4 2 5 2 4 2" xfId="4055" xr:uid="{00000000-0005-0000-0000-0000300E0000}"/>
    <cellStyle name="Normal 4 2 5 2 4 2 2" xfId="4056" xr:uid="{00000000-0005-0000-0000-0000310E0000}"/>
    <cellStyle name="Normal 4 2 5 2 4 2 3" xfId="4057" xr:uid="{00000000-0005-0000-0000-0000320E0000}"/>
    <cellStyle name="Normal 4 2 5 2 4 3" xfId="4058" xr:uid="{00000000-0005-0000-0000-0000330E0000}"/>
    <cellStyle name="Normal 4 2 5 2 4 4" xfId="4059" xr:uid="{00000000-0005-0000-0000-0000340E0000}"/>
    <cellStyle name="Normal 4 2 5 2 4 5" xfId="4060" xr:uid="{00000000-0005-0000-0000-0000350E0000}"/>
    <cellStyle name="Normal 4 2 5 2 5" xfId="4061" xr:uid="{00000000-0005-0000-0000-0000360E0000}"/>
    <cellStyle name="Normal 4 2 5 2 5 2" xfId="4062" xr:uid="{00000000-0005-0000-0000-0000370E0000}"/>
    <cellStyle name="Normal 4 2 5 2 5 3" xfId="4063" xr:uid="{00000000-0005-0000-0000-0000380E0000}"/>
    <cellStyle name="Normal 4 2 5 2 6" xfId="4064" xr:uid="{00000000-0005-0000-0000-0000390E0000}"/>
    <cellStyle name="Normal 4 2 5 2 7" xfId="4065" xr:uid="{00000000-0005-0000-0000-00003A0E0000}"/>
    <cellStyle name="Normal 4 2 5 2 8" xfId="4066" xr:uid="{00000000-0005-0000-0000-00003B0E0000}"/>
    <cellStyle name="Normal 4 2 5 3" xfId="4067" xr:uid="{00000000-0005-0000-0000-00003C0E0000}"/>
    <cellStyle name="Normal 4 2 5 3 2" xfId="4068" xr:uid="{00000000-0005-0000-0000-00003D0E0000}"/>
    <cellStyle name="Normal 4 2 5 3 2 2" xfId="4069" xr:uid="{00000000-0005-0000-0000-00003E0E0000}"/>
    <cellStyle name="Normal 4 2 5 3 2 2 2" xfId="4070" xr:uid="{00000000-0005-0000-0000-00003F0E0000}"/>
    <cellStyle name="Normal 4 2 5 3 2 2 3" xfId="4071" xr:uid="{00000000-0005-0000-0000-0000400E0000}"/>
    <cellStyle name="Normal 4 2 5 3 2 3" xfId="4072" xr:uid="{00000000-0005-0000-0000-0000410E0000}"/>
    <cellStyle name="Normal 4 2 5 3 2 4" xfId="4073" xr:uid="{00000000-0005-0000-0000-0000420E0000}"/>
    <cellStyle name="Normal 4 2 5 3 2 5" xfId="4074" xr:uid="{00000000-0005-0000-0000-0000430E0000}"/>
    <cellStyle name="Normal 4 2 5 3 3" xfId="4075" xr:uid="{00000000-0005-0000-0000-0000440E0000}"/>
    <cellStyle name="Normal 4 2 5 3 3 2" xfId="4076" xr:uid="{00000000-0005-0000-0000-0000450E0000}"/>
    <cellStyle name="Normal 4 2 5 3 3 2 2" xfId="4077" xr:uid="{00000000-0005-0000-0000-0000460E0000}"/>
    <cellStyle name="Normal 4 2 5 3 3 2 3" xfId="4078" xr:uid="{00000000-0005-0000-0000-0000470E0000}"/>
    <cellStyle name="Normal 4 2 5 3 3 3" xfId="4079" xr:uid="{00000000-0005-0000-0000-0000480E0000}"/>
    <cellStyle name="Normal 4 2 5 3 3 4" xfId="4080" xr:uid="{00000000-0005-0000-0000-0000490E0000}"/>
    <cellStyle name="Normal 4 2 5 3 3 5" xfId="4081" xr:uid="{00000000-0005-0000-0000-00004A0E0000}"/>
    <cellStyle name="Normal 4 2 5 3 4" xfId="4082" xr:uid="{00000000-0005-0000-0000-00004B0E0000}"/>
    <cellStyle name="Normal 4 2 5 3 4 2" xfId="4083" xr:uid="{00000000-0005-0000-0000-00004C0E0000}"/>
    <cellStyle name="Normal 4 2 5 3 4 3" xfId="4084" xr:uid="{00000000-0005-0000-0000-00004D0E0000}"/>
    <cellStyle name="Normal 4 2 5 3 5" xfId="4085" xr:uid="{00000000-0005-0000-0000-00004E0E0000}"/>
    <cellStyle name="Normal 4 2 5 3 6" xfId="4086" xr:uid="{00000000-0005-0000-0000-00004F0E0000}"/>
    <cellStyle name="Normal 4 2 5 3 7" xfId="4087" xr:uid="{00000000-0005-0000-0000-0000500E0000}"/>
    <cellStyle name="Normal 4 2 5 4" xfId="4088" xr:uid="{00000000-0005-0000-0000-0000510E0000}"/>
    <cellStyle name="Normal 4 2 5 4 2" xfId="4089" xr:uid="{00000000-0005-0000-0000-0000520E0000}"/>
    <cellStyle name="Normal 4 2 5 4 2 2" xfId="4090" xr:uid="{00000000-0005-0000-0000-0000530E0000}"/>
    <cellStyle name="Normal 4 2 5 4 2 3" xfId="4091" xr:uid="{00000000-0005-0000-0000-0000540E0000}"/>
    <cellStyle name="Normal 4 2 5 4 3" xfId="4092" xr:uid="{00000000-0005-0000-0000-0000550E0000}"/>
    <cellStyle name="Normal 4 2 5 4 4" xfId="4093" xr:uid="{00000000-0005-0000-0000-0000560E0000}"/>
    <cellStyle name="Normal 4 2 5 4 5" xfId="4094" xr:uid="{00000000-0005-0000-0000-0000570E0000}"/>
    <cellStyle name="Normal 4 2 5 5" xfId="4095" xr:uid="{00000000-0005-0000-0000-0000580E0000}"/>
    <cellStyle name="Normal 4 2 5 5 2" xfId="4096" xr:uid="{00000000-0005-0000-0000-0000590E0000}"/>
    <cellStyle name="Normal 4 2 5 5 2 2" xfId="4097" xr:uid="{00000000-0005-0000-0000-00005A0E0000}"/>
    <cellStyle name="Normal 4 2 5 5 2 3" xfId="4098" xr:uid="{00000000-0005-0000-0000-00005B0E0000}"/>
    <cellStyle name="Normal 4 2 5 5 3" xfId="4099" xr:uid="{00000000-0005-0000-0000-00005C0E0000}"/>
    <cellStyle name="Normal 4 2 5 5 4" xfId="4100" xr:uid="{00000000-0005-0000-0000-00005D0E0000}"/>
    <cellStyle name="Normal 4 2 5 5 5" xfId="4101" xr:uid="{00000000-0005-0000-0000-00005E0E0000}"/>
    <cellStyle name="Normal 4 2 5 6" xfId="4102" xr:uid="{00000000-0005-0000-0000-00005F0E0000}"/>
    <cellStyle name="Normal 4 2 5 6 2" xfId="4103" xr:uid="{00000000-0005-0000-0000-0000600E0000}"/>
    <cellStyle name="Normal 4 2 5 6 3" xfId="4104" xr:uid="{00000000-0005-0000-0000-0000610E0000}"/>
    <cellStyle name="Normal 4 2 5 7" xfId="4105" xr:uid="{00000000-0005-0000-0000-0000620E0000}"/>
    <cellStyle name="Normal 4 2 5 8" xfId="4106" xr:uid="{00000000-0005-0000-0000-0000630E0000}"/>
    <cellStyle name="Normal 4 2 5 9" xfId="4107" xr:uid="{00000000-0005-0000-0000-0000640E0000}"/>
    <cellStyle name="Normal 4 2 6" xfId="4108" xr:uid="{00000000-0005-0000-0000-0000650E0000}"/>
    <cellStyle name="Normal 4 2 6 2" xfId="4109" xr:uid="{00000000-0005-0000-0000-0000660E0000}"/>
    <cellStyle name="Normal 4 2 6 2 2" xfId="4110" xr:uid="{00000000-0005-0000-0000-0000670E0000}"/>
    <cellStyle name="Normal 4 2 6 2 2 2" xfId="4111" xr:uid="{00000000-0005-0000-0000-0000680E0000}"/>
    <cellStyle name="Normal 4 2 6 2 2 2 2" xfId="4112" xr:uid="{00000000-0005-0000-0000-0000690E0000}"/>
    <cellStyle name="Normal 4 2 6 2 2 2 2 2" xfId="4113" xr:uid="{00000000-0005-0000-0000-00006A0E0000}"/>
    <cellStyle name="Normal 4 2 6 2 2 2 2 3" xfId="4114" xr:uid="{00000000-0005-0000-0000-00006B0E0000}"/>
    <cellStyle name="Normal 4 2 6 2 2 2 3" xfId="4115" xr:uid="{00000000-0005-0000-0000-00006C0E0000}"/>
    <cellStyle name="Normal 4 2 6 2 2 2 4" xfId="4116" xr:uid="{00000000-0005-0000-0000-00006D0E0000}"/>
    <cellStyle name="Normal 4 2 6 2 2 2 5" xfId="4117" xr:uid="{00000000-0005-0000-0000-00006E0E0000}"/>
    <cellStyle name="Normal 4 2 6 2 2 3" xfId="4118" xr:uid="{00000000-0005-0000-0000-00006F0E0000}"/>
    <cellStyle name="Normal 4 2 6 2 2 3 2" xfId="4119" xr:uid="{00000000-0005-0000-0000-0000700E0000}"/>
    <cellStyle name="Normal 4 2 6 2 2 3 2 2" xfId="4120" xr:uid="{00000000-0005-0000-0000-0000710E0000}"/>
    <cellStyle name="Normal 4 2 6 2 2 3 2 3" xfId="4121" xr:uid="{00000000-0005-0000-0000-0000720E0000}"/>
    <cellStyle name="Normal 4 2 6 2 2 3 3" xfId="4122" xr:uid="{00000000-0005-0000-0000-0000730E0000}"/>
    <cellStyle name="Normal 4 2 6 2 2 3 4" xfId="4123" xr:uid="{00000000-0005-0000-0000-0000740E0000}"/>
    <cellStyle name="Normal 4 2 6 2 2 3 5" xfId="4124" xr:uid="{00000000-0005-0000-0000-0000750E0000}"/>
    <cellStyle name="Normal 4 2 6 2 2 4" xfId="4125" xr:uid="{00000000-0005-0000-0000-0000760E0000}"/>
    <cellStyle name="Normal 4 2 6 2 2 4 2" xfId="4126" xr:uid="{00000000-0005-0000-0000-0000770E0000}"/>
    <cellStyle name="Normal 4 2 6 2 2 4 3" xfId="4127" xr:uid="{00000000-0005-0000-0000-0000780E0000}"/>
    <cellStyle name="Normal 4 2 6 2 2 5" xfId="4128" xr:uid="{00000000-0005-0000-0000-0000790E0000}"/>
    <cellStyle name="Normal 4 2 6 2 2 6" xfId="4129" xr:uid="{00000000-0005-0000-0000-00007A0E0000}"/>
    <cellStyle name="Normal 4 2 6 2 2 7" xfId="4130" xr:uid="{00000000-0005-0000-0000-00007B0E0000}"/>
    <cellStyle name="Normal 4 2 6 2 3" xfId="4131" xr:uid="{00000000-0005-0000-0000-00007C0E0000}"/>
    <cellStyle name="Normal 4 2 6 2 3 2" xfId="4132" xr:uid="{00000000-0005-0000-0000-00007D0E0000}"/>
    <cellStyle name="Normal 4 2 6 2 3 2 2" xfId="4133" xr:uid="{00000000-0005-0000-0000-00007E0E0000}"/>
    <cellStyle name="Normal 4 2 6 2 3 2 3" xfId="4134" xr:uid="{00000000-0005-0000-0000-00007F0E0000}"/>
    <cellStyle name="Normal 4 2 6 2 3 3" xfId="4135" xr:uid="{00000000-0005-0000-0000-0000800E0000}"/>
    <cellStyle name="Normal 4 2 6 2 3 4" xfId="4136" xr:uid="{00000000-0005-0000-0000-0000810E0000}"/>
    <cellStyle name="Normal 4 2 6 2 3 5" xfId="4137" xr:uid="{00000000-0005-0000-0000-0000820E0000}"/>
    <cellStyle name="Normal 4 2 6 2 4" xfId="4138" xr:uid="{00000000-0005-0000-0000-0000830E0000}"/>
    <cellStyle name="Normal 4 2 6 2 4 2" xfId="4139" xr:uid="{00000000-0005-0000-0000-0000840E0000}"/>
    <cellStyle name="Normal 4 2 6 2 4 2 2" xfId="4140" xr:uid="{00000000-0005-0000-0000-0000850E0000}"/>
    <cellStyle name="Normal 4 2 6 2 4 2 3" xfId="4141" xr:uid="{00000000-0005-0000-0000-0000860E0000}"/>
    <cellStyle name="Normal 4 2 6 2 4 3" xfId="4142" xr:uid="{00000000-0005-0000-0000-0000870E0000}"/>
    <cellStyle name="Normal 4 2 6 2 4 4" xfId="4143" xr:uid="{00000000-0005-0000-0000-0000880E0000}"/>
    <cellStyle name="Normal 4 2 6 2 4 5" xfId="4144" xr:uid="{00000000-0005-0000-0000-0000890E0000}"/>
    <cellStyle name="Normal 4 2 6 2 5" xfId="4145" xr:uid="{00000000-0005-0000-0000-00008A0E0000}"/>
    <cellStyle name="Normal 4 2 6 2 5 2" xfId="4146" xr:uid="{00000000-0005-0000-0000-00008B0E0000}"/>
    <cellStyle name="Normal 4 2 6 2 5 3" xfId="4147" xr:uid="{00000000-0005-0000-0000-00008C0E0000}"/>
    <cellStyle name="Normal 4 2 6 2 6" xfId="4148" xr:uid="{00000000-0005-0000-0000-00008D0E0000}"/>
    <cellStyle name="Normal 4 2 6 2 7" xfId="4149" xr:uid="{00000000-0005-0000-0000-00008E0E0000}"/>
    <cellStyle name="Normal 4 2 6 2 8" xfId="4150" xr:uid="{00000000-0005-0000-0000-00008F0E0000}"/>
    <cellStyle name="Normal 4 2 6 3" xfId="4151" xr:uid="{00000000-0005-0000-0000-0000900E0000}"/>
    <cellStyle name="Normal 4 2 6 3 2" xfId="4152" xr:uid="{00000000-0005-0000-0000-0000910E0000}"/>
    <cellStyle name="Normal 4 2 6 3 2 2" xfId="4153" xr:uid="{00000000-0005-0000-0000-0000920E0000}"/>
    <cellStyle name="Normal 4 2 6 3 2 2 2" xfId="4154" xr:uid="{00000000-0005-0000-0000-0000930E0000}"/>
    <cellStyle name="Normal 4 2 6 3 2 2 3" xfId="4155" xr:uid="{00000000-0005-0000-0000-0000940E0000}"/>
    <cellStyle name="Normal 4 2 6 3 2 3" xfId="4156" xr:uid="{00000000-0005-0000-0000-0000950E0000}"/>
    <cellStyle name="Normal 4 2 6 3 2 4" xfId="4157" xr:uid="{00000000-0005-0000-0000-0000960E0000}"/>
    <cellStyle name="Normal 4 2 6 3 2 5" xfId="4158" xr:uid="{00000000-0005-0000-0000-0000970E0000}"/>
    <cellStyle name="Normal 4 2 6 3 3" xfId="4159" xr:uid="{00000000-0005-0000-0000-0000980E0000}"/>
    <cellStyle name="Normal 4 2 6 3 3 2" xfId="4160" xr:uid="{00000000-0005-0000-0000-0000990E0000}"/>
    <cellStyle name="Normal 4 2 6 3 3 2 2" xfId="4161" xr:uid="{00000000-0005-0000-0000-00009A0E0000}"/>
    <cellStyle name="Normal 4 2 6 3 3 2 3" xfId="4162" xr:uid="{00000000-0005-0000-0000-00009B0E0000}"/>
    <cellStyle name="Normal 4 2 6 3 3 3" xfId="4163" xr:uid="{00000000-0005-0000-0000-00009C0E0000}"/>
    <cellStyle name="Normal 4 2 6 3 3 4" xfId="4164" xr:uid="{00000000-0005-0000-0000-00009D0E0000}"/>
    <cellStyle name="Normal 4 2 6 3 3 5" xfId="4165" xr:uid="{00000000-0005-0000-0000-00009E0E0000}"/>
    <cellStyle name="Normal 4 2 6 3 4" xfId="4166" xr:uid="{00000000-0005-0000-0000-00009F0E0000}"/>
    <cellStyle name="Normal 4 2 6 3 4 2" xfId="4167" xr:uid="{00000000-0005-0000-0000-0000A00E0000}"/>
    <cellStyle name="Normal 4 2 6 3 4 3" xfId="4168" xr:uid="{00000000-0005-0000-0000-0000A10E0000}"/>
    <cellStyle name="Normal 4 2 6 3 5" xfId="4169" xr:uid="{00000000-0005-0000-0000-0000A20E0000}"/>
    <cellStyle name="Normal 4 2 6 3 6" xfId="4170" xr:uid="{00000000-0005-0000-0000-0000A30E0000}"/>
    <cellStyle name="Normal 4 2 6 3 7" xfId="4171" xr:uid="{00000000-0005-0000-0000-0000A40E0000}"/>
    <cellStyle name="Normal 4 2 6 4" xfId="4172" xr:uid="{00000000-0005-0000-0000-0000A50E0000}"/>
    <cellStyle name="Normal 4 2 6 4 2" xfId="4173" xr:uid="{00000000-0005-0000-0000-0000A60E0000}"/>
    <cellStyle name="Normal 4 2 6 4 2 2" xfId="4174" xr:uid="{00000000-0005-0000-0000-0000A70E0000}"/>
    <cellStyle name="Normal 4 2 6 4 2 3" xfId="4175" xr:uid="{00000000-0005-0000-0000-0000A80E0000}"/>
    <cellStyle name="Normal 4 2 6 4 3" xfId="4176" xr:uid="{00000000-0005-0000-0000-0000A90E0000}"/>
    <cellStyle name="Normal 4 2 6 4 4" xfId="4177" xr:uid="{00000000-0005-0000-0000-0000AA0E0000}"/>
    <cellStyle name="Normal 4 2 6 4 5" xfId="4178" xr:uid="{00000000-0005-0000-0000-0000AB0E0000}"/>
    <cellStyle name="Normal 4 2 6 5" xfId="4179" xr:uid="{00000000-0005-0000-0000-0000AC0E0000}"/>
    <cellStyle name="Normal 4 2 6 5 2" xfId="4180" xr:uid="{00000000-0005-0000-0000-0000AD0E0000}"/>
    <cellStyle name="Normal 4 2 6 5 2 2" xfId="4181" xr:uid="{00000000-0005-0000-0000-0000AE0E0000}"/>
    <cellStyle name="Normal 4 2 6 5 2 3" xfId="4182" xr:uid="{00000000-0005-0000-0000-0000AF0E0000}"/>
    <cellStyle name="Normal 4 2 6 5 3" xfId="4183" xr:uid="{00000000-0005-0000-0000-0000B00E0000}"/>
    <cellStyle name="Normal 4 2 6 5 4" xfId="4184" xr:uid="{00000000-0005-0000-0000-0000B10E0000}"/>
    <cellStyle name="Normal 4 2 6 5 5" xfId="4185" xr:uid="{00000000-0005-0000-0000-0000B20E0000}"/>
    <cellStyle name="Normal 4 2 6 6" xfId="4186" xr:uid="{00000000-0005-0000-0000-0000B30E0000}"/>
    <cellStyle name="Normal 4 2 6 6 2" xfId="4187" xr:uid="{00000000-0005-0000-0000-0000B40E0000}"/>
    <cellStyle name="Normal 4 2 6 6 3" xfId="4188" xr:uid="{00000000-0005-0000-0000-0000B50E0000}"/>
    <cellStyle name="Normal 4 2 6 7" xfId="4189" xr:uid="{00000000-0005-0000-0000-0000B60E0000}"/>
    <cellStyle name="Normal 4 2 6 8" xfId="4190" xr:uid="{00000000-0005-0000-0000-0000B70E0000}"/>
    <cellStyle name="Normal 4 2 6 9" xfId="4191" xr:uid="{00000000-0005-0000-0000-0000B80E0000}"/>
    <cellStyle name="Normal 4 2 7" xfId="4192" xr:uid="{00000000-0005-0000-0000-0000B90E0000}"/>
    <cellStyle name="Normal 4 2 7 2" xfId="4193" xr:uid="{00000000-0005-0000-0000-0000BA0E0000}"/>
    <cellStyle name="Normal 4 2 7 2 2" xfId="4194" xr:uid="{00000000-0005-0000-0000-0000BB0E0000}"/>
    <cellStyle name="Normal 4 2 7 2 2 2" xfId="4195" xr:uid="{00000000-0005-0000-0000-0000BC0E0000}"/>
    <cellStyle name="Normal 4 2 7 2 2 2 2" xfId="4196" xr:uid="{00000000-0005-0000-0000-0000BD0E0000}"/>
    <cellStyle name="Normal 4 2 7 2 2 2 2 2" xfId="4197" xr:uid="{00000000-0005-0000-0000-0000BE0E0000}"/>
    <cellStyle name="Normal 4 2 7 2 2 2 2 3" xfId="4198" xr:uid="{00000000-0005-0000-0000-0000BF0E0000}"/>
    <cellStyle name="Normal 4 2 7 2 2 2 3" xfId="4199" xr:uid="{00000000-0005-0000-0000-0000C00E0000}"/>
    <cellStyle name="Normal 4 2 7 2 2 2 4" xfId="4200" xr:uid="{00000000-0005-0000-0000-0000C10E0000}"/>
    <cellStyle name="Normal 4 2 7 2 2 2 5" xfId="4201" xr:uid="{00000000-0005-0000-0000-0000C20E0000}"/>
    <cellStyle name="Normal 4 2 7 2 2 3" xfId="4202" xr:uid="{00000000-0005-0000-0000-0000C30E0000}"/>
    <cellStyle name="Normal 4 2 7 2 2 3 2" xfId="4203" xr:uid="{00000000-0005-0000-0000-0000C40E0000}"/>
    <cellStyle name="Normal 4 2 7 2 2 3 2 2" xfId="4204" xr:uid="{00000000-0005-0000-0000-0000C50E0000}"/>
    <cellStyle name="Normal 4 2 7 2 2 3 2 3" xfId="4205" xr:uid="{00000000-0005-0000-0000-0000C60E0000}"/>
    <cellStyle name="Normal 4 2 7 2 2 3 3" xfId="4206" xr:uid="{00000000-0005-0000-0000-0000C70E0000}"/>
    <cellStyle name="Normal 4 2 7 2 2 3 4" xfId="4207" xr:uid="{00000000-0005-0000-0000-0000C80E0000}"/>
    <cellStyle name="Normal 4 2 7 2 2 3 5" xfId="4208" xr:uid="{00000000-0005-0000-0000-0000C90E0000}"/>
    <cellStyle name="Normal 4 2 7 2 2 4" xfId="4209" xr:uid="{00000000-0005-0000-0000-0000CA0E0000}"/>
    <cellStyle name="Normal 4 2 7 2 2 4 2" xfId="4210" xr:uid="{00000000-0005-0000-0000-0000CB0E0000}"/>
    <cellStyle name="Normal 4 2 7 2 2 4 3" xfId="4211" xr:uid="{00000000-0005-0000-0000-0000CC0E0000}"/>
    <cellStyle name="Normal 4 2 7 2 2 5" xfId="4212" xr:uid="{00000000-0005-0000-0000-0000CD0E0000}"/>
    <cellStyle name="Normal 4 2 7 2 2 6" xfId="4213" xr:uid="{00000000-0005-0000-0000-0000CE0E0000}"/>
    <cellStyle name="Normal 4 2 7 2 2 7" xfId="4214" xr:uid="{00000000-0005-0000-0000-0000CF0E0000}"/>
    <cellStyle name="Normal 4 2 7 2 3" xfId="4215" xr:uid="{00000000-0005-0000-0000-0000D00E0000}"/>
    <cellStyle name="Normal 4 2 7 2 3 2" xfId="4216" xr:uid="{00000000-0005-0000-0000-0000D10E0000}"/>
    <cellStyle name="Normal 4 2 7 2 3 2 2" xfId="4217" xr:uid="{00000000-0005-0000-0000-0000D20E0000}"/>
    <cellStyle name="Normal 4 2 7 2 3 2 3" xfId="4218" xr:uid="{00000000-0005-0000-0000-0000D30E0000}"/>
    <cellStyle name="Normal 4 2 7 2 3 3" xfId="4219" xr:uid="{00000000-0005-0000-0000-0000D40E0000}"/>
    <cellStyle name="Normal 4 2 7 2 3 4" xfId="4220" xr:uid="{00000000-0005-0000-0000-0000D50E0000}"/>
    <cellStyle name="Normal 4 2 7 2 3 5" xfId="4221" xr:uid="{00000000-0005-0000-0000-0000D60E0000}"/>
    <cellStyle name="Normal 4 2 7 2 4" xfId="4222" xr:uid="{00000000-0005-0000-0000-0000D70E0000}"/>
    <cellStyle name="Normal 4 2 7 2 4 2" xfId="4223" xr:uid="{00000000-0005-0000-0000-0000D80E0000}"/>
    <cellStyle name="Normal 4 2 7 2 4 2 2" xfId="4224" xr:uid="{00000000-0005-0000-0000-0000D90E0000}"/>
    <cellStyle name="Normal 4 2 7 2 4 2 3" xfId="4225" xr:uid="{00000000-0005-0000-0000-0000DA0E0000}"/>
    <cellStyle name="Normal 4 2 7 2 4 3" xfId="4226" xr:uid="{00000000-0005-0000-0000-0000DB0E0000}"/>
    <cellStyle name="Normal 4 2 7 2 4 4" xfId="4227" xr:uid="{00000000-0005-0000-0000-0000DC0E0000}"/>
    <cellStyle name="Normal 4 2 7 2 4 5" xfId="4228" xr:uid="{00000000-0005-0000-0000-0000DD0E0000}"/>
    <cellStyle name="Normal 4 2 7 2 5" xfId="4229" xr:uid="{00000000-0005-0000-0000-0000DE0E0000}"/>
    <cellStyle name="Normal 4 2 7 2 5 2" xfId="4230" xr:uid="{00000000-0005-0000-0000-0000DF0E0000}"/>
    <cellStyle name="Normal 4 2 7 2 5 3" xfId="4231" xr:uid="{00000000-0005-0000-0000-0000E00E0000}"/>
    <cellStyle name="Normal 4 2 7 2 6" xfId="4232" xr:uid="{00000000-0005-0000-0000-0000E10E0000}"/>
    <cellStyle name="Normal 4 2 7 2 7" xfId="4233" xr:uid="{00000000-0005-0000-0000-0000E20E0000}"/>
    <cellStyle name="Normal 4 2 7 2 8" xfId="4234" xr:uid="{00000000-0005-0000-0000-0000E30E0000}"/>
    <cellStyle name="Normal 4 2 7 3" xfId="4235" xr:uid="{00000000-0005-0000-0000-0000E40E0000}"/>
    <cellStyle name="Normal 4 2 7 3 2" xfId="4236" xr:uid="{00000000-0005-0000-0000-0000E50E0000}"/>
    <cellStyle name="Normal 4 2 7 3 2 2" xfId="4237" xr:uid="{00000000-0005-0000-0000-0000E60E0000}"/>
    <cellStyle name="Normal 4 2 7 3 2 2 2" xfId="4238" xr:uid="{00000000-0005-0000-0000-0000E70E0000}"/>
    <cellStyle name="Normal 4 2 7 3 2 2 3" xfId="4239" xr:uid="{00000000-0005-0000-0000-0000E80E0000}"/>
    <cellStyle name="Normal 4 2 7 3 2 3" xfId="4240" xr:uid="{00000000-0005-0000-0000-0000E90E0000}"/>
    <cellStyle name="Normal 4 2 7 3 2 4" xfId="4241" xr:uid="{00000000-0005-0000-0000-0000EA0E0000}"/>
    <cellStyle name="Normal 4 2 7 3 2 5" xfId="4242" xr:uid="{00000000-0005-0000-0000-0000EB0E0000}"/>
    <cellStyle name="Normal 4 2 7 3 3" xfId="4243" xr:uid="{00000000-0005-0000-0000-0000EC0E0000}"/>
    <cellStyle name="Normal 4 2 7 3 3 2" xfId="4244" xr:uid="{00000000-0005-0000-0000-0000ED0E0000}"/>
    <cellStyle name="Normal 4 2 7 3 3 2 2" xfId="4245" xr:uid="{00000000-0005-0000-0000-0000EE0E0000}"/>
    <cellStyle name="Normal 4 2 7 3 3 2 3" xfId="4246" xr:uid="{00000000-0005-0000-0000-0000EF0E0000}"/>
    <cellStyle name="Normal 4 2 7 3 3 3" xfId="4247" xr:uid="{00000000-0005-0000-0000-0000F00E0000}"/>
    <cellStyle name="Normal 4 2 7 3 3 4" xfId="4248" xr:uid="{00000000-0005-0000-0000-0000F10E0000}"/>
    <cellStyle name="Normal 4 2 7 3 3 5" xfId="4249" xr:uid="{00000000-0005-0000-0000-0000F20E0000}"/>
    <cellStyle name="Normal 4 2 7 3 4" xfId="4250" xr:uid="{00000000-0005-0000-0000-0000F30E0000}"/>
    <cellStyle name="Normal 4 2 7 3 4 2" xfId="4251" xr:uid="{00000000-0005-0000-0000-0000F40E0000}"/>
    <cellStyle name="Normal 4 2 7 3 4 3" xfId="4252" xr:uid="{00000000-0005-0000-0000-0000F50E0000}"/>
    <cellStyle name="Normal 4 2 7 3 5" xfId="4253" xr:uid="{00000000-0005-0000-0000-0000F60E0000}"/>
    <cellStyle name="Normal 4 2 7 3 6" xfId="4254" xr:uid="{00000000-0005-0000-0000-0000F70E0000}"/>
    <cellStyle name="Normal 4 2 7 3 7" xfId="4255" xr:uid="{00000000-0005-0000-0000-0000F80E0000}"/>
    <cellStyle name="Normal 4 2 7 4" xfId="4256" xr:uid="{00000000-0005-0000-0000-0000F90E0000}"/>
    <cellStyle name="Normal 4 2 7 4 2" xfId="4257" xr:uid="{00000000-0005-0000-0000-0000FA0E0000}"/>
    <cellStyle name="Normal 4 2 7 4 2 2" xfId="4258" xr:uid="{00000000-0005-0000-0000-0000FB0E0000}"/>
    <cellStyle name="Normal 4 2 7 4 2 3" xfId="4259" xr:uid="{00000000-0005-0000-0000-0000FC0E0000}"/>
    <cellStyle name="Normal 4 2 7 4 3" xfId="4260" xr:uid="{00000000-0005-0000-0000-0000FD0E0000}"/>
    <cellStyle name="Normal 4 2 7 4 4" xfId="4261" xr:uid="{00000000-0005-0000-0000-0000FE0E0000}"/>
    <cellStyle name="Normal 4 2 7 4 5" xfId="4262" xr:uid="{00000000-0005-0000-0000-0000FF0E0000}"/>
    <cellStyle name="Normal 4 2 7 5" xfId="4263" xr:uid="{00000000-0005-0000-0000-0000000F0000}"/>
    <cellStyle name="Normal 4 2 7 5 2" xfId="4264" xr:uid="{00000000-0005-0000-0000-0000010F0000}"/>
    <cellStyle name="Normal 4 2 7 5 2 2" xfId="4265" xr:uid="{00000000-0005-0000-0000-0000020F0000}"/>
    <cellStyle name="Normal 4 2 7 5 2 3" xfId="4266" xr:uid="{00000000-0005-0000-0000-0000030F0000}"/>
    <cellStyle name="Normal 4 2 7 5 3" xfId="4267" xr:uid="{00000000-0005-0000-0000-0000040F0000}"/>
    <cellStyle name="Normal 4 2 7 5 4" xfId="4268" xr:uid="{00000000-0005-0000-0000-0000050F0000}"/>
    <cellStyle name="Normal 4 2 7 5 5" xfId="4269" xr:uid="{00000000-0005-0000-0000-0000060F0000}"/>
    <cellStyle name="Normal 4 2 7 6" xfId="4270" xr:uid="{00000000-0005-0000-0000-0000070F0000}"/>
    <cellStyle name="Normal 4 2 7 6 2" xfId="4271" xr:uid="{00000000-0005-0000-0000-0000080F0000}"/>
    <cellStyle name="Normal 4 2 7 6 3" xfId="4272" xr:uid="{00000000-0005-0000-0000-0000090F0000}"/>
    <cellStyle name="Normal 4 2 7 7" xfId="4273" xr:uid="{00000000-0005-0000-0000-00000A0F0000}"/>
    <cellStyle name="Normal 4 2 7 8" xfId="4274" xr:uid="{00000000-0005-0000-0000-00000B0F0000}"/>
    <cellStyle name="Normal 4 2 7 9" xfId="4275" xr:uid="{00000000-0005-0000-0000-00000C0F0000}"/>
    <cellStyle name="Normal 4 2 8" xfId="4276" xr:uid="{00000000-0005-0000-0000-00000D0F0000}"/>
    <cellStyle name="Normal 4 2 8 2" xfId="4277" xr:uid="{00000000-0005-0000-0000-00000E0F0000}"/>
    <cellStyle name="Normal 4 2 8 2 2" xfId="4278" xr:uid="{00000000-0005-0000-0000-00000F0F0000}"/>
    <cellStyle name="Normal 4 2 8 2 2 2" xfId="4279" xr:uid="{00000000-0005-0000-0000-0000100F0000}"/>
    <cellStyle name="Normal 4 2 8 2 2 2 2" xfId="4280" xr:uid="{00000000-0005-0000-0000-0000110F0000}"/>
    <cellStyle name="Normal 4 2 8 2 2 2 3" xfId="4281" xr:uid="{00000000-0005-0000-0000-0000120F0000}"/>
    <cellStyle name="Normal 4 2 8 2 2 3" xfId="4282" xr:uid="{00000000-0005-0000-0000-0000130F0000}"/>
    <cellStyle name="Normal 4 2 8 2 2 4" xfId="4283" xr:uid="{00000000-0005-0000-0000-0000140F0000}"/>
    <cellStyle name="Normal 4 2 8 2 2 5" xfId="4284" xr:uid="{00000000-0005-0000-0000-0000150F0000}"/>
    <cellStyle name="Normal 4 2 8 2 3" xfId="4285" xr:uid="{00000000-0005-0000-0000-0000160F0000}"/>
    <cellStyle name="Normal 4 2 8 2 3 2" xfId="4286" xr:uid="{00000000-0005-0000-0000-0000170F0000}"/>
    <cellStyle name="Normal 4 2 8 2 3 2 2" xfId="4287" xr:uid="{00000000-0005-0000-0000-0000180F0000}"/>
    <cellStyle name="Normal 4 2 8 2 3 2 3" xfId="4288" xr:uid="{00000000-0005-0000-0000-0000190F0000}"/>
    <cellStyle name="Normal 4 2 8 2 3 3" xfId="4289" xr:uid="{00000000-0005-0000-0000-00001A0F0000}"/>
    <cellStyle name="Normal 4 2 8 2 3 4" xfId="4290" xr:uid="{00000000-0005-0000-0000-00001B0F0000}"/>
    <cellStyle name="Normal 4 2 8 2 3 5" xfId="4291" xr:uid="{00000000-0005-0000-0000-00001C0F0000}"/>
    <cellStyle name="Normal 4 2 8 2 4" xfId="4292" xr:uid="{00000000-0005-0000-0000-00001D0F0000}"/>
    <cellStyle name="Normal 4 2 8 2 4 2" xfId="4293" xr:uid="{00000000-0005-0000-0000-00001E0F0000}"/>
    <cellStyle name="Normal 4 2 8 2 4 3" xfId="4294" xr:uid="{00000000-0005-0000-0000-00001F0F0000}"/>
    <cellStyle name="Normal 4 2 8 2 5" xfId="4295" xr:uid="{00000000-0005-0000-0000-0000200F0000}"/>
    <cellStyle name="Normal 4 2 8 2 6" xfId="4296" xr:uid="{00000000-0005-0000-0000-0000210F0000}"/>
    <cellStyle name="Normal 4 2 8 2 7" xfId="4297" xr:uid="{00000000-0005-0000-0000-0000220F0000}"/>
    <cellStyle name="Normal 4 2 8 3" xfId="4298" xr:uid="{00000000-0005-0000-0000-0000230F0000}"/>
    <cellStyle name="Normal 4 2 8 3 2" xfId="4299" xr:uid="{00000000-0005-0000-0000-0000240F0000}"/>
    <cellStyle name="Normal 4 2 8 3 2 2" xfId="4300" xr:uid="{00000000-0005-0000-0000-0000250F0000}"/>
    <cellStyle name="Normal 4 2 8 3 2 3" xfId="4301" xr:uid="{00000000-0005-0000-0000-0000260F0000}"/>
    <cellStyle name="Normal 4 2 8 3 3" xfId="4302" xr:uid="{00000000-0005-0000-0000-0000270F0000}"/>
    <cellStyle name="Normal 4 2 8 3 4" xfId="4303" xr:uid="{00000000-0005-0000-0000-0000280F0000}"/>
    <cellStyle name="Normal 4 2 8 3 5" xfId="4304" xr:uid="{00000000-0005-0000-0000-0000290F0000}"/>
    <cellStyle name="Normal 4 2 8 4" xfId="4305" xr:uid="{00000000-0005-0000-0000-00002A0F0000}"/>
    <cellStyle name="Normal 4 2 8 4 2" xfId="4306" xr:uid="{00000000-0005-0000-0000-00002B0F0000}"/>
    <cellStyle name="Normal 4 2 8 4 2 2" xfId="4307" xr:uid="{00000000-0005-0000-0000-00002C0F0000}"/>
    <cellStyle name="Normal 4 2 8 4 2 3" xfId="4308" xr:uid="{00000000-0005-0000-0000-00002D0F0000}"/>
    <cellStyle name="Normal 4 2 8 4 3" xfId="4309" xr:uid="{00000000-0005-0000-0000-00002E0F0000}"/>
    <cellStyle name="Normal 4 2 8 4 4" xfId="4310" xr:uid="{00000000-0005-0000-0000-00002F0F0000}"/>
    <cellStyle name="Normal 4 2 8 4 5" xfId="4311" xr:uid="{00000000-0005-0000-0000-0000300F0000}"/>
    <cellStyle name="Normal 4 2 8 5" xfId="4312" xr:uid="{00000000-0005-0000-0000-0000310F0000}"/>
    <cellStyle name="Normal 4 2 8 5 2" xfId="4313" xr:uid="{00000000-0005-0000-0000-0000320F0000}"/>
    <cellStyle name="Normal 4 2 8 5 3" xfId="4314" xr:uid="{00000000-0005-0000-0000-0000330F0000}"/>
    <cellStyle name="Normal 4 2 8 6" xfId="4315" xr:uid="{00000000-0005-0000-0000-0000340F0000}"/>
    <cellStyle name="Normal 4 2 8 7" xfId="4316" xr:uid="{00000000-0005-0000-0000-0000350F0000}"/>
    <cellStyle name="Normal 4 2 8 8" xfId="4317" xr:uid="{00000000-0005-0000-0000-0000360F0000}"/>
    <cellStyle name="Normal 4 2 9" xfId="4318" xr:uid="{00000000-0005-0000-0000-0000370F0000}"/>
    <cellStyle name="Normal 4 2 9 2" xfId="4319" xr:uid="{00000000-0005-0000-0000-0000380F0000}"/>
    <cellStyle name="Normal 4 2 9 2 2" xfId="4320" xr:uid="{00000000-0005-0000-0000-0000390F0000}"/>
    <cellStyle name="Normal 4 2 9 2 2 2" xfId="4321" xr:uid="{00000000-0005-0000-0000-00003A0F0000}"/>
    <cellStyle name="Normal 4 2 9 2 2 3" xfId="4322" xr:uid="{00000000-0005-0000-0000-00003B0F0000}"/>
    <cellStyle name="Normal 4 2 9 2 3" xfId="4323" xr:uid="{00000000-0005-0000-0000-00003C0F0000}"/>
    <cellStyle name="Normal 4 2 9 2 4" xfId="4324" xr:uid="{00000000-0005-0000-0000-00003D0F0000}"/>
    <cellStyle name="Normal 4 2 9 2 5" xfId="4325" xr:uid="{00000000-0005-0000-0000-00003E0F0000}"/>
    <cellStyle name="Normal 4 2 9 3" xfId="4326" xr:uid="{00000000-0005-0000-0000-00003F0F0000}"/>
    <cellStyle name="Normal 4 2 9 3 2" xfId="4327" xr:uid="{00000000-0005-0000-0000-0000400F0000}"/>
    <cellStyle name="Normal 4 2 9 3 2 2" xfId="4328" xr:uid="{00000000-0005-0000-0000-0000410F0000}"/>
    <cellStyle name="Normal 4 2 9 3 2 3" xfId="4329" xr:uid="{00000000-0005-0000-0000-0000420F0000}"/>
    <cellStyle name="Normal 4 2 9 3 3" xfId="4330" xr:uid="{00000000-0005-0000-0000-0000430F0000}"/>
    <cellStyle name="Normal 4 2 9 3 4" xfId="4331" xr:uid="{00000000-0005-0000-0000-0000440F0000}"/>
    <cellStyle name="Normal 4 2 9 3 5" xfId="4332" xr:uid="{00000000-0005-0000-0000-0000450F0000}"/>
    <cellStyle name="Normal 4 2 9 4" xfId="4333" xr:uid="{00000000-0005-0000-0000-0000460F0000}"/>
    <cellStyle name="Normal 4 2 9 4 2" xfId="4334" xr:uid="{00000000-0005-0000-0000-0000470F0000}"/>
    <cellStyle name="Normal 4 2 9 4 3" xfId="4335" xr:uid="{00000000-0005-0000-0000-0000480F0000}"/>
    <cellStyle name="Normal 4 2 9 5" xfId="4336" xr:uid="{00000000-0005-0000-0000-0000490F0000}"/>
    <cellStyle name="Normal 4 2 9 6" xfId="4337" xr:uid="{00000000-0005-0000-0000-00004A0F0000}"/>
    <cellStyle name="Normal 4 2 9 7" xfId="4338" xr:uid="{00000000-0005-0000-0000-00004B0F0000}"/>
    <cellStyle name="Normal 4 3" xfId="621" xr:uid="{00000000-0005-0000-0000-00004C0F0000}"/>
    <cellStyle name="Normal 4 3 10" xfId="4339" xr:uid="{00000000-0005-0000-0000-00004D0F0000}"/>
    <cellStyle name="Normal 4 3 10 2" xfId="4340" xr:uid="{00000000-0005-0000-0000-00004E0F0000}"/>
    <cellStyle name="Normal 4 3 10 2 2" xfId="4341" xr:uid="{00000000-0005-0000-0000-00004F0F0000}"/>
    <cellStyle name="Normal 4 3 10 2 2 2" xfId="4342" xr:uid="{00000000-0005-0000-0000-0000500F0000}"/>
    <cellStyle name="Normal 4 3 10 2 2 3" xfId="4343" xr:uid="{00000000-0005-0000-0000-0000510F0000}"/>
    <cellStyle name="Normal 4 3 10 2 3" xfId="4344" xr:uid="{00000000-0005-0000-0000-0000520F0000}"/>
    <cellStyle name="Normal 4 3 10 2 4" xfId="4345" xr:uid="{00000000-0005-0000-0000-0000530F0000}"/>
    <cellStyle name="Normal 4 3 10 2 5" xfId="4346" xr:uid="{00000000-0005-0000-0000-0000540F0000}"/>
    <cellStyle name="Normal 4 3 10 3" xfId="4347" xr:uid="{00000000-0005-0000-0000-0000550F0000}"/>
    <cellStyle name="Normal 4 3 10 3 2" xfId="4348" xr:uid="{00000000-0005-0000-0000-0000560F0000}"/>
    <cellStyle name="Normal 4 3 10 3 2 2" xfId="4349" xr:uid="{00000000-0005-0000-0000-0000570F0000}"/>
    <cellStyle name="Normal 4 3 10 3 2 3" xfId="4350" xr:uid="{00000000-0005-0000-0000-0000580F0000}"/>
    <cellStyle name="Normal 4 3 10 3 3" xfId="4351" xr:uid="{00000000-0005-0000-0000-0000590F0000}"/>
    <cellStyle name="Normal 4 3 10 3 4" xfId="4352" xr:uid="{00000000-0005-0000-0000-00005A0F0000}"/>
    <cellStyle name="Normal 4 3 10 3 5" xfId="4353" xr:uid="{00000000-0005-0000-0000-00005B0F0000}"/>
    <cellStyle name="Normal 4 3 10 4" xfId="4354" xr:uid="{00000000-0005-0000-0000-00005C0F0000}"/>
    <cellStyle name="Normal 4 3 10 4 2" xfId="4355" xr:uid="{00000000-0005-0000-0000-00005D0F0000}"/>
    <cellStyle name="Normal 4 3 10 4 3" xfId="4356" xr:uid="{00000000-0005-0000-0000-00005E0F0000}"/>
    <cellStyle name="Normal 4 3 10 5" xfId="4357" xr:uid="{00000000-0005-0000-0000-00005F0F0000}"/>
    <cellStyle name="Normal 4 3 10 6" xfId="4358" xr:uid="{00000000-0005-0000-0000-0000600F0000}"/>
    <cellStyle name="Normal 4 3 10 7" xfId="4359" xr:uid="{00000000-0005-0000-0000-0000610F0000}"/>
    <cellStyle name="Normal 4 3 11" xfId="4360" xr:uid="{00000000-0005-0000-0000-0000620F0000}"/>
    <cellStyle name="Normal 4 3 11 2" xfId="4361" xr:uid="{00000000-0005-0000-0000-0000630F0000}"/>
    <cellStyle name="Normal 4 3 11 2 2" xfId="4362" xr:uid="{00000000-0005-0000-0000-0000640F0000}"/>
    <cellStyle name="Normal 4 3 11 2 3" xfId="4363" xr:uid="{00000000-0005-0000-0000-0000650F0000}"/>
    <cellStyle name="Normal 4 3 11 3" xfId="4364" xr:uid="{00000000-0005-0000-0000-0000660F0000}"/>
    <cellStyle name="Normal 4 3 11 4" xfId="4365" xr:uid="{00000000-0005-0000-0000-0000670F0000}"/>
    <cellStyle name="Normal 4 3 11 5" xfId="4366" xr:uid="{00000000-0005-0000-0000-0000680F0000}"/>
    <cellStyle name="Normal 4 3 12" xfId="4367" xr:uid="{00000000-0005-0000-0000-0000690F0000}"/>
    <cellStyle name="Normal 4 3 12 2" xfId="4368" xr:uid="{00000000-0005-0000-0000-00006A0F0000}"/>
    <cellStyle name="Normal 4 3 12 2 2" xfId="4369" xr:uid="{00000000-0005-0000-0000-00006B0F0000}"/>
    <cellStyle name="Normal 4 3 12 2 3" xfId="4370" xr:uid="{00000000-0005-0000-0000-00006C0F0000}"/>
    <cellStyle name="Normal 4 3 12 3" xfId="4371" xr:uid="{00000000-0005-0000-0000-00006D0F0000}"/>
    <cellStyle name="Normal 4 3 12 4" xfId="4372" xr:uid="{00000000-0005-0000-0000-00006E0F0000}"/>
    <cellStyle name="Normal 4 3 12 5" xfId="4373" xr:uid="{00000000-0005-0000-0000-00006F0F0000}"/>
    <cellStyle name="Normal 4 3 13" xfId="4374" xr:uid="{00000000-0005-0000-0000-0000700F0000}"/>
    <cellStyle name="Normal 4 3 13 2" xfId="4375" xr:uid="{00000000-0005-0000-0000-0000710F0000}"/>
    <cellStyle name="Normal 4 3 13 3" xfId="4376" xr:uid="{00000000-0005-0000-0000-0000720F0000}"/>
    <cellStyle name="Normal 4 3 14" xfId="4377" xr:uid="{00000000-0005-0000-0000-0000730F0000}"/>
    <cellStyle name="Normal 4 3 15" xfId="4378" xr:uid="{00000000-0005-0000-0000-0000740F0000}"/>
    <cellStyle name="Normal 4 3 16" xfId="4379" xr:uid="{00000000-0005-0000-0000-0000750F0000}"/>
    <cellStyle name="Normal 4 3 2" xfId="600" xr:uid="{00000000-0005-0000-0000-0000760F0000}"/>
    <cellStyle name="Normal 4 3 2 10" xfId="4380" xr:uid="{00000000-0005-0000-0000-0000770F0000}"/>
    <cellStyle name="Normal 4 3 2 10 2" xfId="4381" xr:uid="{00000000-0005-0000-0000-0000780F0000}"/>
    <cellStyle name="Normal 4 3 2 10 2 2" xfId="4382" xr:uid="{00000000-0005-0000-0000-0000790F0000}"/>
    <cellStyle name="Normal 4 3 2 10 2 3" xfId="4383" xr:uid="{00000000-0005-0000-0000-00007A0F0000}"/>
    <cellStyle name="Normal 4 3 2 10 3" xfId="4384" xr:uid="{00000000-0005-0000-0000-00007B0F0000}"/>
    <cellStyle name="Normal 4 3 2 10 4" xfId="4385" xr:uid="{00000000-0005-0000-0000-00007C0F0000}"/>
    <cellStyle name="Normal 4 3 2 10 5" xfId="4386" xr:uid="{00000000-0005-0000-0000-00007D0F0000}"/>
    <cellStyle name="Normal 4 3 2 11" xfId="4387" xr:uid="{00000000-0005-0000-0000-00007E0F0000}"/>
    <cellStyle name="Normal 4 3 2 11 2" xfId="4388" xr:uid="{00000000-0005-0000-0000-00007F0F0000}"/>
    <cellStyle name="Normal 4 3 2 11 3" xfId="4389" xr:uid="{00000000-0005-0000-0000-0000800F0000}"/>
    <cellStyle name="Normal 4 3 2 12" xfId="4390" xr:uid="{00000000-0005-0000-0000-0000810F0000}"/>
    <cellStyle name="Normal 4 3 2 13" xfId="4391" xr:uid="{00000000-0005-0000-0000-0000820F0000}"/>
    <cellStyle name="Normal 4 3 2 14" xfId="4392" xr:uid="{00000000-0005-0000-0000-0000830F0000}"/>
    <cellStyle name="Normal 4 3 2 2" xfId="4393" xr:uid="{00000000-0005-0000-0000-0000840F0000}"/>
    <cellStyle name="Normal 4 3 2 2 10" xfId="4394" xr:uid="{00000000-0005-0000-0000-0000850F0000}"/>
    <cellStyle name="Normal 4 3 2 2 10 2" xfId="4395" xr:uid="{00000000-0005-0000-0000-0000860F0000}"/>
    <cellStyle name="Normal 4 3 2 2 10 3" xfId="4396" xr:uid="{00000000-0005-0000-0000-0000870F0000}"/>
    <cellStyle name="Normal 4 3 2 2 11" xfId="4397" xr:uid="{00000000-0005-0000-0000-0000880F0000}"/>
    <cellStyle name="Normal 4 3 2 2 12" xfId="4398" xr:uid="{00000000-0005-0000-0000-0000890F0000}"/>
    <cellStyle name="Normal 4 3 2 2 13" xfId="4399" xr:uid="{00000000-0005-0000-0000-00008A0F0000}"/>
    <cellStyle name="Normal 4 3 2 2 2" xfId="4400" xr:uid="{00000000-0005-0000-0000-00008B0F0000}"/>
    <cellStyle name="Normal 4 3 2 2 2 2" xfId="4401" xr:uid="{00000000-0005-0000-0000-00008C0F0000}"/>
    <cellStyle name="Normal 4 3 2 2 2 2 2" xfId="4402" xr:uid="{00000000-0005-0000-0000-00008D0F0000}"/>
    <cellStyle name="Normal 4 3 2 2 2 2 2 2" xfId="4403" xr:uid="{00000000-0005-0000-0000-00008E0F0000}"/>
    <cellStyle name="Normal 4 3 2 2 2 2 2 2 2" xfId="4404" xr:uid="{00000000-0005-0000-0000-00008F0F0000}"/>
    <cellStyle name="Normal 4 3 2 2 2 2 2 2 2 2" xfId="4405" xr:uid="{00000000-0005-0000-0000-0000900F0000}"/>
    <cellStyle name="Normal 4 3 2 2 2 2 2 2 2 3" xfId="4406" xr:uid="{00000000-0005-0000-0000-0000910F0000}"/>
    <cellStyle name="Normal 4 3 2 2 2 2 2 2 3" xfId="4407" xr:uid="{00000000-0005-0000-0000-0000920F0000}"/>
    <cellStyle name="Normal 4 3 2 2 2 2 2 2 4" xfId="4408" xr:uid="{00000000-0005-0000-0000-0000930F0000}"/>
    <cellStyle name="Normal 4 3 2 2 2 2 2 2 5" xfId="4409" xr:uid="{00000000-0005-0000-0000-0000940F0000}"/>
    <cellStyle name="Normal 4 3 2 2 2 2 2 3" xfId="4410" xr:uid="{00000000-0005-0000-0000-0000950F0000}"/>
    <cellStyle name="Normal 4 3 2 2 2 2 2 3 2" xfId="4411" xr:uid="{00000000-0005-0000-0000-0000960F0000}"/>
    <cellStyle name="Normal 4 3 2 2 2 2 2 3 2 2" xfId="4412" xr:uid="{00000000-0005-0000-0000-0000970F0000}"/>
    <cellStyle name="Normal 4 3 2 2 2 2 2 3 2 3" xfId="4413" xr:uid="{00000000-0005-0000-0000-0000980F0000}"/>
    <cellStyle name="Normal 4 3 2 2 2 2 2 3 3" xfId="4414" xr:uid="{00000000-0005-0000-0000-0000990F0000}"/>
    <cellStyle name="Normal 4 3 2 2 2 2 2 3 4" xfId="4415" xr:uid="{00000000-0005-0000-0000-00009A0F0000}"/>
    <cellStyle name="Normal 4 3 2 2 2 2 2 3 5" xfId="4416" xr:uid="{00000000-0005-0000-0000-00009B0F0000}"/>
    <cellStyle name="Normal 4 3 2 2 2 2 2 4" xfId="4417" xr:uid="{00000000-0005-0000-0000-00009C0F0000}"/>
    <cellStyle name="Normal 4 3 2 2 2 2 2 4 2" xfId="4418" xr:uid="{00000000-0005-0000-0000-00009D0F0000}"/>
    <cellStyle name="Normal 4 3 2 2 2 2 2 4 3" xfId="4419" xr:uid="{00000000-0005-0000-0000-00009E0F0000}"/>
    <cellStyle name="Normal 4 3 2 2 2 2 2 5" xfId="4420" xr:uid="{00000000-0005-0000-0000-00009F0F0000}"/>
    <cellStyle name="Normal 4 3 2 2 2 2 2 6" xfId="4421" xr:uid="{00000000-0005-0000-0000-0000A00F0000}"/>
    <cellStyle name="Normal 4 3 2 2 2 2 2 7" xfId="4422" xr:uid="{00000000-0005-0000-0000-0000A10F0000}"/>
    <cellStyle name="Normal 4 3 2 2 2 2 3" xfId="4423" xr:uid="{00000000-0005-0000-0000-0000A20F0000}"/>
    <cellStyle name="Normal 4 3 2 2 2 2 3 2" xfId="4424" xr:uid="{00000000-0005-0000-0000-0000A30F0000}"/>
    <cellStyle name="Normal 4 3 2 2 2 2 3 2 2" xfId="4425" xr:uid="{00000000-0005-0000-0000-0000A40F0000}"/>
    <cellStyle name="Normal 4 3 2 2 2 2 3 2 3" xfId="4426" xr:uid="{00000000-0005-0000-0000-0000A50F0000}"/>
    <cellStyle name="Normal 4 3 2 2 2 2 3 3" xfId="4427" xr:uid="{00000000-0005-0000-0000-0000A60F0000}"/>
    <cellStyle name="Normal 4 3 2 2 2 2 3 4" xfId="4428" xr:uid="{00000000-0005-0000-0000-0000A70F0000}"/>
    <cellStyle name="Normal 4 3 2 2 2 2 3 5" xfId="4429" xr:uid="{00000000-0005-0000-0000-0000A80F0000}"/>
    <cellStyle name="Normal 4 3 2 2 2 2 4" xfId="4430" xr:uid="{00000000-0005-0000-0000-0000A90F0000}"/>
    <cellStyle name="Normal 4 3 2 2 2 2 4 2" xfId="4431" xr:uid="{00000000-0005-0000-0000-0000AA0F0000}"/>
    <cellStyle name="Normal 4 3 2 2 2 2 4 2 2" xfId="4432" xr:uid="{00000000-0005-0000-0000-0000AB0F0000}"/>
    <cellStyle name="Normal 4 3 2 2 2 2 4 2 3" xfId="4433" xr:uid="{00000000-0005-0000-0000-0000AC0F0000}"/>
    <cellStyle name="Normal 4 3 2 2 2 2 4 3" xfId="4434" xr:uid="{00000000-0005-0000-0000-0000AD0F0000}"/>
    <cellStyle name="Normal 4 3 2 2 2 2 4 4" xfId="4435" xr:uid="{00000000-0005-0000-0000-0000AE0F0000}"/>
    <cellStyle name="Normal 4 3 2 2 2 2 4 5" xfId="4436" xr:uid="{00000000-0005-0000-0000-0000AF0F0000}"/>
    <cellStyle name="Normal 4 3 2 2 2 2 5" xfId="4437" xr:uid="{00000000-0005-0000-0000-0000B00F0000}"/>
    <cellStyle name="Normal 4 3 2 2 2 2 5 2" xfId="4438" xr:uid="{00000000-0005-0000-0000-0000B10F0000}"/>
    <cellStyle name="Normal 4 3 2 2 2 2 5 3" xfId="4439" xr:uid="{00000000-0005-0000-0000-0000B20F0000}"/>
    <cellStyle name="Normal 4 3 2 2 2 2 6" xfId="4440" xr:uid="{00000000-0005-0000-0000-0000B30F0000}"/>
    <cellStyle name="Normal 4 3 2 2 2 2 7" xfId="4441" xr:uid="{00000000-0005-0000-0000-0000B40F0000}"/>
    <cellStyle name="Normal 4 3 2 2 2 2 8" xfId="4442" xr:uid="{00000000-0005-0000-0000-0000B50F0000}"/>
    <cellStyle name="Normal 4 3 2 2 2 3" xfId="4443" xr:uid="{00000000-0005-0000-0000-0000B60F0000}"/>
    <cellStyle name="Normal 4 3 2 2 2 3 2" xfId="4444" xr:uid="{00000000-0005-0000-0000-0000B70F0000}"/>
    <cellStyle name="Normal 4 3 2 2 2 3 2 2" xfId="4445" xr:uid="{00000000-0005-0000-0000-0000B80F0000}"/>
    <cellStyle name="Normal 4 3 2 2 2 3 2 2 2" xfId="4446" xr:uid="{00000000-0005-0000-0000-0000B90F0000}"/>
    <cellStyle name="Normal 4 3 2 2 2 3 2 2 3" xfId="4447" xr:uid="{00000000-0005-0000-0000-0000BA0F0000}"/>
    <cellStyle name="Normal 4 3 2 2 2 3 2 3" xfId="4448" xr:uid="{00000000-0005-0000-0000-0000BB0F0000}"/>
    <cellStyle name="Normal 4 3 2 2 2 3 2 4" xfId="4449" xr:uid="{00000000-0005-0000-0000-0000BC0F0000}"/>
    <cellStyle name="Normal 4 3 2 2 2 3 2 5" xfId="4450" xr:uid="{00000000-0005-0000-0000-0000BD0F0000}"/>
    <cellStyle name="Normal 4 3 2 2 2 3 3" xfId="4451" xr:uid="{00000000-0005-0000-0000-0000BE0F0000}"/>
    <cellStyle name="Normal 4 3 2 2 2 3 3 2" xfId="4452" xr:uid="{00000000-0005-0000-0000-0000BF0F0000}"/>
    <cellStyle name="Normal 4 3 2 2 2 3 3 2 2" xfId="4453" xr:uid="{00000000-0005-0000-0000-0000C00F0000}"/>
    <cellStyle name="Normal 4 3 2 2 2 3 3 2 3" xfId="4454" xr:uid="{00000000-0005-0000-0000-0000C10F0000}"/>
    <cellStyle name="Normal 4 3 2 2 2 3 3 3" xfId="4455" xr:uid="{00000000-0005-0000-0000-0000C20F0000}"/>
    <cellStyle name="Normal 4 3 2 2 2 3 3 4" xfId="4456" xr:uid="{00000000-0005-0000-0000-0000C30F0000}"/>
    <cellStyle name="Normal 4 3 2 2 2 3 3 5" xfId="4457" xr:uid="{00000000-0005-0000-0000-0000C40F0000}"/>
    <cellStyle name="Normal 4 3 2 2 2 3 4" xfId="4458" xr:uid="{00000000-0005-0000-0000-0000C50F0000}"/>
    <cellStyle name="Normal 4 3 2 2 2 3 4 2" xfId="4459" xr:uid="{00000000-0005-0000-0000-0000C60F0000}"/>
    <cellStyle name="Normal 4 3 2 2 2 3 4 3" xfId="4460" xr:uid="{00000000-0005-0000-0000-0000C70F0000}"/>
    <cellStyle name="Normal 4 3 2 2 2 3 5" xfId="4461" xr:uid="{00000000-0005-0000-0000-0000C80F0000}"/>
    <cellStyle name="Normal 4 3 2 2 2 3 6" xfId="4462" xr:uid="{00000000-0005-0000-0000-0000C90F0000}"/>
    <cellStyle name="Normal 4 3 2 2 2 3 7" xfId="4463" xr:uid="{00000000-0005-0000-0000-0000CA0F0000}"/>
    <cellStyle name="Normal 4 3 2 2 2 4" xfId="4464" xr:uid="{00000000-0005-0000-0000-0000CB0F0000}"/>
    <cellStyle name="Normal 4 3 2 2 2 4 2" xfId="4465" xr:uid="{00000000-0005-0000-0000-0000CC0F0000}"/>
    <cellStyle name="Normal 4 3 2 2 2 4 2 2" xfId="4466" xr:uid="{00000000-0005-0000-0000-0000CD0F0000}"/>
    <cellStyle name="Normal 4 3 2 2 2 4 2 3" xfId="4467" xr:uid="{00000000-0005-0000-0000-0000CE0F0000}"/>
    <cellStyle name="Normal 4 3 2 2 2 4 3" xfId="4468" xr:uid="{00000000-0005-0000-0000-0000CF0F0000}"/>
    <cellStyle name="Normal 4 3 2 2 2 4 4" xfId="4469" xr:uid="{00000000-0005-0000-0000-0000D00F0000}"/>
    <cellStyle name="Normal 4 3 2 2 2 4 5" xfId="4470" xr:uid="{00000000-0005-0000-0000-0000D10F0000}"/>
    <cellStyle name="Normal 4 3 2 2 2 5" xfId="4471" xr:uid="{00000000-0005-0000-0000-0000D20F0000}"/>
    <cellStyle name="Normal 4 3 2 2 2 5 2" xfId="4472" xr:uid="{00000000-0005-0000-0000-0000D30F0000}"/>
    <cellStyle name="Normal 4 3 2 2 2 5 2 2" xfId="4473" xr:uid="{00000000-0005-0000-0000-0000D40F0000}"/>
    <cellStyle name="Normal 4 3 2 2 2 5 2 3" xfId="4474" xr:uid="{00000000-0005-0000-0000-0000D50F0000}"/>
    <cellStyle name="Normal 4 3 2 2 2 5 3" xfId="4475" xr:uid="{00000000-0005-0000-0000-0000D60F0000}"/>
    <cellStyle name="Normal 4 3 2 2 2 5 4" xfId="4476" xr:uid="{00000000-0005-0000-0000-0000D70F0000}"/>
    <cellStyle name="Normal 4 3 2 2 2 5 5" xfId="4477" xr:uid="{00000000-0005-0000-0000-0000D80F0000}"/>
    <cellStyle name="Normal 4 3 2 2 2 6" xfId="4478" xr:uid="{00000000-0005-0000-0000-0000D90F0000}"/>
    <cellStyle name="Normal 4 3 2 2 2 6 2" xfId="4479" xr:uid="{00000000-0005-0000-0000-0000DA0F0000}"/>
    <cellStyle name="Normal 4 3 2 2 2 6 3" xfId="4480" xr:uid="{00000000-0005-0000-0000-0000DB0F0000}"/>
    <cellStyle name="Normal 4 3 2 2 2 7" xfId="4481" xr:uid="{00000000-0005-0000-0000-0000DC0F0000}"/>
    <cellStyle name="Normal 4 3 2 2 2 8" xfId="4482" xr:uid="{00000000-0005-0000-0000-0000DD0F0000}"/>
    <cellStyle name="Normal 4 3 2 2 2 9" xfId="4483" xr:uid="{00000000-0005-0000-0000-0000DE0F0000}"/>
    <cellStyle name="Normal 4 3 2 2 3" xfId="4484" xr:uid="{00000000-0005-0000-0000-0000DF0F0000}"/>
    <cellStyle name="Normal 4 3 2 2 3 2" xfId="4485" xr:uid="{00000000-0005-0000-0000-0000E00F0000}"/>
    <cellStyle name="Normal 4 3 2 2 3 2 2" xfId="4486" xr:uid="{00000000-0005-0000-0000-0000E10F0000}"/>
    <cellStyle name="Normal 4 3 2 2 3 2 2 2" xfId="4487" xr:uid="{00000000-0005-0000-0000-0000E20F0000}"/>
    <cellStyle name="Normal 4 3 2 2 3 2 2 2 2" xfId="4488" xr:uid="{00000000-0005-0000-0000-0000E30F0000}"/>
    <cellStyle name="Normal 4 3 2 2 3 2 2 2 2 2" xfId="4489" xr:uid="{00000000-0005-0000-0000-0000E40F0000}"/>
    <cellStyle name="Normal 4 3 2 2 3 2 2 2 2 3" xfId="4490" xr:uid="{00000000-0005-0000-0000-0000E50F0000}"/>
    <cellStyle name="Normal 4 3 2 2 3 2 2 2 3" xfId="4491" xr:uid="{00000000-0005-0000-0000-0000E60F0000}"/>
    <cellStyle name="Normal 4 3 2 2 3 2 2 2 4" xfId="4492" xr:uid="{00000000-0005-0000-0000-0000E70F0000}"/>
    <cellStyle name="Normal 4 3 2 2 3 2 2 2 5" xfId="4493" xr:uid="{00000000-0005-0000-0000-0000E80F0000}"/>
    <cellStyle name="Normal 4 3 2 2 3 2 2 3" xfId="4494" xr:uid="{00000000-0005-0000-0000-0000E90F0000}"/>
    <cellStyle name="Normal 4 3 2 2 3 2 2 3 2" xfId="4495" xr:uid="{00000000-0005-0000-0000-0000EA0F0000}"/>
    <cellStyle name="Normal 4 3 2 2 3 2 2 3 2 2" xfId="4496" xr:uid="{00000000-0005-0000-0000-0000EB0F0000}"/>
    <cellStyle name="Normal 4 3 2 2 3 2 2 3 2 3" xfId="4497" xr:uid="{00000000-0005-0000-0000-0000EC0F0000}"/>
    <cellStyle name="Normal 4 3 2 2 3 2 2 3 3" xfId="4498" xr:uid="{00000000-0005-0000-0000-0000ED0F0000}"/>
    <cellStyle name="Normal 4 3 2 2 3 2 2 3 4" xfId="4499" xr:uid="{00000000-0005-0000-0000-0000EE0F0000}"/>
    <cellStyle name="Normal 4 3 2 2 3 2 2 3 5" xfId="4500" xr:uid="{00000000-0005-0000-0000-0000EF0F0000}"/>
    <cellStyle name="Normal 4 3 2 2 3 2 2 4" xfId="4501" xr:uid="{00000000-0005-0000-0000-0000F00F0000}"/>
    <cellStyle name="Normal 4 3 2 2 3 2 2 4 2" xfId="4502" xr:uid="{00000000-0005-0000-0000-0000F10F0000}"/>
    <cellStyle name="Normal 4 3 2 2 3 2 2 4 3" xfId="4503" xr:uid="{00000000-0005-0000-0000-0000F20F0000}"/>
    <cellStyle name="Normal 4 3 2 2 3 2 2 5" xfId="4504" xr:uid="{00000000-0005-0000-0000-0000F30F0000}"/>
    <cellStyle name="Normal 4 3 2 2 3 2 2 6" xfId="4505" xr:uid="{00000000-0005-0000-0000-0000F40F0000}"/>
    <cellStyle name="Normal 4 3 2 2 3 2 2 7" xfId="4506" xr:uid="{00000000-0005-0000-0000-0000F50F0000}"/>
    <cellStyle name="Normal 4 3 2 2 3 2 3" xfId="4507" xr:uid="{00000000-0005-0000-0000-0000F60F0000}"/>
    <cellStyle name="Normal 4 3 2 2 3 2 3 2" xfId="4508" xr:uid="{00000000-0005-0000-0000-0000F70F0000}"/>
    <cellStyle name="Normal 4 3 2 2 3 2 3 2 2" xfId="4509" xr:uid="{00000000-0005-0000-0000-0000F80F0000}"/>
    <cellStyle name="Normal 4 3 2 2 3 2 3 2 3" xfId="4510" xr:uid="{00000000-0005-0000-0000-0000F90F0000}"/>
    <cellStyle name="Normal 4 3 2 2 3 2 3 3" xfId="4511" xr:uid="{00000000-0005-0000-0000-0000FA0F0000}"/>
    <cellStyle name="Normal 4 3 2 2 3 2 3 4" xfId="4512" xr:uid="{00000000-0005-0000-0000-0000FB0F0000}"/>
    <cellStyle name="Normal 4 3 2 2 3 2 3 5" xfId="4513" xr:uid="{00000000-0005-0000-0000-0000FC0F0000}"/>
    <cellStyle name="Normal 4 3 2 2 3 2 4" xfId="4514" xr:uid="{00000000-0005-0000-0000-0000FD0F0000}"/>
    <cellStyle name="Normal 4 3 2 2 3 2 4 2" xfId="4515" xr:uid="{00000000-0005-0000-0000-0000FE0F0000}"/>
    <cellStyle name="Normal 4 3 2 2 3 2 4 2 2" xfId="4516" xr:uid="{00000000-0005-0000-0000-0000FF0F0000}"/>
    <cellStyle name="Normal 4 3 2 2 3 2 4 2 3" xfId="4517" xr:uid="{00000000-0005-0000-0000-000000100000}"/>
    <cellStyle name="Normal 4 3 2 2 3 2 4 3" xfId="4518" xr:uid="{00000000-0005-0000-0000-000001100000}"/>
    <cellStyle name="Normal 4 3 2 2 3 2 4 4" xfId="4519" xr:uid="{00000000-0005-0000-0000-000002100000}"/>
    <cellStyle name="Normal 4 3 2 2 3 2 4 5" xfId="4520" xr:uid="{00000000-0005-0000-0000-000003100000}"/>
    <cellStyle name="Normal 4 3 2 2 3 2 5" xfId="4521" xr:uid="{00000000-0005-0000-0000-000004100000}"/>
    <cellStyle name="Normal 4 3 2 2 3 2 5 2" xfId="4522" xr:uid="{00000000-0005-0000-0000-000005100000}"/>
    <cellStyle name="Normal 4 3 2 2 3 2 5 3" xfId="4523" xr:uid="{00000000-0005-0000-0000-000006100000}"/>
    <cellStyle name="Normal 4 3 2 2 3 2 6" xfId="4524" xr:uid="{00000000-0005-0000-0000-000007100000}"/>
    <cellStyle name="Normal 4 3 2 2 3 2 7" xfId="4525" xr:uid="{00000000-0005-0000-0000-000008100000}"/>
    <cellStyle name="Normal 4 3 2 2 3 2 8" xfId="4526" xr:uid="{00000000-0005-0000-0000-000009100000}"/>
    <cellStyle name="Normal 4 3 2 2 3 3" xfId="4527" xr:uid="{00000000-0005-0000-0000-00000A100000}"/>
    <cellStyle name="Normal 4 3 2 2 3 3 2" xfId="4528" xr:uid="{00000000-0005-0000-0000-00000B100000}"/>
    <cellStyle name="Normal 4 3 2 2 3 3 2 2" xfId="4529" xr:uid="{00000000-0005-0000-0000-00000C100000}"/>
    <cellStyle name="Normal 4 3 2 2 3 3 2 2 2" xfId="4530" xr:uid="{00000000-0005-0000-0000-00000D100000}"/>
    <cellStyle name="Normal 4 3 2 2 3 3 2 2 3" xfId="4531" xr:uid="{00000000-0005-0000-0000-00000E100000}"/>
    <cellStyle name="Normal 4 3 2 2 3 3 2 3" xfId="4532" xr:uid="{00000000-0005-0000-0000-00000F100000}"/>
    <cellStyle name="Normal 4 3 2 2 3 3 2 4" xfId="4533" xr:uid="{00000000-0005-0000-0000-000010100000}"/>
    <cellStyle name="Normal 4 3 2 2 3 3 2 5" xfId="4534" xr:uid="{00000000-0005-0000-0000-000011100000}"/>
    <cellStyle name="Normal 4 3 2 2 3 3 3" xfId="4535" xr:uid="{00000000-0005-0000-0000-000012100000}"/>
    <cellStyle name="Normal 4 3 2 2 3 3 3 2" xfId="4536" xr:uid="{00000000-0005-0000-0000-000013100000}"/>
    <cellStyle name="Normal 4 3 2 2 3 3 3 2 2" xfId="4537" xr:uid="{00000000-0005-0000-0000-000014100000}"/>
    <cellStyle name="Normal 4 3 2 2 3 3 3 2 3" xfId="4538" xr:uid="{00000000-0005-0000-0000-000015100000}"/>
    <cellStyle name="Normal 4 3 2 2 3 3 3 3" xfId="4539" xr:uid="{00000000-0005-0000-0000-000016100000}"/>
    <cellStyle name="Normal 4 3 2 2 3 3 3 4" xfId="4540" xr:uid="{00000000-0005-0000-0000-000017100000}"/>
    <cellStyle name="Normal 4 3 2 2 3 3 3 5" xfId="4541" xr:uid="{00000000-0005-0000-0000-000018100000}"/>
    <cellStyle name="Normal 4 3 2 2 3 3 4" xfId="4542" xr:uid="{00000000-0005-0000-0000-000019100000}"/>
    <cellStyle name="Normal 4 3 2 2 3 3 4 2" xfId="4543" xr:uid="{00000000-0005-0000-0000-00001A100000}"/>
    <cellStyle name="Normal 4 3 2 2 3 3 4 3" xfId="4544" xr:uid="{00000000-0005-0000-0000-00001B100000}"/>
    <cellStyle name="Normal 4 3 2 2 3 3 5" xfId="4545" xr:uid="{00000000-0005-0000-0000-00001C100000}"/>
    <cellStyle name="Normal 4 3 2 2 3 3 6" xfId="4546" xr:uid="{00000000-0005-0000-0000-00001D100000}"/>
    <cellStyle name="Normal 4 3 2 2 3 3 7" xfId="4547" xr:uid="{00000000-0005-0000-0000-00001E100000}"/>
    <cellStyle name="Normal 4 3 2 2 3 4" xfId="4548" xr:uid="{00000000-0005-0000-0000-00001F100000}"/>
    <cellStyle name="Normal 4 3 2 2 3 4 2" xfId="4549" xr:uid="{00000000-0005-0000-0000-000020100000}"/>
    <cellStyle name="Normal 4 3 2 2 3 4 2 2" xfId="4550" xr:uid="{00000000-0005-0000-0000-000021100000}"/>
    <cellStyle name="Normal 4 3 2 2 3 4 2 3" xfId="4551" xr:uid="{00000000-0005-0000-0000-000022100000}"/>
    <cellStyle name="Normal 4 3 2 2 3 4 3" xfId="4552" xr:uid="{00000000-0005-0000-0000-000023100000}"/>
    <cellStyle name="Normal 4 3 2 2 3 4 4" xfId="4553" xr:uid="{00000000-0005-0000-0000-000024100000}"/>
    <cellStyle name="Normal 4 3 2 2 3 4 5" xfId="4554" xr:uid="{00000000-0005-0000-0000-000025100000}"/>
    <cellStyle name="Normal 4 3 2 2 3 5" xfId="4555" xr:uid="{00000000-0005-0000-0000-000026100000}"/>
    <cellStyle name="Normal 4 3 2 2 3 5 2" xfId="4556" xr:uid="{00000000-0005-0000-0000-000027100000}"/>
    <cellStyle name="Normal 4 3 2 2 3 5 2 2" xfId="4557" xr:uid="{00000000-0005-0000-0000-000028100000}"/>
    <cellStyle name="Normal 4 3 2 2 3 5 2 3" xfId="4558" xr:uid="{00000000-0005-0000-0000-000029100000}"/>
    <cellStyle name="Normal 4 3 2 2 3 5 3" xfId="4559" xr:uid="{00000000-0005-0000-0000-00002A100000}"/>
    <cellStyle name="Normal 4 3 2 2 3 5 4" xfId="4560" xr:uid="{00000000-0005-0000-0000-00002B100000}"/>
    <cellStyle name="Normal 4 3 2 2 3 5 5" xfId="4561" xr:uid="{00000000-0005-0000-0000-00002C100000}"/>
    <cellStyle name="Normal 4 3 2 2 3 6" xfId="4562" xr:uid="{00000000-0005-0000-0000-00002D100000}"/>
    <cellStyle name="Normal 4 3 2 2 3 6 2" xfId="4563" xr:uid="{00000000-0005-0000-0000-00002E100000}"/>
    <cellStyle name="Normal 4 3 2 2 3 6 3" xfId="4564" xr:uid="{00000000-0005-0000-0000-00002F100000}"/>
    <cellStyle name="Normal 4 3 2 2 3 7" xfId="4565" xr:uid="{00000000-0005-0000-0000-000030100000}"/>
    <cellStyle name="Normal 4 3 2 2 3 8" xfId="4566" xr:uid="{00000000-0005-0000-0000-000031100000}"/>
    <cellStyle name="Normal 4 3 2 2 3 9" xfId="4567" xr:uid="{00000000-0005-0000-0000-000032100000}"/>
    <cellStyle name="Normal 4 3 2 2 4" xfId="4568" xr:uid="{00000000-0005-0000-0000-000033100000}"/>
    <cellStyle name="Normal 4 3 2 2 4 2" xfId="4569" xr:uid="{00000000-0005-0000-0000-000034100000}"/>
    <cellStyle name="Normal 4 3 2 2 4 2 2" xfId="4570" xr:uid="{00000000-0005-0000-0000-000035100000}"/>
    <cellStyle name="Normal 4 3 2 2 4 2 2 2" xfId="4571" xr:uid="{00000000-0005-0000-0000-000036100000}"/>
    <cellStyle name="Normal 4 3 2 2 4 2 2 2 2" xfId="4572" xr:uid="{00000000-0005-0000-0000-000037100000}"/>
    <cellStyle name="Normal 4 3 2 2 4 2 2 2 2 2" xfId="4573" xr:uid="{00000000-0005-0000-0000-000038100000}"/>
    <cellStyle name="Normal 4 3 2 2 4 2 2 2 2 3" xfId="4574" xr:uid="{00000000-0005-0000-0000-000039100000}"/>
    <cellStyle name="Normal 4 3 2 2 4 2 2 2 3" xfId="4575" xr:uid="{00000000-0005-0000-0000-00003A100000}"/>
    <cellStyle name="Normal 4 3 2 2 4 2 2 2 4" xfId="4576" xr:uid="{00000000-0005-0000-0000-00003B100000}"/>
    <cellStyle name="Normal 4 3 2 2 4 2 2 2 5" xfId="4577" xr:uid="{00000000-0005-0000-0000-00003C100000}"/>
    <cellStyle name="Normal 4 3 2 2 4 2 2 3" xfId="4578" xr:uid="{00000000-0005-0000-0000-00003D100000}"/>
    <cellStyle name="Normal 4 3 2 2 4 2 2 3 2" xfId="4579" xr:uid="{00000000-0005-0000-0000-00003E100000}"/>
    <cellStyle name="Normal 4 3 2 2 4 2 2 3 2 2" xfId="4580" xr:uid="{00000000-0005-0000-0000-00003F100000}"/>
    <cellStyle name="Normal 4 3 2 2 4 2 2 3 2 3" xfId="4581" xr:uid="{00000000-0005-0000-0000-000040100000}"/>
    <cellStyle name="Normal 4 3 2 2 4 2 2 3 3" xfId="4582" xr:uid="{00000000-0005-0000-0000-000041100000}"/>
    <cellStyle name="Normal 4 3 2 2 4 2 2 3 4" xfId="4583" xr:uid="{00000000-0005-0000-0000-000042100000}"/>
    <cellStyle name="Normal 4 3 2 2 4 2 2 3 5" xfId="4584" xr:uid="{00000000-0005-0000-0000-000043100000}"/>
    <cellStyle name="Normal 4 3 2 2 4 2 2 4" xfId="4585" xr:uid="{00000000-0005-0000-0000-000044100000}"/>
    <cellStyle name="Normal 4 3 2 2 4 2 2 4 2" xfId="4586" xr:uid="{00000000-0005-0000-0000-000045100000}"/>
    <cellStyle name="Normal 4 3 2 2 4 2 2 4 3" xfId="4587" xr:uid="{00000000-0005-0000-0000-000046100000}"/>
    <cellStyle name="Normal 4 3 2 2 4 2 2 5" xfId="4588" xr:uid="{00000000-0005-0000-0000-000047100000}"/>
    <cellStyle name="Normal 4 3 2 2 4 2 2 6" xfId="4589" xr:uid="{00000000-0005-0000-0000-000048100000}"/>
    <cellStyle name="Normal 4 3 2 2 4 2 2 7" xfId="4590" xr:uid="{00000000-0005-0000-0000-000049100000}"/>
    <cellStyle name="Normal 4 3 2 2 4 2 3" xfId="4591" xr:uid="{00000000-0005-0000-0000-00004A100000}"/>
    <cellStyle name="Normal 4 3 2 2 4 2 3 2" xfId="4592" xr:uid="{00000000-0005-0000-0000-00004B100000}"/>
    <cellStyle name="Normal 4 3 2 2 4 2 3 2 2" xfId="4593" xr:uid="{00000000-0005-0000-0000-00004C100000}"/>
    <cellStyle name="Normal 4 3 2 2 4 2 3 2 3" xfId="4594" xr:uid="{00000000-0005-0000-0000-00004D100000}"/>
    <cellStyle name="Normal 4 3 2 2 4 2 3 3" xfId="4595" xr:uid="{00000000-0005-0000-0000-00004E100000}"/>
    <cellStyle name="Normal 4 3 2 2 4 2 3 4" xfId="4596" xr:uid="{00000000-0005-0000-0000-00004F100000}"/>
    <cellStyle name="Normal 4 3 2 2 4 2 3 5" xfId="4597" xr:uid="{00000000-0005-0000-0000-000050100000}"/>
    <cellStyle name="Normal 4 3 2 2 4 2 4" xfId="4598" xr:uid="{00000000-0005-0000-0000-000051100000}"/>
    <cellStyle name="Normal 4 3 2 2 4 2 4 2" xfId="4599" xr:uid="{00000000-0005-0000-0000-000052100000}"/>
    <cellStyle name="Normal 4 3 2 2 4 2 4 2 2" xfId="4600" xr:uid="{00000000-0005-0000-0000-000053100000}"/>
    <cellStyle name="Normal 4 3 2 2 4 2 4 2 3" xfId="4601" xr:uid="{00000000-0005-0000-0000-000054100000}"/>
    <cellStyle name="Normal 4 3 2 2 4 2 4 3" xfId="4602" xr:uid="{00000000-0005-0000-0000-000055100000}"/>
    <cellStyle name="Normal 4 3 2 2 4 2 4 4" xfId="4603" xr:uid="{00000000-0005-0000-0000-000056100000}"/>
    <cellStyle name="Normal 4 3 2 2 4 2 4 5" xfId="4604" xr:uid="{00000000-0005-0000-0000-000057100000}"/>
    <cellStyle name="Normal 4 3 2 2 4 2 5" xfId="4605" xr:uid="{00000000-0005-0000-0000-000058100000}"/>
    <cellStyle name="Normal 4 3 2 2 4 2 5 2" xfId="4606" xr:uid="{00000000-0005-0000-0000-000059100000}"/>
    <cellStyle name="Normal 4 3 2 2 4 2 5 3" xfId="4607" xr:uid="{00000000-0005-0000-0000-00005A100000}"/>
    <cellStyle name="Normal 4 3 2 2 4 2 6" xfId="4608" xr:uid="{00000000-0005-0000-0000-00005B100000}"/>
    <cellStyle name="Normal 4 3 2 2 4 2 7" xfId="4609" xr:uid="{00000000-0005-0000-0000-00005C100000}"/>
    <cellStyle name="Normal 4 3 2 2 4 2 8" xfId="4610" xr:uid="{00000000-0005-0000-0000-00005D100000}"/>
    <cellStyle name="Normal 4 3 2 2 4 3" xfId="4611" xr:uid="{00000000-0005-0000-0000-00005E100000}"/>
    <cellStyle name="Normal 4 3 2 2 4 3 2" xfId="4612" xr:uid="{00000000-0005-0000-0000-00005F100000}"/>
    <cellStyle name="Normal 4 3 2 2 4 3 2 2" xfId="4613" xr:uid="{00000000-0005-0000-0000-000060100000}"/>
    <cellStyle name="Normal 4 3 2 2 4 3 2 2 2" xfId="4614" xr:uid="{00000000-0005-0000-0000-000061100000}"/>
    <cellStyle name="Normal 4 3 2 2 4 3 2 2 3" xfId="4615" xr:uid="{00000000-0005-0000-0000-000062100000}"/>
    <cellStyle name="Normal 4 3 2 2 4 3 2 3" xfId="4616" xr:uid="{00000000-0005-0000-0000-000063100000}"/>
    <cellStyle name="Normal 4 3 2 2 4 3 2 4" xfId="4617" xr:uid="{00000000-0005-0000-0000-000064100000}"/>
    <cellStyle name="Normal 4 3 2 2 4 3 2 5" xfId="4618" xr:uid="{00000000-0005-0000-0000-000065100000}"/>
    <cellStyle name="Normal 4 3 2 2 4 3 3" xfId="4619" xr:uid="{00000000-0005-0000-0000-000066100000}"/>
    <cellStyle name="Normal 4 3 2 2 4 3 3 2" xfId="4620" xr:uid="{00000000-0005-0000-0000-000067100000}"/>
    <cellStyle name="Normal 4 3 2 2 4 3 3 2 2" xfId="4621" xr:uid="{00000000-0005-0000-0000-000068100000}"/>
    <cellStyle name="Normal 4 3 2 2 4 3 3 2 3" xfId="4622" xr:uid="{00000000-0005-0000-0000-000069100000}"/>
    <cellStyle name="Normal 4 3 2 2 4 3 3 3" xfId="4623" xr:uid="{00000000-0005-0000-0000-00006A100000}"/>
    <cellStyle name="Normal 4 3 2 2 4 3 3 4" xfId="4624" xr:uid="{00000000-0005-0000-0000-00006B100000}"/>
    <cellStyle name="Normal 4 3 2 2 4 3 3 5" xfId="4625" xr:uid="{00000000-0005-0000-0000-00006C100000}"/>
    <cellStyle name="Normal 4 3 2 2 4 3 4" xfId="4626" xr:uid="{00000000-0005-0000-0000-00006D100000}"/>
    <cellStyle name="Normal 4 3 2 2 4 3 4 2" xfId="4627" xr:uid="{00000000-0005-0000-0000-00006E100000}"/>
    <cellStyle name="Normal 4 3 2 2 4 3 4 3" xfId="4628" xr:uid="{00000000-0005-0000-0000-00006F100000}"/>
    <cellStyle name="Normal 4 3 2 2 4 3 5" xfId="4629" xr:uid="{00000000-0005-0000-0000-000070100000}"/>
    <cellStyle name="Normal 4 3 2 2 4 3 6" xfId="4630" xr:uid="{00000000-0005-0000-0000-000071100000}"/>
    <cellStyle name="Normal 4 3 2 2 4 3 7" xfId="4631" xr:uid="{00000000-0005-0000-0000-000072100000}"/>
    <cellStyle name="Normal 4 3 2 2 4 4" xfId="4632" xr:uid="{00000000-0005-0000-0000-000073100000}"/>
    <cellStyle name="Normal 4 3 2 2 4 4 2" xfId="4633" xr:uid="{00000000-0005-0000-0000-000074100000}"/>
    <cellStyle name="Normal 4 3 2 2 4 4 2 2" xfId="4634" xr:uid="{00000000-0005-0000-0000-000075100000}"/>
    <cellStyle name="Normal 4 3 2 2 4 4 2 3" xfId="4635" xr:uid="{00000000-0005-0000-0000-000076100000}"/>
    <cellStyle name="Normal 4 3 2 2 4 4 3" xfId="4636" xr:uid="{00000000-0005-0000-0000-000077100000}"/>
    <cellStyle name="Normal 4 3 2 2 4 4 4" xfId="4637" xr:uid="{00000000-0005-0000-0000-000078100000}"/>
    <cellStyle name="Normal 4 3 2 2 4 4 5" xfId="4638" xr:uid="{00000000-0005-0000-0000-000079100000}"/>
    <cellStyle name="Normal 4 3 2 2 4 5" xfId="4639" xr:uid="{00000000-0005-0000-0000-00007A100000}"/>
    <cellStyle name="Normal 4 3 2 2 4 5 2" xfId="4640" xr:uid="{00000000-0005-0000-0000-00007B100000}"/>
    <cellStyle name="Normal 4 3 2 2 4 5 2 2" xfId="4641" xr:uid="{00000000-0005-0000-0000-00007C100000}"/>
    <cellStyle name="Normal 4 3 2 2 4 5 2 3" xfId="4642" xr:uid="{00000000-0005-0000-0000-00007D100000}"/>
    <cellStyle name="Normal 4 3 2 2 4 5 3" xfId="4643" xr:uid="{00000000-0005-0000-0000-00007E100000}"/>
    <cellStyle name="Normal 4 3 2 2 4 5 4" xfId="4644" xr:uid="{00000000-0005-0000-0000-00007F100000}"/>
    <cellStyle name="Normal 4 3 2 2 4 5 5" xfId="4645" xr:uid="{00000000-0005-0000-0000-000080100000}"/>
    <cellStyle name="Normal 4 3 2 2 4 6" xfId="4646" xr:uid="{00000000-0005-0000-0000-000081100000}"/>
    <cellStyle name="Normal 4 3 2 2 4 6 2" xfId="4647" xr:uid="{00000000-0005-0000-0000-000082100000}"/>
    <cellStyle name="Normal 4 3 2 2 4 6 3" xfId="4648" xr:uid="{00000000-0005-0000-0000-000083100000}"/>
    <cellStyle name="Normal 4 3 2 2 4 7" xfId="4649" xr:uid="{00000000-0005-0000-0000-000084100000}"/>
    <cellStyle name="Normal 4 3 2 2 4 8" xfId="4650" xr:uid="{00000000-0005-0000-0000-000085100000}"/>
    <cellStyle name="Normal 4 3 2 2 4 9" xfId="4651" xr:uid="{00000000-0005-0000-0000-000086100000}"/>
    <cellStyle name="Normal 4 3 2 2 5" xfId="4652" xr:uid="{00000000-0005-0000-0000-000087100000}"/>
    <cellStyle name="Normal 4 3 2 2 5 2" xfId="4653" xr:uid="{00000000-0005-0000-0000-000088100000}"/>
    <cellStyle name="Normal 4 3 2 2 5 2 2" xfId="4654" xr:uid="{00000000-0005-0000-0000-000089100000}"/>
    <cellStyle name="Normal 4 3 2 2 5 2 2 2" xfId="4655" xr:uid="{00000000-0005-0000-0000-00008A100000}"/>
    <cellStyle name="Normal 4 3 2 2 5 2 2 2 2" xfId="4656" xr:uid="{00000000-0005-0000-0000-00008B100000}"/>
    <cellStyle name="Normal 4 3 2 2 5 2 2 2 3" xfId="4657" xr:uid="{00000000-0005-0000-0000-00008C100000}"/>
    <cellStyle name="Normal 4 3 2 2 5 2 2 3" xfId="4658" xr:uid="{00000000-0005-0000-0000-00008D100000}"/>
    <cellStyle name="Normal 4 3 2 2 5 2 2 4" xfId="4659" xr:uid="{00000000-0005-0000-0000-00008E100000}"/>
    <cellStyle name="Normal 4 3 2 2 5 2 2 5" xfId="4660" xr:uid="{00000000-0005-0000-0000-00008F100000}"/>
    <cellStyle name="Normal 4 3 2 2 5 2 3" xfId="4661" xr:uid="{00000000-0005-0000-0000-000090100000}"/>
    <cellStyle name="Normal 4 3 2 2 5 2 3 2" xfId="4662" xr:uid="{00000000-0005-0000-0000-000091100000}"/>
    <cellStyle name="Normal 4 3 2 2 5 2 3 2 2" xfId="4663" xr:uid="{00000000-0005-0000-0000-000092100000}"/>
    <cellStyle name="Normal 4 3 2 2 5 2 3 2 3" xfId="4664" xr:uid="{00000000-0005-0000-0000-000093100000}"/>
    <cellStyle name="Normal 4 3 2 2 5 2 3 3" xfId="4665" xr:uid="{00000000-0005-0000-0000-000094100000}"/>
    <cellStyle name="Normal 4 3 2 2 5 2 3 4" xfId="4666" xr:uid="{00000000-0005-0000-0000-000095100000}"/>
    <cellStyle name="Normal 4 3 2 2 5 2 3 5" xfId="4667" xr:uid="{00000000-0005-0000-0000-000096100000}"/>
    <cellStyle name="Normal 4 3 2 2 5 2 4" xfId="4668" xr:uid="{00000000-0005-0000-0000-000097100000}"/>
    <cellStyle name="Normal 4 3 2 2 5 2 4 2" xfId="4669" xr:uid="{00000000-0005-0000-0000-000098100000}"/>
    <cellStyle name="Normal 4 3 2 2 5 2 4 3" xfId="4670" xr:uid="{00000000-0005-0000-0000-000099100000}"/>
    <cellStyle name="Normal 4 3 2 2 5 2 5" xfId="4671" xr:uid="{00000000-0005-0000-0000-00009A100000}"/>
    <cellStyle name="Normal 4 3 2 2 5 2 6" xfId="4672" xr:uid="{00000000-0005-0000-0000-00009B100000}"/>
    <cellStyle name="Normal 4 3 2 2 5 2 7" xfId="4673" xr:uid="{00000000-0005-0000-0000-00009C100000}"/>
    <cellStyle name="Normal 4 3 2 2 5 3" xfId="4674" xr:uid="{00000000-0005-0000-0000-00009D100000}"/>
    <cellStyle name="Normal 4 3 2 2 5 3 2" xfId="4675" xr:uid="{00000000-0005-0000-0000-00009E100000}"/>
    <cellStyle name="Normal 4 3 2 2 5 3 2 2" xfId="4676" xr:uid="{00000000-0005-0000-0000-00009F100000}"/>
    <cellStyle name="Normal 4 3 2 2 5 3 2 3" xfId="4677" xr:uid="{00000000-0005-0000-0000-0000A0100000}"/>
    <cellStyle name="Normal 4 3 2 2 5 3 3" xfId="4678" xr:uid="{00000000-0005-0000-0000-0000A1100000}"/>
    <cellStyle name="Normal 4 3 2 2 5 3 4" xfId="4679" xr:uid="{00000000-0005-0000-0000-0000A2100000}"/>
    <cellStyle name="Normal 4 3 2 2 5 3 5" xfId="4680" xr:uid="{00000000-0005-0000-0000-0000A3100000}"/>
    <cellStyle name="Normal 4 3 2 2 5 4" xfId="4681" xr:uid="{00000000-0005-0000-0000-0000A4100000}"/>
    <cellStyle name="Normal 4 3 2 2 5 4 2" xfId="4682" xr:uid="{00000000-0005-0000-0000-0000A5100000}"/>
    <cellStyle name="Normal 4 3 2 2 5 4 2 2" xfId="4683" xr:uid="{00000000-0005-0000-0000-0000A6100000}"/>
    <cellStyle name="Normal 4 3 2 2 5 4 2 3" xfId="4684" xr:uid="{00000000-0005-0000-0000-0000A7100000}"/>
    <cellStyle name="Normal 4 3 2 2 5 4 3" xfId="4685" xr:uid="{00000000-0005-0000-0000-0000A8100000}"/>
    <cellStyle name="Normal 4 3 2 2 5 4 4" xfId="4686" xr:uid="{00000000-0005-0000-0000-0000A9100000}"/>
    <cellStyle name="Normal 4 3 2 2 5 4 5" xfId="4687" xr:uid="{00000000-0005-0000-0000-0000AA100000}"/>
    <cellStyle name="Normal 4 3 2 2 5 5" xfId="4688" xr:uid="{00000000-0005-0000-0000-0000AB100000}"/>
    <cellStyle name="Normal 4 3 2 2 5 5 2" xfId="4689" xr:uid="{00000000-0005-0000-0000-0000AC100000}"/>
    <cellStyle name="Normal 4 3 2 2 5 5 3" xfId="4690" xr:uid="{00000000-0005-0000-0000-0000AD100000}"/>
    <cellStyle name="Normal 4 3 2 2 5 6" xfId="4691" xr:uid="{00000000-0005-0000-0000-0000AE100000}"/>
    <cellStyle name="Normal 4 3 2 2 5 7" xfId="4692" xr:uid="{00000000-0005-0000-0000-0000AF100000}"/>
    <cellStyle name="Normal 4 3 2 2 5 8" xfId="4693" xr:uid="{00000000-0005-0000-0000-0000B0100000}"/>
    <cellStyle name="Normal 4 3 2 2 6" xfId="4694" xr:uid="{00000000-0005-0000-0000-0000B1100000}"/>
    <cellStyle name="Normal 4 3 2 2 6 2" xfId="4695" xr:uid="{00000000-0005-0000-0000-0000B2100000}"/>
    <cellStyle name="Normal 4 3 2 2 6 2 2" xfId="4696" xr:uid="{00000000-0005-0000-0000-0000B3100000}"/>
    <cellStyle name="Normal 4 3 2 2 6 2 2 2" xfId="4697" xr:uid="{00000000-0005-0000-0000-0000B4100000}"/>
    <cellStyle name="Normal 4 3 2 2 6 2 2 3" xfId="4698" xr:uid="{00000000-0005-0000-0000-0000B5100000}"/>
    <cellStyle name="Normal 4 3 2 2 6 2 3" xfId="4699" xr:uid="{00000000-0005-0000-0000-0000B6100000}"/>
    <cellStyle name="Normal 4 3 2 2 6 2 4" xfId="4700" xr:uid="{00000000-0005-0000-0000-0000B7100000}"/>
    <cellStyle name="Normal 4 3 2 2 6 2 5" xfId="4701" xr:uid="{00000000-0005-0000-0000-0000B8100000}"/>
    <cellStyle name="Normal 4 3 2 2 6 3" xfId="4702" xr:uid="{00000000-0005-0000-0000-0000B9100000}"/>
    <cellStyle name="Normal 4 3 2 2 6 3 2" xfId="4703" xr:uid="{00000000-0005-0000-0000-0000BA100000}"/>
    <cellStyle name="Normal 4 3 2 2 6 3 2 2" xfId="4704" xr:uid="{00000000-0005-0000-0000-0000BB100000}"/>
    <cellStyle name="Normal 4 3 2 2 6 3 2 3" xfId="4705" xr:uid="{00000000-0005-0000-0000-0000BC100000}"/>
    <cellStyle name="Normal 4 3 2 2 6 3 3" xfId="4706" xr:uid="{00000000-0005-0000-0000-0000BD100000}"/>
    <cellStyle name="Normal 4 3 2 2 6 3 4" xfId="4707" xr:uid="{00000000-0005-0000-0000-0000BE100000}"/>
    <cellStyle name="Normal 4 3 2 2 6 3 5" xfId="4708" xr:uid="{00000000-0005-0000-0000-0000BF100000}"/>
    <cellStyle name="Normal 4 3 2 2 6 4" xfId="4709" xr:uid="{00000000-0005-0000-0000-0000C0100000}"/>
    <cellStyle name="Normal 4 3 2 2 6 4 2" xfId="4710" xr:uid="{00000000-0005-0000-0000-0000C1100000}"/>
    <cellStyle name="Normal 4 3 2 2 6 4 3" xfId="4711" xr:uid="{00000000-0005-0000-0000-0000C2100000}"/>
    <cellStyle name="Normal 4 3 2 2 6 5" xfId="4712" xr:uid="{00000000-0005-0000-0000-0000C3100000}"/>
    <cellStyle name="Normal 4 3 2 2 6 6" xfId="4713" xr:uid="{00000000-0005-0000-0000-0000C4100000}"/>
    <cellStyle name="Normal 4 3 2 2 6 7" xfId="4714" xr:uid="{00000000-0005-0000-0000-0000C5100000}"/>
    <cellStyle name="Normal 4 3 2 2 7" xfId="4715" xr:uid="{00000000-0005-0000-0000-0000C6100000}"/>
    <cellStyle name="Normal 4 3 2 2 7 2" xfId="4716" xr:uid="{00000000-0005-0000-0000-0000C7100000}"/>
    <cellStyle name="Normal 4 3 2 2 7 2 2" xfId="4717" xr:uid="{00000000-0005-0000-0000-0000C8100000}"/>
    <cellStyle name="Normal 4 3 2 2 7 2 2 2" xfId="4718" xr:uid="{00000000-0005-0000-0000-0000C9100000}"/>
    <cellStyle name="Normal 4 3 2 2 7 2 2 3" xfId="4719" xr:uid="{00000000-0005-0000-0000-0000CA100000}"/>
    <cellStyle name="Normal 4 3 2 2 7 2 3" xfId="4720" xr:uid="{00000000-0005-0000-0000-0000CB100000}"/>
    <cellStyle name="Normal 4 3 2 2 7 2 4" xfId="4721" xr:uid="{00000000-0005-0000-0000-0000CC100000}"/>
    <cellStyle name="Normal 4 3 2 2 7 2 5" xfId="4722" xr:uid="{00000000-0005-0000-0000-0000CD100000}"/>
    <cellStyle name="Normal 4 3 2 2 7 3" xfId="4723" xr:uid="{00000000-0005-0000-0000-0000CE100000}"/>
    <cellStyle name="Normal 4 3 2 2 7 3 2" xfId="4724" xr:uid="{00000000-0005-0000-0000-0000CF100000}"/>
    <cellStyle name="Normal 4 3 2 2 7 3 2 2" xfId="4725" xr:uid="{00000000-0005-0000-0000-0000D0100000}"/>
    <cellStyle name="Normal 4 3 2 2 7 3 2 3" xfId="4726" xr:uid="{00000000-0005-0000-0000-0000D1100000}"/>
    <cellStyle name="Normal 4 3 2 2 7 3 3" xfId="4727" xr:uid="{00000000-0005-0000-0000-0000D2100000}"/>
    <cellStyle name="Normal 4 3 2 2 7 3 4" xfId="4728" xr:uid="{00000000-0005-0000-0000-0000D3100000}"/>
    <cellStyle name="Normal 4 3 2 2 7 3 5" xfId="4729" xr:uid="{00000000-0005-0000-0000-0000D4100000}"/>
    <cellStyle name="Normal 4 3 2 2 7 4" xfId="4730" xr:uid="{00000000-0005-0000-0000-0000D5100000}"/>
    <cellStyle name="Normal 4 3 2 2 7 4 2" xfId="4731" xr:uid="{00000000-0005-0000-0000-0000D6100000}"/>
    <cellStyle name="Normal 4 3 2 2 7 4 3" xfId="4732" xr:uid="{00000000-0005-0000-0000-0000D7100000}"/>
    <cellStyle name="Normal 4 3 2 2 7 5" xfId="4733" xr:uid="{00000000-0005-0000-0000-0000D8100000}"/>
    <cellStyle name="Normal 4 3 2 2 7 6" xfId="4734" xr:uid="{00000000-0005-0000-0000-0000D9100000}"/>
    <cellStyle name="Normal 4 3 2 2 7 7" xfId="4735" xr:uid="{00000000-0005-0000-0000-0000DA100000}"/>
    <cellStyle name="Normal 4 3 2 2 8" xfId="4736" xr:uid="{00000000-0005-0000-0000-0000DB100000}"/>
    <cellStyle name="Normal 4 3 2 2 8 2" xfId="4737" xr:uid="{00000000-0005-0000-0000-0000DC100000}"/>
    <cellStyle name="Normal 4 3 2 2 8 2 2" xfId="4738" xr:uid="{00000000-0005-0000-0000-0000DD100000}"/>
    <cellStyle name="Normal 4 3 2 2 8 2 3" xfId="4739" xr:uid="{00000000-0005-0000-0000-0000DE100000}"/>
    <cellStyle name="Normal 4 3 2 2 8 3" xfId="4740" xr:uid="{00000000-0005-0000-0000-0000DF100000}"/>
    <cellStyle name="Normal 4 3 2 2 8 4" xfId="4741" xr:uid="{00000000-0005-0000-0000-0000E0100000}"/>
    <cellStyle name="Normal 4 3 2 2 8 5" xfId="4742" xr:uid="{00000000-0005-0000-0000-0000E1100000}"/>
    <cellStyle name="Normal 4 3 2 2 9" xfId="4743" xr:uid="{00000000-0005-0000-0000-0000E2100000}"/>
    <cellStyle name="Normal 4 3 2 2 9 2" xfId="4744" xr:uid="{00000000-0005-0000-0000-0000E3100000}"/>
    <cellStyle name="Normal 4 3 2 2 9 2 2" xfId="4745" xr:uid="{00000000-0005-0000-0000-0000E4100000}"/>
    <cellStyle name="Normal 4 3 2 2 9 2 3" xfId="4746" xr:uid="{00000000-0005-0000-0000-0000E5100000}"/>
    <cellStyle name="Normal 4 3 2 2 9 3" xfId="4747" xr:uid="{00000000-0005-0000-0000-0000E6100000}"/>
    <cellStyle name="Normal 4 3 2 2 9 4" xfId="4748" xr:uid="{00000000-0005-0000-0000-0000E7100000}"/>
    <cellStyle name="Normal 4 3 2 2 9 5" xfId="4749" xr:uid="{00000000-0005-0000-0000-0000E8100000}"/>
    <cellStyle name="Normal 4 3 2 3" xfId="4750" xr:uid="{00000000-0005-0000-0000-0000E9100000}"/>
    <cellStyle name="Normal 4 3 2 3 2" xfId="4751" xr:uid="{00000000-0005-0000-0000-0000EA100000}"/>
    <cellStyle name="Normal 4 3 2 3 2 2" xfId="4752" xr:uid="{00000000-0005-0000-0000-0000EB100000}"/>
    <cellStyle name="Normal 4 3 2 3 2 2 2" xfId="4753" xr:uid="{00000000-0005-0000-0000-0000EC100000}"/>
    <cellStyle name="Normal 4 3 2 3 2 2 2 2" xfId="4754" xr:uid="{00000000-0005-0000-0000-0000ED100000}"/>
    <cellStyle name="Normal 4 3 2 3 2 2 2 2 2" xfId="4755" xr:uid="{00000000-0005-0000-0000-0000EE100000}"/>
    <cellStyle name="Normal 4 3 2 3 2 2 2 2 3" xfId="4756" xr:uid="{00000000-0005-0000-0000-0000EF100000}"/>
    <cellStyle name="Normal 4 3 2 3 2 2 2 3" xfId="4757" xr:uid="{00000000-0005-0000-0000-0000F0100000}"/>
    <cellStyle name="Normal 4 3 2 3 2 2 2 4" xfId="4758" xr:uid="{00000000-0005-0000-0000-0000F1100000}"/>
    <cellStyle name="Normal 4 3 2 3 2 2 2 5" xfId="4759" xr:uid="{00000000-0005-0000-0000-0000F2100000}"/>
    <cellStyle name="Normal 4 3 2 3 2 2 3" xfId="4760" xr:uid="{00000000-0005-0000-0000-0000F3100000}"/>
    <cellStyle name="Normal 4 3 2 3 2 2 3 2" xfId="4761" xr:uid="{00000000-0005-0000-0000-0000F4100000}"/>
    <cellStyle name="Normal 4 3 2 3 2 2 3 2 2" xfId="4762" xr:uid="{00000000-0005-0000-0000-0000F5100000}"/>
    <cellStyle name="Normal 4 3 2 3 2 2 3 2 3" xfId="4763" xr:uid="{00000000-0005-0000-0000-0000F6100000}"/>
    <cellStyle name="Normal 4 3 2 3 2 2 3 3" xfId="4764" xr:uid="{00000000-0005-0000-0000-0000F7100000}"/>
    <cellStyle name="Normal 4 3 2 3 2 2 3 4" xfId="4765" xr:uid="{00000000-0005-0000-0000-0000F8100000}"/>
    <cellStyle name="Normal 4 3 2 3 2 2 3 5" xfId="4766" xr:uid="{00000000-0005-0000-0000-0000F9100000}"/>
    <cellStyle name="Normal 4 3 2 3 2 2 4" xfId="4767" xr:uid="{00000000-0005-0000-0000-0000FA100000}"/>
    <cellStyle name="Normal 4 3 2 3 2 2 4 2" xfId="4768" xr:uid="{00000000-0005-0000-0000-0000FB100000}"/>
    <cellStyle name="Normal 4 3 2 3 2 2 4 3" xfId="4769" xr:uid="{00000000-0005-0000-0000-0000FC100000}"/>
    <cellStyle name="Normal 4 3 2 3 2 2 5" xfId="4770" xr:uid="{00000000-0005-0000-0000-0000FD100000}"/>
    <cellStyle name="Normal 4 3 2 3 2 2 6" xfId="4771" xr:uid="{00000000-0005-0000-0000-0000FE100000}"/>
    <cellStyle name="Normal 4 3 2 3 2 2 7" xfId="4772" xr:uid="{00000000-0005-0000-0000-0000FF100000}"/>
    <cellStyle name="Normal 4 3 2 3 2 3" xfId="4773" xr:uid="{00000000-0005-0000-0000-000000110000}"/>
    <cellStyle name="Normal 4 3 2 3 2 3 2" xfId="4774" xr:uid="{00000000-0005-0000-0000-000001110000}"/>
    <cellStyle name="Normal 4 3 2 3 2 3 2 2" xfId="4775" xr:uid="{00000000-0005-0000-0000-000002110000}"/>
    <cellStyle name="Normal 4 3 2 3 2 3 2 3" xfId="4776" xr:uid="{00000000-0005-0000-0000-000003110000}"/>
    <cellStyle name="Normal 4 3 2 3 2 3 3" xfId="4777" xr:uid="{00000000-0005-0000-0000-000004110000}"/>
    <cellStyle name="Normal 4 3 2 3 2 3 4" xfId="4778" xr:uid="{00000000-0005-0000-0000-000005110000}"/>
    <cellStyle name="Normal 4 3 2 3 2 3 5" xfId="4779" xr:uid="{00000000-0005-0000-0000-000006110000}"/>
    <cellStyle name="Normal 4 3 2 3 2 4" xfId="4780" xr:uid="{00000000-0005-0000-0000-000007110000}"/>
    <cellStyle name="Normal 4 3 2 3 2 4 2" xfId="4781" xr:uid="{00000000-0005-0000-0000-000008110000}"/>
    <cellStyle name="Normal 4 3 2 3 2 4 2 2" xfId="4782" xr:uid="{00000000-0005-0000-0000-000009110000}"/>
    <cellStyle name="Normal 4 3 2 3 2 4 2 3" xfId="4783" xr:uid="{00000000-0005-0000-0000-00000A110000}"/>
    <cellStyle name="Normal 4 3 2 3 2 4 3" xfId="4784" xr:uid="{00000000-0005-0000-0000-00000B110000}"/>
    <cellStyle name="Normal 4 3 2 3 2 4 4" xfId="4785" xr:uid="{00000000-0005-0000-0000-00000C110000}"/>
    <cellStyle name="Normal 4 3 2 3 2 4 5" xfId="4786" xr:uid="{00000000-0005-0000-0000-00000D110000}"/>
    <cellStyle name="Normal 4 3 2 3 2 5" xfId="4787" xr:uid="{00000000-0005-0000-0000-00000E110000}"/>
    <cellStyle name="Normal 4 3 2 3 2 5 2" xfId="4788" xr:uid="{00000000-0005-0000-0000-00000F110000}"/>
    <cellStyle name="Normal 4 3 2 3 2 5 3" xfId="4789" xr:uid="{00000000-0005-0000-0000-000010110000}"/>
    <cellStyle name="Normal 4 3 2 3 2 6" xfId="4790" xr:uid="{00000000-0005-0000-0000-000011110000}"/>
    <cellStyle name="Normal 4 3 2 3 2 7" xfId="4791" xr:uid="{00000000-0005-0000-0000-000012110000}"/>
    <cellStyle name="Normal 4 3 2 3 2 8" xfId="4792" xr:uid="{00000000-0005-0000-0000-000013110000}"/>
    <cellStyle name="Normal 4 3 2 3 3" xfId="4793" xr:uid="{00000000-0005-0000-0000-000014110000}"/>
    <cellStyle name="Normal 4 3 2 3 3 2" xfId="4794" xr:uid="{00000000-0005-0000-0000-000015110000}"/>
    <cellStyle name="Normal 4 3 2 3 3 2 2" xfId="4795" xr:uid="{00000000-0005-0000-0000-000016110000}"/>
    <cellStyle name="Normal 4 3 2 3 3 2 2 2" xfId="4796" xr:uid="{00000000-0005-0000-0000-000017110000}"/>
    <cellStyle name="Normal 4 3 2 3 3 2 2 3" xfId="4797" xr:uid="{00000000-0005-0000-0000-000018110000}"/>
    <cellStyle name="Normal 4 3 2 3 3 2 3" xfId="4798" xr:uid="{00000000-0005-0000-0000-000019110000}"/>
    <cellStyle name="Normal 4 3 2 3 3 2 4" xfId="4799" xr:uid="{00000000-0005-0000-0000-00001A110000}"/>
    <cellStyle name="Normal 4 3 2 3 3 2 5" xfId="4800" xr:uid="{00000000-0005-0000-0000-00001B110000}"/>
    <cellStyle name="Normal 4 3 2 3 3 3" xfId="4801" xr:uid="{00000000-0005-0000-0000-00001C110000}"/>
    <cellStyle name="Normal 4 3 2 3 3 3 2" xfId="4802" xr:uid="{00000000-0005-0000-0000-00001D110000}"/>
    <cellStyle name="Normal 4 3 2 3 3 3 2 2" xfId="4803" xr:uid="{00000000-0005-0000-0000-00001E110000}"/>
    <cellStyle name="Normal 4 3 2 3 3 3 2 3" xfId="4804" xr:uid="{00000000-0005-0000-0000-00001F110000}"/>
    <cellStyle name="Normal 4 3 2 3 3 3 3" xfId="4805" xr:uid="{00000000-0005-0000-0000-000020110000}"/>
    <cellStyle name="Normal 4 3 2 3 3 3 4" xfId="4806" xr:uid="{00000000-0005-0000-0000-000021110000}"/>
    <cellStyle name="Normal 4 3 2 3 3 3 5" xfId="4807" xr:uid="{00000000-0005-0000-0000-000022110000}"/>
    <cellStyle name="Normal 4 3 2 3 3 4" xfId="4808" xr:uid="{00000000-0005-0000-0000-000023110000}"/>
    <cellStyle name="Normal 4 3 2 3 3 4 2" xfId="4809" xr:uid="{00000000-0005-0000-0000-000024110000}"/>
    <cellStyle name="Normal 4 3 2 3 3 4 3" xfId="4810" xr:uid="{00000000-0005-0000-0000-000025110000}"/>
    <cellStyle name="Normal 4 3 2 3 3 5" xfId="4811" xr:uid="{00000000-0005-0000-0000-000026110000}"/>
    <cellStyle name="Normal 4 3 2 3 3 6" xfId="4812" xr:uid="{00000000-0005-0000-0000-000027110000}"/>
    <cellStyle name="Normal 4 3 2 3 3 7" xfId="4813" xr:uid="{00000000-0005-0000-0000-000028110000}"/>
    <cellStyle name="Normal 4 3 2 3 4" xfId="4814" xr:uid="{00000000-0005-0000-0000-000029110000}"/>
    <cellStyle name="Normal 4 3 2 3 4 2" xfId="4815" xr:uid="{00000000-0005-0000-0000-00002A110000}"/>
    <cellStyle name="Normal 4 3 2 3 4 2 2" xfId="4816" xr:uid="{00000000-0005-0000-0000-00002B110000}"/>
    <cellStyle name="Normal 4 3 2 3 4 2 3" xfId="4817" xr:uid="{00000000-0005-0000-0000-00002C110000}"/>
    <cellStyle name="Normal 4 3 2 3 4 3" xfId="4818" xr:uid="{00000000-0005-0000-0000-00002D110000}"/>
    <cellStyle name="Normal 4 3 2 3 4 4" xfId="4819" xr:uid="{00000000-0005-0000-0000-00002E110000}"/>
    <cellStyle name="Normal 4 3 2 3 4 5" xfId="4820" xr:uid="{00000000-0005-0000-0000-00002F110000}"/>
    <cellStyle name="Normal 4 3 2 3 5" xfId="4821" xr:uid="{00000000-0005-0000-0000-000030110000}"/>
    <cellStyle name="Normal 4 3 2 3 5 2" xfId="4822" xr:uid="{00000000-0005-0000-0000-000031110000}"/>
    <cellStyle name="Normal 4 3 2 3 5 2 2" xfId="4823" xr:uid="{00000000-0005-0000-0000-000032110000}"/>
    <cellStyle name="Normal 4 3 2 3 5 2 3" xfId="4824" xr:uid="{00000000-0005-0000-0000-000033110000}"/>
    <cellStyle name="Normal 4 3 2 3 5 3" xfId="4825" xr:uid="{00000000-0005-0000-0000-000034110000}"/>
    <cellStyle name="Normal 4 3 2 3 5 4" xfId="4826" xr:uid="{00000000-0005-0000-0000-000035110000}"/>
    <cellStyle name="Normal 4 3 2 3 5 5" xfId="4827" xr:uid="{00000000-0005-0000-0000-000036110000}"/>
    <cellStyle name="Normal 4 3 2 3 6" xfId="4828" xr:uid="{00000000-0005-0000-0000-000037110000}"/>
    <cellStyle name="Normal 4 3 2 3 6 2" xfId="4829" xr:uid="{00000000-0005-0000-0000-000038110000}"/>
    <cellStyle name="Normal 4 3 2 3 6 3" xfId="4830" xr:uid="{00000000-0005-0000-0000-000039110000}"/>
    <cellStyle name="Normal 4 3 2 3 7" xfId="4831" xr:uid="{00000000-0005-0000-0000-00003A110000}"/>
    <cellStyle name="Normal 4 3 2 3 8" xfId="4832" xr:uid="{00000000-0005-0000-0000-00003B110000}"/>
    <cellStyle name="Normal 4 3 2 3 9" xfId="4833" xr:uid="{00000000-0005-0000-0000-00003C110000}"/>
    <cellStyle name="Normal 4 3 2 4" xfId="4834" xr:uid="{00000000-0005-0000-0000-00003D110000}"/>
    <cellStyle name="Normal 4 3 2 4 2" xfId="4835" xr:uid="{00000000-0005-0000-0000-00003E110000}"/>
    <cellStyle name="Normal 4 3 2 4 2 2" xfId="4836" xr:uid="{00000000-0005-0000-0000-00003F110000}"/>
    <cellStyle name="Normal 4 3 2 4 2 2 2" xfId="4837" xr:uid="{00000000-0005-0000-0000-000040110000}"/>
    <cellStyle name="Normal 4 3 2 4 2 2 2 2" xfId="4838" xr:uid="{00000000-0005-0000-0000-000041110000}"/>
    <cellStyle name="Normal 4 3 2 4 2 2 2 2 2" xfId="4839" xr:uid="{00000000-0005-0000-0000-000042110000}"/>
    <cellStyle name="Normal 4 3 2 4 2 2 2 2 3" xfId="4840" xr:uid="{00000000-0005-0000-0000-000043110000}"/>
    <cellStyle name="Normal 4 3 2 4 2 2 2 3" xfId="4841" xr:uid="{00000000-0005-0000-0000-000044110000}"/>
    <cellStyle name="Normal 4 3 2 4 2 2 2 4" xfId="4842" xr:uid="{00000000-0005-0000-0000-000045110000}"/>
    <cellStyle name="Normal 4 3 2 4 2 2 2 5" xfId="4843" xr:uid="{00000000-0005-0000-0000-000046110000}"/>
    <cellStyle name="Normal 4 3 2 4 2 2 3" xfId="4844" xr:uid="{00000000-0005-0000-0000-000047110000}"/>
    <cellStyle name="Normal 4 3 2 4 2 2 3 2" xfId="4845" xr:uid="{00000000-0005-0000-0000-000048110000}"/>
    <cellStyle name="Normal 4 3 2 4 2 2 3 2 2" xfId="4846" xr:uid="{00000000-0005-0000-0000-000049110000}"/>
    <cellStyle name="Normal 4 3 2 4 2 2 3 2 3" xfId="4847" xr:uid="{00000000-0005-0000-0000-00004A110000}"/>
    <cellStyle name="Normal 4 3 2 4 2 2 3 3" xfId="4848" xr:uid="{00000000-0005-0000-0000-00004B110000}"/>
    <cellStyle name="Normal 4 3 2 4 2 2 3 4" xfId="4849" xr:uid="{00000000-0005-0000-0000-00004C110000}"/>
    <cellStyle name="Normal 4 3 2 4 2 2 3 5" xfId="4850" xr:uid="{00000000-0005-0000-0000-00004D110000}"/>
    <cellStyle name="Normal 4 3 2 4 2 2 4" xfId="4851" xr:uid="{00000000-0005-0000-0000-00004E110000}"/>
    <cellStyle name="Normal 4 3 2 4 2 2 4 2" xfId="4852" xr:uid="{00000000-0005-0000-0000-00004F110000}"/>
    <cellStyle name="Normal 4 3 2 4 2 2 4 3" xfId="4853" xr:uid="{00000000-0005-0000-0000-000050110000}"/>
    <cellStyle name="Normal 4 3 2 4 2 2 5" xfId="4854" xr:uid="{00000000-0005-0000-0000-000051110000}"/>
    <cellStyle name="Normal 4 3 2 4 2 2 6" xfId="4855" xr:uid="{00000000-0005-0000-0000-000052110000}"/>
    <cellStyle name="Normal 4 3 2 4 2 2 7" xfId="4856" xr:uid="{00000000-0005-0000-0000-000053110000}"/>
    <cellStyle name="Normal 4 3 2 4 2 3" xfId="4857" xr:uid="{00000000-0005-0000-0000-000054110000}"/>
    <cellStyle name="Normal 4 3 2 4 2 3 2" xfId="4858" xr:uid="{00000000-0005-0000-0000-000055110000}"/>
    <cellStyle name="Normal 4 3 2 4 2 3 2 2" xfId="4859" xr:uid="{00000000-0005-0000-0000-000056110000}"/>
    <cellStyle name="Normal 4 3 2 4 2 3 2 3" xfId="4860" xr:uid="{00000000-0005-0000-0000-000057110000}"/>
    <cellStyle name="Normal 4 3 2 4 2 3 3" xfId="4861" xr:uid="{00000000-0005-0000-0000-000058110000}"/>
    <cellStyle name="Normal 4 3 2 4 2 3 4" xfId="4862" xr:uid="{00000000-0005-0000-0000-000059110000}"/>
    <cellStyle name="Normal 4 3 2 4 2 3 5" xfId="4863" xr:uid="{00000000-0005-0000-0000-00005A110000}"/>
    <cellStyle name="Normal 4 3 2 4 2 4" xfId="4864" xr:uid="{00000000-0005-0000-0000-00005B110000}"/>
    <cellStyle name="Normal 4 3 2 4 2 4 2" xfId="4865" xr:uid="{00000000-0005-0000-0000-00005C110000}"/>
    <cellStyle name="Normal 4 3 2 4 2 4 2 2" xfId="4866" xr:uid="{00000000-0005-0000-0000-00005D110000}"/>
    <cellStyle name="Normal 4 3 2 4 2 4 2 3" xfId="4867" xr:uid="{00000000-0005-0000-0000-00005E110000}"/>
    <cellStyle name="Normal 4 3 2 4 2 4 3" xfId="4868" xr:uid="{00000000-0005-0000-0000-00005F110000}"/>
    <cellStyle name="Normal 4 3 2 4 2 4 4" xfId="4869" xr:uid="{00000000-0005-0000-0000-000060110000}"/>
    <cellStyle name="Normal 4 3 2 4 2 4 5" xfId="4870" xr:uid="{00000000-0005-0000-0000-000061110000}"/>
    <cellStyle name="Normal 4 3 2 4 2 5" xfId="4871" xr:uid="{00000000-0005-0000-0000-000062110000}"/>
    <cellStyle name="Normal 4 3 2 4 2 5 2" xfId="4872" xr:uid="{00000000-0005-0000-0000-000063110000}"/>
    <cellStyle name="Normal 4 3 2 4 2 5 3" xfId="4873" xr:uid="{00000000-0005-0000-0000-000064110000}"/>
    <cellStyle name="Normal 4 3 2 4 2 6" xfId="4874" xr:uid="{00000000-0005-0000-0000-000065110000}"/>
    <cellStyle name="Normal 4 3 2 4 2 7" xfId="4875" xr:uid="{00000000-0005-0000-0000-000066110000}"/>
    <cellStyle name="Normal 4 3 2 4 2 8" xfId="4876" xr:uid="{00000000-0005-0000-0000-000067110000}"/>
    <cellStyle name="Normal 4 3 2 4 3" xfId="4877" xr:uid="{00000000-0005-0000-0000-000068110000}"/>
    <cellStyle name="Normal 4 3 2 4 3 2" xfId="4878" xr:uid="{00000000-0005-0000-0000-000069110000}"/>
    <cellStyle name="Normal 4 3 2 4 3 2 2" xfId="4879" xr:uid="{00000000-0005-0000-0000-00006A110000}"/>
    <cellStyle name="Normal 4 3 2 4 3 2 2 2" xfId="4880" xr:uid="{00000000-0005-0000-0000-00006B110000}"/>
    <cellStyle name="Normal 4 3 2 4 3 2 2 3" xfId="4881" xr:uid="{00000000-0005-0000-0000-00006C110000}"/>
    <cellStyle name="Normal 4 3 2 4 3 2 3" xfId="4882" xr:uid="{00000000-0005-0000-0000-00006D110000}"/>
    <cellStyle name="Normal 4 3 2 4 3 2 4" xfId="4883" xr:uid="{00000000-0005-0000-0000-00006E110000}"/>
    <cellStyle name="Normal 4 3 2 4 3 2 5" xfId="4884" xr:uid="{00000000-0005-0000-0000-00006F110000}"/>
    <cellStyle name="Normal 4 3 2 4 3 3" xfId="4885" xr:uid="{00000000-0005-0000-0000-000070110000}"/>
    <cellStyle name="Normal 4 3 2 4 3 3 2" xfId="4886" xr:uid="{00000000-0005-0000-0000-000071110000}"/>
    <cellStyle name="Normal 4 3 2 4 3 3 2 2" xfId="4887" xr:uid="{00000000-0005-0000-0000-000072110000}"/>
    <cellStyle name="Normal 4 3 2 4 3 3 2 3" xfId="4888" xr:uid="{00000000-0005-0000-0000-000073110000}"/>
    <cellStyle name="Normal 4 3 2 4 3 3 3" xfId="4889" xr:uid="{00000000-0005-0000-0000-000074110000}"/>
    <cellStyle name="Normal 4 3 2 4 3 3 4" xfId="4890" xr:uid="{00000000-0005-0000-0000-000075110000}"/>
    <cellStyle name="Normal 4 3 2 4 3 3 5" xfId="4891" xr:uid="{00000000-0005-0000-0000-000076110000}"/>
    <cellStyle name="Normal 4 3 2 4 3 4" xfId="4892" xr:uid="{00000000-0005-0000-0000-000077110000}"/>
    <cellStyle name="Normal 4 3 2 4 3 4 2" xfId="4893" xr:uid="{00000000-0005-0000-0000-000078110000}"/>
    <cellStyle name="Normal 4 3 2 4 3 4 3" xfId="4894" xr:uid="{00000000-0005-0000-0000-000079110000}"/>
    <cellStyle name="Normal 4 3 2 4 3 5" xfId="4895" xr:uid="{00000000-0005-0000-0000-00007A110000}"/>
    <cellStyle name="Normal 4 3 2 4 3 6" xfId="4896" xr:uid="{00000000-0005-0000-0000-00007B110000}"/>
    <cellStyle name="Normal 4 3 2 4 3 7" xfId="4897" xr:uid="{00000000-0005-0000-0000-00007C110000}"/>
    <cellStyle name="Normal 4 3 2 4 4" xfId="4898" xr:uid="{00000000-0005-0000-0000-00007D110000}"/>
    <cellStyle name="Normal 4 3 2 4 4 2" xfId="4899" xr:uid="{00000000-0005-0000-0000-00007E110000}"/>
    <cellStyle name="Normal 4 3 2 4 4 2 2" xfId="4900" xr:uid="{00000000-0005-0000-0000-00007F110000}"/>
    <cellStyle name="Normal 4 3 2 4 4 2 3" xfId="4901" xr:uid="{00000000-0005-0000-0000-000080110000}"/>
    <cellStyle name="Normal 4 3 2 4 4 3" xfId="4902" xr:uid="{00000000-0005-0000-0000-000081110000}"/>
    <cellStyle name="Normal 4 3 2 4 4 4" xfId="4903" xr:uid="{00000000-0005-0000-0000-000082110000}"/>
    <cellStyle name="Normal 4 3 2 4 4 5" xfId="4904" xr:uid="{00000000-0005-0000-0000-000083110000}"/>
    <cellStyle name="Normal 4 3 2 4 5" xfId="4905" xr:uid="{00000000-0005-0000-0000-000084110000}"/>
    <cellStyle name="Normal 4 3 2 4 5 2" xfId="4906" xr:uid="{00000000-0005-0000-0000-000085110000}"/>
    <cellStyle name="Normal 4 3 2 4 5 2 2" xfId="4907" xr:uid="{00000000-0005-0000-0000-000086110000}"/>
    <cellStyle name="Normal 4 3 2 4 5 2 3" xfId="4908" xr:uid="{00000000-0005-0000-0000-000087110000}"/>
    <cellStyle name="Normal 4 3 2 4 5 3" xfId="4909" xr:uid="{00000000-0005-0000-0000-000088110000}"/>
    <cellStyle name="Normal 4 3 2 4 5 4" xfId="4910" xr:uid="{00000000-0005-0000-0000-000089110000}"/>
    <cellStyle name="Normal 4 3 2 4 5 5" xfId="4911" xr:uid="{00000000-0005-0000-0000-00008A110000}"/>
    <cellStyle name="Normal 4 3 2 4 6" xfId="4912" xr:uid="{00000000-0005-0000-0000-00008B110000}"/>
    <cellStyle name="Normal 4 3 2 4 6 2" xfId="4913" xr:uid="{00000000-0005-0000-0000-00008C110000}"/>
    <cellStyle name="Normal 4 3 2 4 6 3" xfId="4914" xr:uid="{00000000-0005-0000-0000-00008D110000}"/>
    <cellStyle name="Normal 4 3 2 4 7" xfId="4915" xr:uid="{00000000-0005-0000-0000-00008E110000}"/>
    <cellStyle name="Normal 4 3 2 4 8" xfId="4916" xr:uid="{00000000-0005-0000-0000-00008F110000}"/>
    <cellStyle name="Normal 4 3 2 4 9" xfId="4917" xr:uid="{00000000-0005-0000-0000-000090110000}"/>
    <cellStyle name="Normal 4 3 2 5" xfId="4918" xr:uid="{00000000-0005-0000-0000-000091110000}"/>
    <cellStyle name="Normal 4 3 2 5 2" xfId="4919" xr:uid="{00000000-0005-0000-0000-000092110000}"/>
    <cellStyle name="Normal 4 3 2 5 2 2" xfId="4920" xr:uid="{00000000-0005-0000-0000-000093110000}"/>
    <cellStyle name="Normal 4 3 2 5 2 2 2" xfId="4921" xr:uid="{00000000-0005-0000-0000-000094110000}"/>
    <cellStyle name="Normal 4 3 2 5 2 2 2 2" xfId="4922" xr:uid="{00000000-0005-0000-0000-000095110000}"/>
    <cellStyle name="Normal 4 3 2 5 2 2 2 2 2" xfId="4923" xr:uid="{00000000-0005-0000-0000-000096110000}"/>
    <cellStyle name="Normal 4 3 2 5 2 2 2 2 3" xfId="4924" xr:uid="{00000000-0005-0000-0000-000097110000}"/>
    <cellStyle name="Normal 4 3 2 5 2 2 2 3" xfId="4925" xr:uid="{00000000-0005-0000-0000-000098110000}"/>
    <cellStyle name="Normal 4 3 2 5 2 2 2 4" xfId="4926" xr:uid="{00000000-0005-0000-0000-000099110000}"/>
    <cellStyle name="Normal 4 3 2 5 2 2 2 5" xfId="4927" xr:uid="{00000000-0005-0000-0000-00009A110000}"/>
    <cellStyle name="Normal 4 3 2 5 2 2 3" xfId="4928" xr:uid="{00000000-0005-0000-0000-00009B110000}"/>
    <cellStyle name="Normal 4 3 2 5 2 2 3 2" xfId="4929" xr:uid="{00000000-0005-0000-0000-00009C110000}"/>
    <cellStyle name="Normal 4 3 2 5 2 2 3 2 2" xfId="4930" xr:uid="{00000000-0005-0000-0000-00009D110000}"/>
    <cellStyle name="Normal 4 3 2 5 2 2 3 2 3" xfId="4931" xr:uid="{00000000-0005-0000-0000-00009E110000}"/>
    <cellStyle name="Normal 4 3 2 5 2 2 3 3" xfId="4932" xr:uid="{00000000-0005-0000-0000-00009F110000}"/>
    <cellStyle name="Normal 4 3 2 5 2 2 3 4" xfId="4933" xr:uid="{00000000-0005-0000-0000-0000A0110000}"/>
    <cellStyle name="Normal 4 3 2 5 2 2 3 5" xfId="4934" xr:uid="{00000000-0005-0000-0000-0000A1110000}"/>
    <cellStyle name="Normal 4 3 2 5 2 2 4" xfId="4935" xr:uid="{00000000-0005-0000-0000-0000A2110000}"/>
    <cellStyle name="Normal 4 3 2 5 2 2 4 2" xfId="4936" xr:uid="{00000000-0005-0000-0000-0000A3110000}"/>
    <cellStyle name="Normal 4 3 2 5 2 2 4 3" xfId="4937" xr:uid="{00000000-0005-0000-0000-0000A4110000}"/>
    <cellStyle name="Normal 4 3 2 5 2 2 5" xfId="4938" xr:uid="{00000000-0005-0000-0000-0000A5110000}"/>
    <cellStyle name="Normal 4 3 2 5 2 2 6" xfId="4939" xr:uid="{00000000-0005-0000-0000-0000A6110000}"/>
    <cellStyle name="Normal 4 3 2 5 2 2 7" xfId="4940" xr:uid="{00000000-0005-0000-0000-0000A7110000}"/>
    <cellStyle name="Normal 4 3 2 5 2 3" xfId="4941" xr:uid="{00000000-0005-0000-0000-0000A8110000}"/>
    <cellStyle name="Normal 4 3 2 5 2 3 2" xfId="4942" xr:uid="{00000000-0005-0000-0000-0000A9110000}"/>
    <cellStyle name="Normal 4 3 2 5 2 3 2 2" xfId="4943" xr:uid="{00000000-0005-0000-0000-0000AA110000}"/>
    <cellStyle name="Normal 4 3 2 5 2 3 2 3" xfId="4944" xr:uid="{00000000-0005-0000-0000-0000AB110000}"/>
    <cellStyle name="Normal 4 3 2 5 2 3 3" xfId="4945" xr:uid="{00000000-0005-0000-0000-0000AC110000}"/>
    <cellStyle name="Normal 4 3 2 5 2 3 4" xfId="4946" xr:uid="{00000000-0005-0000-0000-0000AD110000}"/>
    <cellStyle name="Normal 4 3 2 5 2 3 5" xfId="4947" xr:uid="{00000000-0005-0000-0000-0000AE110000}"/>
    <cellStyle name="Normal 4 3 2 5 2 4" xfId="4948" xr:uid="{00000000-0005-0000-0000-0000AF110000}"/>
    <cellStyle name="Normal 4 3 2 5 2 4 2" xfId="4949" xr:uid="{00000000-0005-0000-0000-0000B0110000}"/>
    <cellStyle name="Normal 4 3 2 5 2 4 2 2" xfId="4950" xr:uid="{00000000-0005-0000-0000-0000B1110000}"/>
    <cellStyle name="Normal 4 3 2 5 2 4 2 3" xfId="4951" xr:uid="{00000000-0005-0000-0000-0000B2110000}"/>
    <cellStyle name="Normal 4 3 2 5 2 4 3" xfId="4952" xr:uid="{00000000-0005-0000-0000-0000B3110000}"/>
    <cellStyle name="Normal 4 3 2 5 2 4 4" xfId="4953" xr:uid="{00000000-0005-0000-0000-0000B4110000}"/>
    <cellStyle name="Normal 4 3 2 5 2 4 5" xfId="4954" xr:uid="{00000000-0005-0000-0000-0000B5110000}"/>
    <cellStyle name="Normal 4 3 2 5 2 5" xfId="4955" xr:uid="{00000000-0005-0000-0000-0000B6110000}"/>
    <cellStyle name="Normal 4 3 2 5 2 5 2" xfId="4956" xr:uid="{00000000-0005-0000-0000-0000B7110000}"/>
    <cellStyle name="Normal 4 3 2 5 2 5 3" xfId="4957" xr:uid="{00000000-0005-0000-0000-0000B8110000}"/>
    <cellStyle name="Normal 4 3 2 5 2 6" xfId="4958" xr:uid="{00000000-0005-0000-0000-0000B9110000}"/>
    <cellStyle name="Normal 4 3 2 5 2 7" xfId="4959" xr:uid="{00000000-0005-0000-0000-0000BA110000}"/>
    <cellStyle name="Normal 4 3 2 5 2 8" xfId="4960" xr:uid="{00000000-0005-0000-0000-0000BB110000}"/>
    <cellStyle name="Normal 4 3 2 5 3" xfId="4961" xr:uid="{00000000-0005-0000-0000-0000BC110000}"/>
    <cellStyle name="Normal 4 3 2 5 3 2" xfId="4962" xr:uid="{00000000-0005-0000-0000-0000BD110000}"/>
    <cellStyle name="Normal 4 3 2 5 3 2 2" xfId="4963" xr:uid="{00000000-0005-0000-0000-0000BE110000}"/>
    <cellStyle name="Normal 4 3 2 5 3 2 2 2" xfId="4964" xr:uid="{00000000-0005-0000-0000-0000BF110000}"/>
    <cellStyle name="Normal 4 3 2 5 3 2 2 3" xfId="4965" xr:uid="{00000000-0005-0000-0000-0000C0110000}"/>
    <cellStyle name="Normal 4 3 2 5 3 2 3" xfId="4966" xr:uid="{00000000-0005-0000-0000-0000C1110000}"/>
    <cellStyle name="Normal 4 3 2 5 3 2 4" xfId="4967" xr:uid="{00000000-0005-0000-0000-0000C2110000}"/>
    <cellStyle name="Normal 4 3 2 5 3 2 5" xfId="4968" xr:uid="{00000000-0005-0000-0000-0000C3110000}"/>
    <cellStyle name="Normal 4 3 2 5 3 3" xfId="4969" xr:uid="{00000000-0005-0000-0000-0000C4110000}"/>
    <cellStyle name="Normal 4 3 2 5 3 3 2" xfId="4970" xr:uid="{00000000-0005-0000-0000-0000C5110000}"/>
    <cellStyle name="Normal 4 3 2 5 3 3 2 2" xfId="4971" xr:uid="{00000000-0005-0000-0000-0000C6110000}"/>
    <cellStyle name="Normal 4 3 2 5 3 3 2 3" xfId="4972" xr:uid="{00000000-0005-0000-0000-0000C7110000}"/>
    <cellStyle name="Normal 4 3 2 5 3 3 3" xfId="4973" xr:uid="{00000000-0005-0000-0000-0000C8110000}"/>
    <cellStyle name="Normal 4 3 2 5 3 3 4" xfId="4974" xr:uid="{00000000-0005-0000-0000-0000C9110000}"/>
    <cellStyle name="Normal 4 3 2 5 3 3 5" xfId="4975" xr:uid="{00000000-0005-0000-0000-0000CA110000}"/>
    <cellStyle name="Normal 4 3 2 5 3 4" xfId="4976" xr:uid="{00000000-0005-0000-0000-0000CB110000}"/>
    <cellStyle name="Normal 4 3 2 5 3 4 2" xfId="4977" xr:uid="{00000000-0005-0000-0000-0000CC110000}"/>
    <cellStyle name="Normal 4 3 2 5 3 4 3" xfId="4978" xr:uid="{00000000-0005-0000-0000-0000CD110000}"/>
    <cellStyle name="Normal 4 3 2 5 3 5" xfId="4979" xr:uid="{00000000-0005-0000-0000-0000CE110000}"/>
    <cellStyle name="Normal 4 3 2 5 3 6" xfId="4980" xr:uid="{00000000-0005-0000-0000-0000CF110000}"/>
    <cellStyle name="Normal 4 3 2 5 3 7" xfId="4981" xr:uid="{00000000-0005-0000-0000-0000D0110000}"/>
    <cellStyle name="Normal 4 3 2 5 4" xfId="4982" xr:uid="{00000000-0005-0000-0000-0000D1110000}"/>
    <cellStyle name="Normal 4 3 2 5 4 2" xfId="4983" xr:uid="{00000000-0005-0000-0000-0000D2110000}"/>
    <cellStyle name="Normal 4 3 2 5 4 2 2" xfId="4984" xr:uid="{00000000-0005-0000-0000-0000D3110000}"/>
    <cellStyle name="Normal 4 3 2 5 4 2 3" xfId="4985" xr:uid="{00000000-0005-0000-0000-0000D4110000}"/>
    <cellStyle name="Normal 4 3 2 5 4 3" xfId="4986" xr:uid="{00000000-0005-0000-0000-0000D5110000}"/>
    <cellStyle name="Normal 4 3 2 5 4 4" xfId="4987" xr:uid="{00000000-0005-0000-0000-0000D6110000}"/>
    <cellStyle name="Normal 4 3 2 5 4 5" xfId="4988" xr:uid="{00000000-0005-0000-0000-0000D7110000}"/>
    <cellStyle name="Normal 4 3 2 5 5" xfId="4989" xr:uid="{00000000-0005-0000-0000-0000D8110000}"/>
    <cellStyle name="Normal 4 3 2 5 5 2" xfId="4990" xr:uid="{00000000-0005-0000-0000-0000D9110000}"/>
    <cellStyle name="Normal 4 3 2 5 5 2 2" xfId="4991" xr:uid="{00000000-0005-0000-0000-0000DA110000}"/>
    <cellStyle name="Normal 4 3 2 5 5 2 3" xfId="4992" xr:uid="{00000000-0005-0000-0000-0000DB110000}"/>
    <cellStyle name="Normal 4 3 2 5 5 3" xfId="4993" xr:uid="{00000000-0005-0000-0000-0000DC110000}"/>
    <cellStyle name="Normal 4 3 2 5 5 4" xfId="4994" xr:uid="{00000000-0005-0000-0000-0000DD110000}"/>
    <cellStyle name="Normal 4 3 2 5 5 5" xfId="4995" xr:uid="{00000000-0005-0000-0000-0000DE110000}"/>
    <cellStyle name="Normal 4 3 2 5 6" xfId="4996" xr:uid="{00000000-0005-0000-0000-0000DF110000}"/>
    <cellStyle name="Normal 4 3 2 5 6 2" xfId="4997" xr:uid="{00000000-0005-0000-0000-0000E0110000}"/>
    <cellStyle name="Normal 4 3 2 5 6 3" xfId="4998" xr:uid="{00000000-0005-0000-0000-0000E1110000}"/>
    <cellStyle name="Normal 4 3 2 5 7" xfId="4999" xr:uid="{00000000-0005-0000-0000-0000E2110000}"/>
    <cellStyle name="Normal 4 3 2 5 8" xfId="5000" xr:uid="{00000000-0005-0000-0000-0000E3110000}"/>
    <cellStyle name="Normal 4 3 2 5 9" xfId="5001" xr:uid="{00000000-0005-0000-0000-0000E4110000}"/>
    <cellStyle name="Normal 4 3 2 6" xfId="5002" xr:uid="{00000000-0005-0000-0000-0000E5110000}"/>
    <cellStyle name="Normal 4 3 2 6 2" xfId="5003" xr:uid="{00000000-0005-0000-0000-0000E6110000}"/>
    <cellStyle name="Normal 4 3 2 6 2 2" xfId="5004" xr:uid="{00000000-0005-0000-0000-0000E7110000}"/>
    <cellStyle name="Normal 4 3 2 6 2 2 2" xfId="5005" xr:uid="{00000000-0005-0000-0000-0000E8110000}"/>
    <cellStyle name="Normal 4 3 2 6 2 2 2 2" xfId="5006" xr:uid="{00000000-0005-0000-0000-0000E9110000}"/>
    <cellStyle name="Normal 4 3 2 6 2 2 2 3" xfId="5007" xr:uid="{00000000-0005-0000-0000-0000EA110000}"/>
    <cellStyle name="Normal 4 3 2 6 2 2 3" xfId="5008" xr:uid="{00000000-0005-0000-0000-0000EB110000}"/>
    <cellStyle name="Normal 4 3 2 6 2 2 4" xfId="5009" xr:uid="{00000000-0005-0000-0000-0000EC110000}"/>
    <cellStyle name="Normal 4 3 2 6 2 2 5" xfId="5010" xr:uid="{00000000-0005-0000-0000-0000ED110000}"/>
    <cellStyle name="Normal 4 3 2 6 2 3" xfId="5011" xr:uid="{00000000-0005-0000-0000-0000EE110000}"/>
    <cellStyle name="Normal 4 3 2 6 2 3 2" xfId="5012" xr:uid="{00000000-0005-0000-0000-0000EF110000}"/>
    <cellStyle name="Normal 4 3 2 6 2 3 2 2" xfId="5013" xr:uid="{00000000-0005-0000-0000-0000F0110000}"/>
    <cellStyle name="Normal 4 3 2 6 2 3 2 3" xfId="5014" xr:uid="{00000000-0005-0000-0000-0000F1110000}"/>
    <cellStyle name="Normal 4 3 2 6 2 3 3" xfId="5015" xr:uid="{00000000-0005-0000-0000-0000F2110000}"/>
    <cellStyle name="Normal 4 3 2 6 2 3 4" xfId="5016" xr:uid="{00000000-0005-0000-0000-0000F3110000}"/>
    <cellStyle name="Normal 4 3 2 6 2 3 5" xfId="5017" xr:uid="{00000000-0005-0000-0000-0000F4110000}"/>
    <cellStyle name="Normal 4 3 2 6 2 4" xfId="5018" xr:uid="{00000000-0005-0000-0000-0000F5110000}"/>
    <cellStyle name="Normal 4 3 2 6 2 4 2" xfId="5019" xr:uid="{00000000-0005-0000-0000-0000F6110000}"/>
    <cellStyle name="Normal 4 3 2 6 2 4 3" xfId="5020" xr:uid="{00000000-0005-0000-0000-0000F7110000}"/>
    <cellStyle name="Normal 4 3 2 6 2 5" xfId="5021" xr:uid="{00000000-0005-0000-0000-0000F8110000}"/>
    <cellStyle name="Normal 4 3 2 6 2 6" xfId="5022" xr:uid="{00000000-0005-0000-0000-0000F9110000}"/>
    <cellStyle name="Normal 4 3 2 6 2 7" xfId="5023" xr:uid="{00000000-0005-0000-0000-0000FA110000}"/>
    <cellStyle name="Normal 4 3 2 6 3" xfId="5024" xr:uid="{00000000-0005-0000-0000-0000FB110000}"/>
    <cellStyle name="Normal 4 3 2 6 3 2" xfId="5025" xr:uid="{00000000-0005-0000-0000-0000FC110000}"/>
    <cellStyle name="Normal 4 3 2 6 3 2 2" xfId="5026" xr:uid="{00000000-0005-0000-0000-0000FD110000}"/>
    <cellStyle name="Normal 4 3 2 6 3 2 3" xfId="5027" xr:uid="{00000000-0005-0000-0000-0000FE110000}"/>
    <cellStyle name="Normal 4 3 2 6 3 3" xfId="5028" xr:uid="{00000000-0005-0000-0000-0000FF110000}"/>
    <cellStyle name="Normal 4 3 2 6 3 4" xfId="5029" xr:uid="{00000000-0005-0000-0000-000000120000}"/>
    <cellStyle name="Normal 4 3 2 6 3 5" xfId="5030" xr:uid="{00000000-0005-0000-0000-000001120000}"/>
    <cellStyle name="Normal 4 3 2 6 4" xfId="5031" xr:uid="{00000000-0005-0000-0000-000002120000}"/>
    <cellStyle name="Normal 4 3 2 6 4 2" xfId="5032" xr:uid="{00000000-0005-0000-0000-000003120000}"/>
    <cellStyle name="Normal 4 3 2 6 4 2 2" xfId="5033" xr:uid="{00000000-0005-0000-0000-000004120000}"/>
    <cellStyle name="Normal 4 3 2 6 4 2 3" xfId="5034" xr:uid="{00000000-0005-0000-0000-000005120000}"/>
    <cellStyle name="Normal 4 3 2 6 4 3" xfId="5035" xr:uid="{00000000-0005-0000-0000-000006120000}"/>
    <cellStyle name="Normal 4 3 2 6 4 4" xfId="5036" xr:uid="{00000000-0005-0000-0000-000007120000}"/>
    <cellStyle name="Normal 4 3 2 6 4 5" xfId="5037" xr:uid="{00000000-0005-0000-0000-000008120000}"/>
    <cellStyle name="Normal 4 3 2 6 5" xfId="5038" xr:uid="{00000000-0005-0000-0000-000009120000}"/>
    <cellStyle name="Normal 4 3 2 6 5 2" xfId="5039" xr:uid="{00000000-0005-0000-0000-00000A120000}"/>
    <cellStyle name="Normal 4 3 2 6 5 3" xfId="5040" xr:uid="{00000000-0005-0000-0000-00000B120000}"/>
    <cellStyle name="Normal 4 3 2 6 6" xfId="5041" xr:uid="{00000000-0005-0000-0000-00000C120000}"/>
    <cellStyle name="Normal 4 3 2 6 7" xfId="5042" xr:uid="{00000000-0005-0000-0000-00000D120000}"/>
    <cellStyle name="Normal 4 3 2 6 8" xfId="5043" xr:uid="{00000000-0005-0000-0000-00000E120000}"/>
    <cellStyle name="Normal 4 3 2 7" xfId="5044" xr:uid="{00000000-0005-0000-0000-00000F120000}"/>
    <cellStyle name="Normal 4 3 2 7 2" xfId="5045" xr:uid="{00000000-0005-0000-0000-000010120000}"/>
    <cellStyle name="Normal 4 3 2 7 2 2" xfId="5046" xr:uid="{00000000-0005-0000-0000-000011120000}"/>
    <cellStyle name="Normal 4 3 2 7 2 2 2" xfId="5047" xr:uid="{00000000-0005-0000-0000-000012120000}"/>
    <cellStyle name="Normal 4 3 2 7 2 2 3" xfId="5048" xr:uid="{00000000-0005-0000-0000-000013120000}"/>
    <cellStyle name="Normal 4 3 2 7 2 3" xfId="5049" xr:uid="{00000000-0005-0000-0000-000014120000}"/>
    <cellStyle name="Normal 4 3 2 7 2 4" xfId="5050" xr:uid="{00000000-0005-0000-0000-000015120000}"/>
    <cellStyle name="Normal 4 3 2 7 2 5" xfId="5051" xr:uid="{00000000-0005-0000-0000-000016120000}"/>
    <cellStyle name="Normal 4 3 2 7 3" xfId="5052" xr:uid="{00000000-0005-0000-0000-000017120000}"/>
    <cellStyle name="Normal 4 3 2 7 3 2" xfId="5053" xr:uid="{00000000-0005-0000-0000-000018120000}"/>
    <cellStyle name="Normal 4 3 2 7 3 2 2" xfId="5054" xr:uid="{00000000-0005-0000-0000-000019120000}"/>
    <cellStyle name="Normal 4 3 2 7 3 2 3" xfId="5055" xr:uid="{00000000-0005-0000-0000-00001A120000}"/>
    <cellStyle name="Normal 4 3 2 7 3 3" xfId="5056" xr:uid="{00000000-0005-0000-0000-00001B120000}"/>
    <cellStyle name="Normal 4 3 2 7 3 4" xfId="5057" xr:uid="{00000000-0005-0000-0000-00001C120000}"/>
    <cellStyle name="Normal 4 3 2 7 3 5" xfId="5058" xr:uid="{00000000-0005-0000-0000-00001D120000}"/>
    <cellStyle name="Normal 4 3 2 7 4" xfId="5059" xr:uid="{00000000-0005-0000-0000-00001E120000}"/>
    <cellStyle name="Normal 4 3 2 7 4 2" xfId="5060" xr:uid="{00000000-0005-0000-0000-00001F120000}"/>
    <cellStyle name="Normal 4 3 2 7 4 3" xfId="5061" xr:uid="{00000000-0005-0000-0000-000020120000}"/>
    <cellStyle name="Normal 4 3 2 7 5" xfId="5062" xr:uid="{00000000-0005-0000-0000-000021120000}"/>
    <cellStyle name="Normal 4 3 2 7 6" xfId="5063" xr:uid="{00000000-0005-0000-0000-000022120000}"/>
    <cellStyle name="Normal 4 3 2 7 7" xfId="5064" xr:uid="{00000000-0005-0000-0000-000023120000}"/>
    <cellStyle name="Normal 4 3 2 8" xfId="5065" xr:uid="{00000000-0005-0000-0000-000024120000}"/>
    <cellStyle name="Normal 4 3 2 8 2" xfId="5066" xr:uid="{00000000-0005-0000-0000-000025120000}"/>
    <cellStyle name="Normal 4 3 2 8 2 2" xfId="5067" xr:uid="{00000000-0005-0000-0000-000026120000}"/>
    <cellStyle name="Normal 4 3 2 8 2 2 2" xfId="5068" xr:uid="{00000000-0005-0000-0000-000027120000}"/>
    <cellStyle name="Normal 4 3 2 8 2 2 3" xfId="5069" xr:uid="{00000000-0005-0000-0000-000028120000}"/>
    <cellStyle name="Normal 4 3 2 8 2 3" xfId="5070" xr:uid="{00000000-0005-0000-0000-000029120000}"/>
    <cellStyle name="Normal 4 3 2 8 2 4" xfId="5071" xr:uid="{00000000-0005-0000-0000-00002A120000}"/>
    <cellStyle name="Normal 4 3 2 8 2 5" xfId="5072" xr:uid="{00000000-0005-0000-0000-00002B120000}"/>
    <cellStyle name="Normal 4 3 2 8 3" xfId="5073" xr:uid="{00000000-0005-0000-0000-00002C120000}"/>
    <cellStyle name="Normal 4 3 2 8 3 2" xfId="5074" xr:uid="{00000000-0005-0000-0000-00002D120000}"/>
    <cellStyle name="Normal 4 3 2 8 3 2 2" xfId="5075" xr:uid="{00000000-0005-0000-0000-00002E120000}"/>
    <cellStyle name="Normal 4 3 2 8 3 2 3" xfId="5076" xr:uid="{00000000-0005-0000-0000-00002F120000}"/>
    <cellStyle name="Normal 4 3 2 8 3 3" xfId="5077" xr:uid="{00000000-0005-0000-0000-000030120000}"/>
    <cellStyle name="Normal 4 3 2 8 3 4" xfId="5078" xr:uid="{00000000-0005-0000-0000-000031120000}"/>
    <cellStyle name="Normal 4 3 2 8 3 5" xfId="5079" xr:uid="{00000000-0005-0000-0000-000032120000}"/>
    <cellStyle name="Normal 4 3 2 8 4" xfId="5080" xr:uid="{00000000-0005-0000-0000-000033120000}"/>
    <cellStyle name="Normal 4 3 2 8 4 2" xfId="5081" xr:uid="{00000000-0005-0000-0000-000034120000}"/>
    <cellStyle name="Normal 4 3 2 8 4 3" xfId="5082" xr:uid="{00000000-0005-0000-0000-000035120000}"/>
    <cellStyle name="Normal 4 3 2 8 5" xfId="5083" xr:uid="{00000000-0005-0000-0000-000036120000}"/>
    <cellStyle name="Normal 4 3 2 8 6" xfId="5084" xr:uid="{00000000-0005-0000-0000-000037120000}"/>
    <cellStyle name="Normal 4 3 2 8 7" xfId="5085" xr:uid="{00000000-0005-0000-0000-000038120000}"/>
    <cellStyle name="Normal 4 3 2 9" xfId="5086" xr:uid="{00000000-0005-0000-0000-000039120000}"/>
    <cellStyle name="Normal 4 3 2 9 2" xfId="5087" xr:uid="{00000000-0005-0000-0000-00003A120000}"/>
    <cellStyle name="Normal 4 3 2 9 2 2" xfId="5088" xr:uid="{00000000-0005-0000-0000-00003B120000}"/>
    <cellStyle name="Normal 4 3 2 9 2 3" xfId="5089" xr:uid="{00000000-0005-0000-0000-00003C120000}"/>
    <cellStyle name="Normal 4 3 2 9 3" xfId="5090" xr:uid="{00000000-0005-0000-0000-00003D120000}"/>
    <cellStyle name="Normal 4 3 2 9 4" xfId="5091" xr:uid="{00000000-0005-0000-0000-00003E120000}"/>
    <cellStyle name="Normal 4 3 2 9 5" xfId="5092" xr:uid="{00000000-0005-0000-0000-00003F120000}"/>
    <cellStyle name="Normal 4 3 3" xfId="5093" xr:uid="{00000000-0005-0000-0000-000040120000}"/>
    <cellStyle name="Normal 4 3 3 10" xfId="5094" xr:uid="{00000000-0005-0000-0000-000041120000}"/>
    <cellStyle name="Normal 4 3 3 10 2" xfId="5095" xr:uid="{00000000-0005-0000-0000-000042120000}"/>
    <cellStyle name="Normal 4 3 3 10 2 2" xfId="5096" xr:uid="{00000000-0005-0000-0000-000043120000}"/>
    <cellStyle name="Normal 4 3 3 10 2 3" xfId="5097" xr:uid="{00000000-0005-0000-0000-000044120000}"/>
    <cellStyle name="Normal 4 3 3 10 3" xfId="5098" xr:uid="{00000000-0005-0000-0000-000045120000}"/>
    <cellStyle name="Normal 4 3 3 10 4" xfId="5099" xr:uid="{00000000-0005-0000-0000-000046120000}"/>
    <cellStyle name="Normal 4 3 3 10 5" xfId="5100" xr:uid="{00000000-0005-0000-0000-000047120000}"/>
    <cellStyle name="Normal 4 3 3 11" xfId="5101" xr:uid="{00000000-0005-0000-0000-000048120000}"/>
    <cellStyle name="Normal 4 3 3 11 2" xfId="5102" xr:uid="{00000000-0005-0000-0000-000049120000}"/>
    <cellStyle name="Normal 4 3 3 11 3" xfId="5103" xr:uid="{00000000-0005-0000-0000-00004A120000}"/>
    <cellStyle name="Normal 4 3 3 12" xfId="5104" xr:uid="{00000000-0005-0000-0000-00004B120000}"/>
    <cellStyle name="Normal 4 3 3 13" xfId="5105" xr:uid="{00000000-0005-0000-0000-00004C120000}"/>
    <cellStyle name="Normal 4 3 3 14" xfId="5106" xr:uid="{00000000-0005-0000-0000-00004D120000}"/>
    <cellStyle name="Normal 4 3 3 2" xfId="5107" xr:uid="{00000000-0005-0000-0000-00004E120000}"/>
    <cellStyle name="Normal 4 3 3 2 10" xfId="5108" xr:uid="{00000000-0005-0000-0000-00004F120000}"/>
    <cellStyle name="Normal 4 3 3 2 11" xfId="5109" xr:uid="{00000000-0005-0000-0000-000050120000}"/>
    <cellStyle name="Normal 4 3 3 2 12" xfId="5110" xr:uid="{00000000-0005-0000-0000-000051120000}"/>
    <cellStyle name="Normal 4 3 3 2 2" xfId="5111" xr:uid="{00000000-0005-0000-0000-000052120000}"/>
    <cellStyle name="Normal 4 3 3 2 2 2" xfId="5112" xr:uid="{00000000-0005-0000-0000-000053120000}"/>
    <cellStyle name="Normal 4 3 3 2 2 2 2" xfId="5113" xr:uid="{00000000-0005-0000-0000-000054120000}"/>
    <cellStyle name="Normal 4 3 3 2 2 2 2 2" xfId="5114" xr:uid="{00000000-0005-0000-0000-000055120000}"/>
    <cellStyle name="Normal 4 3 3 2 2 2 2 2 2" xfId="5115" xr:uid="{00000000-0005-0000-0000-000056120000}"/>
    <cellStyle name="Normal 4 3 3 2 2 2 2 2 2 2" xfId="5116" xr:uid="{00000000-0005-0000-0000-000057120000}"/>
    <cellStyle name="Normal 4 3 3 2 2 2 2 2 2 3" xfId="5117" xr:uid="{00000000-0005-0000-0000-000058120000}"/>
    <cellStyle name="Normal 4 3 3 2 2 2 2 2 3" xfId="5118" xr:uid="{00000000-0005-0000-0000-000059120000}"/>
    <cellStyle name="Normal 4 3 3 2 2 2 2 2 4" xfId="5119" xr:uid="{00000000-0005-0000-0000-00005A120000}"/>
    <cellStyle name="Normal 4 3 3 2 2 2 2 2 5" xfId="5120" xr:uid="{00000000-0005-0000-0000-00005B120000}"/>
    <cellStyle name="Normal 4 3 3 2 2 2 2 3" xfId="5121" xr:uid="{00000000-0005-0000-0000-00005C120000}"/>
    <cellStyle name="Normal 4 3 3 2 2 2 2 3 2" xfId="5122" xr:uid="{00000000-0005-0000-0000-00005D120000}"/>
    <cellStyle name="Normal 4 3 3 2 2 2 2 3 2 2" xfId="5123" xr:uid="{00000000-0005-0000-0000-00005E120000}"/>
    <cellStyle name="Normal 4 3 3 2 2 2 2 3 2 3" xfId="5124" xr:uid="{00000000-0005-0000-0000-00005F120000}"/>
    <cellStyle name="Normal 4 3 3 2 2 2 2 3 3" xfId="5125" xr:uid="{00000000-0005-0000-0000-000060120000}"/>
    <cellStyle name="Normal 4 3 3 2 2 2 2 3 4" xfId="5126" xr:uid="{00000000-0005-0000-0000-000061120000}"/>
    <cellStyle name="Normal 4 3 3 2 2 2 2 3 5" xfId="5127" xr:uid="{00000000-0005-0000-0000-000062120000}"/>
    <cellStyle name="Normal 4 3 3 2 2 2 2 4" xfId="5128" xr:uid="{00000000-0005-0000-0000-000063120000}"/>
    <cellStyle name="Normal 4 3 3 2 2 2 2 4 2" xfId="5129" xr:uid="{00000000-0005-0000-0000-000064120000}"/>
    <cellStyle name="Normal 4 3 3 2 2 2 2 4 3" xfId="5130" xr:uid="{00000000-0005-0000-0000-000065120000}"/>
    <cellStyle name="Normal 4 3 3 2 2 2 2 5" xfId="5131" xr:uid="{00000000-0005-0000-0000-000066120000}"/>
    <cellStyle name="Normal 4 3 3 2 2 2 2 6" xfId="5132" xr:uid="{00000000-0005-0000-0000-000067120000}"/>
    <cellStyle name="Normal 4 3 3 2 2 2 2 7" xfId="5133" xr:uid="{00000000-0005-0000-0000-000068120000}"/>
    <cellStyle name="Normal 4 3 3 2 2 2 3" xfId="5134" xr:uid="{00000000-0005-0000-0000-000069120000}"/>
    <cellStyle name="Normal 4 3 3 2 2 2 3 2" xfId="5135" xr:uid="{00000000-0005-0000-0000-00006A120000}"/>
    <cellStyle name="Normal 4 3 3 2 2 2 3 2 2" xfId="5136" xr:uid="{00000000-0005-0000-0000-00006B120000}"/>
    <cellStyle name="Normal 4 3 3 2 2 2 3 2 3" xfId="5137" xr:uid="{00000000-0005-0000-0000-00006C120000}"/>
    <cellStyle name="Normal 4 3 3 2 2 2 3 3" xfId="5138" xr:uid="{00000000-0005-0000-0000-00006D120000}"/>
    <cellStyle name="Normal 4 3 3 2 2 2 3 4" xfId="5139" xr:uid="{00000000-0005-0000-0000-00006E120000}"/>
    <cellStyle name="Normal 4 3 3 2 2 2 3 5" xfId="5140" xr:uid="{00000000-0005-0000-0000-00006F120000}"/>
    <cellStyle name="Normal 4 3 3 2 2 2 4" xfId="5141" xr:uid="{00000000-0005-0000-0000-000070120000}"/>
    <cellStyle name="Normal 4 3 3 2 2 2 4 2" xfId="5142" xr:uid="{00000000-0005-0000-0000-000071120000}"/>
    <cellStyle name="Normal 4 3 3 2 2 2 4 2 2" xfId="5143" xr:uid="{00000000-0005-0000-0000-000072120000}"/>
    <cellStyle name="Normal 4 3 3 2 2 2 4 2 3" xfId="5144" xr:uid="{00000000-0005-0000-0000-000073120000}"/>
    <cellStyle name="Normal 4 3 3 2 2 2 4 3" xfId="5145" xr:uid="{00000000-0005-0000-0000-000074120000}"/>
    <cellStyle name="Normal 4 3 3 2 2 2 4 4" xfId="5146" xr:uid="{00000000-0005-0000-0000-000075120000}"/>
    <cellStyle name="Normal 4 3 3 2 2 2 4 5" xfId="5147" xr:uid="{00000000-0005-0000-0000-000076120000}"/>
    <cellStyle name="Normal 4 3 3 2 2 2 5" xfId="5148" xr:uid="{00000000-0005-0000-0000-000077120000}"/>
    <cellStyle name="Normal 4 3 3 2 2 2 5 2" xfId="5149" xr:uid="{00000000-0005-0000-0000-000078120000}"/>
    <cellStyle name="Normal 4 3 3 2 2 2 5 3" xfId="5150" xr:uid="{00000000-0005-0000-0000-000079120000}"/>
    <cellStyle name="Normal 4 3 3 2 2 2 6" xfId="5151" xr:uid="{00000000-0005-0000-0000-00007A120000}"/>
    <cellStyle name="Normal 4 3 3 2 2 2 7" xfId="5152" xr:uid="{00000000-0005-0000-0000-00007B120000}"/>
    <cellStyle name="Normal 4 3 3 2 2 2 8" xfId="5153" xr:uid="{00000000-0005-0000-0000-00007C120000}"/>
    <cellStyle name="Normal 4 3 3 2 2 3" xfId="5154" xr:uid="{00000000-0005-0000-0000-00007D120000}"/>
    <cellStyle name="Normal 4 3 3 2 2 3 2" xfId="5155" xr:uid="{00000000-0005-0000-0000-00007E120000}"/>
    <cellStyle name="Normal 4 3 3 2 2 3 2 2" xfId="5156" xr:uid="{00000000-0005-0000-0000-00007F120000}"/>
    <cellStyle name="Normal 4 3 3 2 2 3 2 2 2" xfId="5157" xr:uid="{00000000-0005-0000-0000-000080120000}"/>
    <cellStyle name="Normal 4 3 3 2 2 3 2 2 3" xfId="5158" xr:uid="{00000000-0005-0000-0000-000081120000}"/>
    <cellStyle name="Normal 4 3 3 2 2 3 2 3" xfId="5159" xr:uid="{00000000-0005-0000-0000-000082120000}"/>
    <cellStyle name="Normal 4 3 3 2 2 3 2 4" xfId="5160" xr:uid="{00000000-0005-0000-0000-000083120000}"/>
    <cellStyle name="Normal 4 3 3 2 2 3 2 5" xfId="5161" xr:uid="{00000000-0005-0000-0000-000084120000}"/>
    <cellStyle name="Normal 4 3 3 2 2 3 3" xfId="5162" xr:uid="{00000000-0005-0000-0000-000085120000}"/>
    <cellStyle name="Normal 4 3 3 2 2 3 3 2" xfId="5163" xr:uid="{00000000-0005-0000-0000-000086120000}"/>
    <cellStyle name="Normal 4 3 3 2 2 3 3 2 2" xfId="5164" xr:uid="{00000000-0005-0000-0000-000087120000}"/>
    <cellStyle name="Normal 4 3 3 2 2 3 3 2 3" xfId="5165" xr:uid="{00000000-0005-0000-0000-000088120000}"/>
    <cellStyle name="Normal 4 3 3 2 2 3 3 3" xfId="5166" xr:uid="{00000000-0005-0000-0000-000089120000}"/>
    <cellStyle name="Normal 4 3 3 2 2 3 3 4" xfId="5167" xr:uid="{00000000-0005-0000-0000-00008A120000}"/>
    <cellStyle name="Normal 4 3 3 2 2 3 3 5" xfId="5168" xr:uid="{00000000-0005-0000-0000-00008B120000}"/>
    <cellStyle name="Normal 4 3 3 2 2 3 4" xfId="5169" xr:uid="{00000000-0005-0000-0000-00008C120000}"/>
    <cellStyle name="Normal 4 3 3 2 2 3 4 2" xfId="5170" xr:uid="{00000000-0005-0000-0000-00008D120000}"/>
    <cellStyle name="Normal 4 3 3 2 2 3 4 3" xfId="5171" xr:uid="{00000000-0005-0000-0000-00008E120000}"/>
    <cellStyle name="Normal 4 3 3 2 2 3 5" xfId="5172" xr:uid="{00000000-0005-0000-0000-00008F120000}"/>
    <cellStyle name="Normal 4 3 3 2 2 3 6" xfId="5173" xr:uid="{00000000-0005-0000-0000-000090120000}"/>
    <cellStyle name="Normal 4 3 3 2 2 3 7" xfId="5174" xr:uid="{00000000-0005-0000-0000-000091120000}"/>
    <cellStyle name="Normal 4 3 3 2 2 4" xfId="5175" xr:uid="{00000000-0005-0000-0000-000092120000}"/>
    <cellStyle name="Normal 4 3 3 2 2 4 2" xfId="5176" xr:uid="{00000000-0005-0000-0000-000093120000}"/>
    <cellStyle name="Normal 4 3 3 2 2 4 2 2" xfId="5177" xr:uid="{00000000-0005-0000-0000-000094120000}"/>
    <cellStyle name="Normal 4 3 3 2 2 4 2 3" xfId="5178" xr:uid="{00000000-0005-0000-0000-000095120000}"/>
    <cellStyle name="Normal 4 3 3 2 2 4 3" xfId="5179" xr:uid="{00000000-0005-0000-0000-000096120000}"/>
    <cellStyle name="Normal 4 3 3 2 2 4 4" xfId="5180" xr:uid="{00000000-0005-0000-0000-000097120000}"/>
    <cellStyle name="Normal 4 3 3 2 2 4 5" xfId="5181" xr:uid="{00000000-0005-0000-0000-000098120000}"/>
    <cellStyle name="Normal 4 3 3 2 2 5" xfId="5182" xr:uid="{00000000-0005-0000-0000-000099120000}"/>
    <cellStyle name="Normal 4 3 3 2 2 5 2" xfId="5183" xr:uid="{00000000-0005-0000-0000-00009A120000}"/>
    <cellStyle name="Normal 4 3 3 2 2 5 2 2" xfId="5184" xr:uid="{00000000-0005-0000-0000-00009B120000}"/>
    <cellStyle name="Normal 4 3 3 2 2 5 2 3" xfId="5185" xr:uid="{00000000-0005-0000-0000-00009C120000}"/>
    <cellStyle name="Normal 4 3 3 2 2 5 3" xfId="5186" xr:uid="{00000000-0005-0000-0000-00009D120000}"/>
    <cellStyle name="Normal 4 3 3 2 2 5 4" xfId="5187" xr:uid="{00000000-0005-0000-0000-00009E120000}"/>
    <cellStyle name="Normal 4 3 3 2 2 5 5" xfId="5188" xr:uid="{00000000-0005-0000-0000-00009F120000}"/>
    <cellStyle name="Normal 4 3 3 2 2 6" xfId="5189" xr:uid="{00000000-0005-0000-0000-0000A0120000}"/>
    <cellStyle name="Normal 4 3 3 2 2 6 2" xfId="5190" xr:uid="{00000000-0005-0000-0000-0000A1120000}"/>
    <cellStyle name="Normal 4 3 3 2 2 6 3" xfId="5191" xr:uid="{00000000-0005-0000-0000-0000A2120000}"/>
    <cellStyle name="Normal 4 3 3 2 2 7" xfId="5192" xr:uid="{00000000-0005-0000-0000-0000A3120000}"/>
    <cellStyle name="Normal 4 3 3 2 2 8" xfId="5193" xr:uid="{00000000-0005-0000-0000-0000A4120000}"/>
    <cellStyle name="Normal 4 3 3 2 2 9" xfId="5194" xr:uid="{00000000-0005-0000-0000-0000A5120000}"/>
    <cellStyle name="Normal 4 3 3 2 3" xfId="5195" xr:uid="{00000000-0005-0000-0000-0000A6120000}"/>
    <cellStyle name="Normal 4 3 3 2 3 2" xfId="5196" xr:uid="{00000000-0005-0000-0000-0000A7120000}"/>
    <cellStyle name="Normal 4 3 3 2 3 2 2" xfId="5197" xr:uid="{00000000-0005-0000-0000-0000A8120000}"/>
    <cellStyle name="Normal 4 3 3 2 3 2 2 2" xfId="5198" xr:uid="{00000000-0005-0000-0000-0000A9120000}"/>
    <cellStyle name="Normal 4 3 3 2 3 2 2 2 2" xfId="5199" xr:uid="{00000000-0005-0000-0000-0000AA120000}"/>
    <cellStyle name="Normal 4 3 3 2 3 2 2 2 2 2" xfId="5200" xr:uid="{00000000-0005-0000-0000-0000AB120000}"/>
    <cellStyle name="Normal 4 3 3 2 3 2 2 2 2 3" xfId="5201" xr:uid="{00000000-0005-0000-0000-0000AC120000}"/>
    <cellStyle name="Normal 4 3 3 2 3 2 2 2 3" xfId="5202" xr:uid="{00000000-0005-0000-0000-0000AD120000}"/>
    <cellStyle name="Normal 4 3 3 2 3 2 2 2 4" xfId="5203" xr:uid="{00000000-0005-0000-0000-0000AE120000}"/>
    <cellStyle name="Normal 4 3 3 2 3 2 2 2 5" xfId="5204" xr:uid="{00000000-0005-0000-0000-0000AF120000}"/>
    <cellStyle name="Normal 4 3 3 2 3 2 2 3" xfId="5205" xr:uid="{00000000-0005-0000-0000-0000B0120000}"/>
    <cellStyle name="Normal 4 3 3 2 3 2 2 3 2" xfId="5206" xr:uid="{00000000-0005-0000-0000-0000B1120000}"/>
    <cellStyle name="Normal 4 3 3 2 3 2 2 3 2 2" xfId="5207" xr:uid="{00000000-0005-0000-0000-0000B2120000}"/>
    <cellStyle name="Normal 4 3 3 2 3 2 2 3 2 3" xfId="5208" xr:uid="{00000000-0005-0000-0000-0000B3120000}"/>
    <cellStyle name="Normal 4 3 3 2 3 2 2 3 3" xfId="5209" xr:uid="{00000000-0005-0000-0000-0000B4120000}"/>
    <cellStyle name="Normal 4 3 3 2 3 2 2 3 4" xfId="5210" xr:uid="{00000000-0005-0000-0000-0000B5120000}"/>
    <cellStyle name="Normal 4 3 3 2 3 2 2 3 5" xfId="5211" xr:uid="{00000000-0005-0000-0000-0000B6120000}"/>
    <cellStyle name="Normal 4 3 3 2 3 2 2 4" xfId="5212" xr:uid="{00000000-0005-0000-0000-0000B7120000}"/>
    <cellStyle name="Normal 4 3 3 2 3 2 2 4 2" xfId="5213" xr:uid="{00000000-0005-0000-0000-0000B8120000}"/>
    <cellStyle name="Normal 4 3 3 2 3 2 2 4 3" xfId="5214" xr:uid="{00000000-0005-0000-0000-0000B9120000}"/>
    <cellStyle name="Normal 4 3 3 2 3 2 2 5" xfId="5215" xr:uid="{00000000-0005-0000-0000-0000BA120000}"/>
    <cellStyle name="Normal 4 3 3 2 3 2 2 6" xfId="5216" xr:uid="{00000000-0005-0000-0000-0000BB120000}"/>
    <cellStyle name="Normal 4 3 3 2 3 2 2 7" xfId="5217" xr:uid="{00000000-0005-0000-0000-0000BC120000}"/>
    <cellStyle name="Normal 4 3 3 2 3 2 3" xfId="5218" xr:uid="{00000000-0005-0000-0000-0000BD120000}"/>
    <cellStyle name="Normal 4 3 3 2 3 2 3 2" xfId="5219" xr:uid="{00000000-0005-0000-0000-0000BE120000}"/>
    <cellStyle name="Normal 4 3 3 2 3 2 3 2 2" xfId="5220" xr:uid="{00000000-0005-0000-0000-0000BF120000}"/>
    <cellStyle name="Normal 4 3 3 2 3 2 3 2 3" xfId="5221" xr:uid="{00000000-0005-0000-0000-0000C0120000}"/>
    <cellStyle name="Normal 4 3 3 2 3 2 3 3" xfId="5222" xr:uid="{00000000-0005-0000-0000-0000C1120000}"/>
    <cellStyle name="Normal 4 3 3 2 3 2 3 4" xfId="5223" xr:uid="{00000000-0005-0000-0000-0000C2120000}"/>
    <cellStyle name="Normal 4 3 3 2 3 2 3 5" xfId="5224" xr:uid="{00000000-0005-0000-0000-0000C3120000}"/>
    <cellStyle name="Normal 4 3 3 2 3 2 4" xfId="5225" xr:uid="{00000000-0005-0000-0000-0000C4120000}"/>
    <cellStyle name="Normal 4 3 3 2 3 2 4 2" xfId="5226" xr:uid="{00000000-0005-0000-0000-0000C5120000}"/>
    <cellStyle name="Normal 4 3 3 2 3 2 4 2 2" xfId="5227" xr:uid="{00000000-0005-0000-0000-0000C6120000}"/>
    <cellStyle name="Normal 4 3 3 2 3 2 4 2 3" xfId="5228" xr:uid="{00000000-0005-0000-0000-0000C7120000}"/>
    <cellStyle name="Normal 4 3 3 2 3 2 4 3" xfId="5229" xr:uid="{00000000-0005-0000-0000-0000C8120000}"/>
    <cellStyle name="Normal 4 3 3 2 3 2 4 4" xfId="5230" xr:uid="{00000000-0005-0000-0000-0000C9120000}"/>
    <cellStyle name="Normal 4 3 3 2 3 2 4 5" xfId="5231" xr:uid="{00000000-0005-0000-0000-0000CA120000}"/>
    <cellStyle name="Normal 4 3 3 2 3 2 5" xfId="5232" xr:uid="{00000000-0005-0000-0000-0000CB120000}"/>
    <cellStyle name="Normal 4 3 3 2 3 2 5 2" xfId="5233" xr:uid="{00000000-0005-0000-0000-0000CC120000}"/>
    <cellStyle name="Normal 4 3 3 2 3 2 5 3" xfId="5234" xr:uid="{00000000-0005-0000-0000-0000CD120000}"/>
    <cellStyle name="Normal 4 3 3 2 3 2 6" xfId="5235" xr:uid="{00000000-0005-0000-0000-0000CE120000}"/>
    <cellStyle name="Normal 4 3 3 2 3 2 7" xfId="5236" xr:uid="{00000000-0005-0000-0000-0000CF120000}"/>
    <cellStyle name="Normal 4 3 3 2 3 2 8" xfId="5237" xr:uid="{00000000-0005-0000-0000-0000D0120000}"/>
    <cellStyle name="Normal 4 3 3 2 3 3" xfId="5238" xr:uid="{00000000-0005-0000-0000-0000D1120000}"/>
    <cellStyle name="Normal 4 3 3 2 3 3 2" xfId="5239" xr:uid="{00000000-0005-0000-0000-0000D2120000}"/>
    <cellStyle name="Normal 4 3 3 2 3 3 2 2" xfId="5240" xr:uid="{00000000-0005-0000-0000-0000D3120000}"/>
    <cellStyle name="Normal 4 3 3 2 3 3 2 2 2" xfId="5241" xr:uid="{00000000-0005-0000-0000-0000D4120000}"/>
    <cellStyle name="Normal 4 3 3 2 3 3 2 2 3" xfId="5242" xr:uid="{00000000-0005-0000-0000-0000D5120000}"/>
    <cellStyle name="Normal 4 3 3 2 3 3 2 3" xfId="5243" xr:uid="{00000000-0005-0000-0000-0000D6120000}"/>
    <cellStyle name="Normal 4 3 3 2 3 3 2 4" xfId="5244" xr:uid="{00000000-0005-0000-0000-0000D7120000}"/>
    <cellStyle name="Normal 4 3 3 2 3 3 2 5" xfId="5245" xr:uid="{00000000-0005-0000-0000-0000D8120000}"/>
    <cellStyle name="Normal 4 3 3 2 3 3 3" xfId="5246" xr:uid="{00000000-0005-0000-0000-0000D9120000}"/>
    <cellStyle name="Normal 4 3 3 2 3 3 3 2" xfId="5247" xr:uid="{00000000-0005-0000-0000-0000DA120000}"/>
    <cellStyle name="Normal 4 3 3 2 3 3 3 2 2" xfId="5248" xr:uid="{00000000-0005-0000-0000-0000DB120000}"/>
    <cellStyle name="Normal 4 3 3 2 3 3 3 2 3" xfId="5249" xr:uid="{00000000-0005-0000-0000-0000DC120000}"/>
    <cellStyle name="Normal 4 3 3 2 3 3 3 3" xfId="5250" xr:uid="{00000000-0005-0000-0000-0000DD120000}"/>
    <cellStyle name="Normal 4 3 3 2 3 3 3 4" xfId="5251" xr:uid="{00000000-0005-0000-0000-0000DE120000}"/>
    <cellStyle name="Normal 4 3 3 2 3 3 3 5" xfId="5252" xr:uid="{00000000-0005-0000-0000-0000DF120000}"/>
    <cellStyle name="Normal 4 3 3 2 3 3 4" xfId="5253" xr:uid="{00000000-0005-0000-0000-0000E0120000}"/>
    <cellStyle name="Normal 4 3 3 2 3 3 4 2" xfId="5254" xr:uid="{00000000-0005-0000-0000-0000E1120000}"/>
    <cellStyle name="Normal 4 3 3 2 3 3 4 3" xfId="5255" xr:uid="{00000000-0005-0000-0000-0000E2120000}"/>
    <cellStyle name="Normal 4 3 3 2 3 3 5" xfId="5256" xr:uid="{00000000-0005-0000-0000-0000E3120000}"/>
    <cellStyle name="Normal 4 3 3 2 3 3 6" xfId="5257" xr:uid="{00000000-0005-0000-0000-0000E4120000}"/>
    <cellStyle name="Normal 4 3 3 2 3 3 7" xfId="5258" xr:uid="{00000000-0005-0000-0000-0000E5120000}"/>
    <cellStyle name="Normal 4 3 3 2 3 4" xfId="5259" xr:uid="{00000000-0005-0000-0000-0000E6120000}"/>
    <cellStyle name="Normal 4 3 3 2 3 4 2" xfId="5260" xr:uid="{00000000-0005-0000-0000-0000E7120000}"/>
    <cellStyle name="Normal 4 3 3 2 3 4 2 2" xfId="5261" xr:uid="{00000000-0005-0000-0000-0000E8120000}"/>
    <cellStyle name="Normal 4 3 3 2 3 4 2 3" xfId="5262" xr:uid="{00000000-0005-0000-0000-0000E9120000}"/>
    <cellStyle name="Normal 4 3 3 2 3 4 3" xfId="5263" xr:uid="{00000000-0005-0000-0000-0000EA120000}"/>
    <cellStyle name="Normal 4 3 3 2 3 4 4" xfId="5264" xr:uid="{00000000-0005-0000-0000-0000EB120000}"/>
    <cellStyle name="Normal 4 3 3 2 3 4 5" xfId="5265" xr:uid="{00000000-0005-0000-0000-0000EC120000}"/>
    <cellStyle name="Normal 4 3 3 2 3 5" xfId="5266" xr:uid="{00000000-0005-0000-0000-0000ED120000}"/>
    <cellStyle name="Normal 4 3 3 2 3 5 2" xfId="5267" xr:uid="{00000000-0005-0000-0000-0000EE120000}"/>
    <cellStyle name="Normal 4 3 3 2 3 5 2 2" xfId="5268" xr:uid="{00000000-0005-0000-0000-0000EF120000}"/>
    <cellStyle name="Normal 4 3 3 2 3 5 2 3" xfId="5269" xr:uid="{00000000-0005-0000-0000-0000F0120000}"/>
    <cellStyle name="Normal 4 3 3 2 3 5 3" xfId="5270" xr:uid="{00000000-0005-0000-0000-0000F1120000}"/>
    <cellStyle name="Normal 4 3 3 2 3 5 4" xfId="5271" xr:uid="{00000000-0005-0000-0000-0000F2120000}"/>
    <cellStyle name="Normal 4 3 3 2 3 5 5" xfId="5272" xr:uid="{00000000-0005-0000-0000-0000F3120000}"/>
    <cellStyle name="Normal 4 3 3 2 3 6" xfId="5273" xr:uid="{00000000-0005-0000-0000-0000F4120000}"/>
    <cellStyle name="Normal 4 3 3 2 3 6 2" xfId="5274" xr:uid="{00000000-0005-0000-0000-0000F5120000}"/>
    <cellStyle name="Normal 4 3 3 2 3 6 3" xfId="5275" xr:uid="{00000000-0005-0000-0000-0000F6120000}"/>
    <cellStyle name="Normal 4 3 3 2 3 7" xfId="5276" xr:uid="{00000000-0005-0000-0000-0000F7120000}"/>
    <cellStyle name="Normal 4 3 3 2 3 8" xfId="5277" xr:uid="{00000000-0005-0000-0000-0000F8120000}"/>
    <cellStyle name="Normal 4 3 3 2 3 9" xfId="5278" xr:uid="{00000000-0005-0000-0000-0000F9120000}"/>
    <cellStyle name="Normal 4 3 3 2 4" xfId="5279" xr:uid="{00000000-0005-0000-0000-0000FA120000}"/>
    <cellStyle name="Normal 4 3 3 2 4 2" xfId="5280" xr:uid="{00000000-0005-0000-0000-0000FB120000}"/>
    <cellStyle name="Normal 4 3 3 2 4 2 2" xfId="5281" xr:uid="{00000000-0005-0000-0000-0000FC120000}"/>
    <cellStyle name="Normal 4 3 3 2 4 2 2 2" xfId="5282" xr:uid="{00000000-0005-0000-0000-0000FD120000}"/>
    <cellStyle name="Normal 4 3 3 2 4 2 2 2 2" xfId="5283" xr:uid="{00000000-0005-0000-0000-0000FE120000}"/>
    <cellStyle name="Normal 4 3 3 2 4 2 2 2 2 2" xfId="5284" xr:uid="{00000000-0005-0000-0000-0000FF120000}"/>
    <cellStyle name="Normal 4 3 3 2 4 2 2 2 2 3" xfId="5285" xr:uid="{00000000-0005-0000-0000-000000130000}"/>
    <cellStyle name="Normal 4 3 3 2 4 2 2 2 3" xfId="5286" xr:uid="{00000000-0005-0000-0000-000001130000}"/>
    <cellStyle name="Normal 4 3 3 2 4 2 2 2 4" xfId="5287" xr:uid="{00000000-0005-0000-0000-000002130000}"/>
    <cellStyle name="Normal 4 3 3 2 4 2 2 2 5" xfId="5288" xr:uid="{00000000-0005-0000-0000-000003130000}"/>
    <cellStyle name="Normal 4 3 3 2 4 2 2 3" xfId="5289" xr:uid="{00000000-0005-0000-0000-000004130000}"/>
    <cellStyle name="Normal 4 3 3 2 4 2 2 3 2" xfId="5290" xr:uid="{00000000-0005-0000-0000-000005130000}"/>
    <cellStyle name="Normal 4 3 3 2 4 2 2 3 2 2" xfId="5291" xr:uid="{00000000-0005-0000-0000-000006130000}"/>
    <cellStyle name="Normal 4 3 3 2 4 2 2 3 2 3" xfId="5292" xr:uid="{00000000-0005-0000-0000-000007130000}"/>
    <cellStyle name="Normal 4 3 3 2 4 2 2 3 3" xfId="5293" xr:uid="{00000000-0005-0000-0000-000008130000}"/>
    <cellStyle name="Normal 4 3 3 2 4 2 2 3 4" xfId="5294" xr:uid="{00000000-0005-0000-0000-000009130000}"/>
    <cellStyle name="Normal 4 3 3 2 4 2 2 3 5" xfId="5295" xr:uid="{00000000-0005-0000-0000-00000A130000}"/>
    <cellStyle name="Normal 4 3 3 2 4 2 2 4" xfId="5296" xr:uid="{00000000-0005-0000-0000-00000B130000}"/>
    <cellStyle name="Normal 4 3 3 2 4 2 2 4 2" xfId="5297" xr:uid="{00000000-0005-0000-0000-00000C130000}"/>
    <cellStyle name="Normal 4 3 3 2 4 2 2 4 3" xfId="5298" xr:uid="{00000000-0005-0000-0000-00000D130000}"/>
    <cellStyle name="Normal 4 3 3 2 4 2 2 5" xfId="5299" xr:uid="{00000000-0005-0000-0000-00000E130000}"/>
    <cellStyle name="Normal 4 3 3 2 4 2 2 6" xfId="5300" xr:uid="{00000000-0005-0000-0000-00000F130000}"/>
    <cellStyle name="Normal 4 3 3 2 4 2 2 7" xfId="5301" xr:uid="{00000000-0005-0000-0000-000010130000}"/>
    <cellStyle name="Normal 4 3 3 2 4 2 3" xfId="5302" xr:uid="{00000000-0005-0000-0000-000011130000}"/>
    <cellStyle name="Normal 4 3 3 2 4 2 3 2" xfId="5303" xr:uid="{00000000-0005-0000-0000-000012130000}"/>
    <cellStyle name="Normal 4 3 3 2 4 2 3 2 2" xfId="5304" xr:uid="{00000000-0005-0000-0000-000013130000}"/>
    <cellStyle name="Normal 4 3 3 2 4 2 3 2 3" xfId="5305" xr:uid="{00000000-0005-0000-0000-000014130000}"/>
    <cellStyle name="Normal 4 3 3 2 4 2 3 3" xfId="5306" xr:uid="{00000000-0005-0000-0000-000015130000}"/>
    <cellStyle name="Normal 4 3 3 2 4 2 3 4" xfId="5307" xr:uid="{00000000-0005-0000-0000-000016130000}"/>
    <cellStyle name="Normal 4 3 3 2 4 2 3 5" xfId="5308" xr:uid="{00000000-0005-0000-0000-000017130000}"/>
    <cellStyle name="Normal 4 3 3 2 4 2 4" xfId="5309" xr:uid="{00000000-0005-0000-0000-000018130000}"/>
    <cellStyle name="Normal 4 3 3 2 4 2 4 2" xfId="5310" xr:uid="{00000000-0005-0000-0000-000019130000}"/>
    <cellStyle name="Normal 4 3 3 2 4 2 4 2 2" xfId="5311" xr:uid="{00000000-0005-0000-0000-00001A130000}"/>
    <cellStyle name="Normal 4 3 3 2 4 2 4 2 3" xfId="5312" xr:uid="{00000000-0005-0000-0000-00001B130000}"/>
    <cellStyle name="Normal 4 3 3 2 4 2 4 3" xfId="5313" xr:uid="{00000000-0005-0000-0000-00001C130000}"/>
    <cellStyle name="Normal 4 3 3 2 4 2 4 4" xfId="5314" xr:uid="{00000000-0005-0000-0000-00001D130000}"/>
    <cellStyle name="Normal 4 3 3 2 4 2 4 5" xfId="5315" xr:uid="{00000000-0005-0000-0000-00001E130000}"/>
    <cellStyle name="Normal 4 3 3 2 4 2 5" xfId="5316" xr:uid="{00000000-0005-0000-0000-00001F130000}"/>
    <cellStyle name="Normal 4 3 3 2 4 2 5 2" xfId="5317" xr:uid="{00000000-0005-0000-0000-000020130000}"/>
    <cellStyle name="Normal 4 3 3 2 4 2 5 3" xfId="5318" xr:uid="{00000000-0005-0000-0000-000021130000}"/>
    <cellStyle name="Normal 4 3 3 2 4 2 6" xfId="5319" xr:uid="{00000000-0005-0000-0000-000022130000}"/>
    <cellStyle name="Normal 4 3 3 2 4 2 7" xfId="5320" xr:uid="{00000000-0005-0000-0000-000023130000}"/>
    <cellStyle name="Normal 4 3 3 2 4 2 8" xfId="5321" xr:uid="{00000000-0005-0000-0000-000024130000}"/>
    <cellStyle name="Normal 4 3 3 2 4 3" xfId="5322" xr:uid="{00000000-0005-0000-0000-000025130000}"/>
    <cellStyle name="Normal 4 3 3 2 4 3 2" xfId="5323" xr:uid="{00000000-0005-0000-0000-000026130000}"/>
    <cellStyle name="Normal 4 3 3 2 4 3 2 2" xfId="5324" xr:uid="{00000000-0005-0000-0000-000027130000}"/>
    <cellStyle name="Normal 4 3 3 2 4 3 2 2 2" xfId="5325" xr:uid="{00000000-0005-0000-0000-000028130000}"/>
    <cellStyle name="Normal 4 3 3 2 4 3 2 2 3" xfId="5326" xr:uid="{00000000-0005-0000-0000-000029130000}"/>
    <cellStyle name="Normal 4 3 3 2 4 3 2 3" xfId="5327" xr:uid="{00000000-0005-0000-0000-00002A130000}"/>
    <cellStyle name="Normal 4 3 3 2 4 3 2 4" xfId="5328" xr:uid="{00000000-0005-0000-0000-00002B130000}"/>
    <cellStyle name="Normal 4 3 3 2 4 3 2 5" xfId="5329" xr:uid="{00000000-0005-0000-0000-00002C130000}"/>
    <cellStyle name="Normal 4 3 3 2 4 3 3" xfId="5330" xr:uid="{00000000-0005-0000-0000-00002D130000}"/>
    <cellStyle name="Normal 4 3 3 2 4 3 3 2" xfId="5331" xr:uid="{00000000-0005-0000-0000-00002E130000}"/>
    <cellStyle name="Normal 4 3 3 2 4 3 3 2 2" xfId="5332" xr:uid="{00000000-0005-0000-0000-00002F130000}"/>
    <cellStyle name="Normal 4 3 3 2 4 3 3 2 3" xfId="5333" xr:uid="{00000000-0005-0000-0000-000030130000}"/>
    <cellStyle name="Normal 4 3 3 2 4 3 3 3" xfId="5334" xr:uid="{00000000-0005-0000-0000-000031130000}"/>
    <cellStyle name="Normal 4 3 3 2 4 3 3 4" xfId="5335" xr:uid="{00000000-0005-0000-0000-000032130000}"/>
    <cellStyle name="Normal 4 3 3 2 4 3 3 5" xfId="5336" xr:uid="{00000000-0005-0000-0000-000033130000}"/>
    <cellStyle name="Normal 4 3 3 2 4 3 4" xfId="5337" xr:uid="{00000000-0005-0000-0000-000034130000}"/>
    <cellStyle name="Normal 4 3 3 2 4 3 4 2" xfId="5338" xr:uid="{00000000-0005-0000-0000-000035130000}"/>
    <cellStyle name="Normal 4 3 3 2 4 3 4 3" xfId="5339" xr:uid="{00000000-0005-0000-0000-000036130000}"/>
    <cellStyle name="Normal 4 3 3 2 4 3 5" xfId="5340" xr:uid="{00000000-0005-0000-0000-000037130000}"/>
    <cellStyle name="Normal 4 3 3 2 4 3 6" xfId="5341" xr:uid="{00000000-0005-0000-0000-000038130000}"/>
    <cellStyle name="Normal 4 3 3 2 4 3 7" xfId="5342" xr:uid="{00000000-0005-0000-0000-000039130000}"/>
    <cellStyle name="Normal 4 3 3 2 4 4" xfId="5343" xr:uid="{00000000-0005-0000-0000-00003A130000}"/>
    <cellStyle name="Normal 4 3 3 2 4 4 2" xfId="5344" xr:uid="{00000000-0005-0000-0000-00003B130000}"/>
    <cellStyle name="Normal 4 3 3 2 4 4 2 2" xfId="5345" xr:uid="{00000000-0005-0000-0000-00003C130000}"/>
    <cellStyle name="Normal 4 3 3 2 4 4 2 3" xfId="5346" xr:uid="{00000000-0005-0000-0000-00003D130000}"/>
    <cellStyle name="Normal 4 3 3 2 4 4 3" xfId="5347" xr:uid="{00000000-0005-0000-0000-00003E130000}"/>
    <cellStyle name="Normal 4 3 3 2 4 4 4" xfId="5348" xr:uid="{00000000-0005-0000-0000-00003F130000}"/>
    <cellStyle name="Normal 4 3 3 2 4 4 5" xfId="5349" xr:uid="{00000000-0005-0000-0000-000040130000}"/>
    <cellStyle name="Normal 4 3 3 2 4 5" xfId="5350" xr:uid="{00000000-0005-0000-0000-000041130000}"/>
    <cellStyle name="Normal 4 3 3 2 4 5 2" xfId="5351" xr:uid="{00000000-0005-0000-0000-000042130000}"/>
    <cellStyle name="Normal 4 3 3 2 4 5 2 2" xfId="5352" xr:uid="{00000000-0005-0000-0000-000043130000}"/>
    <cellStyle name="Normal 4 3 3 2 4 5 2 3" xfId="5353" xr:uid="{00000000-0005-0000-0000-000044130000}"/>
    <cellStyle name="Normal 4 3 3 2 4 5 3" xfId="5354" xr:uid="{00000000-0005-0000-0000-000045130000}"/>
    <cellStyle name="Normal 4 3 3 2 4 5 4" xfId="5355" xr:uid="{00000000-0005-0000-0000-000046130000}"/>
    <cellStyle name="Normal 4 3 3 2 4 5 5" xfId="5356" xr:uid="{00000000-0005-0000-0000-000047130000}"/>
    <cellStyle name="Normal 4 3 3 2 4 6" xfId="5357" xr:uid="{00000000-0005-0000-0000-000048130000}"/>
    <cellStyle name="Normal 4 3 3 2 4 6 2" xfId="5358" xr:uid="{00000000-0005-0000-0000-000049130000}"/>
    <cellStyle name="Normal 4 3 3 2 4 6 3" xfId="5359" xr:uid="{00000000-0005-0000-0000-00004A130000}"/>
    <cellStyle name="Normal 4 3 3 2 4 7" xfId="5360" xr:uid="{00000000-0005-0000-0000-00004B130000}"/>
    <cellStyle name="Normal 4 3 3 2 4 8" xfId="5361" xr:uid="{00000000-0005-0000-0000-00004C130000}"/>
    <cellStyle name="Normal 4 3 3 2 4 9" xfId="5362" xr:uid="{00000000-0005-0000-0000-00004D130000}"/>
    <cellStyle name="Normal 4 3 3 2 5" xfId="5363" xr:uid="{00000000-0005-0000-0000-00004E130000}"/>
    <cellStyle name="Normal 4 3 3 2 5 2" xfId="5364" xr:uid="{00000000-0005-0000-0000-00004F130000}"/>
    <cellStyle name="Normal 4 3 3 2 5 2 2" xfId="5365" xr:uid="{00000000-0005-0000-0000-000050130000}"/>
    <cellStyle name="Normal 4 3 3 2 5 2 2 2" xfId="5366" xr:uid="{00000000-0005-0000-0000-000051130000}"/>
    <cellStyle name="Normal 4 3 3 2 5 2 2 2 2" xfId="5367" xr:uid="{00000000-0005-0000-0000-000052130000}"/>
    <cellStyle name="Normal 4 3 3 2 5 2 2 2 3" xfId="5368" xr:uid="{00000000-0005-0000-0000-000053130000}"/>
    <cellStyle name="Normal 4 3 3 2 5 2 2 3" xfId="5369" xr:uid="{00000000-0005-0000-0000-000054130000}"/>
    <cellStyle name="Normal 4 3 3 2 5 2 2 4" xfId="5370" xr:uid="{00000000-0005-0000-0000-000055130000}"/>
    <cellStyle name="Normal 4 3 3 2 5 2 2 5" xfId="5371" xr:uid="{00000000-0005-0000-0000-000056130000}"/>
    <cellStyle name="Normal 4 3 3 2 5 2 3" xfId="5372" xr:uid="{00000000-0005-0000-0000-000057130000}"/>
    <cellStyle name="Normal 4 3 3 2 5 2 3 2" xfId="5373" xr:uid="{00000000-0005-0000-0000-000058130000}"/>
    <cellStyle name="Normal 4 3 3 2 5 2 3 2 2" xfId="5374" xr:uid="{00000000-0005-0000-0000-000059130000}"/>
    <cellStyle name="Normal 4 3 3 2 5 2 3 2 3" xfId="5375" xr:uid="{00000000-0005-0000-0000-00005A130000}"/>
    <cellStyle name="Normal 4 3 3 2 5 2 3 3" xfId="5376" xr:uid="{00000000-0005-0000-0000-00005B130000}"/>
    <cellStyle name="Normal 4 3 3 2 5 2 3 4" xfId="5377" xr:uid="{00000000-0005-0000-0000-00005C130000}"/>
    <cellStyle name="Normal 4 3 3 2 5 2 3 5" xfId="5378" xr:uid="{00000000-0005-0000-0000-00005D130000}"/>
    <cellStyle name="Normal 4 3 3 2 5 2 4" xfId="5379" xr:uid="{00000000-0005-0000-0000-00005E130000}"/>
    <cellStyle name="Normal 4 3 3 2 5 2 4 2" xfId="5380" xr:uid="{00000000-0005-0000-0000-00005F130000}"/>
    <cellStyle name="Normal 4 3 3 2 5 2 4 3" xfId="5381" xr:uid="{00000000-0005-0000-0000-000060130000}"/>
    <cellStyle name="Normal 4 3 3 2 5 2 5" xfId="5382" xr:uid="{00000000-0005-0000-0000-000061130000}"/>
    <cellStyle name="Normal 4 3 3 2 5 2 6" xfId="5383" xr:uid="{00000000-0005-0000-0000-000062130000}"/>
    <cellStyle name="Normal 4 3 3 2 5 2 7" xfId="5384" xr:uid="{00000000-0005-0000-0000-000063130000}"/>
    <cellStyle name="Normal 4 3 3 2 5 3" xfId="5385" xr:uid="{00000000-0005-0000-0000-000064130000}"/>
    <cellStyle name="Normal 4 3 3 2 5 3 2" xfId="5386" xr:uid="{00000000-0005-0000-0000-000065130000}"/>
    <cellStyle name="Normal 4 3 3 2 5 3 2 2" xfId="5387" xr:uid="{00000000-0005-0000-0000-000066130000}"/>
    <cellStyle name="Normal 4 3 3 2 5 3 2 3" xfId="5388" xr:uid="{00000000-0005-0000-0000-000067130000}"/>
    <cellStyle name="Normal 4 3 3 2 5 3 3" xfId="5389" xr:uid="{00000000-0005-0000-0000-000068130000}"/>
    <cellStyle name="Normal 4 3 3 2 5 3 4" xfId="5390" xr:uid="{00000000-0005-0000-0000-000069130000}"/>
    <cellStyle name="Normal 4 3 3 2 5 3 5" xfId="5391" xr:uid="{00000000-0005-0000-0000-00006A130000}"/>
    <cellStyle name="Normal 4 3 3 2 5 4" xfId="5392" xr:uid="{00000000-0005-0000-0000-00006B130000}"/>
    <cellStyle name="Normal 4 3 3 2 5 4 2" xfId="5393" xr:uid="{00000000-0005-0000-0000-00006C130000}"/>
    <cellStyle name="Normal 4 3 3 2 5 4 2 2" xfId="5394" xr:uid="{00000000-0005-0000-0000-00006D130000}"/>
    <cellStyle name="Normal 4 3 3 2 5 4 2 3" xfId="5395" xr:uid="{00000000-0005-0000-0000-00006E130000}"/>
    <cellStyle name="Normal 4 3 3 2 5 4 3" xfId="5396" xr:uid="{00000000-0005-0000-0000-00006F130000}"/>
    <cellStyle name="Normal 4 3 3 2 5 4 4" xfId="5397" xr:uid="{00000000-0005-0000-0000-000070130000}"/>
    <cellStyle name="Normal 4 3 3 2 5 4 5" xfId="5398" xr:uid="{00000000-0005-0000-0000-000071130000}"/>
    <cellStyle name="Normal 4 3 3 2 5 5" xfId="5399" xr:uid="{00000000-0005-0000-0000-000072130000}"/>
    <cellStyle name="Normal 4 3 3 2 5 5 2" xfId="5400" xr:uid="{00000000-0005-0000-0000-000073130000}"/>
    <cellStyle name="Normal 4 3 3 2 5 5 3" xfId="5401" xr:uid="{00000000-0005-0000-0000-000074130000}"/>
    <cellStyle name="Normal 4 3 3 2 5 6" xfId="5402" xr:uid="{00000000-0005-0000-0000-000075130000}"/>
    <cellStyle name="Normal 4 3 3 2 5 7" xfId="5403" xr:uid="{00000000-0005-0000-0000-000076130000}"/>
    <cellStyle name="Normal 4 3 3 2 5 8" xfId="5404" xr:uid="{00000000-0005-0000-0000-000077130000}"/>
    <cellStyle name="Normal 4 3 3 2 6" xfId="5405" xr:uid="{00000000-0005-0000-0000-000078130000}"/>
    <cellStyle name="Normal 4 3 3 2 6 2" xfId="5406" xr:uid="{00000000-0005-0000-0000-000079130000}"/>
    <cellStyle name="Normal 4 3 3 2 6 2 2" xfId="5407" xr:uid="{00000000-0005-0000-0000-00007A130000}"/>
    <cellStyle name="Normal 4 3 3 2 6 2 2 2" xfId="5408" xr:uid="{00000000-0005-0000-0000-00007B130000}"/>
    <cellStyle name="Normal 4 3 3 2 6 2 2 3" xfId="5409" xr:uid="{00000000-0005-0000-0000-00007C130000}"/>
    <cellStyle name="Normal 4 3 3 2 6 2 3" xfId="5410" xr:uid="{00000000-0005-0000-0000-00007D130000}"/>
    <cellStyle name="Normal 4 3 3 2 6 2 4" xfId="5411" xr:uid="{00000000-0005-0000-0000-00007E130000}"/>
    <cellStyle name="Normal 4 3 3 2 6 2 5" xfId="5412" xr:uid="{00000000-0005-0000-0000-00007F130000}"/>
    <cellStyle name="Normal 4 3 3 2 6 3" xfId="5413" xr:uid="{00000000-0005-0000-0000-000080130000}"/>
    <cellStyle name="Normal 4 3 3 2 6 3 2" xfId="5414" xr:uid="{00000000-0005-0000-0000-000081130000}"/>
    <cellStyle name="Normal 4 3 3 2 6 3 2 2" xfId="5415" xr:uid="{00000000-0005-0000-0000-000082130000}"/>
    <cellStyle name="Normal 4 3 3 2 6 3 2 3" xfId="5416" xr:uid="{00000000-0005-0000-0000-000083130000}"/>
    <cellStyle name="Normal 4 3 3 2 6 3 3" xfId="5417" xr:uid="{00000000-0005-0000-0000-000084130000}"/>
    <cellStyle name="Normal 4 3 3 2 6 3 4" xfId="5418" xr:uid="{00000000-0005-0000-0000-000085130000}"/>
    <cellStyle name="Normal 4 3 3 2 6 3 5" xfId="5419" xr:uid="{00000000-0005-0000-0000-000086130000}"/>
    <cellStyle name="Normal 4 3 3 2 6 4" xfId="5420" xr:uid="{00000000-0005-0000-0000-000087130000}"/>
    <cellStyle name="Normal 4 3 3 2 6 4 2" xfId="5421" xr:uid="{00000000-0005-0000-0000-000088130000}"/>
    <cellStyle name="Normal 4 3 3 2 6 4 3" xfId="5422" xr:uid="{00000000-0005-0000-0000-000089130000}"/>
    <cellStyle name="Normal 4 3 3 2 6 5" xfId="5423" xr:uid="{00000000-0005-0000-0000-00008A130000}"/>
    <cellStyle name="Normal 4 3 3 2 6 6" xfId="5424" xr:uid="{00000000-0005-0000-0000-00008B130000}"/>
    <cellStyle name="Normal 4 3 3 2 6 7" xfId="5425" xr:uid="{00000000-0005-0000-0000-00008C130000}"/>
    <cellStyle name="Normal 4 3 3 2 7" xfId="5426" xr:uid="{00000000-0005-0000-0000-00008D130000}"/>
    <cellStyle name="Normal 4 3 3 2 7 2" xfId="5427" xr:uid="{00000000-0005-0000-0000-00008E130000}"/>
    <cellStyle name="Normal 4 3 3 2 7 2 2" xfId="5428" xr:uid="{00000000-0005-0000-0000-00008F130000}"/>
    <cellStyle name="Normal 4 3 3 2 7 2 3" xfId="5429" xr:uid="{00000000-0005-0000-0000-000090130000}"/>
    <cellStyle name="Normal 4 3 3 2 7 3" xfId="5430" xr:uid="{00000000-0005-0000-0000-000091130000}"/>
    <cellStyle name="Normal 4 3 3 2 7 4" xfId="5431" xr:uid="{00000000-0005-0000-0000-000092130000}"/>
    <cellStyle name="Normal 4 3 3 2 7 5" xfId="5432" xr:uid="{00000000-0005-0000-0000-000093130000}"/>
    <cellStyle name="Normal 4 3 3 2 8" xfId="5433" xr:uid="{00000000-0005-0000-0000-000094130000}"/>
    <cellStyle name="Normal 4 3 3 2 8 2" xfId="5434" xr:uid="{00000000-0005-0000-0000-000095130000}"/>
    <cellStyle name="Normal 4 3 3 2 8 2 2" xfId="5435" xr:uid="{00000000-0005-0000-0000-000096130000}"/>
    <cellStyle name="Normal 4 3 3 2 8 2 3" xfId="5436" xr:uid="{00000000-0005-0000-0000-000097130000}"/>
    <cellStyle name="Normal 4 3 3 2 8 3" xfId="5437" xr:uid="{00000000-0005-0000-0000-000098130000}"/>
    <cellStyle name="Normal 4 3 3 2 8 4" xfId="5438" xr:uid="{00000000-0005-0000-0000-000099130000}"/>
    <cellStyle name="Normal 4 3 3 2 8 5" xfId="5439" xr:uid="{00000000-0005-0000-0000-00009A130000}"/>
    <cellStyle name="Normal 4 3 3 2 9" xfId="5440" xr:uid="{00000000-0005-0000-0000-00009B130000}"/>
    <cellStyle name="Normal 4 3 3 2 9 2" xfId="5441" xr:uid="{00000000-0005-0000-0000-00009C130000}"/>
    <cellStyle name="Normal 4 3 3 2 9 3" xfId="5442" xr:uid="{00000000-0005-0000-0000-00009D130000}"/>
    <cellStyle name="Normal 4 3 3 3" xfId="5443" xr:uid="{00000000-0005-0000-0000-00009E130000}"/>
    <cellStyle name="Normal 4 3 3 3 2" xfId="5444" xr:uid="{00000000-0005-0000-0000-00009F130000}"/>
    <cellStyle name="Normal 4 3 3 3 2 2" xfId="5445" xr:uid="{00000000-0005-0000-0000-0000A0130000}"/>
    <cellStyle name="Normal 4 3 3 3 2 2 2" xfId="5446" xr:uid="{00000000-0005-0000-0000-0000A1130000}"/>
    <cellStyle name="Normal 4 3 3 3 2 2 2 2" xfId="5447" xr:uid="{00000000-0005-0000-0000-0000A2130000}"/>
    <cellStyle name="Normal 4 3 3 3 2 2 2 2 2" xfId="5448" xr:uid="{00000000-0005-0000-0000-0000A3130000}"/>
    <cellStyle name="Normal 4 3 3 3 2 2 2 2 3" xfId="5449" xr:uid="{00000000-0005-0000-0000-0000A4130000}"/>
    <cellStyle name="Normal 4 3 3 3 2 2 2 3" xfId="5450" xr:uid="{00000000-0005-0000-0000-0000A5130000}"/>
    <cellStyle name="Normal 4 3 3 3 2 2 2 4" xfId="5451" xr:uid="{00000000-0005-0000-0000-0000A6130000}"/>
    <cellStyle name="Normal 4 3 3 3 2 2 2 5" xfId="5452" xr:uid="{00000000-0005-0000-0000-0000A7130000}"/>
    <cellStyle name="Normal 4 3 3 3 2 2 3" xfId="5453" xr:uid="{00000000-0005-0000-0000-0000A8130000}"/>
    <cellStyle name="Normal 4 3 3 3 2 2 3 2" xfId="5454" xr:uid="{00000000-0005-0000-0000-0000A9130000}"/>
    <cellStyle name="Normal 4 3 3 3 2 2 3 2 2" xfId="5455" xr:uid="{00000000-0005-0000-0000-0000AA130000}"/>
    <cellStyle name="Normal 4 3 3 3 2 2 3 2 3" xfId="5456" xr:uid="{00000000-0005-0000-0000-0000AB130000}"/>
    <cellStyle name="Normal 4 3 3 3 2 2 3 3" xfId="5457" xr:uid="{00000000-0005-0000-0000-0000AC130000}"/>
    <cellStyle name="Normal 4 3 3 3 2 2 3 4" xfId="5458" xr:uid="{00000000-0005-0000-0000-0000AD130000}"/>
    <cellStyle name="Normal 4 3 3 3 2 2 3 5" xfId="5459" xr:uid="{00000000-0005-0000-0000-0000AE130000}"/>
    <cellStyle name="Normal 4 3 3 3 2 2 4" xfId="5460" xr:uid="{00000000-0005-0000-0000-0000AF130000}"/>
    <cellStyle name="Normal 4 3 3 3 2 2 4 2" xfId="5461" xr:uid="{00000000-0005-0000-0000-0000B0130000}"/>
    <cellStyle name="Normal 4 3 3 3 2 2 4 3" xfId="5462" xr:uid="{00000000-0005-0000-0000-0000B1130000}"/>
    <cellStyle name="Normal 4 3 3 3 2 2 5" xfId="5463" xr:uid="{00000000-0005-0000-0000-0000B2130000}"/>
    <cellStyle name="Normal 4 3 3 3 2 2 6" xfId="5464" xr:uid="{00000000-0005-0000-0000-0000B3130000}"/>
    <cellStyle name="Normal 4 3 3 3 2 2 7" xfId="5465" xr:uid="{00000000-0005-0000-0000-0000B4130000}"/>
    <cellStyle name="Normal 4 3 3 3 2 3" xfId="5466" xr:uid="{00000000-0005-0000-0000-0000B5130000}"/>
    <cellStyle name="Normal 4 3 3 3 2 3 2" xfId="5467" xr:uid="{00000000-0005-0000-0000-0000B6130000}"/>
    <cellStyle name="Normal 4 3 3 3 2 3 2 2" xfId="5468" xr:uid="{00000000-0005-0000-0000-0000B7130000}"/>
    <cellStyle name="Normal 4 3 3 3 2 3 2 3" xfId="5469" xr:uid="{00000000-0005-0000-0000-0000B8130000}"/>
    <cellStyle name="Normal 4 3 3 3 2 3 3" xfId="5470" xr:uid="{00000000-0005-0000-0000-0000B9130000}"/>
    <cellStyle name="Normal 4 3 3 3 2 3 4" xfId="5471" xr:uid="{00000000-0005-0000-0000-0000BA130000}"/>
    <cellStyle name="Normal 4 3 3 3 2 3 5" xfId="5472" xr:uid="{00000000-0005-0000-0000-0000BB130000}"/>
    <cellStyle name="Normal 4 3 3 3 2 4" xfId="5473" xr:uid="{00000000-0005-0000-0000-0000BC130000}"/>
    <cellStyle name="Normal 4 3 3 3 2 4 2" xfId="5474" xr:uid="{00000000-0005-0000-0000-0000BD130000}"/>
    <cellStyle name="Normal 4 3 3 3 2 4 2 2" xfId="5475" xr:uid="{00000000-0005-0000-0000-0000BE130000}"/>
    <cellStyle name="Normal 4 3 3 3 2 4 2 3" xfId="5476" xr:uid="{00000000-0005-0000-0000-0000BF130000}"/>
    <cellStyle name="Normal 4 3 3 3 2 4 3" xfId="5477" xr:uid="{00000000-0005-0000-0000-0000C0130000}"/>
    <cellStyle name="Normal 4 3 3 3 2 4 4" xfId="5478" xr:uid="{00000000-0005-0000-0000-0000C1130000}"/>
    <cellStyle name="Normal 4 3 3 3 2 4 5" xfId="5479" xr:uid="{00000000-0005-0000-0000-0000C2130000}"/>
    <cellStyle name="Normal 4 3 3 3 2 5" xfId="5480" xr:uid="{00000000-0005-0000-0000-0000C3130000}"/>
    <cellStyle name="Normal 4 3 3 3 2 5 2" xfId="5481" xr:uid="{00000000-0005-0000-0000-0000C4130000}"/>
    <cellStyle name="Normal 4 3 3 3 2 5 3" xfId="5482" xr:uid="{00000000-0005-0000-0000-0000C5130000}"/>
    <cellStyle name="Normal 4 3 3 3 2 6" xfId="5483" xr:uid="{00000000-0005-0000-0000-0000C6130000}"/>
    <cellStyle name="Normal 4 3 3 3 2 7" xfId="5484" xr:uid="{00000000-0005-0000-0000-0000C7130000}"/>
    <cellStyle name="Normal 4 3 3 3 2 8" xfId="5485" xr:uid="{00000000-0005-0000-0000-0000C8130000}"/>
    <cellStyle name="Normal 4 3 3 3 3" xfId="5486" xr:uid="{00000000-0005-0000-0000-0000C9130000}"/>
    <cellStyle name="Normal 4 3 3 3 3 2" xfId="5487" xr:uid="{00000000-0005-0000-0000-0000CA130000}"/>
    <cellStyle name="Normal 4 3 3 3 3 2 2" xfId="5488" xr:uid="{00000000-0005-0000-0000-0000CB130000}"/>
    <cellStyle name="Normal 4 3 3 3 3 2 2 2" xfId="5489" xr:uid="{00000000-0005-0000-0000-0000CC130000}"/>
    <cellStyle name="Normal 4 3 3 3 3 2 2 3" xfId="5490" xr:uid="{00000000-0005-0000-0000-0000CD130000}"/>
    <cellStyle name="Normal 4 3 3 3 3 2 3" xfId="5491" xr:uid="{00000000-0005-0000-0000-0000CE130000}"/>
    <cellStyle name="Normal 4 3 3 3 3 2 4" xfId="5492" xr:uid="{00000000-0005-0000-0000-0000CF130000}"/>
    <cellStyle name="Normal 4 3 3 3 3 2 5" xfId="5493" xr:uid="{00000000-0005-0000-0000-0000D0130000}"/>
    <cellStyle name="Normal 4 3 3 3 3 3" xfId="5494" xr:uid="{00000000-0005-0000-0000-0000D1130000}"/>
    <cellStyle name="Normal 4 3 3 3 3 3 2" xfId="5495" xr:uid="{00000000-0005-0000-0000-0000D2130000}"/>
    <cellStyle name="Normal 4 3 3 3 3 3 2 2" xfId="5496" xr:uid="{00000000-0005-0000-0000-0000D3130000}"/>
    <cellStyle name="Normal 4 3 3 3 3 3 2 3" xfId="5497" xr:uid="{00000000-0005-0000-0000-0000D4130000}"/>
    <cellStyle name="Normal 4 3 3 3 3 3 3" xfId="5498" xr:uid="{00000000-0005-0000-0000-0000D5130000}"/>
    <cellStyle name="Normal 4 3 3 3 3 3 4" xfId="5499" xr:uid="{00000000-0005-0000-0000-0000D6130000}"/>
    <cellStyle name="Normal 4 3 3 3 3 3 5" xfId="5500" xr:uid="{00000000-0005-0000-0000-0000D7130000}"/>
    <cellStyle name="Normal 4 3 3 3 3 4" xfId="5501" xr:uid="{00000000-0005-0000-0000-0000D8130000}"/>
    <cellStyle name="Normal 4 3 3 3 3 4 2" xfId="5502" xr:uid="{00000000-0005-0000-0000-0000D9130000}"/>
    <cellStyle name="Normal 4 3 3 3 3 4 3" xfId="5503" xr:uid="{00000000-0005-0000-0000-0000DA130000}"/>
    <cellStyle name="Normal 4 3 3 3 3 5" xfId="5504" xr:uid="{00000000-0005-0000-0000-0000DB130000}"/>
    <cellStyle name="Normal 4 3 3 3 3 6" xfId="5505" xr:uid="{00000000-0005-0000-0000-0000DC130000}"/>
    <cellStyle name="Normal 4 3 3 3 3 7" xfId="5506" xr:uid="{00000000-0005-0000-0000-0000DD130000}"/>
    <cellStyle name="Normal 4 3 3 3 4" xfId="5507" xr:uid="{00000000-0005-0000-0000-0000DE130000}"/>
    <cellStyle name="Normal 4 3 3 3 4 2" xfId="5508" xr:uid="{00000000-0005-0000-0000-0000DF130000}"/>
    <cellStyle name="Normal 4 3 3 3 4 2 2" xfId="5509" xr:uid="{00000000-0005-0000-0000-0000E0130000}"/>
    <cellStyle name="Normal 4 3 3 3 4 2 3" xfId="5510" xr:uid="{00000000-0005-0000-0000-0000E1130000}"/>
    <cellStyle name="Normal 4 3 3 3 4 3" xfId="5511" xr:uid="{00000000-0005-0000-0000-0000E2130000}"/>
    <cellStyle name="Normal 4 3 3 3 4 4" xfId="5512" xr:uid="{00000000-0005-0000-0000-0000E3130000}"/>
    <cellStyle name="Normal 4 3 3 3 4 5" xfId="5513" xr:uid="{00000000-0005-0000-0000-0000E4130000}"/>
    <cellStyle name="Normal 4 3 3 3 5" xfId="5514" xr:uid="{00000000-0005-0000-0000-0000E5130000}"/>
    <cellStyle name="Normal 4 3 3 3 5 2" xfId="5515" xr:uid="{00000000-0005-0000-0000-0000E6130000}"/>
    <cellStyle name="Normal 4 3 3 3 5 2 2" xfId="5516" xr:uid="{00000000-0005-0000-0000-0000E7130000}"/>
    <cellStyle name="Normal 4 3 3 3 5 2 3" xfId="5517" xr:uid="{00000000-0005-0000-0000-0000E8130000}"/>
    <cellStyle name="Normal 4 3 3 3 5 3" xfId="5518" xr:uid="{00000000-0005-0000-0000-0000E9130000}"/>
    <cellStyle name="Normal 4 3 3 3 5 4" xfId="5519" xr:uid="{00000000-0005-0000-0000-0000EA130000}"/>
    <cellStyle name="Normal 4 3 3 3 5 5" xfId="5520" xr:uid="{00000000-0005-0000-0000-0000EB130000}"/>
    <cellStyle name="Normal 4 3 3 3 6" xfId="5521" xr:uid="{00000000-0005-0000-0000-0000EC130000}"/>
    <cellStyle name="Normal 4 3 3 3 6 2" xfId="5522" xr:uid="{00000000-0005-0000-0000-0000ED130000}"/>
    <cellStyle name="Normal 4 3 3 3 6 3" xfId="5523" xr:uid="{00000000-0005-0000-0000-0000EE130000}"/>
    <cellStyle name="Normal 4 3 3 3 7" xfId="5524" xr:uid="{00000000-0005-0000-0000-0000EF130000}"/>
    <cellStyle name="Normal 4 3 3 3 8" xfId="5525" xr:uid="{00000000-0005-0000-0000-0000F0130000}"/>
    <cellStyle name="Normal 4 3 3 3 9" xfId="5526" xr:uid="{00000000-0005-0000-0000-0000F1130000}"/>
    <cellStyle name="Normal 4 3 3 4" xfId="5527" xr:uid="{00000000-0005-0000-0000-0000F2130000}"/>
    <cellStyle name="Normal 4 3 3 4 2" xfId="5528" xr:uid="{00000000-0005-0000-0000-0000F3130000}"/>
    <cellStyle name="Normal 4 3 3 4 2 2" xfId="5529" xr:uid="{00000000-0005-0000-0000-0000F4130000}"/>
    <cellStyle name="Normal 4 3 3 4 2 2 2" xfId="5530" xr:uid="{00000000-0005-0000-0000-0000F5130000}"/>
    <cellStyle name="Normal 4 3 3 4 2 2 2 2" xfId="5531" xr:uid="{00000000-0005-0000-0000-0000F6130000}"/>
    <cellStyle name="Normal 4 3 3 4 2 2 2 2 2" xfId="5532" xr:uid="{00000000-0005-0000-0000-0000F7130000}"/>
    <cellStyle name="Normal 4 3 3 4 2 2 2 2 3" xfId="5533" xr:uid="{00000000-0005-0000-0000-0000F8130000}"/>
    <cellStyle name="Normal 4 3 3 4 2 2 2 3" xfId="5534" xr:uid="{00000000-0005-0000-0000-0000F9130000}"/>
    <cellStyle name="Normal 4 3 3 4 2 2 2 4" xfId="5535" xr:uid="{00000000-0005-0000-0000-0000FA130000}"/>
    <cellStyle name="Normal 4 3 3 4 2 2 2 5" xfId="5536" xr:uid="{00000000-0005-0000-0000-0000FB130000}"/>
    <cellStyle name="Normal 4 3 3 4 2 2 3" xfId="5537" xr:uid="{00000000-0005-0000-0000-0000FC130000}"/>
    <cellStyle name="Normal 4 3 3 4 2 2 3 2" xfId="5538" xr:uid="{00000000-0005-0000-0000-0000FD130000}"/>
    <cellStyle name="Normal 4 3 3 4 2 2 3 2 2" xfId="5539" xr:uid="{00000000-0005-0000-0000-0000FE130000}"/>
    <cellStyle name="Normal 4 3 3 4 2 2 3 2 3" xfId="5540" xr:uid="{00000000-0005-0000-0000-0000FF130000}"/>
    <cellStyle name="Normal 4 3 3 4 2 2 3 3" xfId="5541" xr:uid="{00000000-0005-0000-0000-000000140000}"/>
    <cellStyle name="Normal 4 3 3 4 2 2 3 4" xfId="5542" xr:uid="{00000000-0005-0000-0000-000001140000}"/>
    <cellStyle name="Normal 4 3 3 4 2 2 3 5" xfId="5543" xr:uid="{00000000-0005-0000-0000-000002140000}"/>
    <cellStyle name="Normal 4 3 3 4 2 2 4" xfId="5544" xr:uid="{00000000-0005-0000-0000-000003140000}"/>
    <cellStyle name="Normal 4 3 3 4 2 2 4 2" xfId="5545" xr:uid="{00000000-0005-0000-0000-000004140000}"/>
    <cellStyle name="Normal 4 3 3 4 2 2 4 3" xfId="5546" xr:uid="{00000000-0005-0000-0000-000005140000}"/>
    <cellStyle name="Normal 4 3 3 4 2 2 5" xfId="5547" xr:uid="{00000000-0005-0000-0000-000006140000}"/>
    <cellStyle name="Normal 4 3 3 4 2 2 6" xfId="5548" xr:uid="{00000000-0005-0000-0000-000007140000}"/>
    <cellStyle name="Normal 4 3 3 4 2 2 7" xfId="5549" xr:uid="{00000000-0005-0000-0000-000008140000}"/>
    <cellStyle name="Normal 4 3 3 4 2 3" xfId="5550" xr:uid="{00000000-0005-0000-0000-000009140000}"/>
    <cellStyle name="Normal 4 3 3 4 2 3 2" xfId="5551" xr:uid="{00000000-0005-0000-0000-00000A140000}"/>
    <cellStyle name="Normal 4 3 3 4 2 3 2 2" xfId="5552" xr:uid="{00000000-0005-0000-0000-00000B140000}"/>
    <cellStyle name="Normal 4 3 3 4 2 3 2 3" xfId="5553" xr:uid="{00000000-0005-0000-0000-00000C140000}"/>
    <cellStyle name="Normal 4 3 3 4 2 3 3" xfId="5554" xr:uid="{00000000-0005-0000-0000-00000D140000}"/>
    <cellStyle name="Normal 4 3 3 4 2 3 4" xfId="5555" xr:uid="{00000000-0005-0000-0000-00000E140000}"/>
    <cellStyle name="Normal 4 3 3 4 2 3 5" xfId="5556" xr:uid="{00000000-0005-0000-0000-00000F140000}"/>
    <cellStyle name="Normal 4 3 3 4 2 4" xfId="5557" xr:uid="{00000000-0005-0000-0000-000010140000}"/>
    <cellStyle name="Normal 4 3 3 4 2 4 2" xfId="5558" xr:uid="{00000000-0005-0000-0000-000011140000}"/>
    <cellStyle name="Normal 4 3 3 4 2 4 2 2" xfId="5559" xr:uid="{00000000-0005-0000-0000-000012140000}"/>
    <cellStyle name="Normal 4 3 3 4 2 4 2 3" xfId="5560" xr:uid="{00000000-0005-0000-0000-000013140000}"/>
    <cellStyle name="Normal 4 3 3 4 2 4 3" xfId="5561" xr:uid="{00000000-0005-0000-0000-000014140000}"/>
    <cellStyle name="Normal 4 3 3 4 2 4 4" xfId="5562" xr:uid="{00000000-0005-0000-0000-000015140000}"/>
    <cellStyle name="Normal 4 3 3 4 2 4 5" xfId="5563" xr:uid="{00000000-0005-0000-0000-000016140000}"/>
    <cellStyle name="Normal 4 3 3 4 2 5" xfId="5564" xr:uid="{00000000-0005-0000-0000-000017140000}"/>
    <cellStyle name="Normal 4 3 3 4 2 5 2" xfId="5565" xr:uid="{00000000-0005-0000-0000-000018140000}"/>
    <cellStyle name="Normal 4 3 3 4 2 5 3" xfId="5566" xr:uid="{00000000-0005-0000-0000-000019140000}"/>
    <cellStyle name="Normal 4 3 3 4 2 6" xfId="5567" xr:uid="{00000000-0005-0000-0000-00001A140000}"/>
    <cellStyle name="Normal 4 3 3 4 2 7" xfId="5568" xr:uid="{00000000-0005-0000-0000-00001B140000}"/>
    <cellStyle name="Normal 4 3 3 4 2 8" xfId="5569" xr:uid="{00000000-0005-0000-0000-00001C140000}"/>
    <cellStyle name="Normal 4 3 3 4 3" xfId="5570" xr:uid="{00000000-0005-0000-0000-00001D140000}"/>
    <cellStyle name="Normal 4 3 3 4 3 2" xfId="5571" xr:uid="{00000000-0005-0000-0000-00001E140000}"/>
    <cellStyle name="Normal 4 3 3 4 3 2 2" xfId="5572" xr:uid="{00000000-0005-0000-0000-00001F140000}"/>
    <cellStyle name="Normal 4 3 3 4 3 2 2 2" xfId="5573" xr:uid="{00000000-0005-0000-0000-000020140000}"/>
    <cellStyle name="Normal 4 3 3 4 3 2 2 3" xfId="5574" xr:uid="{00000000-0005-0000-0000-000021140000}"/>
    <cellStyle name="Normal 4 3 3 4 3 2 3" xfId="5575" xr:uid="{00000000-0005-0000-0000-000022140000}"/>
    <cellStyle name="Normal 4 3 3 4 3 2 4" xfId="5576" xr:uid="{00000000-0005-0000-0000-000023140000}"/>
    <cellStyle name="Normal 4 3 3 4 3 2 5" xfId="5577" xr:uid="{00000000-0005-0000-0000-000024140000}"/>
    <cellStyle name="Normal 4 3 3 4 3 3" xfId="5578" xr:uid="{00000000-0005-0000-0000-000025140000}"/>
    <cellStyle name="Normal 4 3 3 4 3 3 2" xfId="5579" xr:uid="{00000000-0005-0000-0000-000026140000}"/>
    <cellStyle name="Normal 4 3 3 4 3 3 2 2" xfId="5580" xr:uid="{00000000-0005-0000-0000-000027140000}"/>
    <cellStyle name="Normal 4 3 3 4 3 3 2 3" xfId="5581" xr:uid="{00000000-0005-0000-0000-000028140000}"/>
    <cellStyle name="Normal 4 3 3 4 3 3 3" xfId="5582" xr:uid="{00000000-0005-0000-0000-000029140000}"/>
    <cellStyle name="Normal 4 3 3 4 3 3 4" xfId="5583" xr:uid="{00000000-0005-0000-0000-00002A140000}"/>
    <cellStyle name="Normal 4 3 3 4 3 3 5" xfId="5584" xr:uid="{00000000-0005-0000-0000-00002B140000}"/>
    <cellStyle name="Normal 4 3 3 4 3 4" xfId="5585" xr:uid="{00000000-0005-0000-0000-00002C140000}"/>
    <cellStyle name="Normal 4 3 3 4 3 4 2" xfId="5586" xr:uid="{00000000-0005-0000-0000-00002D140000}"/>
    <cellStyle name="Normal 4 3 3 4 3 4 3" xfId="5587" xr:uid="{00000000-0005-0000-0000-00002E140000}"/>
    <cellStyle name="Normal 4 3 3 4 3 5" xfId="5588" xr:uid="{00000000-0005-0000-0000-00002F140000}"/>
    <cellStyle name="Normal 4 3 3 4 3 6" xfId="5589" xr:uid="{00000000-0005-0000-0000-000030140000}"/>
    <cellStyle name="Normal 4 3 3 4 3 7" xfId="5590" xr:uid="{00000000-0005-0000-0000-000031140000}"/>
    <cellStyle name="Normal 4 3 3 4 4" xfId="5591" xr:uid="{00000000-0005-0000-0000-000032140000}"/>
    <cellStyle name="Normal 4 3 3 4 4 2" xfId="5592" xr:uid="{00000000-0005-0000-0000-000033140000}"/>
    <cellStyle name="Normal 4 3 3 4 4 2 2" xfId="5593" xr:uid="{00000000-0005-0000-0000-000034140000}"/>
    <cellStyle name="Normal 4 3 3 4 4 2 3" xfId="5594" xr:uid="{00000000-0005-0000-0000-000035140000}"/>
    <cellStyle name="Normal 4 3 3 4 4 3" xfId="5595" xr:uid="{00000000-0005-0000-0000-000036140000}"/>
    <cellStyle name="Normal 4 3 3 4 4 4" xfId="5596" xr:uid="{00000000-0005-0000-0000-000037140000}"/>
    <cellStyle name="Normal 4 3 3 4 4 5" xfId="5597" xr:uid="{00000000-0005-0000-0000-000038140000}"/>
    <cellStyle name="Normal 4 3 3 4 5" xfId="5598" xr:uid="{00000000-0005-0000-0000-000039140000}"/>
    <cellStyle name="Normal 4 3 3 4 5 2" xfId="5599" xr:uid="{00000000-0005-0000-0000-00003A140000}"/>
    <cellStyle name="Normal 4 3 3 4 5 2 2" xfId="5600" xr:uid="{00000000-0005-0000-0000-00003B140000}"/>
    <cellStyle name="Normal 4 3 3 4 5 2 3" xfId="5601" xr:uid="{00000000-0005-0000-0000-00003C140000}"/>
    <cellStyle name="Normal 4 3 3 4 5 3" xfId="5602" xr:uid="{00000000-0005-0000-0000-00003D140000}"/>
    <cellStyle name="Normal 4 3 3 4 5 4" xfId="5603" xr:uid="{00000000-0005-0000-0000-00003E140000}"/>
    <cellStyle name="Normal 4 3 3 4 5 5" xfId="5604" xr:uid="{00000000-0005-0000-0000-00003F140000}"/>
    <cellStyle name="Normal 4 3 3 4 6" xfId="5605" xr:uid="{00000000-0005-0000-0000-000040140000}"/>
    <cellStyle name="Normal 4 3 3 4 6 2" xfId="5606" xr:uid="{00000000-0005-0000-0000-000041140000}"/>
    <cellStyle name="Normal 4 3 3 4 6 3" xfId="5607" xr:uid="{00000000-0005-0000-0000-000042140000}"/>
    <cellStyle name="Normal 4 3 3 4 7" xfId="5608" xr:uid="{00000000-0005-0000-0000-000043140000}"/>
    <cellStyle name="Normal 4 3 3 4 8" xfId="5609" xr:uid="{00000000-0005-0000-0000-000044140000}"/>
    <cellStyle name="Normal 4 3 3 4 9" xfId="5610" xr:uid="{00000000-0005-0000-0000-000045140000}"/>
    <cellStyle name="Normal 4 3 3 5" xfId="5611" xr:uid="{00000000-0005-0000-0000-000046140000}"/>
    <cellStyle name="Normal 4 3 3 5 2" xfId="5612" xr:uid="{00000000-0005-0000-0000-000047140000}"/>
    <cellStyle name="Normal 4 3 3 5 2 2" xfId="5613" xr:uid="{00000000-0005-0000-0000-000048140000}"/>
    <cellStyle name="Normal 4 3 3 5 2 2 2" xfId="5614" xr:uid="{00000000-0005-0000-0000-000049140000}"/>
    <cellStyle name="Normal 4 3 3 5 2 2 2 2" xfId="5615" xr:uid="{00000000-0005-0000-0000-00004A140000}"/>
    <cellStyle name="Normal 4 3 3 5 2 2 2 2 2" xfId="5616" xr:uid="{00000000-0005-0000-0000-00004B140000}"/>
    <cellStyle name="Normal 4 3 3 5 2 2 2 2 3" xfId="5617" xr:uid="{00000000-0005-0000-0000-00004C140000}"/>
    <cellStyle name="Normal 4 3 3 5 2 2 2 3" xfId="5618" xr:uid="{00000000-0005-0000-0000-00004D140000}"/>
    <cellStyle name="Normal 4 3 3 5 2 2 2 4" xfId="5619" xr:uid="{00000000-0005-0000-0000-00004E140000}"/>
    <cellStyle name="Normal 4 3 3 5 2 2 2 5" xfId="5620" xr:uid="{00000000-0005-0000-0000-00004F140000}"/>
    <cellStyle name="Normal 4 3 3 5 2 2 3" xfId="5621" xr:uid="{00000000-0005-0000-0000-000050140000}"/>
    <cellStyle name="Normal 4 3 3 5 2 2 3 2" xfId="5622" xr:uid="{00000000-0005-0000-0000-000051140000}"/>
    <cellStyle name="Normal 4 3 3 5 2 2 3 2 2" xfId="5623" xr:uid="{00000000-0005-0000-0000-000052140000}"/>
    <cellStyle name="Normal 4 3 3 5 2 2 3 2 3" xfId="5624" xr:uid="{00000000-0005-0000-0000-000053140000}"/>
    <cellStyle name="Normal 4 3 3 5 2 2 3 3" xfId="5625" xr:uid="{00000000-0005-0000-0000-000054140000}"/>
    <cellStyle name="Normal 4 3 3 5 2 2 3 4" xfId="5626" xr:uid="{00000000-0005-0000-0000-000055140000}"/>
    <cellStyle name="Normal 4 3 3 5 2 2 3 5" xfId="5627" xr:uid="{00000000-0005-0000-0000-000056140000}"/>
    <cellStyle name="Normal 4 3 3 5 2 2 4" xfId="5628" xr:uid="{00000000-0005-0000-0000-000057140000}"/>
    <cellStyle name="Normal 4 3 3 5 2 2 4 2" xfId="5629" xr:uid="{00000000-0005-0000-0000-000058140000}"/>
    <cellStyle name="Normal 4 3 3 5 2 2 4 3" xfId="5630" xr:uid="{00000000-0005-0000-0000-000059140000}"/>
    <cellStyle name="Normal 4 3 3 5 2 2 5" xfId="5631" xr:uid="{00000000-0005-0000-0000-00005A140000}"/>
    <cellStyle name="Normal 4 3 3 5 2 2 6" xfId="5632" xr:uid="{00000000-0005-0000-0000-00005B140000}"/>
    <cellStyle name="Normal 4 3 3 5 2 2 7" xfId="5633" xr:uid="{00000000-0005-0000-0000-00005C140000}"/>
    <cellStyle name="Normal 4 3 3 5 2 3" xfId="5634" xr:uid="{00000000-0005-0000-0000-00005D140000}"/>
    <cellStyle name="Normal 4 3 3 5 2 3 2" xfId="5635" xr:uid="{00000000-0005-0000-0000-00005E140000}"/>
    <cellStyle name="Normal 4 3 3 5 2 3 2 2" xfId="5636" xr:uid="{00000000-0005-0000-0000-00005F140000}"/>
    <cellStyle name="Normal 4 3 3 5 2 3 2 3" xfId="5637" xr:uid="{00000000-0005-0000-0000-000060140000}"/>
    <cellStyle name="Normal 4 3 3 5 2 3 3" xfId="5638" xr:uid="{00000000-0005-0000-0000-000061140000}"/>
    <cellStyle name="Normal 4 3 3 5 2 3 4" xfId="5639" xr:uid="{00000000-0005-0000-0000-000062140000}"/>
    <cellStyle name="Normal 4 3 3 5 2 3 5" xfId="5640" xr:uid="{00000000-0005-0000-0000-000063140000}"/>
    <cellStyle name="Normal 4 3 3 5 2 4" xfId="5641" xr:uid="{00000000-0005-0000-0000-000064140000}"/>
    <cellStyle name="Normal 4 3 3 5 2 4 2" xfId="5642" xr:uid="{00000000-0005-0000-0000-000065140000}"/>
    <cellStyle name="Normal 4 3 3 5 2 4 2 2" xfId="5643" xr:uid="{00000000-0005-0000-0000-000066140000}"/>
    <cellStyle name="Normal 4 3 3 5 2 4 2 3" xfId="5644" xr:uid="{00000000-0005-0000-0000-000067140000}"/>
    <cellStyle name="Normal 4 3 3 5 2 4 3" xfId="5645" xr:uid="{00000000-0005-0000-0000-000068140000}"/>
    <cellStyle name="Normal 4 3 3 5 2 4 4" xfId="5646" xr:uid="{00000000-0005-0000-0000-000069140000}"/>
    <cellStyle name="Normal 4 3 3 5 2 4 5" xfId="5647" xr:uid="{00000000-0005-0000-0000-00006A140000}"/>
    <cellStyle name="Normal 4 3 3 5 2 5" xfId="5648" xr:uid="{00000000-0005-0000-0000-00006B140000}"/>
    <cellStyle name="Normal 4 3 3 5 2 5 2" xfId="5649" xr:uid="{00000000-0005-0000-0000-00006C140000}"/>
    <cellStyle name="Normal 4 3 3 5 2 5 3" xfId="5650" xr:uid="{00000000-0005-0000-0000-00006D140000}"/>
    <cellStyle name="Normal 4 3 3 5 2 6" xfId="5651" xr:uid="{00000000-0005-0000-0000-00006E140000}"/>
    <cellStyle name="Normal 4 3 3 5 2 7" xfId="5652" xr:uid="{00000000-0005-0000-0000-00006F140000}"/>
    <cellStyle name="Normal 4 3 3 5 2 8" xfId="5653" xr:uid="{00000000-0005-0000-0000-000070140000}"/>
    <cellStyle name="Normal 4 3 3 5 3" xfId="5654" xr:uid="{00000000-0005-0000-0000-000071140000}"/>
    <cellStyle name="Normal 4 3 3 5 3 2" xfId="5655" xr:uid="{00000000-0005-0000-0000-000072140000}"/>
    <cellStyle name="Normal 4 3 3 5 3 2 2" xfId="5656" xr:uid="{00000000-0005-0000-0000-000073140000}"/>
    <cellStyle name="Normal 4 3 3 5 3 2 2 2" xfId="5657" xr:uid="{00000000-0005-0000-0000-000074140000}"/>
    <cellStyle name="Normal 4 3 3 5 3 2 2 3" xfId="5658" xr:uid="{00000000-0005-0000-0000-000075140000}"/>
    <cellStyle name="Normal 4 3 3 5 3 2 3" xfId="5659" xr:uid="{00000000-0005-0000-0000-000076140000}"/>
    <cellStyle name="Normal 4 3 3 5 3 2 4" xfId="5660" xr:uid="{00000000-0005-0000-0000-000077140000}"/>
    <cellStyle name="Normal 4 3 3 5 3 2 5" xfId="5661" xr:uid="{00000000-0005-0000-0000-000078140000}"/>
    <cellStyle name="Normal 4 3 3 5 3 3" xfId="5662" xr:uid="{00000000-0005-0000-0000-000079140000}"/>
    <cellStyle name="Normal 4 3 3 5 3 3 2" xfId="5663" xr:uid="{00000000-0005-0000-0000-00007A140000}"/>
    <cellStyle name="Normal 4 3 3 5 3 3 2 2" xfId="5664" xr:uid="{00000000-0005-0000-0000-00007B140000}"/>
    <cellStyle name="Normal 4 3 3 5 3 3 2 3" xfId="5665" xr:uid="{00000000-0005-0000-0000-00007C140000}"/>
    <cellStyle name="Normal 4 3 3 5 3 3 3" xfId="5666" xr:uid="{00000000-0005-0000-0000-00007D140000}"/>
    <cellStyle name="Normal 4 3 3 5 3 3 4" xfId="5667" xr:uid="{00000000-0005-0000-0000-00007E140000}"/>
    <cellStyle name="Normal 4 3 3 5 3 3 5" xfId="5668" xr:uid="{00000000-0005-0000-0000-00007F140000}"/>
    <cellStyle name="Normal 4 3 3 5 3 4" xfId="5669" xr:uid="{00000000-0005-0000-0000-000080140000}"/>
    <cellStyle name="Normal 4 3 3 5 3 4 2" xfId="5670" xr:uid="{00000000-0005-0000-0000-000081140000}"/>
    <cellStyle name="Normal 4 3 3 5 3 4 3" xfId="5671" xr:uid="{00000000-0005-0000-0000-000082140000}"/>
    <cellStyle name="Normal 4 3 3 5 3 5" xfId="5672" xr:uid="{00000000-0005-0000-0000-000083140000}"/>
    <cellStyle name="Normal 4 3 3 5 3 6" xfId="5673" xr:uid="{00000000-0005-0000-0000-000084140000}"/>
    <cellStyle name="Normal 4 3 3 5 3 7" xfId="5674" xr:uid="{00000000-0005-0000-0000-000085140000}"/>
    <cellStyle name="Normal 4 3 3 5 4" xfId="5675" xr:uid="{00000000-0005-0000-0000-000086140000}"/>
    <cellStyle name="Normal 4 3 3 5 4 2" xfId="5676" xr:uid="{00000000-0005-0000-0000-000087140000}"/>
    <cellStyle name="Normal 4 3 3 5 4 2 2" xfId="5677" xr:uid="{00000000-0005-0000-0000-000088140000}"/>
    <cellStyle name="Normal 4 3 3 5 4 2 3" xfId="5678" xr:uid="{00000000-0005-0000-0000-000089140000}"/>
    <cellStyle name="Normal 4 3 3 5 4 3" xfId="5679" xr:uid="{00000000-0005-0000-0000-00008A140000}"/>
    <cellStyle name="Normal 4 3 3 5 4 4" xfId="5680" xr:uid="{00000000-0005-0000-0000-00008B140000}"/>
    <cellStyle name="Normal 4 3 3 5 4 5" xfId="5681" xr:uid="{00000000-0005-0000-0000-00008C140000}"/>
    <cellStyle name="Normal 4 3 3 5 5" xfId="5682" xr:uid="{00000000-0005-0000-0000-00008D140000}"/>
    <cellStyle name="Normal 4 3 3 5 5 2" xfId="5683" xr:uid="{00000000-0005-0000-0000-00008E140000}"/>
    <cellStyle name="Normal 4 3 3 5 5 2 2" xfId="5684" xr:uid="{00000000-0005-0000-0000-00008F140000}"/>
    <cellStyle name="Normal 4 3 3 5 5 2 3" xfId="5685" xr:uid="{00000000-0005-0000-0000-000090140000}"/>
    <cellStyle name="Normal 4 3 3 5 5 3" xfId="5686" xr:uid="{00000000-0005-0000-0000-000091140000}"/>
    <cellStyle name="Normal 4 3 3 5 5 4" xfId="5687" xr:uid="{00000000-0005-0000-0000-000092140000}"/>
    <cellStyle name="Normal 4 3 3 5 5 5" xfId="5688" xr:uid="{00000000-0005-0000-0000-000093140000}"/>
    <cellStyle name="Normal 4 3 3 5 6" xfId="5689" xr:uid="{00000000-0005-0000-0000-000094140000}"/>
    <cellStyle name="Normal 4 3 3 5 6 2" xfId="5690" xr:uid="{00000000-0005-0000-0000-000095140000}"/>
    <cellStyle name="Normal 4 3 3 5 6 3" xfId="5691" xr:uid="{00000000-0005-0000-0000-000096140000}"/>
    <cellStyle name="Normal 4 3 3 5 7" xfId="5692" xr:uid="{00000000-0005-0000-0000-000097140000}"/>
    <cellStyle name="Normal 4 3 3 5 8" xfId="5693" xr:uid="{00000000-0005-0000-0000-000098140000}"/>
    <cellStyle name="Normal 4 3 3 5 9" xfId="5694" xr:uid="{00000000-0005-0000-0000-000099140000}"/>
    <cellStyle name="Normal 4 3 3 6" xfId="5695" xr:uid="{00000000-0005-0000-0000-00009A140000}"/>
    <cellStyle name="Normal 4 3 3 6 2" xfId="5696" xr:uid="{00000000-0005-0000-0000-00009B140000}"/>
    <cellStyle name="Normal 4 3 3 6 2 2" xfId="5697" xr:uid="{00000000-0005-0000-0000-00009C140000}"/>
    <cellStyle name="Normal 4 3 3 6 2 2 2" xfId="5698" xr:uid="{00000000-0005-0000-0000-00009D140000}"/>
    <cellStyle name="Normal 4 3 3 6 2 2 2 2" xfId="5699" xr:uid="{00000000-0005-0000-0000-00009E140000}"/>
    <cellStyle name="Normal 4 3 3 6 2 2 2 3" xfId="5700" xr:uid="{00000000-0005-0000-0000-00009F140000}"/>
    <cellStyle name="Normal 4 3 3 6 2 2 3" xfId="5701" xr:uid="{00000000-0005-0000-0000-0000A0140000}"/>
    <cellStyle name="Normal 4 3 3 6 2 2 4" xfId="5702" xr:uid="{00000000-0005-0000-0000-0000A1140000}"/>
    <cellStyle name="Normal 4 3 3 6 2 2 5" xfId="5703" xr:uid="{00000000-0005-0000-0000-0000A2140000}"/>
    <cellStyle name="Normal 4 3 3 6 2 3" xfId="5704" xr:uid="{00000000-0005-0000-0000-0000A3140000}"/>
    <cellStyle name="Normal 4 3 3 6 2 3 2" xfId="5705" xr:uid="{00000000-0005-0000-0000-0000A4140000}"/>
    <cellStyle name="Normal 4 3 3 6 2 3 2 2" xfId="5706" xr:uid="{00000000-0005-0000-0000-0000A5140000}"/>
    <cellStyle name="Normal 4 3 3 6 2 3 2 3" xfId="5707" xr:uid="{00000000-0005-0000-0000-0000A6140000}"/>
    <cellStyle name="Normal 4 3 3 6 2 3 3" xfId="5708" xr:uid="{00000000-0005-0000-0000-0000A7140000}"/>
    <cellStyle name="Normal 4 3 3 6 2 3 4" xfId="5709" xr:uid="{00000000-0005-0000-0000-0000A8140000}"/>
    <cellStyle name="Normal 4 3 3 6 2 3 5" xfId="5710" xr:uid="{00000000-0005-0000-0000-0000A9140000}"/>
    <cellStyle name="Normal 4 3 3 6 2 4" xfId="5711" xr:uid="{00000000-0005-0000-0000-0000AA140000}"/>
    <cellStyle name="Normal 4 3 3 6 2 4 2" xfId="5712" xr:uid="{00000000-0005-0000-0000-0000AB140000}"/>
    <cellStyle name="Normal 4 3 3 6 2 4 3" xfId="5713" xr:uid="{00000000-0005-0000-0000-0000AC140000}"/>
    <cellStyle name="Normal 4 3 3 6 2 5" xfId="5714" xr:uid="{00000000-0005-0000-0000-0000AD140000}"/>
    <cellStyle name="Normal 4 3 3 6 2 6" xfId="5715" xr:uid="{00000000-0005-0000-0000-0000AE140000}"/>
    <cellStyle name="Normal 4 3 3 6 2 7" xfId="5716" xr:uid="{00000000-0005-0000-0000-0000AF140000}"/>
    <cellStyle name="Normal 4 3 3 6 3" xfId="5717" xr:uid="{00000000-0005-0000-0000-0000B0140000}"/>
    <cellStyle name="Normal 4 3 3 6 3 2" xfId="5718" xr:uid="{00000000-0005-0000-0000-0000B1140000}"/>
    <cellStyle name="Normal 4 3 3 6 3 2 2" xfId="5719" xr:uid="{00000000-0005-0000-0000-0000B2140000}"/>
    <cellStyle name="Normal 4 3 3 6 3 2 3" xfId="5720" xr:uid="{00000000-0005-0000-0000-0000B3140000}"/>
    <cellStyle name="Normal 4 3 3 6 3 3" xfId="5721" xr:uid="{00000000-0005-0000-0000-0000B4140000}"/>
    <cellStyle name="Normal 4 3 3 6 3 4" xfId="5722" xr:uid="{00000000-0005-0000-0000-0000B5140000}"/>
    <cellStyle name="Normal 4 3 3 6 3 5" xfId="5723" xr:uid="{00000000-0005-0000-0000-0000B6140000}"/>
    <cellStyle name="Normal 4 3 3 6 4" xfId="5724" xr:uid="{00000000-0005-0000-0000-0000B7140000}"/>
    <cellStyle name="Normal 4 3 3 6 4 2" xfId="5725" xr:uid="{00000000-0005-0000-0000-0000B8140000}"/>
    <cellStyle name="Normal 4 3 3 6 4 2 2" xfId="5726" xr:uid="{00000000-0005-0000-0000-0000B9140000}"/>
    <cellStyle name="Normal 4 3 3 6 4 2 3" xfId="5727" xr:uid="{00000000-0005-0000-0000-0000BA140000}"/>
    <cellStyle name="Normal 4 3 3 6 4 3" xfId="5728" xr:uid="{00000000-0005-0000-0000-0000BB140000}"/>
    <cellStyle name="Normal 4 3 3 6 4 4" xfId="5729" xr:uid="{00000000-0005-0000-0000-0000BC140000}"/>
    <cellStyle name="Normal 4 3 3 6 4 5" xfId="5730" xr:uid="{00000000-0005-0000-0000-0000BD140000}"/>
    <cellStyle name="Normal 4 3 3 6 5" xfId="5731" xr:uid="{00000000-0005-0000-0000-0000BE140000}"/>
    <cellStyle name="Normal 4 3 3 6 5 2" xfId="5732" xr:uid="{00000000-0005-0000-0000-0000BF140000}"/>
    <cellStyle name="Normal 4 3 3 6 5 3" xfId="5733" xr:uid="{00000000-0005-0000-0000-0000C0140000}"/>
    <cellStyle name="Normal 4 3 3 6 6" xfId="5734" xr:uid="{00000000-0005-0000-0000-0000C1140000}"/>
    <cellStyle name="Normal 4 3 3 6 7" xfId="5735" xr:uid="{00000000-0005-0000-0000-0000C2140000}"/>
    <cellStyle name="Normal 4 3 3 6 8" xfId="5736" xr:uid="{00000000-0005-0000-0000-0000C3140000}"/>
    <cellStyle name="Normal 4 3 3 7" xfId="5737" xr:uid="{00000000-0005-0000-0000-0000C4140000}"/>
    <cellStyle name="Normal 4 3 3 7 2" xfId="5738" xr:uid="{00000000-0005-0000-0000-0000C5140000}"/>
    <cellStyle name="Normal 4 3 3 7 2 2" xfId="5739" xr:uid="{00000000-0005-0000-0000-0000C6140000}"/>
    <cellStyle name="Normal 4 3 3 7 2 2 2" xfId="5740" xr:uid="{00000000-0005-0000-0000-0000C7140000}"/>
    <cellStyle name="Normal 4 3 3 7 2 2 3" xfId="5741" xr:uid="{00000000-0005-0000-0000-0000C8140000}"/>
    <cellStyle name="Normal 4 3 3 7 2 3" xfId="5742" xr:uid="{00000000-0005-0000-0000-0000C9140000}"/>
    <cellStyle name="Normal 4 3 3 7 2 4" xfId="5743" xr:uid="{00000000-0005-0000-0000-0000CA140000}"/>
    <cellStyle name="Normal 4 3 3 7 2 5" xfId="5744" xr:uid="{00000000-0005-0000-0000-0000CB140000}"/>
    <cellStyle name="Normal 4 3 3 7 3" xfId="5745" xr:uid="{00000000-0005-0000-0000-0000CC140000}"/>
    <cellStyle name="Normal 4 3 3 7 3 2" xfId="5746" xr:uid="{00000000-0005-0000-0000-0000CD140000}"/>
    <cellStyle name="Normal 4 3 3 7 3 2 2" xfId="5747" xr:uid="{00000000-0005-0000-0000-0000CE140000}"/>
    <cellStyle name="Normal 4 3 3 7 3 2 3" xfId="5748" xr:uid="{00000000-0005-0000-0000-0000CF140000}"/>
    <cellStyle name="Normal 4 3 3 7 3 3" xfId="5749" xr:uid="{00000000-0005-0000-0000-0000D0140000}"/>
    <cellStyle name="Normal 4 3 3 7 3 4" xfId="5750" xr:uid="{00000000-0005-0000-0000-0000D1140000}"/>
    <cellStyle name="Normal 4 3 3 7 3 5" xfId="5751" xr:uid="{00000000-0005-0000-0000-0000D2140000}"/>
    <cellStyle name="Normal 4 3 3 7 4" xfId="5752" xr:uid="{00000000-0005-0000-0000-0000D3140000}"/>
    <cellStyle name="Normal 4 3 3 7 4 2" xfId="5753" xr:uid="{00000000-0005-0000-0000-0000D4140000}"/>
    <cellStyle name="Normal 4 3 3 7 4 3" xfId="5754" xr:uid="{00000000-0005-0000-0000-0000D5140000}"/>
    <cellStyle name="Normal 4 3 3 7 5" xfId="5755" xr:uid="{00000000-0005-0000-0000-0000D6140000}"/>
    <cellStyle name="Normal 4 3 3 7 6" xfId="5756" xr:uid="{00000000-0005-0000-0000-0000D7140000}"/>
    <cellStyle name="Normal 4 3 3 7 7" xfId="5757" xr:uid="{00000000-0005-0000-0000-0000D8140000}"/>
    <cellStyle name="Normal 4 3 3 8" xfId="5758" xr:uid="{00000000-0005-0000-0000-0000D9140000}"/>
    <cellStyle name="Normal 4 3 3 8 2" xfId="5759" xr:uid="{00000000-0005-0000-0000-0000DA140000}"/>
    <cellStyle name="Normal 4 3 3 8 2 2" xfId="5760" xr:uid="{00000000-0005-0000-0000-0000DB140000}"/>
    <cellStyle name="Normal 4 3 3 8 2 2 2" xfId="5761" xr:uid="{00000000-0005-0000-0000-0000DC140000}"/>
    <cellStyle name="Normal 4 3 3 8 2 2 3" xfId="5762" xr:uid="{00000000-0005-0000-0000-0000DD140000}"/>
    <cellStyle name="Normal 4 3 3 8 2 3" xfId="5763" xr:uid="{00000000-0005-0000-0000-0000DE140000}"/>
    <cellStyle name="Normal 4 3 3 8 2 4" xfId="5764" xr:uid="{00000000-0005-0000-0000-0000DF140000}"/>
    <cellStyle name="Normal 4 3 3 8 2 5" xfId="5765" xr:uid="{00000000-0005-0000-0000-0000E0140000}"/>
    <cellStyle name="Normal 4 3 3 8 3" xfId="5766" xr:uid="{00000000-0005-0000-0000-0000E1140000}"/>
    <cellStyle name="Normal 4 3 3 8 3 2" xfId="5767" xr:uid="{00000000-0005-0000-0000-0000E2140000}"/>
    <cellStyle name="Normal 4 3 3 8 3 2 2" xfId="5768" xr:uid="{00000000-0005-0000-0000-0000E3140000}"/>
    <cellStyle name="Normal 4 3 3 8 3 2 3" xfId="5769" xr:uid="{00000000-0005-0000-0000-0000E4140000}"/>
    <cellStyle name="Normal 4 3 3 8 3 3" xfId="5770" xr:uid="{00000000-0005-0000-0000-0000E5140000}"/>
    <cellStyle name="Normal 4 3 3 8 3 4" xfId="5771" xr:uid="{00000000-0005-0000-0000-0000E6140000}"/>
    <cellStyle name="Normal 4 3 3 8 3 5" xfId="5772" xr:uid="{00000000-0005-0000-0000-0000E7140000}"/>
    <cellStyle name="Normal 4 3 3 8 4" xfId="5773" xr:uid="{00000000-0005-0000-0000-0000E8140000}"/>
    <cellStyle name="Normal 4 3 3 8 4 2" xfId="5774" xr:uid="{00000000-0005-0000-0000-0000E9140000}"/>
    <cellStyle name="Normal 4 3 3 8 4 3" xfId="5775" xr:uid="{00000000-0005-0000-0000-0000EA140000}"/>
    <cellStyle name="Normal 4 3 3 8 5" xfId="5776" xr:uid="{00000000-0005-0000-0000-0000EB140000}"/>
    <cellStyle name="Normal 4 3 3 8 6" xfId="5777" xr:uid="{00000000-0005-0000-0000-0000EC140000}"/>
    <cellStyle name="Normal 4 3 3 8 7" xfId="5778" xr:uid="{00000000-0005-0000-0000-0000ED140000}"/>
    <cellStyle name="Normal 4 3 3 9" xfId="5779" xr:uid="{00000000-0005-0000-0000-0000EE140000}"/>
    <cellStyle name="Normal 4 3 3 9 2" xfId="5780" xr:uid="{00000000-0005-0000-0000-0000EF140000}"/>
    <cellStyle name="Normal 4 3 3 9 2 2" xfId="5781" xr:uid="{00000000-0005-0000-0000-0000F0140000}"/>
    <cellStyle name="Normal 4 3 3 9 2 3" xfId="5782" xr:uid="{00000000-0005-0000-0000-0000F1140000}"/>
    <cellStyle name="Normal 4 3 3 9 3" xfId="5783" xr:uid="{00000000-0005-0000-0000-0000F2140000}"/>
    <cellStyle name="Normal 4 3 3 9 4" xfId="5784" xr:uid="{00000000-0005-0000-0000-0000F3140000}"/>
    <cellStyle name="Normal 4 3 3 9 5" xfId="5785" xr:uid="{00000000-0005-0000-0000-0000F4140000}"/>
    <cellStyle name="Normal 4 3 4" xfId="5786" xr:uid="{00000000-0005-0000-0000-0000F5140000}"/>
    <cellStyle name="Normal 4 3 4 10" xfId="5787" xr:uid="{00000000-0005-0000-0000-0000F6140000}"/>
    <cellStyle name="Normal 4 3 4 11" xfId="5788" xr:uid="{00000000-0005-0000-0000-0000F7140000}"/>
    <cellStyle name="Normal 4 3 4 12" xfId="5789" xr:uid="{00000000-0005-0000-0000-0000F8140000}"/>
    <cellStyle name="Normal 4 3 4 2" xfId="5790" xr:uid="{00000000-0005-0000-0000-0000F9140000}"/>
    <cellStyle name="Normal 4 3 4 2 2" xfId="5791" xr:uid="{00000000-0005-0000-0000-0000FA140000}"/>
    <cellStyle name="Normal 4 3 4 2 2 2" xfId="5792" xr:uid="{00000000-0005-0000-0000-0000FB140000}"/>
    <cellStyle name="Normal 4 3 4 2 2 2 2" xfId="5793" xr:uid="{00000000-0005-0000-0000-0000FC140000}"/>
    <cellStyle name="Normal 4 3 4 2 2 2 2 2" xfId="5794" xr:uid="{00000000-0005-0000-0000-0000FD140000}"/>
    <cellStyle name="Normal 4 3 4 2 2 2 2 2 2" xfId="5795" xr:uid="{00000000-0005-0000-0000-0000FE140000}"/>
    <cellStyle name="Normal 4 3 4 2 2 2 2 2 3" xfId="5796" xr:uid="{00000000-0005-0000-0000-0000FF140000}"/>
    <cellStyle name="Normal 4 3 4 2 2 2 2 3" xfId="5797" xr:uid="{00000000-0005-0000-0000-000000150000}"/>
    <cellStyle name="Normal 4 3 4 2 2 2 2 4" xfId="5798" xr:uid="{00000000-0005-0000-0000-000001150000}"/>
    <cellStyle name="Normal 4 3 4 2 2 2 2 5" xfId="5799" xr:uid="{00000000-0005-0000-0000-000002150000}"/>
    <cellStyle name="Normal 4 3 4 2 2 2 3" xfId="5800" xr:uid="{00000000-0005-0000-0000-000003150000}"/>
    <cellStyle name="Normal 4 3 4 2 2 2 3 2" xfId="5801" xr:uid="{00000000-0005-0000-0000-000004150000}"/>
    <cellStyle name="Normal 4 3 4 2 2 2 3 2 2" xfId="5802" xr:uid="{00000000-0005-0000-0000-000005150000}"/>
    <cellStyle name="Normal 4 3 4 2 2 2 3 2 3" xfId="5803" xr:uid="{00000000-0005-0000-0000-000006150000}"/>
    <cellStyle name="Normal 4 3 4 2 2 2 3 3" xfId="5804" xr:uid="{00000000-0005-0000-0000-000007150000}"/>
    <cellStyle name="Normal 4 3 4 2 2 2 3 4" xfId="5805" xr:uid="{00000000-0005-0000-0000-000008150000}"/>
    <cellStyle name="Normal 4 3 4 2 2 2 3 5" xfId="5806" xr:uid="{00000000-0005-0000-0000-000009150000}"/>
    <cellStyle name="Normal 4 3 4 2 2 2 4" xfId="5807" xr:uid="{00000000-0005-0000-0000-00000A150000}"/>
    <cellStyle name="Normal 4 3 4 2 2 2 4 2" xfId="5808" xr:uid="{00000000-0005-0000-0000-00000B150000}"/>
    <cellStyle name="Normal 4 3 4 2 2 2 4 3" xfId="5809" xr:uid="{00000000-0005-0000-0000-00000C150000}"/>
    <cellStyle name="Normal 4 3 4 2 2 2 5" xfId="5810" xr:uid="{00000000-0005-0000-0000-00000D150000}"/>
    <cellStyle name="Normal 4 3 4 2 2 2 6" xfId="5811" xr:uid="{00000000-0005-0000-0000-00000E150000}"/>
    <cellStyle name="Normal 4 3 4 2 2 2 7" xfId="5812" xr:uid="{00000000-0005-0000-0000-00000F150000}"/>
    <cellStyle name="Normal 4 3 4 2 2 3" xfId="5813" xr:uid="{00000000-0005-0000-0000-000010150000}"/>
    <cellStyle name="Normal 4 3 4 2 2 3 2" xfId="5814" xr:uid="{00000000-0005-0000-0000-000011150000}"/>
    <cellStyle name="Normal 4 3 4 2 2 3 2 2" xfId="5815" xr:uid="{00000000-0005-0000-0000-000012150000}"/>
    <cellStyle name="Normal 4 3 4 2 2 3 2 3" xfId="5816" xr:uid="{00000000-0005-0000-0000-000013150000}"/>
    <cellStyle name="Normal 4 3 4 2 2 3 3" xfId="5817" xr:uid="{00000000-0005-0000-0000-000014150000}"/>
    <cellStyle name="Normal 4 3 4 2 2 3 4" xfId="5818" xr:uid="{00000000-0005-0000-0000-000015150000}"/>
    <cellStyle name="Normal 4 3 4 2 2 3 5" xfId="5819" xr:uid="{00000000-0005-0000-0000-000016150000}"/>
    <cellStyle name="Normal 4 3 4 2 2 4" xfId="5820" xr:uid="{00000000-0005-0000-0000-000017150000}"/>
    <cellStyle name="Normal 4 3 4 2 2 4 2" xfId="5821" xr:uid="{00000000-0005-0000-0000-000018150000}"/>
    <cellStyle name="Normal 4 3 4 2 2 4 2 2" xfId="5822" xr:uid="{00000000-0005-0000-0000-000019150000}"/>
    <cellStyle name="Normal 4 3 4 2 2 4 2 3" xfId="5823" xr:uid="{00000000-0005-0000-0000-00001A150000}"/>
    <cellStyle name="Normal 4 3 4 2 2 4 3" xfId="5824" xr:uid="{00000000-0005-0000-0000-00001B150000}"/>
    <cellStyle name="Normal 4 3 4 2 2 4 4" xfId="5825" xr:uid="{00000000-0005-0000-0000-00001C150000}"/>
    <cellStyle name="Normal 4 3 4 2 2 4 5" xfId="5826" xr:uid="{00000000-0005-0000-0000-00001D150000}"/>
    <cellStyle name="Normal 4 3 4 2 2 5" xfId="5827" xr:uid="{00000000-0005-0000-0000-00001E150000}"/>
    <cellStyle name="Normal 4 3 4 2 2 5 2" xfId="5828" xr:uid="{00000000-0005-0000-0000-00001F150000}"/>
    <cellStyle name="Normal 4 3 4 2 2 5 3" xfId="5829" xr:uid="{00000000-0005-0000-0000-000020150000}"/>
    <cellStyle name="Normal 4 3 4 2 2 6" xfId="5830" xr:uid="{00000000-0005-0000-0000-000021150000}"/>
    <cellStyle name="Normal 4 3 4 2 2 7" xfId="5831" xr:uid="{00000000-0005-0000-0000-000022150000}"/>
    <cellStyle name="Normal 4 3 4 2 2 8" xfId="5832" xr:uid="{00000000-0005-0000-0000-000023150000}"/>
    <cellStyle name="Normal 4 3 4 2 3" xfId="5833" xr:uid="{00000000-0005-0000-0000-000024150000}"/>
    <cellStyle name="Normal 4 3 4 2 3 2" xfId="5834" xr:uid="{00000000-0005-0000-0000-000025150000}"/>
    <cellStyle name="Normal 4 3 4 2 3 2 2" xfId="5835" xr:uid="{00000000-0005-0000-0000-000026150000}"/>
    <cellStyle name="Normal 4 3 4 2 3 2 2 2" xfId="5836" xr:uid="{00000000-0005-0000-0000-000027150000}"/>
    <cellStyle name="Normal 4 3 4 2 3 2 2 3" xfId="5837" xr:uid="{00000000-0005-0000-0000-000028150000}"/>
    <cellStyle name="Normal 4 3 4 2 3 2 3" xfId="5838" xr:uid="{00000000-0005-0000-0000-000029150000}"/>
    <cellStyle name="Normal 4 3 4 2 3 2 4" xfId="5839" xr:uid="{00000000-0005-0000-0000-00002A150000}"/>
    <cellStyle name="Normal 4 3 4 2 3 2 5" xfId="5840" xr:uid="{00000000-0005-0000-0000-00002B150000}"/>
    <cellStyle name="Normal 4 3 4 2 3 3" xfId="5841" xr:uid="{00000000-0005-0000-0000-00002C150000}"/>
    <cellStyle name="Normal 4 3 4 2 3 3 2" xfId="5842" xr:uid="{00000000-0005-0000-0000-00002D150000}"/>
    <cellStyle name="Normal 4 3 4 2 3 3 2 2" xfId="5843" xr:uid="{00000000-0005-0000-0000-00002E150000}"/>
    <cellStyle name="Normal 4 3 4 2 3 3 2 3" xfId="5844" xr:uid="{00000000-0005-0000-0000-00002F150000}"/>
    <cellStyle name="Normal 4 3 4 2 3 3 3" xfId="5845" xr:uid="{00000000-0005-0000-0000-000030150000}"/>
    <cellStyle name="Normal 4 3 4 2 3 3 4" xfId="5846" xr:uid="{00000000-0005-0000-0000-000031150000}"/>
    <cellStyle name="Normal 4 3 4 2 3 3 5" xfId="5847" xr:uid="{00000000-0005-0000-0000-000032150000}"/>
    <cellStyle name="Normal 4 3 4 2 3 4" xfId="5848" xr:uid="{00000000-0005-0000-0000-000033150000}"/>
    <cellStyle name="Normal 4 3 4 2 3 4 2" xfId="5849" xr:uid="{00000000-0005-0000-0000-000034150000}"/>
    <cellStyle name="Normal 4 3 4 2 3 4 3" xfId="5850" xr:uid="{00000000-0005-0000-0000-000035150000}"/>
    <cellStyle name="Normal 4 3 4 2 3 5" xfId="5851" xr:uid="{00000000-0005-0000-0000-000036150000}"/>
    <cellStyle name="Normal 4 3 4 2 3 6" xfId="5852" xr:uid="{00000000-0005-0000-0000-000037150000}"/>
    <cellStyle name="Normal 4 3 4 2 3 7" xfId="5853" xr:uid="{00000000-0005-0000-0000-000038150000}"/>
    <cellStyle name="Normal 4 3 4 2 4" xfId="5854" xr:uid="{00000000-0005-0000-0000-000039150000}"/>
    <cellStyle name="Normal 4 3 4 2 4 2" xfId="5855" xr:uid="{00000000-0005-0000-0000-00003A150000}"/>
    <cellStyle name="Normal 4 3 4 2 4 2 2" xfId="5856" xr:uid="{00000000-0005-0000-0000-00003B150000}"/>
    <cellStyle name="Normal 4 3 4 2 4 2 3" xfId="5857" xr:uid="{00000000-0005-0000-0000-00003C150000}"/>
    <cellStyle name="Normal 4 3 4 2 4 3" xfId="5858" xr:uid="{00000000-0005-0000-0000-00003D150000}"/>
    <cellStyle name="Normal 4 3 4 2 4 4" xfId="5859" xr:uid="{00000000-0005-0000-0000-00003E150000}"/>
    <cellStyle name="Normal 4 3 4 2 4 5" xfId="5860" xr:uid="{00000000-0005-0000-0000-00003F150000}"/>
    <cellStyle name="Normal 4 3 4 2 5" xfId="5861" xr:uid="{00000000-0005-0000-0000-000040150000}"/>
    <cellStyle name="Normal 4 3 4 2 5 2" xfId="5862" xr:uid="{00000000-0005-0000-0000-000041150000}"/>
    <cellStyle name="Normal 4 3 4 2 5 2 2" xfId="5863" xr:uid="{00000000-0005-0000-0000-000042150000}"/>
    <cellStyle name="Normal 4 3 4 2 5 2 3" xfId="5864" xr:uid="{00000000-0005-0000-0000-000043150000}"/>
    <cellStyle name="Normal 4 3 4 2 5 3" xfId="5865" xr:uid="{00000000-0005-0000-0000-000044150000}"/>
    <cellStyle name="Normal 4 3 4 2 5 4" xfId="5866" xr:uid="{00000000-0005-0000-0000-000045150000}"/>
    <cellStyle name="Normal 4 3 4 2 5 5" xfId="5867" xr:uid="{00000000-0005-0000-0000-000046150000}"/>
    <cellStyle name="Normal 4 3 4 2 6" xfId="5868" xr:uid="{00000000-0005-0000-0000-000047150000}"/>
    <cellStyle name="Normal 4 3 4 2 6 2" xfId="5869" xr:uid="{00000000-0005-0000-0000-000048150000}"/>
    <cellStyle name="Normal 4 3 4 2 6 3" xfId="5870" xr:uid="{00000000-0005-0000-0000-000049150000}"/>
    <cellStyle name="Normal 4 3 4 2 7" xfId="5871" xr:uid="{00000000-0005-0000-0000-00004A150000}"/>
    <cellStyle name="Normal 4 3 4 2 8" xfId="5872" xr:uid="{00000000-0005-0000-0000-00004B150000}"/>
    <cellStyle name="Normal 4 3 4 2 9" xfId="5873" xr:uid="{00000000-0005-0000-0000-00004C150000}"/>
    <cellStyle name="Normal 4 3 4 3" xfId="5874" xr:uid="{00000000-0005-0000-0000-00004D150000}"/>
    <cellStyle name="Normal 4 3 4 3 2" xfId="5875" xr:uid="{00000000-0005-0000-0000-00004E150000}"/>
    <cellStyle name="Normal 4 3 4 3 2 2" xfId="5876" xr:uid="{00000000-0005-0000-0000-00004F150000}"/>
    <cellStyle name="Normal 4 3 4 3 2 2 2" xfId="5877" xr:uid="{00000000-0005-0000-0000-000050150000}"/>
    <cellStyle name="Normal 4 3 4 3 2 2 2 2" xfId="5878" xr:uid="{00000000-0005-0000-0000-000051150000}"/>
    <cellStyle name="Normal 4 3 4 3 2 2 2 2 2" xfId="5879" xr:uid="{00000000-0005-0000-0000-000052150000}"/>
    <cellStyle name="Normal 4 3 4 3 2 2 2 2 3" xfId="5880" xr:uid="{00000000-0005-0000-0000-000053150000}"/>
    <cellStyle name="Normal 4 3 4 3 2 2 2 3" xfId="5881" xr:uid="{00000000-0005-0000-0000-000054150000}"/>
    <cellStyle name="Normal 4 3 4 3 2 2 2 4" xfId="5882" xr:uid="{00000000-0005-0000-0000-000055150000}"/>
    <cellStyle name="Normal 4 3 4 3 2 2 2 5" xfId="5883" xr:uid="{00000000-0005-0000-0000-000056150000}"/>
    <cellStyle name="Normal 4 3 4 3 2 2 3" xfId="5884" xr:uid="{00000000-0005-0000-0000-000057150000}"/>
    <cellStyle name="Normal 4 3 4 3 2 2 3 2" xfId="5885" xr:uid="{00000000-0005-0000-0000-000058150000}"/>
    <cellStyle name="Normal 4 3 4 3 2 2 3 2 2" xfId="5886" xr:uid="{00000000-0005-0000-0000-000059150000}"/>
    <cellStyle name="Normal 4 3 4 3 2 2 3 2 3" xfId="5887" xr:uid="{00000000-0005-0000-0000-00005A150000}"/>
    <cellStyle name="Normal 4 3 4 3 2 2 3 3" xfId="5888" xr:uid="{00000000-0005-0000-0000-00005B150000}"/>
    <cellStyle name="Normal 4 3 4 3 2 2 3 4" xfId="5889" xr:uid="{00000000-0005-0000-0000-00005C150000}"/>
    <cellStyle name="Normal 4 3 4 3 2 2 3 5" xfId="5890" xr:uid="{00000000-0005-0000-0000-00005D150000}"/>
    <cellStyle name="Normal 4 3 4 3 2 2 4" xfId="5891" xr:uid="{00000000-0005-0000-0000-00005E150000}"/>
    <cellStyle name="Normal 4 3 4 3 2 2 4 2" xfId="5892" xr:uid="{00000000-0005-0000-0000-00005F150000}"/>
    <cellStyle name="Normal 4 3 4 3 2 2 4 3" xfId="5893" xr:uid="{00000000-0005-0000-0000-000060150000}"/>
    <cellStyle name="Normal 4 3 4 3 2 2 5" xfId="5894" xr:uid="{00000000-0005-0000-0000-000061150000}"/>
    <cellStyle name="Normal 4 3 4 3 2 2 6" xfId="5895" xr:uid="{00000000-0005-0000-0000-000062150000}"/>
    <cellStyle name="Normal 4 3 4 3 2 2 7" xfId="5896" xr:uid="{00000000-0005-0000-0000-000063150000}"/>
    <cellStyle name="Normal 4 3 4 3 2 3" xfId="5897" xr:uid="{00000000-0005-0000-0000-000064150000}"/>
    <cellStyle name="Normal 4 3 4 3 2 3 2" xfId="5898" xr:uid="{00000000-0005-0000-0000-000065150000}"/>
    <cellStyle name="Normal 4 3 4 3 2 3 2 2" xfId="5899" xr:uid="{00000000-0005-0000-0000-000066150000}"/>
    <cellStyle name="Normal 4 3 4 3 2 3 2 3" xfId="5900" xr:uid="{00000000-0005-0000-0000-000067150000}"/>
    <cellStyle name="Normal 4 3 4 3 2 3 3" xfId="5901" xr:uid="{00000000-0005-0000-0000-000068150000}"/>
    <cellStyle name="Normal 4 3 4 3 2 3 4" xfId="5902" xr:uid="{00000000-0005-0000-0000-000069150000}"/>
    <cellStyle name="Normal 4 3 4 3 2 3 5" xfId="5903" xr:uid="{00000000-0005-0000-0000-00006A150000}"/>
    <cellStyle name="Normal 4 3 4 3 2 4" xfId="5904" xr:uid="{00000000-0005-0000-0000-00006B150000}"/>
    <cellStyle name="Normal 4 3 4 3 2 4 2" xfId="5905" xr:uid="{00000000-0005-0000-0000-00006C150000}"/>
    <cellStyle name="Normal 4 3 4 3 2 4 2 2" xfId="5906" xr:uid="{00000000-0005-0000-0000-00006D150000}"/>
    <cellStyle name="Normal 4 3 4 3 2 4 2 3" xfId="5907" xr:uid="{00000000-0005-0000-0000-00006E150000}"/>
    <cellStyle name="Normal 4 3 4 3 2 4 3" xfId="5908" xr:uid="{00000000-0005-0000-0000-00006F150000}"/>
    <cellStyle name="Normal 4 3 4 3 2 4 4" xfId="5909" xr:uid="{00000000-0005-0000-0000-000070150000}"/>
    <cellStyle name="Normal 4 3 4 3 2 4 5" xfId="5910" xr:uid="{00000000-0005-0000-0000-000071150000}"/>
    <cellStyle name="Normal 4 3 4 3 2 5" xfId="5911" xr:uid="{00000000-0005-0000-0000-000072150000}"/>
    <cellStyle name="Normal 4 3 4 3 2 5 2" xfId="5912" xr:uid="{00000000-0005-0000-0000-000073150000}"/>
    <cellStyle name="Normal 4 3 4 3 2 5 3" xfId="5913" xr:uid="{00000000-0005-0000-0000-000074150000}"/>
    <cellStyle name="Normal 4 3 4 3 2 6" xfId="5914" xr:uid="{00000000-0005-0000-0000-000075150000}"/>
    <cellStyle name="Normal 4 3 4 3 2 7" xfId="5915" xr:uid="{00000000-0005-0000-0000-000076150000}"/>
    <cellStyle name="Normal 4 3 4 3 2 8" xfId="5916" xr:uid="{00000000-0005-0000-0000-000077150000}"/>
    <cellStyle name="Normal 4 3 4 3 3" xfId="5917" xr:uid="{00000000-0005-0000-0000-000078150000}"/>
    <cellStyle name="Normal 4 3 4 3 3 2" xfId="5918" xr:uid="{00000000-0005-0000-0000-000079150000}"/>
    <cellStyle name="Normal 4 3 4 3 3 2 2" xfId="5919" xr:uid="{00000000-0005-0000-0000-00007A150000}"/>
    <cellStyle name="Normal 4 3 4 3 3 2 2 2" xfId="5920" xr:uid="{00000000-0005-0000-0000-00007B150000}"/>
    <cellStyle name="Normal 4 3 4 3 3 2 2 3" xfId="5921" xr:uid="{00000000-0005-0000-0000-00007C150000}"/>
    <cellStyle name="Normal 4 3 4 3 3 2 3" xfId="5922" xr:uid="{00000000-0005-0000-0000-00007D150000}"/>
    <cellStyle name="Normal 4 3 4 3 3 2 4" xfId="5923" xr:uid="{00000000-0005-0000-0000-00007E150000}"/>
    <cellStyle name="Normal 4 3 4 3 3 2 5" xfId="5924" xr:uid="{00000000-0005-0000-0000-00007F150000}"/>
    <cellStyle name="Normal 4 3 4 3 3 3" xfId="5925" xr:uid="{00000000-0005-0000-0000-000080150000}"/>
    <cellStyle name="Normal 4 3 4 3 3 3 2" xfId="5926" xr:uid="{00000000-0005-0000-0000-000081150000}"/>
    <cellStyle name="Normal 4 3 4 3 3 3 2 2" xfId="5927" xr:uid="{00000000-0005-0000-0000-000082150000}"/>
    <cellStyle name="Normal 4 3 4 3 3 3 2 3" xfId="5928" xr:uid="{00000000-0005-0000-0000-000083150000}"/>
    <cellStyle name="Normal 4 3 4 3 3 3 3" xfId="5929" xr:uid="{00000000-0005-0000-0000-000084150000}"/>
    <cellStyle name="Normal 4 3 4 3 3 3 4" xfId="5930" xr:uid="{00000000-0005-0000-0000-000085150000}"/>
    <cellStyle name="Normal 4 3 4 3 3 3 5" xfId="5931" xr:uid="{00000000-0005-0000-0000-000086150000}"/>
    <cellStyle name="Normal 4 3 4 3 3 4" xfId="5932" xr:uid="{00000000-0005-0000-0000-000087150000}"/>
    <cellStyle name="Normal 4 3 4 3 3 4 2" xfId="5933" xr:uid="{00000000-0005-0000-0000-000088150000}"/>
    <cellStyle name="Normal 4 3 4 3 3 4 3" xfId="5934" xr:uid="{00000000-0005-0000-0000-000089150000}"/>
    <cellStyle name="Normal 4 3 4 3 3 5" xfId="5935" xr:uid="{00000000-0005-0000-0000-00008A150000}"/>
    <cellStyle name="Normal 4 3 4 3 3 6" xfId="5936" xr:uid="{00000000-0005-0000-0000-00008B150000}"/>
    <cellStyle name="Normal 4 3 4 3 3 7" xfId="5937" xr:uid="{00000000-0005-0000-0000-00008C150000}"/>
    <cellStyle name="Normal 4 3 4 3 4" xfId="5938" xr:uid="{00000000-0005-0000-0000-00008D150000}"/>
    <cellStyle name="Normal 4 3 4 3 4 2" xfId="5939" xr:uid="{00000000-0005-0000-0000-00008E150000}"/>
    <cellStyle name="Normal 4 3 4 3 4 2 2" xfId="5940" xr:uid="{00000000-0005-0000-0000-00008F150000}"/>
    <cellStyle name="Normal 4 3 4 3 4 2 3" xfId="5941" xr:uid="{00000000-0005-0000-0000-000090150000}"/>
    <cellStyle name="Normal 4 3 4 3 4 3" xfId="5942" xr:uid="{00000000-0005-0000-0000-000091150000}"/>
    <cellStyle name="Normal 4 3 4 3 4 4" xfId="5943" xr:uid="{00000000-0005-0000-0000-000092150000}"/>
    <cellStyle name="Normal 4 3 4 3 4 5" xfId="5944" xr:uid="{00000000-0005-0000-0000-000093150000}"/>
    <cellStyle name="Normal 4 3 4 3 5" xfId="5945" xr:uid="{00000000-0005-0000-0000-000094150000}"/>
    <cellStyle name="Normal 4 3 4 3 5 2" xfId="5946" xr:uid="{00000000-0005-0000-0000-000095150000}"/>
    <cellStyle name="Normal 4 3 4 3 5 2 2" xfId="5947" xr:uid="{00000000-0005-0000-0000-000096150000}"/>
    <cellStyle name="Normal 4 3 4 3 5 2 3" xfId="5948" xr:uid="{00000000-0005-0000-0000-000097150000}"/>
    <cellStyle name="Normal 4 3 4 3 5 3" xfId="5949" xr:uid="{00000000-0005-0000-0000-000098150000}"/>
    <cellStyle name="Normal 4 3 4 3 5 4" xfId="5950" xr:uid="{00000000-0005-0000-0000-000099150000}"/>
    <cellStyle name="Normal 4 3 4 3 5 5" xfId="5951" xr:uid="{00000000-0005-0000-0000-00009A150000}"/>
    <cellStyle name="Normal 4 3 4 3 6" xfId="5952" xr:uid="{00000000-0005-0000-0000-00009B150000}"/>
    <cellStyle name="Normal 4 3 4 3 6 2" xfId="5953" xr:uid="{00000000-0005-0000-0000-00009C150000}"/>
    <cellStyle name="Normal 4 3 4 3 6 3" xfId="5954" xr:uid="{00000000-0005-0000-0000-00009D150000}"/>
    <cellStyle name="Normal 4 3 4 3 7" xfId="5955" xr:uid="{00000000-0005-0000-0000-00009E150000}"/>
    <cellStyle name="Normal 4 3 4 3 8" xfId="5956" xr:uid="{00000000-0005-0000-0000-00009F150000}"/>
    <cellStyle name="Normal 4 3 4 3 9" xfId="5957" xr:uid="{00000000-0005-0000-0000-0000A0150000}"/>
    <cellStyle name="Normal 4 3 4 4" xfId="5958" xr:uid="{00000000-0005-0000-0000-0000A1150000}"/>
    <cellStyle name="Normal 4 3 4 4 2" xfId="5959" xr:uid="{00000000-0005-0000-0000-0000A2150000}"/>
    <cellStyle name="Normal 4 3 4 4 2 2" xfId="5960" xr:uid="{00000000-0005-0000-0000-0000A3150000}"/>
    <cellStyle name="Normal 4 3 4 4 2 2 2" xfId="5961" xr:uid="{00000000-0005-0000-0000-0000A4150000}"/>
    <cellStyle name="Normal 4 3 4 4 2 2 2 2" xfId="5962" xr:uid="{00000000-0005-0000-0000-0000A5150000}"/>
    <cellStyle name="Normal 4 3 4 4 2 2 2 2 2" xfId="5963" xr:uid="{00000000-0005-0000-0000-0000A6150000}"/>
    <cellStyle name="Normal 4 3 4 4 2 2 2 2 3" xfId="5964" xr:uid="{00000000-0005-0000-0000-0000A7150000}"/>
    <cellStyle name="Normal 4 3 4 4 2 2 2 3" xfId="5965" xr:uid="{00000000-0005-0000-0000-0000A8150000}"/>
    <cellStyle name="Normal 4 3 4 4 2 2 2 4" xfId="5966" xr:uid="{00000000-0005-0000-0000-0000A9150000}"/>
    <cellStyle name="Normal 4 3 4 4 2 2 2 5" xfId="5967" xr:uid="{00000000-0005-0000-0000-0000AA150000}"/>
    <cellStyle name="Normal 4 3 4 4 2 2 3" xfId="5968" xr:uid="{00000000-0005-0000-0000-0000AB150000}"/>
    <cellStyle name="Normal 4 3 4 4 2 2 3 2" xfId="5969" xr:uid="{00000000-0005-0000-0000-0000AC150000}"/>
    <cellStyle name="Normal 4 3 4 4 2 2 3 2 2" xfId="5970" xr:uid="{00000000-0005-0000-0000-0000AD150000}"/>
    <cellStyle name="Normal 4 3 4 4 2 2 3 2 3" xfId="5971" xr:uid="{00000000-0005-0000-0000-0000AE150000}"/>
    <cellStyle name="Normal 4 3 4 4 2 2 3 3" xfId="5972" xr:uid="{00000000-0005-0000-0000-0000AF150000}"/>
    <cellStyle name="Normal 4 3 4 4 2 2 3 4" xfId="5973" xr:uid="{00000000-0005-0000-0000-0000B0150000}"/>
    <cellStyle name="Normal 4 3 4 4 2 2 3 5" xfId="5974" xr:uid="{00000000-0005-0000-0000-0000B1150000}"/>
    <cellStyle name="Normal 4 3 4 4 2 2 4" xfId="5975" xr:uid="{00000000-0005-0000-0000-0000B2150000}"/>
    <cellStyle name="Normal 4 3 4 4 2 2 4 2" xfId="5976" xr:uid="{00000000-0005-0000-0000-0000B3150000}"/>
    <cellStyle name="Normal 4 3 4 4 2 2 4 3" xfId="5977" xr:uid="{00000000-0005-0000-0000-0000B4150000}"/>
    <cellStyle name="Normal 4 3 4 4 2 2 5" xfId="5978" xr:uid="{00000000-0005-0000-0000-0000B5150000}"/>
    <cellStyle name="Normal 4 3 4 4 2 2 6" xfId="5979" xr:uid="{00000000-0005-0000-0000-0000B6150000}"/>
    <cellStyle name="Normal 4 3 4 4 2 2 7" xfId="5980" xr:uid="{00000000-0005-0000-0000-0000B7150000}"/>
    <cellStyle name="Normal 4 3 4 4 2 3" xfId="5981" xr:uid="{00000000-0005-0000-0000-0000B8150000}"/>
    <cellStyle name="Normal 4 3 4 4 2 3 2" xfId="5982" xr:uid="{00000000-0005-0000-0000-0000B9150000}"/>
    <cellStyle name="Normal 4 3 4 4 2 3 2 2" xfId="5983" xr:uid="{00000000-0005-0000-0000-0000BA150000}"/>
    <cellStyle name="Normal 4 3 4 4 2 3 2 3" xfId="5984" xr:uid="{00000000-0005-0000-0000-0000BB150000}"/>
    <cellStyle name="Normal 4 3 4 4 2 3 3" xfId="5985" xr:uid="{00000000-0005-0000-0000-0000BC150000}"/>
    <cellStyle name="Normal 4 3 4 4 2 3 4" xfId="5986" xr:uid="{00000000-0005-0000-0000-0000BD150000}"/>
    <cellStyle name="Normal 4 3 4 4 2 3 5" xfId="5987" xr:uid="{00000000-0005-0000-0000-0000BE150000}"/>
    <cellStyle name="Normal 4 3 4 4 2 4" xfId="5988" xr:uid="{00000000-0005-0000-0000-0000BF150000}"/>
    <cellStyle name="Normal 4 3 4 4 2 4 2" xfId="5989" xr:uid="{00000000-0005-0000-0000-0000C0150000}"/>
    <cellStyle name="Normal 4 3 4 4 2 4 2 2" xfId="5990" xr:uid="{00000000-0005-0000-0000-0000C1150000}"/>
    <cellStyle name="Normal 4 3 4 4 2 4 2 3" xfId="5991" xr:uid="{00000000-0005-0000-0000-0000C2150000}"/>
    <cellStyle name="Normal 4 3 4 4 2 4 3" xfId="5992" xr:uid="{00000000-0005-0000-0000-0000C3150000}"/>
    <cellStyle name="Normal 4 3 4 4 2 4 4" xfId="5993" xr:uid="{00000000-0005-0000-0000-0000C4150000}"/>
    <cellStyle name="Normal 4 3 4 4 2 4 5" xfId="5994" xr:uid="{00000000-0005-0000-0000-0000C5150000}"/>
    <cellStyle name="Normal 4 3 4 4 2 5" xfId="5995" xr:uid="{00000000-0005-0000-0000-0000C6150000}"/>
    <cellStyle name="Normal 4 3 4 4 2 5 2" xfId="5996" xr:uid="{00000000-0005-0000-0000-0000C7150000}"/>
    <cellStyle name="Normal 4 3 4 4 2 5 3" xfId="5997" xr:uid="{00000000-0005-0000-0000-0000C8150000}"/>
    <cellStyle name="Normal 4 3 4 4 2 6" xfId="5998" xr:uid="{00000000-0005-0000-0000-0000C9150000}"/>
    <cellStyle name="Normal 4 3 4 4 2 7" xfId="5999" xr:uid="{00000000-0005-0000-0000-0000CA150000}"/>
    <cellStyle name="Normal 4 3 4 4 2 8" xfId="6000" xr:uid="{00000000-0005-0000-0000-0000CB150000}"/>
    <cellStyle name="Normal 4 3 4 4 3" xfId="6001" xr:uid="{00000000-0005-0000-0000-0000CC150000}"/>
    <cellStyle name="Normal 4 3 4 4 3 2" xfId="6002" xr:uid="{00000000-0005-0000-0000-0000CD150000}"/>
    <cellStyle name="Normal 4 3 4 4 3 2 2" xfId="6003" xr:uid="{00000000-0005-0000-0000-0000CE150000}"/>
    <cellStyle name="Normal 4 3 4 4 3 2 2 2" xfId="6004" xr:uid="{00000000-0005-0000-0000-0000CF150000}"/>
    <cellStyle name="Normal 4 3 4 4 3 2 2 3" xfId="6005" xr:uid="{00000000-0005-0000-0000-0000D0150000}"/>
    <cellStyle name="Normal 4 3 4 4 3 2 3" xfId="6006" xr:uid="{00000000-0005-0000-0000-0000D1150000}"/>
    <cellStyle name="Normal 4 3 4 4 3 2 4" xfId="6007" xr:uid="{00000000-0005-0000-0000-0000D2150000}"/>
    <cellStyle name="Normal 4 3 4 4 3 2 5" xfId="6008" xr:uid="{00000000-0005-0000-0000-0000D3150000}"/>
    <cellStyle name="Normal 4 3 4 4 3 3" xfId="6009" xr:uid="{00000000-0005-0000-0000-0000D4150000}"/>
    <cellStyle name="Normal 4 3 4 4 3 3 2" xfId="6010" xr:uid="{00000000-0005-0000-0000-0000D5150000}"/>
    <cellStyle name="Normal 4 3 4 4 3 3 2 2" xfId="6011" xr:uid="{00000000-0005-0000-0000-0000D6150000}"/>
    <cellStyle name="Normal 4 3 4 4 3 3 2 3" xfId="6012" xr:uid="{00000000-0005-0000-0000-0000D7150000}"/>
    <cellStyle name="Normal 4 3 4 4 3 3 3" xfId="6013" xr:uid="{00000000-0005-0000-0000-0000D8150000}"/>
    <cellStyle name="Normal 4 3 4 4 3 3 4" xfId="6014" xr:uid="{00000000-0005-0000-0000-0000D9150000}"/>
    <cellStyle name="Normal 4 3 4 4 3 3 5" xfId="6015" xr:uid="{00000000-0005-0000-0000-0000DA150000}"/>
    <cellStyle name="Normal 4 3 4 4 3 4" xfId="6016" xr:uid="{00000000-0005-0000-0000-0000DB150000}"/>
    <cellStyle name="Normal 4 3 4 4 3 4 2" xfId="6017" xr:uid="{00000000-0005-0000-0000-0000DC150000}"/>
    <cellStyle name="Normal 4 3 4 4 3 4 3" xfId="6018" xr:uid="{00000000-0005-0000-0000-0000DD150000}"/>
    <cellStyle name="Normal 4 3 4 4 3 5" xfId="6019" xr:uid="{00000000-0005-0000-0000-0000DE150000}"/>
    <cellStyle name="Normal 4 3 4 4 3 6" xfId="6020" xr:uid="{00000000-0005-0000-0000-0000DF150000}"/>
    <cellStyle name="Normal 4 3 4 4 3 7" xfId="6021" xr:uid="{00000000-0005-0000-0000-0000E0150000}"/>
    <cellStyle name="Normal 4 3 4 4 4" xfId="6022" xr:uid="{00000000-0005-0000-0000-0000E1150000}"/>
    <cellStyle name="Normal 4 3 4 4 4 2" xfId="6023" xr:uid="{00000000-0005-0000-0000-0000E2150000}"/>
    <cellStyle name="Normal 4 3 4 4 4 2 2" xfId="6024" xr:uid="{00000000-0005-0000-0000-0000E3150000}"/>
    <cellStyle name="Normal 4 3 4 4 4 2 3" xfId="6025" xr:uid="{00000000-0005-0000-0000-0000E4150000}"/>
    <cellStyle name="Normal 4 3 4 4 4 3" xfId="6026" xr:uid="{00000000-0005-0000-0000-0000E5150000}"/>
    <cellStyle name="Normal 4 3 4 4 4 4" xfId="6027" xr:uid="{00000000-0005-0000-0000-0000E6150000}"/>
    <cellStyle name="Normal 4 3 4 4 4 5" xfId="6028" xr:uid="{00000000-0005-0000-0000-0000E7150000}"/>
    <cellStyle name="Normal 4 3 4 4 5" xfId="6029" xr:uid="{00000000-0005-0000-0000-0000E8150000}"/>
    <cellStyle name="Normal 4 3 4 4 5 2" xfId="6030" xr:uid="{00000000-0005-0000-0000-0000E9150000}"/>
    <cellStyle name="Normal 4 3 4 4 5 2 2" xfId="6031" xr:uid="{00000000-0005-0000-0000-0000EA150000}"/>
    <cellStyle name="Normal 4 3 4 4 5 2 3" xfId="6032" xr:uid="{00000000-0005-0000-0000-0000EB150000}"/>
    <cellStyle name="Normal 4 3 4 4 5 3" xfId="6033" xr:uid="{00000000-0005-0000-0000-0000EC150000}"/>
    <cellStyle name="Normal 4 3 4 4 5 4" xfId="6034" xr:uid="{00000000-0005-0000-0000-0000ED150000}"/>
    <cellStyle name="Normal 4 3 4 4 5 5" xfId="6035" xr:uid="{00000000-0005-0000-0000-0000EE150000}"/>
    <cellStyle name="Normal 4 3 4 4 6" xfId="6036" xr:uid="{00000000-0005-0000-0000-0000EF150000}"/>
    <cellStyle name="Normal 4 3 4 4 6 2" xfId="6037" xr:uid="{00000000-0005-0000-0000-0000F0150000}"/>
    <cellStyle name="Normal 4 3 4 4 6 3" xfId="6038" xr:uid="{00000000-0005-0000-0000-0000F1150000}"/>
    <cellStyle name="Normal 4 3 4 4 7" xfId="6039" xr:uid="{00000000-0005-0000-0000-0000F2150000}"/>
    <cellStyle name="Normal 4 3 4 4 8" xfId="6040" xr:uid="{00000000-0005-0000-0000-0000F3150000}"/>
    <cellStyle name="Normal 4 3 4 4 9" xfId="6041" xr:uid="{00000000-0005-0000-0000-0000F4150000}"/>
    <cellStyle name="Normal 4 3 4 5" xfId="6042" xr:uid="{00000000-0005-0000-0000-0000F5150000}"/>
    <cellStyle name="Normal 4 3 4 5 2" xfId="6043" xr:uid="{00000000-0005-0000-0000-0000F6150000}"/>
    <cellStyle name="Normal 4 3 4 5 2 2" xfId="6044" xr:uid="{00000000-0005-0000-0000-0000F7150000}"/>
    <cellStyle name="Normal 4 3 4 5 2 2 2" xfId="6045" xr:uid="{00000000-0005-0000-0000-0000F8150000}"/>
    <cellStyle name="Normal 4 3 4 5 2 2 2 2" xfId="6046" xr:uid="{00000000-0005-0000-0000-0000F9150000}"/>
    <cellStyle name="Normal 4 3 4 5 2 2 2 3" xfId="6047" xr:uid="{00000000-0005-0000-0000-0000FA150000}"/>
    <cellStyle name="Normal 4 3 4 5 2 2 3" xfId="6048" xr:uid="{00000000-0005-0000-0000-0000FB150000}"/>
    <cellStyle name="Normal 4 3 4 5 2 2 4" xfId="6049" xr:uid="{00000000-0005-0000-0000-0000FC150000}"/>
    <cellStyle name="Normal 4 3 4 5 2 2 5" xfId="6050" xr:uid="{00000000-0005-0000-0000-0000FD150000}"/>
    <cellStyle name="Normal 4 3 4 5 2 3" xfId="6051" xr:uid="{00000000-0005-0000-0000-0000FE150000}"/>
    <cellStyle name="Normal 4 3 4 5 2 3 2" xfId="6052" xr:uid="{00000000-0005-0000-0000-0000FF150000}"/>
    <cellStyle name="Normal 4 3 4 5 2 3 2 2" xfId="6053" xr:uid="{00000000-0005-0000-0000-000000160000}"/>
    <cellStyle name="Normal 4 3 4 5 2 3 2 3" xfId="6054" xr:uid="{00000000-0005-0000-0000-000001160000}"/>
    <cellStyle name="Normal 4 3 4 5 2 3 3" xfId="6055" xr:uid="{00000000-0005-0000-0000-000002160000}"/>
    <cellStyle name="Normal 4 3 4 5 2 3 4" xfId="6056" xr:uid="{00000000-0005-0000-0000-000003160000}"/>
    <cellStyle name="Normal 4 3 4 5 2 3 5" xfId="6057" xr:uid="{00000000-0005-0000-0000-000004160000}"/>
    <cellStyle name="Normal 4 3 4 5 2 4" xfId="6058" xr:uid="{00000000-0005-0000-0000-000005160000}"/>
    <cellStyle name="Normal 4 3 4 5 2 4 2" xfId="6059" xr:uid="{00000000-0005-0000-0000-000006160000}"/>
    <cellStyle name="Normal 4 3 4 5 2 4 3" xfId="6060" xr:uid="{00000000-0005-0000-0000-000007160000}"/>
    <cellStyle name="Normal 4 3 4 5 2 5" xfId="6061" xr:uid="{00000000-0005-0000-0000-000008160000}"/>
    <cellStyle name="Normal 4 3 4 5 2 6" xfId="6062" xr:uid="{00000000-0005-0000-0000-000009160000}"/>
    <cellStyle name="Normal 4 3 4 5 2 7" xfId="6063" xr:uid="{00000000-0005-0000-0000-00000A160000}"/>
    <cellStyle name="Normal 4 3 4 5 3" xfId="6064" xr:uid="{00000000-0005-0000-0000-00000B160000}"/>
    <cellStyle name="Normal 4 3 4 5 3 2" xfId="6065" xr:uid="{00000000-0005-0000-0000-00000C160000}"/>
    <cellStyle name="Normal 4 3 4 5 3 2 2" xfId="6066" xr:uid="{00000000-0005-0000-0000-00000D160000}"/>
    <cellStyle name="Normal 4 3 4 5 3 2 3" xfId="6067" xr:uid="{00000000-0005-0000-0000-00000E160000}"/>
    <cellStyle name="Normal 4 3 4 5 3 3" xfId="6068" xr:uid="{00000000-0005-0000-0000-00000F160000}"/>
    <cellStyle name="Normal 4 3 4 5 3 4" xfId="6069" xr:uid="{00000000-0005-0000-0000-000010160000}"/>
    <cellStyle name="Normal 4 3 4 5 3 5" xfId="6070" xr:uid="{00000000-0005-0000-0000-000011160000}"/>
    <cellStyle name="Normal 4 3 4 5 4" xfId="6071" xr:uid="{00000000-0005-0000-0000-000012160000}"/>
    <cellStyle name="Normal 4 3 4 5 4 2" xfId="6072" xr:uid="{00000000-0005-0000-0000-000013160000}"/>
    <cellStyle name="Normal 4 3 4 5 4 2 2" xfId="6073" xr:uid="{00000000-0005-0000-0000-000014160000}"/>
    <cellStyle name="Normal 4 3 4 5 4 2 3" xfId="6074" xr:uid="{00000000-0005-0000-0000-000015160000}"/>
    <cellStyle name="Normal 4 3 4 5 4 3" xfId="6075" xr:uid="{00000000-0005-0000-0000-000016160000}"/>
    <cellStyle name="Normal 4 3 4 5 4 4" xfId="6076" xr:uid="{00000000-0005-0000-0000-000017160000}"/>
    <cellStyle name="Normal 4 3 4 5 4 5" xfId="6077" xr:uid="{00000000-0005-0000-0000-000018160000}"/>
    <cellStyle name="Normal 4 3 4 5 5" xfId="6078" xr:uid="{00000000-0005-0000-0000-000019160000}"/>
    <cellStyle name="Normal 4 3 4 5 5 2" xfId="6079" xr:uid="{00000000-0005-0000-0000-00001A160000}"/>
    <cellStyle name="Normal 4 3 4 5 5 3" xfId="6080" xr:uid="{00000000-0005-0000-0000-00001B160000}"/>
    <cellStyle name="Normal 4 3 4 5 6" xfId="6081" xr:uid="{00000000-0005-0000-0000-00001C160000}"/>
    <cellStyle name="Normal 4 3 4 5 7" xfId="6082" xr:uid="{00000000-0005-0000-0000-00001D160000}"/>
    <cellStyle name="Normal 4 3 4 5 8" xfId="6083" xr:uid="{00000000-0005-0000-0000-00001E160000}"/>
    <cellStyle name="Normal 4 3 4 6" xfId="6084" xr:uid="{00000000-0005-0000-0000-00001F160000}"/>
    <cellStyle name="Normal 4 3 4 6 2" xfId="6085" xr:uid="{00000000-0005-0000-0000-000020160000}"/>
    <cellStyle name="Normal 4 3 4 6 2 2" xfId="6086" xr:uid="{00000000-0005-0000-0000-000021160000}"/>
    <cellStyle name="Normal 4 3 4 6 2 2 2" xfId="6087" xr:uid="{00000000-0005-0000-0000-000022160000}"/>
    <cellStyle name="Normal 4 3 4 6 2 2 3" xfId="6088" xr:uid="{00000000-0005-0000-0000-000023160000}"/>
    <cellStyle name="Normal 4 3 4 6 2 3" xfId="6089" xr:uid="{00000000-0005-0000-0000-000024160000}"/>
    <cellStyle name="Normal 4 3 4 6 2 4" xfId="6090" xr:uid="{00000000-0005-0000-0000-000025160000}"/>
    <cellStyle name="Normal 4 3 4 6 2 5" xfId="6091" xr:uid="{00000000-0005-0000-0000-000026160000}"/>
    <cellStyle name="Normal 4 3 4 6 3" xfId="6092" xr:uid="{00000000-0005-0000-0000-000027160000}"/>
    <cellStyle name="Normal 4 3 4 6 3 2" xfId="6093" xr:uid="{00000000-0005-0000-0000-000028160000}"/>
    <cellStyle name="Normal 4 3 4 6 3 2 2" xfId="6094" xr:uid="{00000000-0005-0000-0000-000029160000}"/>
    <cellStyle name="Normal 4 3 4 6 3 2 3" xfId="6095" xr:uid="{00000000-0005-0000-0000-00002A160000}"/>
    <cellStyle name="Normal 4 3 4 6 3 3" xfId="6096" xr:uid="{00000000-0005-0000-0000-00002B160000}"/>
    <cellStyle name="Normal 4 3 4 6 3 4" xfId="6097" xr:uid="{00000000-0005-0000-0000-00002C160000}"/>
    <cellStyle name="Normal 4 3 4 6 3 5" xfId="6098" xr:uid="{00000000-0005-0000-0000-00002D160000}"/>
    <cellStyle name="Normal 4 3 4 6 4" xfId="6099" xr:uid="{00000000-0005-0000-0000-00002E160000}"/>
    <cellStyle name="Normal 4 3 4 6 4 2" xfId="6100" xr:uid="{00000000-0005-0000-0000-00002F160000}"/>
    <cellStyle name="Normal 4 3 4 6 4 3" xfId="6101" xr:uid="{00000000-0005-0000-0000-000030160000}"/>
    <cellStyle name="Normal 4 3 4 6 5" xfId="6102" xr:uid="{00000000-0005-0000-0000-000031160000}"/>
    <cellStyle name="Normal 4 3 4 6 6" xfId="6103" xr:uid="{00000000-0005-0000-0000-000032160000}"/>
    <cellStyle name="Normal 4 3 4 6 7" xfId="6104" xr:uid="{00000000-0005-0000-0000-000033160000}"/>
    <cellStyle name="Normal 4 3 4 7" xfId="6105" xr:uid="{00000000-0005-0000-0000-000034160000}"/>
    <cellStyle name="Normal 4 3 4 7 2" xfId="6106" xr:uid="{00000000-0005-0000-0000-000035160000}"/>
    <cellStyle name="Normal 4 3 4 7 2 2" xfId="6107" xr:uid="{00000000-0005-0000-0000-000036160000}"/>
    <cellStyle name="Normal 4 3 4 7 2 3" xfId="6108" xr:uid="{00000000-0005-0000-0000-000037160000}"/>
    <cellStyle name="Normal 4 3 4 7 3" xfId="6109" xr:uid="{00000000-0005-0000-0000-000038160000}"/>
    <cellStyle name="Normal 4 3 4 7 4" xfId="6110" xr:uid="{00000000-0005-0000-0000-000039160000}"/>
    <cellStyle name="Normal 4 3 4 7 5" xfId="6111" xr:uid="{00000000-0005-0000-0000-00003A160000}"/>
    <cellStyle name="Normal 4 3 4 8" xfId="6112" xr:uid="{00000000-0005-0000-0000-00003B160000}"/>
    <cellStyle name="Normal 4 3 4 8 2" xfId="6113" xr:uid="{00000000-0005-0000-0000-00003C160000}"/>
    <cellStyle name="Normal 4 3 4 8 2 2" xfId="6114" xr:uid="{00000000-0005-0000-0000-00003D160000}"/>
    <cellStyle name="Normal 4 3 4 8 2 3" xfId="6115" xr:uid="{00000000-0005-0000-0000-00003E160000}"/>
    <cellStyle name="Normal 4 3 4 8 3" xfId="6116" xr:uid="{00000000-0005-0000-0000-00003F160000}"/>
    <cellStyle name="Normal 4 3 4 8 4" xfId="6117" xr:uid="{00000000-0005-0000-0000-000040160000}"/>
    <cellStyle name="Normal 4 3 4 8 5" xfId="6118" xr:uid="{00000000-0005-0000-0000-000041160000}"/>
    <cellStyle name="Normal 4 3 4 9" xfId="6119" xr:uid="{00000000-0005-0000-0000-000042160000}"/>
    <cellStyle name="Normal 4 3 4 9 2" xfId="6120" xr:uid="{00000000-0005-0000-0000-000043160000}"/>
    <cellStyle name="Normal 4 3 4 9 3" xfId="6121" xr:uid="{00000000-0005-0000-0000-000044160000}"/>
    <cellStyle name="Normal 4 3 5" xfId="6122" xr:uid="{00000000-0005-0000-0000-000045160000}"/>
    <cellStyle name="Normal 4 3 5 2" xfId="6123" xr:uid="{00000000-0005-0000-0000-000046160000}"/>
    <cellStyle name="Normal 4 3 5 2 2" xfId="6124" xr:uid="{00000000-0005-0000-0000-000047160000}"/>
    <cellStyle name="Normal 4 3 5 2 2 2" xfId="6125" xr:uid="{00000000-0005-0000-0000-000048160000}"/>
    <cellStyle name="Normal 4 3 5 2 2 2 2" xfId="6126" xr:uid="{00000000-0005-0000-0000-000049160000}"/>
    <cellStyle name="Normal 4 3 5 2 2 2 2 2" xfId="6127" xr:uid="{00000000-0005-0000-0000-00004A160000}"/>
    <cellStyle name="Normal 4 3 5 2 2 2 2 3" xfId="6128" xr:uid="{00000000-0005-0000-0000-00004B160000}"/>
    <cellStyle name="Normal 4 3 5 2 2 2 3" xfId="6129" xr:uid="{00000000-0005-0000-0000-00004C160000}"/>
    <cellStyle name="Normal 4 3 5 2 2 2 4" xfId="6130" xr:uid="{00000000-0005-0000-0000-00004D160000}"/>
    <cellStyle name="Normal 4 3 5 2 2 2 5" xfId="6131" xr:uid="{00000000-0005-0000-0000-00004E160000}"/>
    <cellStyle name="Normal 4 3 5 2 2 3" xfId="6132" xr:uid="{00000000-0005-0000-0000-00004F160000}"/>
    <cellStyle name="Normal 4 3 5 2 2 3 2" xfId="6133" xr:uid="{00000000-0005-0000-0000-000050160000}"/>
    <cellStyle name="Normal 4 3 5 2 2 3 2 2" xfId="6134" xr:uid="{00000000-0005-0000-0000-000051160000}"/>
    <cellStyle name="Normal 4 3 5 2 2 3 2 3" xfId="6135" xr:uid="{00000000-0005-0000-0000-000052160000}"/>
    <cellStyle name="Normal 4 3 5 2 2 3 3" xfId="6136" xr:uid="{00000000-0005-0000-0000-000053160000}"/>
    <cellStyle name="Normal 4 3 5 2 2 3 4" xfId="6137" xr:uid="{00000000-0005-0000-0000-000054160000}"/>
    <cellStyle name="Normal 4 3 5 2 2 3 5" xfId="6138" xr:uid="{00000000-0005-0000-0000-000055160000}"/>
    <cellStyle name="Normal 4 3 5 2 2 4" xfId="6139" xr:uid="{00000000-0005-0000-0000-000056160000}"/>
    <cellStyle name="Normal 4 3 5 2 2 4 2" xfId="6140" xr:uid="{00000000-0005-0000-0000-000057160000}"/>
    <cellStyle name="Normal 4 3 5 2 2 4 3" xfId="6141" xr:uid="{00000000-0005-0000-0000-000058160000}"/>
    <cellStyle name="Normal 4 3 5 2 2 5" xfId="6142" xr:uid="{00000000-0005-0000-0000-000059160000}"/>
    <cellStyle name="Normal 4 3 5 2 2 6" xfId="6143" xr:uid="{00000000-0005-0000-0000-00005A160000}"/>
    <cellStyle name="Normal 4 3 5 2 2 7" xfId="6144" xr:uid="{00000000-0005-0000-0000-00005B160000}"/>
    <cellStyle name="Normal 4 3 5 2 3" xfId="6145" xr:uid="{00000000-0005-0000-0000-00005C160000}"/>
    <cellStyle name="Normal 4 3 5 2 3 2" xfId="6146" xr:uid="{00000000-0005-0000-0000-00005D160000}"/>
    <cellStyle name="Normal 4 3 5 2 3 2 2" xfId="6147" xr:uid="{00000000-0005-0000-0000-00005E160000}"/>
    <cellStyle name="Normal 4 3 5 2 3 2 3" xfId="6148" xr:uid="{00000000-0005-0000-0000-00005F160000}"/>
    <cellStyle name="Normal 4 3 5 2 3 3" xfId="6149" xr:uid="{00000000-0005-0000-0000-000060160000}"/>
    <cellStyle name="Normal 4 3 5 2 3 4" xfId="6150" xr:uid="{00000000-0005-0000-0000-000061160000}"/>
    <cellStyle name="Normal 4 3 5 2 3 5" xfId="6151" xr:uid="{00000000-0005-0000-0000-000062160000}"/>
    <cellStyle name="Normal 4 3 5 2 4" xfId="6152" xr:uid="{00000000-0005-0000-0000-000063160000}"/>
    <cellStyle name="Normal 4 3 5 2 4 2" xfId="6153" xr:uid="{00000000-0005-0000-0000-000064160000}"/>
    <cellStyle name="Normal 4 3 5 2 4 2 2" xfId="6154" xr:uid="{00000000-0005-0000-0000-000065160000}"/>
    <cellStyle name="Normal 4 3 5 2 4 2 3" xfId="6155" xr:uid="{00000000-0005-0000-0000-000066160000}"/>
    <cellStyle name="Normal 4 3 5 2 4 3" xfId="6156" xr:uid="{00000000-0005-0000-0000-000067160000}"/>
    <cellStyle name="Normal 4 3 5 2 4 4" xfId="6157" xr:uid="{00000000-0005-0000-0000-000068160000}"/>
    <cellStyle name="Normal 4 3 5 2 4 5" xfId="6158" xr:uid="{00000000-0005-0000-0000-000069160000}"/>
    <cellStyle name="Normal 4 3 5 2 5" xfId="6159" xr:uid="{00000000-0005-0000-0000-00006A160000}"/>
    <cellStyle name="Normal 4 3 5 2 5 2" xfId="6160" xr:uid="{00000000-0005-0000-0000-00006B160000}"/>
    <cellStyle name="Normal 4 3 5 2 5 3" xfId="6161" xr:uid="{00000000-0005-0000-0000-00006C160000}"/>
    <cellStyle name="Normal 4 3 5 2 6" xfId="6162" xr:uid="{00000000-0005-0000-0000-00006D160000}"/>
    <cellStyle name="Normal 4 3 5 2 7" xfId="6163" xr:uid="{00000000-0005-0000-0000-00006E160000}"/>
    <cellStyle name="Normal 4 3 5 2 8" xfId="6164" xr:uid="{00000000-0005-0000-0000-00006F160000}"/>
    <cellStyle name="Normal 4 3 5 3" xfId="6165" xr:uid="{00000000-0005-0000-0000-000070160000}"/>
    <cellStyle name="Normal 4 3 5 3 2" xfId="6166" xr:uid="{00000000-0005-0000-0000-000071160000}"/>
    <cellStyle name="Normal 4 3 5 3 2 2" xfId="6167" xr:uid="{00000000-0005-0000-0000-000072160000}"/>
    <cellStyle name="Normal 4 3 5 3 2 2 2" xfId="6168" xr:uid="{00000000-0005-0000-0000-000073160000}"/>
    <cellStyle name="Normal 4 3 5 3 2 2 3" xfId="6169" xr:uid="{00000000-0005-0000-0000-000074160000}"/>
    <cellStyle name="Normal 4 3 5 3 2 3" xfId="6170" xr:uid="{00000000-0005-0000-0000-000075160000}"/>
    <cellStyle name="Normal 4 3 5 3 2 4" xfId="6171" xr:uid="{00000000-0005-0000-0000-000076160000}"/>
    <cellStyle name="Normal 4 3 5 3 2 5" xfId="6172" xr:uid="{00000000-0005-0000-0000-000077160000}"/>
    <cellStyle name="Normal 4 3 5 3 3" xfId="6173" xr:uid="{00000000-0005-0000-0000-000078160000}"/>
    <cellStyle name="Normal 4 3 5 3 3 2" xfId="6174" xr:uid="{00000000-0005-0000-0000-000079160000}"/>
    <cellStyle name="Normal 4 3 5 3 3 2 2" xfId="6175" xr:uid="{00000000-0005-0000-0000-00007A160000}"/>
    <cellStyle name="Normal 4 3 5 3 3 2 3" xfId="6176" xr:uid="{00000000-0005-0000-0000-00007B160000}"/>
    <cellStyle name="Normal 4 3 5 3 3 3" xfId="6177" xr:uid="{00000000-0005-0000-0000-00007C160000}"/>
    <cellStyle name="Normal 4 3 5 3 3 4" xfId="6178" xr:uid="{00000000-0005-0000-0000-00007D160000}"/>
    <cellStyle name="Normal 4 3 5 3 3 5" xfId="6179" xr:uid="{00000000-0005-0000-0000-00007E160000}"/>
    <cellStyle name="Normal 4 3 5 3 4" xfId="6180" xr:uid="{00000000-0005-0000-0000-00007F160000}"/>
    <cellStyle name="Normal 4 3 5 3 4 2" xfId="6181" xr:uid="{00000000-0005-0000-0000-000080160000}"/>
    <cellStyle name="Normal 4 3 5 3 4 3" xfId="6182" xr:uid="{00000000-0005-0000-0000-000081160000}"/>
    <cellStyle name="Normal 4 3 5 3 5" xfId="6183" xr:uid="{00000000-0005-0000-0000-000082160000}"/>
    <cellStyle name="Normal 4 3 5 3 6" xfId="6184" xr:uid="{00000000-0005-0000-0000-000083160000}"/>
    <cellStyle name="Normal 4 3 5 3 7" xfId="6185" xr:uid="{00000000-0005-0000-0000-000084160000}"/>
    <cellStyle name="Normal 4 3 5 4" xfId="6186" xr:uid="{00000000-0005-0000-0000-000085160000}"/>
    <cellStyle name="Normal 4 3 5 4 2" xfId="6187" xr:uid="{00000000-0005-0000-0000-000086160000}"/>
    <cellStyle name="Normal 4 3 5 4 2 2" xfId="6188" xr:uid="{00000000-0005-0000-0000-000087160000}"/>
    <cellStyle name="Normal 4 3 5 4 2 3" xfId="6189" xr:uid="{00000000-0005-0000-0000-000088160000}"/>
    <cellStyle name="Normal 4 3 5 4 3" xfId="6190" xr:uid="{00000000-0005-0000-0000-000089160000}"/>
    <cellStyle name="Normal 4 3 5 4 4" xfId="6191" xr:uid="{00000000-0005-0000-0000-00008A160000}"/>
    <cellStyle name="Normal 4 3 5 4 5" xfId="6192" xr:uid="{00000000-0005-0000-0000-00008B160000}"/>
    <cellStyle name="Normal 4 3 5 5" xfId="6193" xr:uid="{00000000-0005-0000-0000-00008C160000}"/>
    <cellStyle name="Normal 4 3 5 5 2" xfId="6194" xr:uid="{00000000-0005-0000-0000-00008D160000}"/>
    <cellStyle name="Normal 4 3 5 5 2 2" xfId="6195" xr:uid="{00000000-0005-0000-0000-00008E160000}"/>
    <cellStyle name="Normal 4 3 5 5 2 3" xfId="6196" xr:uid="{00000000-0005-0000-0000-00008F160000}"/>
    <cellStyle name="Normal 4 3 5 5 3" xfId="6197" xr:uid="{00000000-0005-0000-0000-000090160000}"/>
    <cellStyle name="Normal 4 3 5 5 4" xfId="6198" xr:uid="{00000000-0005-0000-0000-000091160000}"/>
    <cellStyle name="Normal 4 3 5 5 5" xfId="6199" xr:uid="{00000000-0005-0000-0000-000092160000}"/>
    <cellStyle name="Normal 4 3 5 6" xfId="6200" xr:uid="{00000000-0005-0000-0000-000093160000}"/>
    <cellStyle name="Normal 4 3 5 6 2" xfId="6201" xr:uid="{00000000-0005-0000-0000-000094160000}"/>
    <cellStyle name="Normal 4 3 5 6 3" xfId="6202" xr:uid="{00000000-0005-0000-0000-000095160000}"/>
    <cellStyle name="Normal 4 3 5 7" xfId="6203" xr:uid="{00000000-0005-0000-0000-000096160000}"/>
    <cellStyle name="Normal 4 3 5 8" xfId="6204" xr:uid="{00000000-0005-0000-0000-000097160000}"/>
    <cellStyle name="Normal 4 3 5 9" xfId="6205" xr:uid="{00000000-0005-0000-0000-000098160000}"/>
    <cellStyle name="Normal 4 3 6" xfId="6206" xr:uid="{00000000-0005-0000-0000-000099160000}"/>
    <cellStyle name="Normal 4 3 6 2" xfId="6207" xr:uid="{00000000-0005-0000-0000-00009A160000}"/>
    <cellStyle name="Normal 4 3 6 2 2" xfId="6208" xr:uid="{00000000-0005-0000-0000-00009B160000}"/>
    <cellStyle name="Normal 4 3 6 2 2 2" xfId="6209" xr:uid="{00000000-0005-0000-0000-00009C160000}"/>
    <cellStyle name="Normal 4 3 6 2 2 2 2" xfId="6210" xr:uid="{00000000-0005-0000-0000-00009D160000}"/>
    <cellStyle name="Normal 4 3 6 2 2 2 2 2" xfId="6211" xr:uid="{00000000-0005-0000-0000-00009E160000}"/>
    <cellStyle name="Normal 4 3 6 2 2 2 2 3" xfId="6212" xr:uid="{00000000-0005-0000-0000-00009F160000}"/>
    <cellStyle name="Normal 4 3 6 2 2 2 3" xfId="6213" xr:uid="{00000000-0005-0000-0000-0000A0160000}"/>
    <cellStyle name="Normal 4 3 6 2 2 2 4" xfId="6214" xr:uid="{00000000-0005-0000-0000-0000A1160000}"/>
    <cellStyle name="Normal 4 3 6 2 2 2 5" xfId="6215" xr:uid="{00000000-0005-0000-0000-0000A2160000}"/>
    <cellStyle name="Normal 4 3 6 2 2 3" xfId="6216" xr:uid="{00000000-0005-0000-0000-0000A3160000}"/>
    <cellStyle name="Normal 4 3 6 2 2 3 2" xfId="6217" xr:uid="{00000000-0005-0000-0000-0000A4160000}"/>
    <cellStyle name="Normal 4 3 6 2 2 3 2 2" xfId="6218" xr:uid="{00000000-0005-0000-0000-0000A5160000}"/>
    <cellStyle name="Normal 4 3 6 2 2 3 2 3" xfId="6219" xr:uid="{00000000-0005-0000-0000-0000A6160000}"/>
    <cellStyle name="Normal 4 3 6 2 2 3 3" xfId="6220" xr:uid="{00000000-0005-0000-0000-0000A7160000}"/>
    <cellStyle name="Normal 4 3 6 2 2 3 4" xfId="6221" xr:uid="{00000000-0005-0000-0000-0000A8160000}"/>
    <cellStyle name="Normal 4 3 6 2 2 3 5" xfId="6222" xr:uid="{00000000-0005-0000-0000-0000A9160000}"/>
    <cellStyle name="Normal 4 3 6 2 2 4" xfId="6223" xr:uid="{00000000-0005-0000-0000-0000AA160000}"/>
    <cellStyle name="Normal 4 3 6 2 2 4 2" xfId="6224" xr:uid="{00000000-0005-0000-0000-0000AB160000}"/>
    <cellStyle name="Normal 4 3 6 2 2 4 3" xfId="6225" xr:uid="{00000000-0005-0000-0000-0000AC160000}"/>
    <cellStyle name="Normal 4 3 6 2 2 5" xfId="6226" xr:uid="{00000000-0005-0000-0000-0000AD160000}"/>
    <cellStyle name="Normal 4 3 6 2 2 6" xfId="6227" xr:uid="{00000000-0005-0000-0000-0000AE160000}"/>
    <cellStyle name="Normal 4 3 6 2 2 7" xfId="6228" xr:uid="{00000000-0005-0000-0000-0000AF160000}"/>
    <cellStyle name="Normal 4 3 6 2 3" xfId="6229" xr:uid="{00000000-0005-0000-0000-0000B0160000}"/>
    <cellStyle name="Normal 4 3 6 2 3 2" xfId="6230" xr:uid="{00000000-0005-0000-0000-0000B1160000}"/>
    <cellStyle name="Normal 4 3 6 2 3 2 2" xfId="6231" xr:uid="{00000000-0005-0000-0000-0000B2160000}"/>
    <cellStyle name="Normal 4 3 6 2 3 2 3" xfId="6232" xr:uid="{00000000-0005-0000-0000-0000B3160000}"/>
    <cellStyle name="Normal 4 3 6 2 3 3" xfId="6233" xr:uid="{00000000-0005-0000-0000-0000B4160000}"/>
    <cellStyle name="Normal 4 3 6 2 3 4" xfId="6234" xr:uid="{00000000-0005-0000-0000-0000B5160000}"/>
    <cellStyle name="Normal 4 3 6 2 3 5" xfId="6235" xr:uid="{00000000-0005-0000-0000-0000B6160000}"/>
    <cellStyle name="Normal 4 3 6 2 4" xfId="6236" xr:uid="{00000000-0005-0000-0000-0000B7160000}"/>
    <cellStyle name="Normal 4 3 6 2 4 2" xfId="6237" xr:uid="{00000000-0005-0000-0000-0000B8160000}"/>
    <cellStyle name="Normal 4 3 6 2 4 2 2" xfId="6238" xr:uid="{00000000-0005-0000-0000-0000B9160000}"/>
    <cellStyle name="Normal 4 3 6 2 4 2 3" xfId="6239" xr:uid="{00000000-0005-0000-0000-0000BA160000}"/>
    <cellStyle name="Normal 4 3 6 2 4 3" xfId="6240" xr:uid="{00000000-0005-0000-0000-0000BB160000}"/>
    <cellStyle name="Normal 4 3 6 2 4 4" xfId="6241" xr:uid="{00000000-0005-0000-0000-0000BC160000}"/>
    <cellStyle name="Normal 4 3 6 2 4 5" xfId="6242" xr:uid="{00000000-0005-0000-0000-0000BD160000}"/>
    <cellStyle name="Normal 4 3 6 2 5" xfId="6243" xr:uid="{00000000-0005-0000-0000-0000BE160000}"/>
    <cellStyle name="Normal 4 3 6 2 5 2" xfId="6244" xr:uid="{00000000-0005-0000-0000-0000BF160000}"/>
    <cellStyle name="Normal 4 3 6 2 5 3" xfId="6245" xr:uid="{00000000-0005-0000-0000-0000C0160000}"/>
    <cellStyle name="Normal 4 3 6 2 6" xfId="6246" xr:uid="{00000000-0005-0000-0000-0000C1160000}"/>
    <cellStyle name="Normal 4 3 6 2 7" xfId="6247" xr:uid="{00000000-0005-0000-0000-0000C2160000}"/>
    <cellStyle name="Normal 4 3 6 2 8" xfId="6248" xr:uid="{00000000-0005-0000-0000-0000C3160000}"/>
    <cellStyle name="Normal 4 3 6 3" xfId="6249" xr:uid="{00000000-0005-0000-0000-0000C4160000}"/>
    <cellStyle name="Normal 4 3 6 3 2" xfId="6250" xr:uid="{00000000-0005-0000-0000-0000C5160000}"/>
    <cellStyle name="Normal 4 3 6 3 2 2" xfId="6251" xr:uid="{00000000-0005-0000-0000-0000C6160000}"/>
    <cellStyle name="Normal 4 3 6 3 2 2 2" xfId="6252" xr:uid="{00000000-0005-0000-0000-0000C7160000}"/>
    <cellStyle name="Normal 4 3 6 3 2 2 3" xfId="6253" xr:uid="{00000000-0005-0000-0000-0000C8160000}"/>
    <cellStyle name="Normal 4 3 6 3 2 3" xfId="6254" xr:uid="{00000000-0005-0000-0000-0000C9160000}"/>
    <cellStyle name="Normal 4 3 6 3 2 4" xfId="6255" xr:uid="{00000000-0005-0000-0000-0000CA160000}"/>
    <cellStyle name="Normal 4 3 6 3 2 5" xfId="6256" xr:uid="{00000000-0005-0000-0000-0000CB160000}"/>
    <cellStyle name="Normal 4 3 6 3 3" xfId="6257" xr:uid="{00000000-0005-0000-0000-0000CC160000}"/>
    <cellStyle name="Normal 4 3 6 3 3 2" xfId="6258" xr:uid="{00000000-0005-0000-0000-0000CD160000}"/>
    <cellStyle name="Normal 4 3 6 3 3 2 2" xfId="6259" xr:uid="{00000000-0005-0000-0000-0000CE160000}"/>
    <cellStyle name="Normal 4 3 6 3 3 2 3" xfId="6260" xr:uid="{00000000-0005-0000-0000-0000CF160000}"/>
    <cellStyle name="Normal 4 3 6 3 3 3" xfId="6261" xr:uid="{00000000-0005-0000-0000-0000D0160000}"/>
    <cellStyle name="Normal 4 3 6 3 3 4" xfId="6262" xr:uid="{00000000-0005-0000-0000-0000D1160000}"/>
    <cellStyle name="Normal 4 3 6 3 3 5" xfId="6263" xr:uid="{00000000-0005-0000-0000-0000D2160000}"/>
    <cellStyle name="Normal 4 3 6 3 4" xfId="6264" xr:uid="{00000000-0005-0000-0000-0000D3160000}"/>
    <cellStyle name="Normal 4 3 6 3 4 2" xfId="6265" xr:uid="{00000000-0005-0000-0000-0000D4160000}"/>
    <cellStyle name="Normal 4 3 6 3 4 3" xfId="6266" xr:uid="{00000000-0005-0000-0000-0000D5160000}"/>
    <cellStyle name="Normal 4 3 6 3 5" xfId="6267" xr:uid="{00000000-0005-0000-0000-0000D6160000}"/>
    <cellStyle name="Normal 4 3 6 3 6" xfId="6268" xr:uid="{00000000-0005-0000-0000-0000D7160000}"/>
    <cellStyle name="Normal 4 3 6 3 7" xfId="6269" xr:uid="{00000000-0005-0000-0000-0000D8160000}"/>
    <cellStyle name="Normal 4 3 6 4" xfId="6270" xr:uid="{00000000-0005-0000-0000-0000D9160000}"/>
    <cellStyle name="Normal 4 3 6 4 2" xfId="6271" xr:uid="{00000000-0005-0000-0000-0000DA160000}"/>
    <cellStyle name="Normal 4 3 6 4 2 2" xfId="6272" xr:uid="{00000000-0005-0000-0000-0000DB160000}"/>
    <cellStyle name="Normal 4 3 6 4 2 3" xfId="6273" xr:uid="{00000000-0005-0000-0000-0000DC160000}"/>
    <cellStyle name="Normal 4 3 6 4 3" xfId="6274" xr:uid="{00000000-0005-0000-0000-0000DD160000}"/>
    <cellStyle name="Normal 4 3 6 4 4" xfId="6275" xr:uid="{00000000-0005-0000-0000-0000DE160000}"/>
    <cellStyle name="Normal 4 3 6 4 5" xfId="6276" xr:uid="{00000000-0005-0000-0000-0000DF160000}"/>
    <cellStyle name="Normal 4 3 6 5" xfId="6277" xr:uid="{00000000-0005-0000-0000-0000E0160000}"/>
    <cellStyle name="Normal 4 3 6 5 2" xfId="6278" xr:uid="{00000000-0005-0000-0000-0000E1160000}"/>
    <cellStyle name="Normal 4 3 6 5 2 2" xfId="6279" xr:uid="{00000000-0005-0000-0000-0000E2160000}"/>
    <cellStyle name="Normal 4 3 6 5 2 3" xfId="6280" xr:uid="{00000000-0005-0000-0000-0000E3160000}"/>
    <cellStyle name="Normal 4 3 6 5 3" xfId="6281" xr:uid="{00000000-0005-0000-0000-0000E4160000}"/>
    <cellStyle name="Normal 4 3 6 5 4" xfId="6282" xr:uid="{00000000-0005-0000-0000-0000E5160000}"/>
    <cellStyle name="Normal 4 3 6 5 5" xfId="6283" xr:uid="{00000000-0005-0000-0000-0000E6160000}"/>
    <cellStyle name="Normal 4 3 6 6" xfId="6284" xr:uid="{00000000-0005-0000-0000-0000E7160000}"/>
    <cellStyle name="Normal 4 3 6 6 2" xfId="6285" xr:uid="{00000000-0005-0000-0000-0000E8160000}"/>
    <cellStyle name="Normal 4 3 6 6 3" xfId="6286" xr:uid="{00000000-0005-0000-0000-0000E9160000}"/>
    <cellStyle name="Normal 4 3 6 7" xfId="6287" xr:uid="{00000000-0005-0000-0000-0000EA160000}"/>
    <cellStyle name="Normal 4 3 6 8" xfId="6288" xr:uid="{00000000-0005-0000-0000-0000EB160000}"/>
    <cellStyle name="Normal 4 3 6 9" xfId="6289" xr:uid="{00000000-0005-0000-0000-0000EC160000}"/>
    <cellStyle name="Normal 4 3 7" xfId="6290" xr:uid="{00000000-0005-0000-0000-0000ED160000}"/>
    <cellStyle name="Normal 4 3 7 2" xfId="6291" xr:uid="{00000000-0005-0000-0000-0000EE160000}"/>
    <cellStyle name="Normal 4 3 7 2 2" xfId="6292" xr:uid="{00000000-0005-0000-0000-0000EF160000}"/>
    <cellStyle name="Normal 4 3 7 2 2 2" xfId="6293" xr:uid="{00000000-0005-0000-0000-0000F0160000}"/>
    <cellStyle name="Normal 4 3 7 2 2 2 2" xfId="6294" xr:uid="{00000000-0005-0000-0000-0000F1160000}"/>
    <cellStyle name="Normal 4 3 7 2 2 2 2 2" xfId="6295" xr:uid="{00000000-0005-0000-0000-0000F2160000}"/>
    <cellStyle name="Normal 4 3 7 2 2 2 2 3" xfId="6296" xr:uid="{00000000-0005-0000-0000-0000F3160000}"/>
    <cellStyle name="Normal 4 3 7 2 2 2 3" xfId="6297" xr:uid="{00000000-0005-0000-0000-0000F4160000}"/>
    <cellStyle name="Normal 4 3 7 2 2 2 4" xfId="6298" xr:uid="{00000000-0005-0000-0000-0000F5160000}"/>
    <cellStyle name="Normal 4 3 7 2 2 2 5" xfId="6299" xr:uid="{00000000-0005-0000-0000-0000F6160000}"/>
    <cellStyle name="Normal 4 3 7 2 2 3" xfId="6300" xr:uid="{00000000-0005-0000-0000-0000F7160000}"/>
    <cellStyle name="Normal 4 3 7 2 2 3 2" xfId="6301" xr:uid="{00000000-0005-0000-0000-0000F8160000}"/>
    <cellStyle name="Normal 4 3 7 2 2 3 2 2" xfId="6302" xr:uid="{00000000-0005-0000-0000-0000F9160000}"/>
    <cellStyle name="Normal 4 3 7 2 2 3 2 3" xfId="6303" xr:uid="{00000000-0005-0000-0000-0000FA160000}"/>
    <cellStyle name="Normal 4 3 7 2 2 3 3" xfId="6304" xr:uid="{00000000-0005-0000-0000-0000FB160000}"/>
    <cellStyle name="Normal 4 3 7 2 2 3 4" xfId="6305" xr:uid="{00000000-0005-0000-0000-0000FC160000}"/>
    <cellStyle name="Normal 4 3 7 2 2 3 5" xfId="6306" xr:uid="{00000000-0005-0000-0000-0000FD160000}"/>
    <cellStyle name="Normal 4 3 7 2 2 4" xfId="6307" xr:uid="{00000000-0005-0000-0000-0000FE160000}"/>
    <cellStyle name="Normal 4 3 7 2 2 4 2" xfId="6308" xr:uid="{00000000-0005-0000-0000-0000FF160000}"/>
    <cellStyle name="Normal 4 3 7 2 2 4 3" xfId="6309" xr:uid="{00000000-0005-0000-0000-000000170000}"/>
    <cellStyle name="Normal 4 3 7 2 2 5" xfId="6310" xr:uid="{00000000-0005-0000-0000-000001170000}"/>
    <cellStyle name="Normal 4 3 7 2 2 6" xfId="6311" xr:uid="{00000000-0005-0000-0000-000002170000}"/>
    <cellStyle name="Normal 4 3 7 2 2 7" xfId="6312" xr:uid="{00000000-0005-0000-0000-000003170000}"/>
    <cellStyle name="Normal 4 3 7 2 3" xfId="6313" xr:uid="{00000000-0005-0000-0000-000004170000}"/>
    <cellStyle name="Normal 4 3 7 2 3 2" xfId="6314" xr:uid="{00000000-0005-0000-0000-000005170000}"/>
    <cellStyle name="Normal 4 3 7 2 3 2 2" xfId="6315" xr:uid="{00000000-0005-0000-0000-000006170000}"/>
    <cellStyle name="Normal 4 3 7 2 3 2 3" xfId="6316" xr:uid="{00000000-0005-0000-0000-000007170000}"/>
    <cellStyle name="Normal 4 3 7 2 3 3" xfId="6317" xr:uid="{00000000-0005-0000-0000-000008170000}"/>
    <cellStyle name="Normal 4 3 7 2 3 4" xfId="6318" xr:uid="{00000000-0005-0000-0000-000009170000}"/>
    <cellStyle name="Normal 4 3 7 2 3 5" xfId="6319" xr:uid="{00000000-0005-0000-0000-00000A170000}"/>
    <cellStyle name="Normal 4 3 7 2 4" xfId="6320" xr:uid="{00000000-0005-0000-0000-00000B170000}"/>
    <cellStyle name="Normal 4 3 7 2 4 2" xfId="6321" xr:uid="{00000000-0005-0000-0000-00000C170000}"/>
    <cellStyle name="Normal 4 3 7 2 4 2 2" xfId="6322" xr:uid="{00000000-0005-0000-0000-00000D170000}"/>
    <cellStyle name="Normal 4 3 7 2 4 2 3" xfId="6323" xr:uid="{00000000-0005-0000-0000-00000E170000}"/>
    <cellStyle name="Normal 4 3 7 2 4 3" xfId="6324" xr:uid="{00000000-0005-0000-0000-00000F170000}"/>
    <cellStyle name="Normal 4 3 7 2 4 4" xfId="6325" xr:uid="{00000000-0005-0000-0000-000010170000}"/>
    <cellStyle name="Normal 4 3 7 2 4 5" xfId="6326" xr:uid="{00000000-0005-0000-0000-000011170000}"/>
    <cellStyle name="Normal 4 3 7 2 5" xfId="6327" xr:uid="{00000000-0005-0000-0000-000012170000}"/>
    <cellStyle name="Normal 4 3 7 2 5 2" xfId="6328" xr:uid="{00000000-0005-0000-0000-000013170000}"/>
    <cellStyle name="Normal 4 3 7 2 5 3" xfId="6329" xr:uid="{00000000-0005-0000-0000-000014170000}"/>
    <cellStyle name="Normal 4 3 7 2 6" xfId="6330" xr:uid="{00000000-0005-0000-0000-000015170000}"/>
    <cellStyle name="Normal 4 3 7 2 7" xfId="6331" xr:uid="{00000000-0005-0000-0000-000016170000}"/>
    <cellStyle name="Normal 4 3 7 2 8" xfId="6332" xr:uid="{00000000-0005-0000-0000-000017170000}"/>
    <cellStyle name="Normal 4 3 7 3" xfId="6333" xr:uid="{00000000-0005-0000-0000-000018170000}"/>
    <cellStyle name="Normal 4 3 7 3 2" xfId="6334" xr:uid="{00000000-0005-0000-0000-000019170000}"/>
    <cellStyle name="Normal 4 3 7 3 2 2" xfId="6335" xr:uid="{00000000-0005-0000-0000-00001A170000}"/>
    <cellStyle name="Normal 4 3 7 3 2 2 2" xfId="6336" xr:uid="{00000000-0005-0000-0000-00001B170000}"/>
    <cellStyle name="Normal 4 3 7 3 2 2 3" xfId="6337" xr:uid="{00000000-0005-0000-0000-00001C170000}"/>
    <cellStyle name="Normal 4 3 7 3 2 3" xfId="6338" xr:uid="{00000000-0005-0000-0000-00001D170000}"/>
    <cellStyle name="Normal 4 3 7 3 2 4" xfId="6339" xr:uid="{00000000-0005-0000-0000-00001E170000}"/>
    <cellStyle name="Normal 4 3 7 3 2 5" xfId="6340" xr:uid="{00000000-0005-0000-0000-00001F170000}"/>
    <cellStyle name="Normal 4 3 7 3 3" xfId="6341" xr:uid="{00000000-0005-0000-0000-000020170000}"/>
    <cellStyle name="Normal 4 3 7 3 3 2" xfId="6342" xr:uid="{00000000-0005-0000-0000-000021170000}"/>
    <cellStyle name="Normal 4 3 7 3 3 2 2" xfId="6343" xr:uid="{00000000-0005-0000-0000-000022170000}"/>
    <cellStyle name="Normal 4 3 7 3 3 2 3" xfId="6344" xr:uid="{00000000-0005-0000-0000-000023170000}"/>
    <cellStyle name="Normal 4 3 7 3 3 3" xfId="6345" xr:uid="{00000000-0005-0000-0000-000024170000}"/>
    <cellStyle name="Normal 4 3 7 3 3 4" xfId="6346" xr:uid="{00000000-0005-0000-0000-000025170000}"/>
    <cellStyle name="Normal 4 3 7 3 3 5" xfId="6347" xr:uid="{00000000-0005-0000-0000-000026170000}"/>
    <cellStyle name="Normal 4 3 7 3 4" xfId="6348" xr:uid="{00000000-0005-0000-0000-000027170000}"/>
    <cellStyle name="Normal 4 3 7 3 4 2" xfId="6349" xr:uid="{00000000-0005-0000-0000-000028170000}"/>
    <cellStyle name="Normal 4 3 7 3 4 3" xfId="6350" xr:uid="{00000000-0005-0000-0000-000029170000}"/>
    <cellStyle name="Normal 4 3 7 3 5" xfId="6351" xr:uid="{00000000-0005-0000-0000-00002A170000}"/>
    <cellStyle name="Normal 4 3 7 3 6" xfId="6352" xr:uid="{00000000-0005-0000-0000-00002B170000}"/>
    <cellStyle name="Normal 4 3 7 3 7" xfId="6353" xr:uid="{00000000-0005-0000-0000-00002C170000}"/>
    <cellStyle name="Normal 4 3 7 4" xfId="6354" xr:uid="{00000000-0005-0000-0000-00002D170000}"/>
    <cellStyle name="Normal 4 3 7 4 2" xfId="6355" xr:uid="{00000000-0005-0000-0000-00002E170000}"/>
    <cellStyle name="Normal 4 3 7 4 2 2" xfId="6356" xr:uid="{00000000-0005-0000-0000-00002F170000}"/>
    <cellStyle name="Normal 4 3 7 4 2 3" xfId="6357" xr:uid="{00000000-0005-0000-0000-000030170000}"/>
    <cellStyle name="Normal 4 3 7 4 3" xfId="6358" xr:uid="{00000000-0005-0000-0000-000031170000}"/>
    <cellStyle name="Normal 4 3 7 4 4" xfId="6359" xr:uid="{00000000-0005-0000-0000-000032170000}"/>
    <cellStyle name="Normal 4 3 7 4 5" xfId="6360" xr:uid="{00000000-0005-0000-0000-000033170000}"/>
    <cellStyle name="Normal 4 3 7 5" xfId="6361" xr:uid="{00000000-0005-0000-0000-000034170000}"/>
    <cellStyle name="Normal 4 3 7 5 2" xfId="6362" xr:uid="{00000000-0005-0000-0000-000035170000}"/>
    <cellStyle name="Normal 4 3 7 5 2 2" xfId="6363" xr:uid="{00000000-0005-0000-0000-000036170000}"/>
    <cellStyle name="Normal 4 3 7 5 2 3" xfId="6364" xr:uid="{00000000-0005-0000-0000-000037170000}"/>
    <cellStyle name="Normal 4 3 7 5 3" xfId="6365" xr:uid="{00000000-0005-0000-0000-000038170000}"/>
    <cellStyle name="Normal 4 3 7 5 4" xfId="6366" xr:uid="{00000000-0005-0000-0000-000039170000}"/>
    <cellStyle name="Normal 4 3 7 5 5" xfId="6367" xr:uid="{00000000-0005-0000-0000-00003A170000}"/>
    <cellStyle name="Normal 4 3 7 6" xfId="6368" xr:uid="{00000000-0005-0000-0000-00003B170000}"/>
    <cellStyle name="Normal 4 3 7 6 2" xfId="6369" xr:uid="{00000000-0005-0000-0000-00003C170000}"/>
    <cellStyle name="Normal 4 3 7 6 3" xfId="6370" xr:uid="{00000000-0005-0000-0000-00003D170000}"/>
    <cellStyle name="Normal 4 3 7 7" xfId="6371" xr:uid="{00000000-0005-0000-0000-00003E170000}"/>
    <cellStyle name="Normal 4 3 7 8" xfId="6372" xr:uid="{00000000-0005-0000-0000-00003F170000}"/>
    <cellStyle name="Normal 4 3 7 9" xfId="6373" xr:uid="{00000000-0005-0000-0000-000040170000}"/>
    <cellStyle name="Normal 4 3 8" xfId="6374" xr:uid="{00000000-0005-0000-0000-000041170000}"/>
    <cellStyle name="Normal 4 3 8 2" xfId="6375" xr:uid="{00000000-0005-0000-0000-000042170000}"/>
    <cellStyle name="Normal 4 3 8 2 2" xfId="6376" xr:uid="{00000000-0005-0000-0000-000043170000}"/>
    <cellStyle name="Normal 4 3 8 2 2 2" xfId="6377" xr:uid="{00000000-0005-0000-0000-000044170000}"/>
    <cellStyle name="Normal 4 3 8 2 2 2 2" xfId="6378" xr:uid="{00000000-0005-0000-0000-000045170000}"/>
    <cellStyle name="Normal 4 3 8 2 2 2 3" xfId="6379" xr:uid="{00000000-0005-0000-0000-000046170000}"/>
    <cellStyle name="Normal 4 3 8 2 2 3" xfId="6380" xr:uid="{00000000-0005-0000-0000-000047170000}"/>
    <cellStyle name="Normal 4 3 8 2 2 4" xfId="6381" xr:uid="{00000000-0005-0000-0000-000048170000}"/>
    <cellStyle name="Normal 4 3 8 2 2 5" xfId="6382" xr:uid="{00000000-0005-0000-0000-000049170000}"/>
    <cellStyle name="Normal 4 3 8 2 3" xfId="6383" xr:uid="{00000000-0005-0000-0000-00004A170000}"/>
    <cellStyle name="Normal 4 3 8 2 3 2" xfId="6384" xr:uid="{00000000-0005-0000-0000-00004B170000}"/>
    <cellStyle name="Normal 4 3 8 2 3 2 2" xfId="6385" xr:uid="{00000000-0005-0000-0000-00004C170000}"/>
    <cellStyle name="Normal 4 3 8 2 3 2 3" xfId="6386" xr:uid="{00000000-0005-0000-0000-00004D170000}"/>
    <cellStyle name="Normal 4 3 8 2 3 3" xfId="6387" xr:uid="{00000000-0005-0000-0000-00004E170000}"/>
    <cellStyle name="Normal 4 3 8 2 3 4" xfId="6388" xr:uid="{00000000-0005-0000-0000-00004F170000}"/>
    <cellStyle name="Normal 4 3 8 2 3 5" xfId="6389" xr:uid="{00000000-0005-0000-0000-000050170000}"/>
    <cellStyle name="Normal 4 3 8 2 4" xfId="6390" xr:uid="{00000000-0005-0000-0000-000051170000}"/>
    <cellStyle name="Normal 4 3 8 2 4 2" xfId="6391" xr:uid="{00000000-0005-0000-0000-000052170000}"/>
    <cellStyle name="Normal 4 3 8 2 4 3" xfId="6392" xr:uid="{00000000-0005-0000-0000-000053170000}"/>
    <cellStyle name="Normal 4 3 8 2 5" xfId="6393" xr:uid="{00000000-0005-0000-0000-000054170000}"/>
    <cellStyle name="Normal 4 3 8 2 6" xfId="6394" xr:uid="{00000000-0005-0000-0000-000055170000}"/>
    <cellStyle name="Normal 4 3 8 2 7" xfId="6395" xr:uid="{00000000-0005-0000-0000-000056170000}"/>
    <cellStyle name="Normal 4 3 8 3" xfId="6396" xr:uid="{00000000-0005-0000-0000-000057170000}"/>
    <cellStyle name="Normal 4 3 8 3 2" xfId="6397" xr:uid="{00000000-0005-0000-0000-000058170000}"/>
    <cellStyle name="Normal 4 3 8 3 2 2" xfId="6398" xr:uid="{00000000-0005-0000-0000-000059170000}"/>
    <cellStyle name="Normal 4 3 8 3 2 3" xfId="6399" xr:uid="{00000000-0005-0000-0000-00005A170000}"/>
    <cellStyle name="Normal 4 3 8 3 3" xfId="6400" xr:uid="{00000000-0005-0000-0000-00005B170000}"/>
    <cellStyle name="Normal 4 3 8 3 4" xfId="6401" xr:uid="{00000000-0005-0000-0000-00005C170000}"/>
    <cellStyle name="Normal 4 3 8 3 5" xfId="6402" xr:uid="{00000000-0005-0000-0000-00005D170000}"/>
    <cellStyle name="Normal 4 3 8 4" xfId="6403" xr:uid="{00000000-0005-0000-0000-00005E170000}"/>
    <cellStyle name="Normal 4 3 8 4 2" xfId="6404" xr:uid="{00000000-0005-0000-0000-00005F170000}"/>
    <cellStyle name="Normal 4 3 8 4 2 2" xfId="6405" xr:uid="{00000000-0005-0000-0000-000060170000}"/>
    <cellStyle name="Normal 4 3 8 4 2 3" xfId="6406" xr:uid="{00000000-0005-0000-0000-000061170000}"/>
    <cellStyle name="Normal 4 3 8 4 3" xfId="6407" xr:uid="{00000000-0005-0000-0000-000062170000}"/>
    <cellStyle name="Normal 4 3 8 4 4" xfId="6408" xr:uid="{00000000-0005-0000-0000-000063170000}"/>
    <cellStyle name="Normal 4 3 8 4 5" xfId="6409" xr:uid="{00000000-0005-0000-0000-000064170000}"/>
    <cellStyle name="Normal 4 3 8 5" xfId="6410" xr:uid="{00000000-0005-0000-0000-000065170000}"/>
    <cellStyle name="Normal 4 3 8 5 2" xfId="6411" xr:uid="{00000000-0005-0000-0000-000066170000}"/>
    <cellStyle name="Normal 4 3 8 5 3" xfId="6412" xr:uid="{00000000-0005-0000-0000-000067170000}"/>
    <cellStyle name="Normal 4 3 8 6" xfId="6413" xr:uid="{00000000-0005-0000-0000-000068170000}"/>
    <cellStyle name="Normal 4 3 8 7" xfId="6414" xr:uid="{00000000-0005-0000-0000-000069170000}"/>
    <cellStyle name="Normal 4 3 8 8" xfId="6415" xr:uid="{00000000-0005-0000-0000-00006A170000}"/>
    <cellStyle name="Normal 4 3 9" xfId="6416" xr:uid="{00000000-0005-0000-0000-00006B170000}"/>
    <cellStyle name="Normal 4 3 9 2" xfId="6417" xr:uid="{00000000-0005-0000-0000-00006C170000}"/>
    <cellStyle name="Normal 4 3 9 2 2" xfId="6418" xr:uid="{00000000-0005-0000-0000-00006D170000}"/>
    <cellStyle name="Normal 4 3 9 2 2 2" xfId="6419" xr:uid="{00000000-0005-0000-0000-00006E170000}"/>
    <cellStyle name="Normal 4 3 9 2 2 3" xfId="6420" xr:uid="{00000000-0005-0000-0000-00006F170000}"/>
    <cellStyle name="Normal 4 3 9 2 3" xfId="6421" xr:uid="{00000000-0005-0000-0000-000070170000}"/>
    <cellStyle name="Normal 4 3 9 2 4" xfId="6422" xr:uid="{00000000-0005-0000-0000-000071170000}"/>
    <cellStyle name="Normal 4 3 9 2 5" xfId="6423" xr:uid="{00000000-0005-0000-0000-000072170000}"/>
    <cellStyle name="Normal 4 3 9 3" xfId="6424" xr:uid="{00000000-0005-0000-0000-000073170000}"/>
    <cellStyle name="Normal 4 3 9 3 2" xfId="6425" xr:uid="{00000000-0005-0000-0000-000074170000}"/>
    <cellStyle name="Normal 4 3 9 3 2 2" xfId="6426" xr:uid="{00000000-0005-0000-0000-000075170000}"/>
    <cellStyle name="Normal 4 3 9 3 2 3" xfId="6427" xr:uid="{00000000-0005-0000-0000-000076170000}"/>
    <cellStyle name="Normal 4 3 9 3 3" xfId="6428" xr:uid="{00000000-0005-0000-0000-000077170000}"/>
    <cellStyle name="Normal 4 3 9 3 4" xfId="6429" xr:uid="{00000000-0005-0000-0000-000078170000}"/>
    <cellStyle name="Normal 4 3 9 3 5" xfId="6430" xr:uid="{00000000-0005-0000-0000-000079170000}"/>
    <cellStyle name="Normal 4 3 9 4" xfId="6431" xr:uid="{00000000-0005-0000-0000-00007A170000}"/>
    <cellStyle name="Normal 4 3 9 4 2" xfId="6432" xr:uid="{00000000-0005-0000-0000-00007B170000}"/>
    <cellStyle name="Normal 4 3 9 4 3" xfId="6433" xr:uid="{00000000-0005-0000-0000-00007C170000}"/>
    <cellStyle name="Normal 4 3 9 5" xfId="6434" xr:uid="{00000000-0005-0000-0000-00007D170000}"/>
    <cellStyle name="Normal 4 3 9 6" xfId="6435" xr:uid="{00000000-0005-0000-0000-00007E170000}"/>
    <cellStyle name="Normal 4 3 9 7" xfId="6436" xr:uid="{00000000-0005-0000-0000-00007F170000}"/>
    <cellStyle name="Normal 4 4" xfId="601" xr:uid="{00000000-0005-0000-0000-000080170000}"/>
    <cellStyle name="Normal 4 4 10" xfId="6437" xr:uid="{00000000-0005-0000-0000-000081170000}"/>
    <cellStyle name="Normal 4 4 10 2" xfId="6438" xr:uid="{00000000-0005-0000-0000-000082170000}"/>
    <cellStyle name="Normal 4 4 10 2 2" xfId="6439" xr:uid="{00000000-0005-0000-0000-000083170000}"/>
    <cellStyle name="Normal 4 4 10 2 3" xfId="6440" xr:uid="{00000000-0005-0000-0000-000084170000}"/>
    <cellStyle name="Normal 4 4 10 3" xfId="6441" xr:uid="{00000000-0005-0000-0000-000085170000}"/>
    <cellStyle name="Normal 4 4 10 4" xfId="6442" xr:uid="{00000000-0005-0000-0000-000086170000}"/>
    <cellStyle name="Normal 4 4 10 5" xfId="6443" xr:uid="{00000000-0005-0000-0000-000087170000}"/>
    <cellStyle name="Normal 4 4 11" xfId="6444" xr:uid="{00000000-0005-0000-0000-000088170000}"/>
    <cellStyle name="Normal 4 4 11 2" xfId="6445" xr:uid="{00000000-0005-0000-0000-000089170000}"/>
    <cellStyle name="Normal 4 4 11 3" xfId="6446" xr:uid="{00000000-0005-0000-0000-00008A170000}"/>
    <cellStyle name="Normal 4 4 12" xfId="6447" xr:uid="{00000000-0005-0000-0000-00008B170000}"/>
    <cellStyle name="Normal 4 4 13" xfId="6448" xr:uid="{00000000-0005-0000-0000-00008C170000}"/>
    <cellStyle name="Normal 4 4 14" xfId="6449" xr:uid="{00000000-0005-0000-0000-00008D170000}"/>
    <cellStyle name="Normal 4 4 2" xfId="6450" xr:uid="{00000000-0005-0000-0000-00008E170000}"/>
    <cellStyle name="Normal 4 4 2 10" xfId="6451" xr:uid="{00000000-0005-0000-0000-00008F170000}"/>
    <cellStyle name="Normal 4 4 2 10 2" xfId="6452" xr:uid="{00000000-0005-0000-0000-000090170000}"/>
    <cellStyle name="Normal 4 4 2 10 3" xfId="6453" xr:uid="{00000000-0005-0000-0000-000091170000}"/>
    <cellStyle name="Normal 4 4 2 11" xfId="6454" xr:uid="{00000000-0005-0000-0000-000092170000}"/>
    <cellStyle name="Normal 4 4 2 12" xfId="6455" xr:uid="{00000000-0005-0000-0000-000093170000}"/>
    <cellStyle name="Normal 4 4 2 13" xfId="6456" xr:uid="{00000000-0005-0000-0000-000094170000}"/>
    <cellStyle name="Normal 4 4 2 2" xfId="6457" xr:uid="{00000000-0005-0000-0000-000095170000}"/>
    <cellStyle name="Normal 4 4 2 2 2" xfId="6458" xr:uid="{00000000-0005-0000-0000-000096170000}"/>
    <cellStyle name="Normal 4 4 2 2 2 2" xfId="6459" xr:uid="{00000000-0005-0000-0000-000097170000}"/>
    <cellStyle name="Normal 4 4 2 2 2 2 2" xfId="6460" xr:uid="{00000000-0005-0000-0000-000098170000}"/>
    <cellStyle name="Normal 4 4 2 2 2 2 2 2" xfId="6461" xr:uid="{00000000-0005-0000-0000-000099170000}"/>
    <cellStyle name="Normal 4 4 2 2 2 2 2 2 2" xfId="6462" xr:uid="{00000000-0005-0000-0000-00009A170000}"/>
    <cellStyle name="Normal 4 4 2 2 2 2 2 2 3" xfId="6463" xr:uid="{00000000-0005-0000-0000-00009B170000}"/>
    <cellStyle name="Normal 4 4 2 2 2 2 2 3" xfId="6464" xr:uid="{00000000-0005-0000-0000-00009C170000}"/>
    <cellStyle name="Normal 4 4 2 2 2 2 2 4" xfId="6465" xr:uid="{00000000-0005-0000-0000-00009D170000}"/>
    <cellStyle name="Normal 4 4 2 2 2 2 2 5" xfId="6466" xr:uid="{00000000-0005-0000-0000-00009E170000}"/>
    <cellStyle name="Normal 4 4 2 2 2 2 3" xfId="6467" xr:uid="{00000000-0005-0000-0000-00009F170000}"/>
    <cellStyle name="Normal 4 4 2 2 2 2 3 2" xfId="6468" xr:uid="{00000000-0005-0000-0000-0000A0170000}"/>
    <cellStyle name="Normal 4 4 2 2 2 2 3 2 2" xfId="6469" xr:uid="{00000000-0005-0000-0000-0000A1170000}"/>
    <cellStyle name="Normal 4 4 2 2 2 2 3 2 3" xfId="6470" xr:uid="{00000000-0005-0000-0000-0000A2170000}"/>
    <cellStyle name="Normal 4 4 2 2 2 2 3 3" xfId="6471" xr:uid="{00000000-0005-0000-0000-0000A3170000}"/>
    <cellStyle name="Normal 4 4 2 2 2 2 3 4" xfId="6472" xr:uid="{00000000-0005-0000-0000-0000A4170000}"/>
    <cellStyle name="Normal 4 4 2 2 2 2 3 5" xfId="6473" xr:uid="{00000000-0005-0000-0000-0000A5170000}"/>
    <cellStyle name="Normal 4 4 2 2 2 2 4" xfId="6474" xr:uid="{00000000-0005-0000-0000-0000A6170000}"/>
    <cellStyle name="Normal 4 4 2 2 2 2 4 2" xfId="6475" xr:uid="{00000000-0005-0000-0000-0000A7170000}"/>
    <cellStyle name="Normal 4 4 2 2 2 2 4 3" xfId="6476" xr:uid="{00000000-0005-0000-0000-0000A8170000}"/>
    <cellStyle name="Normal 4 4 2 2 2 2 5" xfId="6477" xr:uid="{00000000-0005-0000-0000-0000A9170000}"/>
    <cellStyle name="Normal 4 4 2 2 2 2 6" xfId="6478" xr:uid="{00000000-0005-0000-0000-0000AA170000}"/>
    <cellStyle name="Normal 4 4 2 2 2 2 7" xfId="6479" xr:uid="{00000000-0005-0000-0000-0000AB170000}"/>
    <cellStyle name="Normal 4 4 2 2 2 3" xfId="6480" xr:uid="{00000000-0005-0000-0000-0000AC170000}"/>
    <cellStyle name="Normal 4 4 2 2 2 3 2" xfId="6481" xr:uid="{00000000-0005-0000-0000-0000AD170000}"/>
    <cellStyle name="Normal 4 4 2 2 2 3 2 2" xfId="6482" xr:uid="{00000000-0005-0000-0000-0000AE170000}"/>
    <cellStyle name="Normal 4 4 2 2 2 3 2 3" xfId="6483" xr:uid="{00000000-0005-0000-0000-0000AF170000}"/>
    <cellStyle name="Normal 4 4 2 2 2 3 3" xfId="6484" xr:uid="{00000000-0005-0000-0000-0000B0170000}"/>
    <cellStyle name="Normal 4 4 2 2 2 3 4" xfId="6485" xr:uid="{00000000-0005-0000-0000-0000B1170000}"/>
    <cellStyle name="Normal 4 4 2 2 2 3 5" xfId="6486" xr:uid="{00000000-0005-0000-0000-0000B2170000}"/>
    <cellStyle name="Normal 4 4 2 2 2 4" xfId="6487" xr:uid="{00000000-0005-0000-0000-0000B3170000}"/>
    <cellStyle name="Normal 4 4 2 2 2 4 2" xfId="6488" xr:uid="{00000000-0005-0000-0000-0000B4170000}"/>
    <cellStyle name="Normal 4 4 2 2 2 4 2 2" xfId="6489" xr:uid="{00000000-0005-0000-0000-0000B5170000}"/>
    <cellStyle name="Normal 4 4 2 2 2 4 2 3" xfId="6490" xr:uid="{00000000-0005-0000-0000-0000B6170000}"/>
    <cellStyle name="Normal 4 4 2 2 2 4 3" xfId="6491" xr:uid="{00000000-0005-0000-0000-0000B7170000}"/>
    <cellStyle name="Normal 4 4 2 2 2 4 4" xfId="6492" xr:uid="{00000000-0005-0000-0000-0000B8170000}"/>
    <cellStyle name="Normal 4 4 2 2 2 4 5" xfId="6493" xr:uid="{00000000-0005-0000-0000-0000B9170000}"/>
    <cellStyle name="Normal 4 4 2 2 2 5" xfId="6494" xr:uid="{00000000-0005-0000-0000-0000BA170000}"/>
    <cellStyle name="Normal 4 4 2 2 2 5 2" xfId="6495" xr:uid="{00000000-0005-0000-0000-0000BB170000}"/>
    <cellStyle name="Normal 4 4 2 2 2 5 3" xfId="6496" xr:uid="{00000000-0005-0000-0000-0000BC170000}"/>
    <cellStyle name="Normal 4 4 2 2 2 6" xfId="6497" xr:uid="{00000000-0005-0000-0000-0000BD170000}"/>
    <cellStyle name="Normal 4 4 2 2 2 7" xfId="6498" xr:uid="{00000000-0005-0000-0000-0000BE170000}"/>
    <cellStyle name="Normal 4 4 2 2 2 8" xfId="6499" xr:uid="{00000000-0005-0000-0000-0000BF170000}"/>
    <cellStyle name="Normal 4 4 2 2 3" xfId="6500" xr:uid="{00000000-0005-0000-0000-0000C0170000}"/>
    <cellStyle name="Normal 4 4 2 2 3 2" xfId="6501" xr:uid="{00000000-0005-0000-0000-0000C1170000}"/>
    <cellStyle name="Normal 4 4 2 2 3 2 2" xfId="6502" xr:uid="{00000000-0005-0000-0000-0000C2170000}"/>
    <cellStyle name="Normal 4 4 2 2 3 2 2 2" xfId="6503" xr:uid="{00000000-0005-0000-0000-0000C3170000}"/>
    <cellStyle name="Normal 4 4 2 2 3 2 2 3" xfId="6504" xr:uid="{00000000-0005-0000-0000-0000C4170000}"/>
    <cellStyle name="Normal 4 4 2 2 3 2 3" xfId="6505" xr:uid="{00000000-0005-0000-0000-0000C5170000}"/>
    <cellStyle name="Normal 4 4 2 2 3 2 4" xfId="6506" xr:uid="{00000000-0005-0000-0000-0000C6170000}"/>
    <cellStyle name="Normal 4 4 2 2 3 2 5" xfId="6507" xr:uid="{00000000-0005-0000-0000-0000C7170000}"/>
    <cellStyle name="Normal 4 4 2 2 3 3" xfId="6508" xr:uid="{00000000-0005-0000-0000-0000C8170000}"/>
    <cellStyle name="Normal 4 4 2 2 3 3 2" xfId="6509" xr:uid="{00000000-0005-0000-0000-0000C9170000}"/>
    <cellStyle name="Normal 4 4 2 2 3 3 2 2" xfId="6510" xr:uid="{00000000-0005-0000-0000-0000CA170000}"/>
    <cellStyle name="Normal 4 4 2 2 3 3 2 3" xfId="6511" xr:uid="{00000000-0005-0000-0000-0000CB170000}"/>
    <cellStyle name="Normal 4 4 2 2 3 3 3" xfId="6512" xr:uid="{00000000-0005-0000-0000-0000CC170000}"/>
    <cellStyle name="Normal 4 4 2 2 3 3 4" xfId="6513" xr:uid="{00000000-0005-0000-0000-0000CD170000}"/>
    <cellStyle name="Normal 4 4 2 2 3 3 5" xfId="6514" xr:uid="{00000000-0005-0000-0000-0000CE170000}"/>
    <cellStyle name="Normal 4 4 2 2 3 4" xfId="6515" xr:uid="{00000000-0005-0000-0000-0000CF170000}"/>
    <cellStyle name="Normal 4 4 2 2 3 4 2" xfId="6516" xr:uid="{00000000-0005-0000-0000-0000D0170000}"/>
    <cellStyle name="Normal 4 4 2 2 3 4 3" xfId="6517" xr:uid="{00000000-0005-0000-0000-0000D1170000}"/>
    <cellStyle name="Normal 4 4 2 2 3 5" xfId="6518" xr:uid="{00000000-0005-0000-0000-0000D2170000}"/>
    <cellStyle name="Normal 4 4 2 2 3 6" xfId="6519" xr:uid="{00000000-0005-0000-0000-0000D3170000}"/>
    <cellStyle name="Normal 4 4 2 2 3 7" xfId="6520" xr:uid="{00000000-0005-0000-0000-0000D4170000}"/>
    <cellStyle name="Normal 4 4 2 2 4" xfId="6521" xr:uid="{00000000-0005-0000-0000-0000D5170000}"/>
    <cellStyle name="Normal 4 4 2 2 4 2" xfId="6522" xr:uid="{00000000-0005-0000-0000-0000D6170000}"/>
    <cellStyle name="Normal 4 4 2 2 4 2 2" xfId="6523" xr:uid="{00000000-0005-0000-0000-0000D7170000}"/>
    <cellStyle name="Normal 4 4 2 2 4 2 3" xfId="6524" xr:uid="{00000000-0005-0000-0000-0000D8170000}"/>
    <cellStyle name="Normal 4 4 2 2 4 3" xfId="6525" xr:uid="{00000000-0005-0000-0000-0000D9170000}"/>
    <cellStyle name="Normal 4 4 2 2 4 4" xfId="6526" xr:uid="{00000000-0005-0000-0000-0000DA170000}"/>
    <cellStyle name="Normal 4 4 2 2 4 5" xfId="6527" xr:uid="{00000000-0005-0000-0000-0000DB170000}"/>
    <cellStyle name="Normal 4 4 2 2 5" xfId="6528" xr:uid="{00000000-0005-0000-0000-0000DC170000}"/>
    <cellStyle name="Normal 4 4 2 2 5 2" xfId="6529" xr:uid="{00000000-0005-0000-0000-0000DD170000}"/>
    <cellStyle name="Normal 4 4 2 2 5 2 2" xfId="6530" xr:uid="{00000000-0005-0000-0000-0000DE170000}"/>
    <cellStyle name="Normal 4 4 2 2 5 2 3" xfId="6531" xr:uid="{00000000-0005-0000-0000-0000DF170000}"/>
    <cellStyle name="Normal 4 4 2 2 5 3" xfId="6532" xr:uid="{00000000-0005-0000-0000-0000E0170000}"/>
    <cellStyle name="Normal 4 4 2 2 5 4" xfId="6533" xr:uid="{00000000-0005-0000-0000-0000E1170000}"/>
    <cellStyle name="Normal 4 4 2 2 5 5" xfId="6534" xr:uid="{00000000-0005-0000-0000-0000E2170000}"/>
    <cellStyle name="Normal 4 4 2 2 6" xfId="6535" xr:uid="{00000000-0005-0000-0000-0000E3170000}"/>
    <cellStyle name="Normal 4 4 2 2 6 2" xfId="6536" xr:uid="{00000000-0005-0000-0000-0000E4170000}"/>
    <cellStyle name="Normal 4 4 2 2 6 3" xfId="6537" xr:uid="{00000000-0005-0000-0000-0000E5170000}"/>
    <cellStyle name="Normal 4 4 2 2 7" xfId="6538" xr:uid="{00000000-0005-0000-0000-0000E6170000}"/>
    <cellStyle name="Normal 4 4 2 2 8" xfId="6539" xr:uid="{00000000-0005-0000-0000-0000E7170000}"/>
    <cellStyle name="Normal 4 4 2 2 9" xfId="6540" xr:uid="{00000000-0005-0000-0000-0000E8170000}"/>
    <cellStyle name="Normal 4 4 2 3" xfId="6541" xr:uid="{00000000-0005-0000-0000-0000E9170000}"/>
    <cellStyle name="Normal 4 4 2 3 2" xfId="6542" xr:uid="{00000000-0005-0000-0000-0000EA170000}"/>
    <cellStyle name="Normal 4 4 2 3 2 2" xfId="6543" xr:uid="{00000000-0005-0000-0000-0000EB170000}"/>
    <cellStyle name="Normal 4 4 2 3 2 2 2" xfId="6544" xr:uid="{00000000-0005-0000-0000-0000EC170000}"/>
    <cellStyle name="Normal 4 4 2 3 2 2 2 2" xfId="6545" xr:uid="{00000000-0005-0000-0000-0000ED170000}"/>
    <cellStyle name="Normal 4 4 2 3 2 2 2 2 2" xfId="6546" xr:uid="{00000000-0005-0000-0000-0000EE170000}"/>
    <cellStyle name="Normal 4 4 2 3 2 2 2 2 3" xfId="6547" xr:uid="{00000000-0005-0000-0000-0000EF170000}"/>
    <cellStyle name="Normal 4 4 2 3 2 2 2 3" xfId="6548" xr:uid="{00000000-0005-0000-0000-0000F0170000}"/>
    <cellStyle name="Normal 4 4 2 3 2 2 2 4" xfId="6549" xr:uid="{00000000-0005-0000-0000-0000F1170000}"/>
    <cellStyle name="Normal 4 4 2 3 2 2 2 5" xfId="6550" xr:uid="{00000000-0005-0000-0000-0000F2170000}"/>
    <cellStyle name="Normal 4 4 2 3 2 2 3" xfId="6551" xr:uid="{00000000-0005-0000-0000-0000F3170000}"/>
    <cellStyle name="Normal 4 4 2 3 2 2 3 2" xfId="6552" xr:uid="{00000000-0005-0000-0000-0000F4170000}"/>
    <cellStyle name="Normal 4 4 2 3 2 2 3 2 2" xfId="6553" xr:uid="{00000000-0005-0000-0000-0000F5170000}"/>
    <cellStyle name="Normal 4 4 2 3 2 2 3 2 3" xfId="6554" xr:uid="{00000000-0005-0000-0000-0000F6170000}"/>
    <cellStyle name="Normal 4 4 2 3 2 2 3 3" xfId="6555" xr:uid="{00000000-0005-0000-0000-0000F7170000}"/>
    <cellStyle name="Normal 4 4 2 3 2 2 3 4" xfId="6556" xr:uid="{00000000-0005-0000-0000-0000F8170000}"/>
    <cellStyle name="Normal 4 4 2 3 2 2 3 5" xfId="6557" xr:uid="{00000000-0005-0000-0000-0000F9170000}"/>
    <cellStyle name="Normal 4 4 2 3 2 2 4" xfId="6558" xr:uid="{00000000-0005-0000-0000-0000FA170000}"/>
    <cellStyle name="Normal 4 4 2 3 2 2 4 2" xfId="6559" xr:uid="{00000000-0005-0000-0000-0000FB170000}"/>
    <cellStyle name="Normal 4 4 2 3 2 2 4 3" xfId="6560" xr:uid="{00000000-0005-0000-0000-0000FC170000}"/>
    <cellStyle name="Normal 4 4 2 3 2 2 5" xfId="6561" xr:uid="{00000000-0005-0000-0000-0000FD170000}"/>
    <cellStyle name="Normal 4 4 2 3 2 2 6" xfId="6562" xr:uid="{00000000-0005-0000-0000-0000FE170000}"/>
    <cellStyle name="Normal 4 4 2 3 2 2 7" xfId="6563" xr:uid="{00000000-0005-0000-0000-0000FF170000}"/>
    <cellStyle name="Normal 4 4 2 3 2 3" xfId="6564" xr:uid="{00000000-0005-0000-0000-000000180000}"/>
    <cellStyle name="Normal 4 4 2 3 2 3 2" xfId="6565" xr:uid="{00000000-0005-0000-0000-000001180000}"/>
    <cellStyle name="Normal 4 4 2 3 2 3 2 2" xfId="6566" xr:uid="{00000000-0005-0000-0000-000002180000}"/>
    <cellStyle name="Normal 4 4 2 3 2 3 2 3" xfId="6567" xr:uid="{00000000-0005-0000-0000-000003180000}"/>
    <cellStyle name="Normal 4 4 2 3 2 3 3" xfId="6568" xr:uid="{00000000-0005-0000-0000-000004180000}"/>
    <cellStyle name="Normal 4 4 2 3 2 3 4" xfId="6569" xr:uid="{00000000-0005-0000-0000-000005180000}"/>
    <cellStyle name="Normal 4 4 2 3 2 3 5" xfId="6570" xr:uid="{00000000-0005-0000-0000-000006180000}"/>
    <cellStyle name="Normal 4 4 2 3 2 4" xfId="6571" xr:uid="{00000000-0005-0000-0000-000007180000}"/>
    <cellStyle name="Normal 4 4 2 3 2 4 2" xfId="6572" xr:uid="{00000000-0005-0000-0000-000008180000}"/>
    <cellStyle name="Normal 4 4 2 3 2 4 2 2" xfId="6573" xr:uid="{00000000-0005-0000-0000-000009180000}"/>
    <cellStyle name="Normal 4 4 2 3 2 4 2 3" xfId="6574" xr:uid="{00000000-0005-0000-0000-00000A180000}"/>
    <cellStyle name="Normal 4 4 2 3 2 4 3" xfId="6575" xr:uid="{00000000-0005-0000-0000-00000B180000}"/>
    <cellStyle name="Normal 4 4 2 3 2 4 4" xfId="6576" xr:uid="{00000000-0005-0000-0000-00000C180000}"/>
    <cellStyle name="Normal 4 4 2 3 2 4 5" xfId="6577" xr:uid="{00000000-0005-0000-0000-00000D180000}"/>
    <cellStyle name="Normal 4 4 2 3 2 5" xfId="6578" xr:uid="{00000000-0005-0000-0000-00000E180000}"/>
    <cellStyle name="Normal 4 4 2 3 2 5 2" xfId="6579" xr:uid="{00000000-0005-0000-0000-00000F180000}"/>
    <cellStyle name="Normal 4 4 2 3 2 5 3" xfId="6580" xr:uid="{00000000-0005-0000-0000-000010180000}"/>
    <cellStyle name="Normal 4 4 2 3 2 6" xfId="6581" xr:uid="{00000000-0005-0000-0000-000011180000}"/>
    <cellStyle name="Normal 4 4 2 3 2 7" xfId="6582" xr:uid="{00000000-0005-0000-0000-000012180000}"/>
    <cellStyle name="Normal 4 4 2 3 2 8" xfId="6583" xr:uid="{00000000-0005-0000-0000-000013180000}"/>
    <cellStyle name="Normal 4 4 2 3 3" xfId="6584" xr:uid="{00000000-0005-0000-0000-000014180000}"/>
    <cellStyle name="Normal 4 4 2 3 3 2" xfId="6585" xr:uid="{00000000-0005-0000-0000-000015180000}"/>
    <cellStyle name="Normal 4 4 2 3 3 2 2" xfId="6586" xr:uid="{00000000-0005-0000-0000-000016180000}"/>
    <cellStyle name="Normal 4 4 2 3 3 2 2 2" xfId="6587" xr:uid="{00000000-0005-0000-0000-000017180000}"/>
    <cellStyle name="Normal 4 4 2 3 3 2 2 3" xfId="6588" xr:uid="{00000000-0005-0000-0000-000018180000}"/>
    <cellStyle name="Normal 4 4 2 3 3 2 3" xfId="6589" xr:uid="{00000000-0005-0000-0000-000019180000}"/>
    <cellStyle name="Normal 4 4 2 3 3 2 4" xfId="6590" xr:uid="{00000000-0005-0000-0000-00001A180000}"/>
    <cellStyle name="Normal 4 4 2 3 3 2 5" xfId="6591" xr:uid="{00000000-0005-0000-0000-00001B180000}"/>
    <cellStyle name="Normal 4 4 2 3 3 3" xfId="6592" xr:uid="{00000000-0005-0000-0000-00001C180000}"/>
    <cellStyle name="Normal 4 4 2 3 3 3 2" xfId="6593" xr:uid="{00000000-0005-0000-0000-00001D180000}"/>
    <cellStyle name="Normal 4 4 2 3 3 3 2 2" xfId="6594" xr:uid="{00000000-0005-0000-0000-00001E180000}"/>
    <cellStyle name="Normal 4 4 2 3 3 3 2 3" xfId="6595" xr:uid="{00000000-0005-0000-0000-00001F180000}"/>
    <cellStyle name="Normal 4 4 2 3 3 3 3" xfId="6596" xr:uid="{00000000-0005-0000-0000-000020180000}"/>
    <cellStyle name="Normal 4 4 2 3 3 3 4" xfId="6597" xr:uid="{00000000-0005-0000-0000-000021180000}"/>
    <cellStyle name="Normal 4 4 2 3 3 3 5" xfId="6598" xr:uid="{00000000-0005-0000-0000-000022180000}"/>
    <cellStyle name="Normal 4 4 2 3 3 4" xfId="6599" xr:uid="{00000000-0005-0000-0000-000023180000}"/>
    <cellStyle name="Normal 4 4 2 3 3 4 2" xfId="6600" xr:uid="{00000000-0005-0000-0000-000024180000}"/>
    <cellStyle name="Normal 4 4 2 3 3 4 3" xfId="6601" xr:uid="{00000000-0005-0000-0000-000025180000}"/>
    <cellStyle name="Normal 4 4 2 3 3 5" xfId="6602" xr:uid="{00000000-0005-0000-0000-000026180000}"/>
    <cellStyle name="Normal 4 4 2 3 3 6" xfId="6603" xr:uid="{00000000-0005-0000-0000-000027180000}"/>
    <cellStyle name="Normal 4 4 2 3 3 7" xfId="6604" xr:uid="{00000000-0005-0000-0000-000028180000}"/>
    <cellStyle name="Normal 4 4 2 3 4" xfId="6605" xr:uid="{00000000-0005-0000-0000-000029180000}"/>
    <cellStyle name="Normal 4 4 2 3 4 2" xfId="6606" xr:uid="{00000000-0005-0000-0000-00002A180000}"/>
    <cellStyle name="Normal 4 4 2 3 4 2 2" xfId="6607" xr:uid="{00000000-0005-0000-0000-00002B180000}"/>
    <cellStyle name="Normal 4 4 2 3 4 2 3" xfId="6608" xr:uid="{00000000-0005-0000-0000-00002C180000}"/>
    <cellStyle name="Normal 4 4 2 3 4 3" xfId="6609" xr:uid="{00000000-0005-0000-0000-00002D180000}"/>
    <cellStyle name="Normal 4 4 2 3 4 4" xfId="6610" xr:uid="{00000000-0005-0000-0000-00002E180000}"/>
    <cellStyle name="Normal 4 4 2 3 4 5" xfId="6611" xr:uid="{00000000-0005-0000-0000-00002F180000}"/>
    <cellStyle name="Normal 4 4 2 3 5" xfId="6612" xr:uid="{00000000-0005-0000-0000-000030180000}"/>
    <cellStyle name="Normal 4 4 2 3 5 2" xfId="6613" xr:uid="{00000000-0005-0000-0000-000031180000}"/>
    <cellStyle name="Normal 4 4 2 3 5 2 2" xfId="6614" xr:uid="{00000000-0005-0000-0000-000032180000}"/>
    <cellStyle name="Normal 4 4 2 3 5 2 3" xfId="6615" xr:uid="{00000000-0005-0000-0000-000033180000}"/>
    <cellStyle name="Normal 4 4 2 3 5 3" xfId="6616" xr:uid="{00000000-0005-0000-0000-000034180000}"/>
    <cellStyle name="Normal 4 4 2 3 5 4" xfId="6617" xr:uid="{00000000-0005-0000-0000-000035180000}"/>
    <cellStyle name="Normal 4 4 2 3 5 5" xfId="6618" xr:uid="{00000000-0005-0000-0000-000036180000}"/>
    <cellStyle name="Normal 4 4 2 3 6" xfId="6619" xr:uid="{00000000-0005-0000-0000-000037180000}"/>
    <cellStyle name="Normal 4 4 2 3 6 2" xfId="6620" xr:uid="{00000000-0005-0000-0000-000038180000}"/>
    <cellStyle name="Normal 4 4 2 3 6 3" xfId="6621" xr:uid="{00000000-0005-0000-0000-000039180000}"/>
    <cellStyle name="Normal 4 4 2 3 7" xfId="6622" xr:uid="{00000000-0005-0000-0000-00003A180000}"/>
    <cellStyle name="Normal 4 4 2 3 8" xfId="6623" xr:uid="{00000000-0005-0000-0000-00003B180000}"/>
    <cellStyle name="Normal 4 4 2 3 9" xfId="6624" xr:uid="{00000000-0005-0000-0000-00003C180000}"/>
    <cellStyle name="Normal 4 4 2 4" xfId="6625" xr:uid="{00000000-0005-0000-0000-00003D180000}"/>
    <cellStyle name="Normal 4 4 2 4 2" xfId="6626" xr:uid="{00000000-0005-0000-0000-00003E180000}"/>
    <cellStyle name="Normal 4 4 2 4 2 2" xfId="6627" xr:uid="{00000000-0005-0000-0000-00003F180000}"/>
    <cellStyle name="Normal 4 4 2 4 2 2 2" xfId="6628" xr:uid="{00000000-0005-0000-0000-000040180000}"/>
    <cellStyle name="Normal 4 4 2 4 2 2 2 2" xfId="6629" xr:uid="{00000000-0005-0000-0000-000041180000}"/>
    <cellStyle name="Normal 4 4 2 4 2 2 2 2 2" xfId="6630" xr:uid="{00000000-0005-0000-0000-000042180000}"/>
    <cellStyle name="Normal 4 4 2 4 2 2 2 2 3" xfId="6631" xr:uid="{00000000-0005-0000-0000-000043180000}"/>
    <cellStyle name="Normal 4 4 2 4 2 2 2 3" xfId="6632" xr:uid="{00000000-0005-0000-0000-000044180000}"/>
    <cellStyle name="Normal 4 4 2 4 2 2 2 4" xfId="6633" xr:uid="{00000000-0005-0000-0000-000045180000}"/>
    <cellStyle name="Normal 4 4 2 4 2 2 2 5" xfId="6634" xr:uid="{00000000-0005-0000-0000-000046180000}"/>
    <cellStyle name="Normal 4 4 2 4 2 2 3" xfId="6635" xr:uid="{00000000-0005-0000-0000-000047180000}"/>
    <cellStyle name="Normal 4 4 2 4 2 2 3 2" xfId="6636" xr:uid="{00000000-0005-0000-0000-000048180000}"/>
    <cellStyle name="Normal 4 4 2 4 2 2 3 2 2" xfId="6637" xr:uid="{00000000-0005-0000-0000-000049180000}"/>
    <cellStyle name="Normal 4 4 2 4 2 2 3 2 3" xfId="6638" xr:uid="{00000000-0005-0000-0000-00004A180000}"/>
    <cellStyle name="Normal 4 4 2 4 2 2 3 3" xfId="6639" xr:uid="{00000000-0005-0000-0000-00004B180000}"/>
    <cellStyle name="Normal 4 4 2 4 2 2 3 4" xfId="6640" xr:uid="{00000000-0005-0000-0000-00004C180000}"/>
    <cellStyle name="Normal 4 4 2 4 2 2 3 5" xfId="6641" xr:uid="{00000000-0005-0000-0000-00004D180000}"/>
    <cellStyle name="Normal 4 4 2 4 2 2 4" xfId="6642" xr:uid="{00000000-0005-0000-0000-00004E180000}"/>
    <cellStyle name="Normal 4 4 2 4 2 2 4 2" xfId="6643" xr:uid="{00000000-0005-0000-0000-00004F180000}"/>
    <cellStyle name="Normal 4 4 2 4 2 2 4 3" xfId="6644" xr:uid="{00000000-0005-0000-0000-000050180000}"/>
    <cellStyle name="Normal 4 4 2 4 2 2 5" xfId="6645" xr:uid="{00000000-0005-0000-0000-000051180000}"/>
    <cellStyle name="Normal 4 4 2 4 2 2 6" xfId="6646" xr:uid="{00000000-0005-0000-0000-000052180000}"/>
    <cellStyle name="Normal 4 4 2 4 2 2 7" xfId="6647" xr:uid="{00000000-0005-0000-0000-000053180000}"/>
    <cellStyle name="Normal 4 4 2 4 2 3" xfId="6648" xr:uid="{00000000-0005-0000-0000-000054180000}"/>
    <cellStyle name="Normal 4 4 2 4 2 3 2" xfId="6649" xr:uid="{00000000-0005-0000-0000-000055180000}"/>
    <cellStyle name="Normal 4 4 2 4 2 3 2 2" xfId="6650" xr:uid="{00000000-0005-0000-0000-000056180000}"/>
    <cellStyle name="Normal 4 4 2 4 2 3 2 3" xfId="6651" xr:uid="{00000000-0005-0000-0000-000057180000}"/>
    <cellStyle name="Normal 4 4 2 4 2 3 3" xfId="6652" xr:uid="{00000000-0005-0000-0000-000058180000}"/>
    <cellStyle name="Normal 4 4 2 4 2 3 4" xfId="6653" xr:uid="{00000000-0005-0000-0000-000059180000}"/>
    <cellStyle name="Normal 4 4 2 4 2 3 5" xfId="6654" xr:uid="{00000000-0005-0000-0000-00005A180000}"/>
    <cellStyle name="Normal 4 4 2 4 2 4" xfId="6655" xr:uid="{00000000-0005-0000-0000-00005B180000}"/>
    <cellStyle name="Normal 4 4 2 4 2 4 2" xfId="6656" xr:uid="{00000000-0005-0000-0000-00005C180000}"/>
    <cellStyle name="Normal 4 4 2 4 2 4 2 2" xfId="6657" xr:uid="{00000000-0005-0000-0000-00005D180000}"/>
    <cellStyle name="Normal 4 4 2 4 2 4 2 3" xfId="6658" xr:uid="{00000000-0005-0000-0000-00005E180000}"/>
    <cellStyle name="Normal 4 4 2 4 2 4 3" xfId="6659" xr:uid="{00000000-0005-0000-0000-00005F180000}"/>
    <cellStyle name="Normal 4 4 2 4 2 4 4" xfId="6660" xr:uid="{00000000-0005-0000-0000-000060180000}"/>
    <cellStyle name="Normal 4 4 2 4 2 4 5" xfId="6661" xr:uid="{00000000-0005-0000-0000-000061180000}"/>
    <cellStyle name="Normal 4 4 2 4 2 5" xfId="6662" xr:uid="{00000000-0005-0000-0000-000062180000}"/>
    <cellStyle name="Normal 4 4 2 4 2 5 2" xfId="6663" xr:uid="{00000000-0005-0000-0000-000063180000}"/>
    <cellStyle name="Normal 4 4 2 4 2 5 3" xfId="6664" xr:uid="{00000000-0005-0000-0000-000064180000}"/>
    <cellStyle name="Normal 4 4 2 4 2 6" xfId="6665" xr:uid="{00000000-0005-0000-0000-000065180000}"/>
    <cellStyle name="Normal 4 4 2 4 2 7" xfId="6666" xr:uid="{00000000-0005-0000-0000-000066180000}"/>
    <cellStyle name="Normal 4 4 2 4 2 8" xfId="6667" xr:uid="{00000000-0005-0000-0000-000067180000}"/>
    <cellStyle name="Normal 4 4 2 4 3" xfId="6668" xr:uid="{00000000-0005-0000-0000-000068180000}"/>
    <cellStyle name="Normal 4 4 2 4 3 2" xfId="6669" xr:uid="{00000000-0005-0000-0000-000069180000}"/>
    <cellStyle name="Normal 4 4 2 4 3 2 2" xfId="6670" xr:uid="{00000000-0005-0000-0000-00006A180000}"/>
    <cellStyle name="Normal 4 4 2 4 3 2 2 2" xfId="6671" xr:uid="{00000000-0005-0000-0000-00006B180000}"/>
    <cellStyle name="Normal 4 4 2 4 3 2 2 3" xfId="6672" xr:uid="{00000000-0005-0000-0000-00006C180000}"/>
    <cellStyle name="Normal 4 4 2 4 3 2 3" xfId="6673" xr:uid="{00000000-0005-0000-0000-00006D180000}"/>
    <cellStyle name="Normal 4 4 2 4 3 2 4" xfId="6674" xr:uid="{00000000-0005-0000-0000-00006E180000}"/>
    <cellStyle name="Normal 4 4 2 4 3 2 5" xfId="6675" xr:uid="{00000000-0005-0000-0000-00006F180000}"/>
    <cellStyle name="Normal 4 4 2 4 3 3" xfId="6676" xr:uid="{00000000-0005-0000-0000-000070180000}"/>
    <cellStyle name="Normal 4 4 2 4 3 3 2" xfId="6677" xr:uid="{00000000-0005-0000-0000-000071180000}"/>
    <cellStyle name="Normal 4 4 2 4 3 3 2 2" xfId="6678" xr:uid="{00000000-0005-0000-0000-000072180000}"/>
    <cellStyle name="Normal 4 4 2 4 3 3 2 3" xfId="6679" xr:uid="{00000000-0005-0000-0000-000073180000}"/>
    <cellStyle name="Normal 4 4 2 4 3 3 3" xfId="6680" xr:uid="{00000000-0005-0000-0000-000074180000}"/>
    <cellStyle name="Normal 4 4 2 4 3 3 4" xfId="6681" xr:uid="{00000000-0005-0000-0000-000075180000}"/>
    <cellStyle name="Normal 4 4 2 4 3 3 5" xfId="6682" xr:uid="{00000000-0005-0000-0000-000076180000}"/>
    <cellStyle name="Normal 4 4 2 4 3 4" xfId="6683" xr:uid="{00000000-0005-0000-0000-000077180000}"/>
    <cellStyle name="Normal 4 4 2 4 3 4 2" xfId="6684" xr:uid="{00000000-0005-0000-0000-000078180000}"/>
    <cellStyle name="Normal 4 4 2 4 3 4 3" xfId="6685" xr:uid="{00000000-0005-0000-0000-000079180000}"/>
    <cellStyle name="Normal 4 4 2 4 3 5" xfId="6686" xr:uid="{00000000-0005-0000-0000-00007A180000}"/>
    <cellStyle name="Normal 4 4 2 4 3 6" xfId="6687" xr:uid="{00000000-0005-0000-0000-00007B180000}"/>
    <cellStyle name="Normal 4 4 2 4 3 7" xfId="6688" xr:uid="{00000000-0005-0000-0000-00007C180000}"/>
    <cellStyle name="Normal 4 4 2 4 4" xfId="6689" xr:uid="{00000000-0005-0000-0000-00007D180000}"/>
    <cellStyle name="Normal 4 4 2 4 4 2" xfId="6690" xr:uid="{00000000-0005-0000-0000-00007E180000}"/>
    <cellStyle name="Normal 4 4 2 4 4 2 2" xfId="6691" xr:uid="{00000000-0005-0000-0000-00007F180000}"/>
    <cellStyle name="Normal 4 4 2 4 4 2 3" xfId="6692" xr:uid="{00000000-0005-0000-0000-000080180000}"/>
    <cellStyle name="Normal 4 4 2 4 4 3" xfId="6693" xr:uid="{00000000-0005-0000-0000-000081180000}"/>
    <cellStyle name="Normal 4 4 2 4 4 4" xfId="6694" xr:uid="{00000000-0005-0000-0000-000082180000}"/>
    <cellStyle name="Normal 4 4 2 4 4 5" xfId="6695" xr:uid="{00000000-0005-0000-0000-000083180000}"/>
    <cellStyle name="Normal 4 4 2 4 5" xfId="6696" xr:uid="{00000000-0005-0000-0000-000084180000}"/>
    <cellStyle name="Normal 4 4 2 4 5 2" xfId="6697" xr:uid="{00000000-0005-0000-0000-000085180000}"/>
    <cellStyle name="Normal 4 4 2 4 5 2 2" xfId="6698" xr:uid="{00000000-0005-0000-0000-000086180000}"/>
    <cellStyle name="Normal 4 4 2 4 5 2 3" xfId="6699" xr:uid="{00000000-0005-0000-0000-000087180000}"/>
    <cellStyle name="Normal 4 4 2 4 5 3" xfId="6700" xr:uid="{00000000-0005-0000-0000-000088180000}"/>
    <cellStyle name="Normal 4 4 2 4 5 4" xfId="6701" xr:uid="{00000000-0005-0000-0000-000089180000}"/>
    <cellStyle name="Normal 4 4 2 4 5 5" xfId="6702" xr:uid="{00000000-0005-0000-0000-00008A180000}"/>
    <cellStyle name="Normal 4 4 2 4 6" xfId="6703" xr:uid="{00000000-0005-0000-0000-00008B180000}"/>
    <cellStyle name="Normal 4 4 2 4 6 2" xfId="6704" xr:uid="{00000000-0005-0000-0000-00008C180000}"/>
    <cellStyle name="Normal 4 4 2 4 6 3" xfId="6705" xr:uid="{00000000-0005-0000-0000-00008D180000}"/>
    <cellStyle name="Normal 4 4 2 4 7" xfId="6706" xr:uid="{00000000-0005-0000-0000-00008E180000}"/>
    <cellStyle name="Normal 4 4 2 4 8" xfId="6707" xr:uid="{00000000-0005-0000-0000-00008F180000}"/>
    <cellStyle name="Normal 4 4 2 4 9" xfId="6708" xr:uid="{00000000-0005-0000-0000-000090180000}"/>
    <cellStyle name="Normal 4 4 2 5" xfId="6709" xr:uid="{00000000-0005-0000-0000-000091180000}"/>
    <cellStyle name="Normal 4 4 2 5 2" xfId="6710" xr:uid="{00000000-0005-0000-0000-000092180000}"/>
    <cellStyle name="Normal 4 4 2 5 2 2" xfId="6711" xr:uid="{00000000-0005-0000-0000-000093180000}"/>
    <cellStyle name="Normal 4 4 2 5 2 2 2" xfId="6712" xr:uid="{00000000-0005-0000-0000-000094180000}"/>
    <cellStyle name="Normal 4 4 2 5 2 2 2 2" xfId="6713" xr:uid="{00000000-0005-0000-0000-000095180000}"/>
    <cellStyle name="Normal 4 4 2 5 2 2 2 3" xfId="6714" xr:uid="{00000000-0005-0000-0000-000096180000}"/>
    <cellStyle name="Normal 4 4 2 5 2 2 3" xfId="6715" xr:uid="{00000000-0005-0000-0000-000097180000}"/>
    <cellStyle name="Normal 4 4 2 5 2 2 4" xfId="6716" xr:uid="{00000000-0005-0000-0000-000098180000}"/>
    <cellStyle name="Normal 4 4 2 5 2 2 5" xfId="6717" xr:uid="{00000000-0005-0000-0000-000099180000}"/>
    <cellStyle name="Normal 4 4 2 5 2 3" xfId="6718" xr:uid="{00000000-0005-0000-0000-00009A180000}"/>
    <cellStyle name="Normal 4 4 2 5 2 3 2" xfId="6719" xr:uid="{00000000-0005-0000-0000-00009B180000}"/>
    <cellStyle name="Normal 4 4 2 5 2 3 2 2" xfId="6720" xr:uid="{00000000-0005-0000-0000-00009C180000}"/>
    <cellStyle name="Normal 4 4 2 5 2 3 2 3" xfId="6721" xr:uid="{00000000-0005-0000-0000-00009D180000}"/>
    <cellStyle name="Normal 4 4 2 5 2 3 3" xfId="6722" xr:uid="{00000000-0005-0000-0000-00009E180000}"/>
    <cellStyle name="Normal 4 4 2 5 2 3 4" xfId="6723" xr:uid="{00000000-0005-0000-0000-00009F180000}"/>
    <cellStyle name="Normal 4 4 2 5 2 3 5" xfId="6724" xr:uid="{00000000-0005-0000-0000-0000A0180000}"/>
    <cellStyle name="Normal 4 4 2 5 2 4" xfId="6725" xr:uid="{00000000-0005-0000-0000-0000A1180000}"/>
    <cellStyle name="Normal 4 4 2 5 2 4 2" xfId="6726" xr:uid="{00000000-0005-0000-0000-0000A2180000}"/>
    <cellStyle name="Normal 4 4 2 5 2 4 3" xfId="6727" xr:uid="{00000000-0005-0000-0000-0000A3180000}"/>
    <cellStyle name="Normal 4 4 2 5 2 5" xfId="6728" xr:uid="{00000000-0005-0000-0000-0000A4180000}"/>
    <cellStyle name="Normal 4 4 2 5 2 6" xfId="6729" xr:uid="{00000000-0005-0000-0000-0000A5180000}"/>
    <cellStyle name="Normal 4 4 2 5 2 7" xfId="6730" xr:uid="{00000000-0005-0000-0000-0000A6180000}"/>
    <cellStyle name="Normal 4 4 2 5 3" xfId="6731" xr:uid="{00000000-0005-0000-0000-0000A7180000}"/>
    <cellStyle name="Normal 4 4 2 5 3 2" xfId="6732" xr:uid="{00000000-0005-0000-0000-0000A8180000}"/>
    <cellStyle name="Normal 4 4 2 5 3 2 2" xfId="6733" xr:uid="{00000000-0005-0000-0000-0000A9180000}"/>
    <cellStyle name="Normal 4 4 2 5 3 2 3" xfId="6734" xr:uid="{00000000-0005-0000-0000-0000AA180000}"/>
    <cellStyle name="Normal 4 4 2 5 3 3" xfId="6735" xr:uid="{00000000-0005-0000-0000-0000AB180000}"/>
    <cellStyle name="Normal 4 4 2 5 3 4" xfId="6736" xr:uid="{00000000-0005-0000-0000-0000AC180000}"/>
    <cellStyle name="Normal 4 4 2 5 3 5" xfId="6737" xr:uid="{00000000-0005-0000-0000-0000AD180000}"/>
    <cellStyle name="Normal 4 4 2 5 4" xfId="6738" xr:uid="{00000000-0005-0000-0000-0000AE180000}"/>
    <cellStyle name="Normal 4 4 2 5 4 2" xfId="6739" xr:uid="{00000000-0005-0000-0000-0000AF180000}"/>
    <cellStyle name="Normal 4 4 2 5 4 2 2" xfId="6740" xr:uid="{00000000-0005-0000-0000-0000B0180000}"/>
    <cellStyle name="Normal 4 4 2 5 4 2 3" xfId="6741" xr:uid="{00000000-0005-0000-0000-0000B1180000}"/>
    <cellStyle name="Normal 4 4 2 5 4 3" xfId="6742" xr:uid="{00000000-0005-0000-0000-0000B2180000}"/>
    <cellStyle name="Normal 4 4 2 5 4 4" xfId="6743" xr:uid="{00000000-0005-0000-0000-0000B3180000}"/>
    <cellStyle name="Normal 4 4 2 5 4 5" xfId="6744" xr:uid="{00000000-0005-0000-0000-0000B4180000}"/>
    <cellStyle name="Normal 4 4 2 5 5" xfId="6745" xr:uid="{00000000-0005-0000-0000-0000B5180000}"/>
    <cellStyle name="Normal 4 4 2 5 5 2" xfId="6746" xr:uid="{00000000-0005-0000-0000-0000B6180000}"/>
    <cellStyle name="Normal 4 4 2 5 5 3" xfId="6747" xr:uid="{00000000-0005-0000-0000-0000B7180000}"/>
    <cellStyle name="Normal 4 4 2 5 6" xfId="6748" xr:uid="{00000000-0005-0000-0000-0000B8180000}"/>
    <cellStyle name="Normal 4 4 2 5 7" xfId="6749" xr:uid="{00000000-0005-0000-0000-0000B9180000}"/>
    <cellStyle name="Normal 4 4 2 5 8" xfId="6750" xr:uid="{00000000-0005-0000-0000-0000BA180000}"/>
    <cellStyle name="Normal 4 4 2 6" xfId="6751" xr:uid="{00000000-0005-0000-0000-0000BB180000}"/>
    <cellStyle name="Normal 4 4 2 6 2" xfId="6752" xr:uid="{00000000-0005-0000-0000-0000BC180000}"/>
    <cellStyle name="Normal 4 4 2 6 2 2" xfId="6753" xr:uid="{00000000-0005-0000-0000-0000BD180000}"/>
    <cellStyle name="Normal 4 4 2 6 2 2 2" xfId="6754" xr:uid="{00000000-0005-0000-0000-0000BE180000}"/>
    <cellStyle name="Normal 4 4 2 6 2 2 3" xfId="6755" xr:uid="{00000000-0005-0000-0000-0000BF180000}"/>
    <cellStyle name="Normal 4 4 2 6 2 3" xfId="6756" xr:uid="{00000000-0005-0000-0000-0000C0180000}"/>
    <cellStyle name="Normal 4 4 2 6 2 4" xfId="6757" xr:uid="{00000000-0005-0000-0000-0000C1180000}"/>
    <cellStyle name="Normal 4 4 2 6 2 5" xfId="6758" xr:uid="{00000000-0005-0000-0000-0000C2180000}"/>
    <cellStyle name="Normal 4 4 2 6 3" xfId="6759" xr:uid="{00000000-0005-0000-0000-0000C3180000}"/>
    <cellStyle name="Normal 4 4 2 6 3 2" xfId="6760" xr:uid="{00000000-0005-0000-0000-0000C4180000}"/>
    <cellStyle name="Normal 4 4 2 6 3 2 2" xfId="6761" xr:uid="{00000000-0005-0000-0000-0000C5180000}"/>
    <cellStyle name="Normal 4 4 2 6 3 2 3" xfId="6762" xr:uid="{00000000-0005-0000-0000-0000C6180000}"/>
    <cellStyle name="Normal 4 4 2 6 3 3" xfId="6763" xr:uid="{00000000-0005-0000-0000-0000C7180000}"/>
    <cellStyle name="Normal 4 4 2 6 3 4" xfId="6764" xr:uid="{00000000-0005-0000-0000-0000C8180000}"/>
    <cellStyle name="Normal 4 4 2 6 3 5" xfId="6765" xr:uid="{00000000-0005-0000-0000-0000C9180000}"/>
    <cellStyle name="Normal 4 4 2 6 4" xfId="6766" xr:uid="{00000000-0005-0000-0000-0000CA180000}"/>
    <cellStyle name="Normal 4 4 2 6 4 2" xfId="6767" xr:uid="{00000000-0005-0000-0000-0000CB180000}"/>
    <cellStyle name="Normal 4 4 2 6 4 3" xfId="6768" xr:uid="{00000000-0005-0000-0000-0000CC180000}"/>
    <cellStyle name="Normal 4 4 2 6 5" xfId="6769" xr:uid="{00000000-0005-0000-0000-0000CD180000}"/>
    <cellStyle name="Normal 4 4 2 6 6" xfId="6770" xr:uid="{00000000-0005-0000-0000-0000CE180000}"/>
    <cellStyle name="Normal 4 4 2 6 7" xfId="6771" xr:uid="{00000000-0005-0000-0000-0000CF180000}"/>
    <cellStyle name="Normal 4 4 2 7" xfId="6772" xr:uid="{00000000-0005-0000-0000-0000D0180000}"/>
    <cellStyle name="Normal 4 4 2 7 2" xfId="6773" xr:uid="{00000000-0005-0000-0000-0000D1180000}"/>
    <cellStyle name="Normal 4 4 2 7 2 2" xfId="6774" xr:uid="{00000000-0005-0000-0000-0000D2180000}"/>
    <cellStyle name="Normal 4 4 2 7 2 2 2" xfId="6775" xr:uid="{00000000-0005-0000-0000-0000D3180000}"/>
    <cellStyle name="Normal 4 4 2 7 2 2 3" xfId="6776" xr:uid="{00000000-0005-0000-0000-0000D4180000}"/>
    <cellStyle name="Normal 4 4 2 7 2 3" xfId="6777" xr:uid="{00000000-0005-0000-0000-0000D5180000}"/>
    <cellStyle name="Normal 4 4 2 7 2 4" xfId="6778" xr:uid="{00000000-0005-0000-0000-0000D6180000}"/>
    <cellStyle name="Normal 4 4 2 7 2 5" xfId="6779" xr:uid="{00000000-0005-0000-0000-0000D7180000}"/>
    <cellStyle name="Normal 4 4 2 7 3" xfId="6780" xr:uid="{00000000-0005-0000-0000-0000D8180000}"/>
    <cellStyle name="Normal 4 4 2 7 3 2" xfId="6781" xr:uid="{00000000-0005-0000-0000-0000D9180000}"/>
    <cellStyle name="Normal 4 4 2 7 3 2 2" xfId="6782" xr:uid="{00000000-0005-0000-0000-0000DA180000}"/>
    <cellStyle name="Normal 4 4 2 7 3 2 3" xfId="6783" xr:uid="{00000000-0005-0000-0000-0000DB180000}"/>
    <cellStyle name="Normal 4 4 2 7 3 3" xfId="6784" xr:uid="{00000000-0005-0000-0000-0000DC180000}"/>
    <cellStyle name="Normal 4 4 2 7 3 4" xfId="6785" xr:uid="{00000000-0005-0000-0000-0000DD180000}"/>
    <cellStyle name="Normal 4 4 2 7 3 5" xfId="6786" xr:uid="{00000000-0005-0000-0000-0000DE180000}"/>
    <cellStyle name="Normal 4 4 2 7 4" xfId="6787" xr:uid="{00000000-0005-0000-0000-0000DF180000}"/>
    <cellStyle name="Normal 4 4 2 7 4 2" xfId="6788" xr:uid="{00000000-0005-0000-0000-0000E0180000}"/>
    <cellStyle name="Normal 4 4 2 7 4 3" xfId="6789" xr:uid="{00000000-0005-0000-0000-0000E1180000}"/>
    <cellStyle name="Normal 4 4 2 7 5" xfId="6790" xr:uid="{00000000-0005-0000-0000-0000E2180000}"/>
    <cellStyle name="Normal 4 4 2 7 6" xfId="6791" xr:uid="{00000000-0005-0000-0000-0000E3180000}"/>
    <cellStyle name="Normal 4 4 2 7 7" xfId="6792" xr:uid="{00000000-0005-0000-0000-0000E4180000}"/>
    <cellStyle name="Normal 4 4 2 8" xfId="6793" xr:uid="{00000000-0005-0000-0000-0000E5180000}"/>
    <cellStyle name="Normal 4 4 2 8 2" xfId="6794" xr:uid="{00000000-0005-0000-0000-0000E6180000}"/>
    <cellStyle name="Normal 4 4 2 8 2 2" xfId="6795" xr:uid="{00000000-0005-0000-0000-0000E7180000}"/>
    <cellStyle name="Normal 4 4 2 8 2 3" xfId="6796" xr:uid="{00000000-0005-0000-0000-0000E8180000}"/>
    <cellStyle name="Normal 4 4 2 8 3" xfId="6797" xr:uid="{00000000-0005-0000-0000-0000E9180000}"/>
    <cellStyle name="Normal 4 4 2 8 4" xfId="6798" xr:uid="{00000000-0005-0000-0000-0000EA180000}"/>
    <cellStyle name="Normal 4 4 2 8 5" xfId="6799" xr:uid="{00000000-0005-0000-0000-0000EB180000}"/>
    <cellStyle name="Normal 4 4 2 9" xfId="6800" xr:uid="{00000000-0005-0000-0000-0000EC180000}"/>
    <cellStyle name="Normal 4 4 2 9 2" xfId="6801" xr:uid="{00000000-0005-0000-0000-0000ED180000}"/>
    <cellStyle name="Normal 4 4 2 9 2 2" xfId="6802" xr:uid="{00000000-0005-0000-0000-0000EE180000}"/>
    <cellStyle name="Normal 4 4 2 9 2 3" xfId="6803" xr:uid="{00000000-0005-0000-0000-0000EF180000}"/>
    <cellStyle name="Normal 4 4 2 9 3" xfId="6804" xr:uid="{00000000-0005-0000-0000-0000F0180000}"/>
    <cellStyle name="Normal 4 4 2 9 4" xfId="6805" xr:uid="{00000000-0005-0000-0000-0000F1180000}"/>
    <cellStyle name="Normal 4 4 2 9 5" xfId="6806" xr:uid="{00000000-0005-0000-0000-0000F2180000}"/>
    <cellStyle name="Normal 4 4 3" xfId="6807" xr:uid="{00000000-0005-0000-0000-0000F3180000}"/>
    <cellStyle name="Normal 4 4 3 2" xfId="6808" xr:uid="{00000000-0005-0000-0000-0000F4180000}"/>
    <cellStyle name="Normal 4 4 3 2 2" xfId="6809" xr:uid="{00000000-0005-0000-0000-0000F5180000}"/>
    <cellStyle name="Normal 4 4 3 2 2 2" xfId="6810" xr:uid="{00000000-0005-0000-0000-0000F6180000}"/>
    <cellStyle name="Normal 4 4 3 2 2 2 2" xfId="6811" xr:uid="{00000000-0005-0000-0000-0000F7180000}"/>
    <cellStyle name="Normal 4 4 3 2 2 2 2 2" xfId="6812" xr:uid="{00000000-0005-0000-0000-0000F8180000}"/>
    <cellStyle name="Normal 4 4 3 2 2 2 2 3" xfId="6813" xr:uid="{00000000-0005-0000-0000-0000F9180000}"/>
    <cellStyle name="Normal 4 4 3 2 2 2 3" xfId="6814" xr:uid="{00000000-0005-0000-0000-0000FA180000}"/>
    <cellStyle name="Normal 4 4 3 2 2 2 4" xfId="6815" xr:uid="{00000000-0005-0000-0000-0000FB180000}"/>
    <cellStyle name="Normal 4 4 3 2 2 2 5" xfId="6816" xr:uid="{00000000-0005-0000-0000-0000FC180000}"/>
    <cellStyle name="Normal 4 4 3 2 2 3" xfId="6817" xr:uid="{00000000-0005-0000-0000-0000FD180000}"/>
    <cellStyle name="Normal 4 4 3 2 2 3 2" xfId="6818" xr:uid="{00000000-0005-0000-0000-0000FE180000}"/>
    <cellStyle name="Normal 4 4 3 2 2 3 2 2" xfId="6819" xr:uid="{00000000-0005-0000-0000-0000FF180000}"/>
    <cellStyle name="Normal 4 4 3 2 2 3 2 3" xfId="6820" xr:uid="{00000000-0005-0000-0000-000000190000}"/>
    <cellStyle name="Normal 4 4 3 2 2 3 3" xfId="6821" xr:uid="{00000000-0005-0000-0000-000001190000}"/>
    <cellStyle name="Normal 4 4 3 2 2 3 4" xfId="6822" xr:uid="{00000000-0005-0000-0000-000002190000}"/>
    <cellStyle name="Normal 4 4 3 2 2 3 5" xfId="6823" xr:uid="{00000000-0005-0000-0000-000003190000}"/>
    <cellStyle name="Normal 4 4 3 2 2 4" xfId="6824" xr:uid="{00000000-0005-0000-0000-000004190000}"/>
    <cellStyle name="Normal 4 4 3 2 2 4 2" xfId="6825" xr:uid="{00000000-0005-0000-0000-000005190000}"/>
    <cellStyle name="Normal 4 4 3 2 2 4 3" xfId="6826" xr:uid="{00000000-0005-0000-0000-000006190000}"/>
    <cellStyle name="Normal 4 4 3 2 2 5" xfId="6827" xr:uid="{00000000-0005-0000-0000-000007190000}"/>
    <cellStyle name="Normal 4 4 3 2 2 6" xfId="6828" xr:uid="{00000000-0005-0000-0000-000008190000}"/>
    <cellStyle name="Normal 4 4 3 2 2 7" xfId="6829" xr:uid="{00000000-0005-0000-0000-000009190000}"/>
    <cellStyle name="Normal 4 4 3 2 3" xfId="6830" xr:uid="{00000000-0005-0000-0000-00000A190000}"/>
    <cellStyle name="Normal 4 4 3 2 3 2" xfId="6831" xr:uid="{00000000-0005-0000-0000-00000B190000}"/>
    <cellStyle name="Normal 4 4 3 2 3 2 2" xfId="6832" xr:uid="{00000000-0005-0000-0000-00000C190000}"/>
    <cellStyle name="Normal 4 4 3 2 3 2 3" xfId="6833" xr:uid="{00000000-0005-0000-0000-00000D190000}"/>
    <cellStyle name="Normal 4 4 3 2 3 3" xfId="6834" xr:uid="{00000000-0005-0000-0000-00000E190000}"/>
    <cellStyle name="Normal 4 4 3 2 3 4" xfId="6835" xr:uid="{00000000-0005-0000-0000-00000F190000}"/>
    <cellStyle name="Normal 4 4 3 2 3 5" xfId="6836" xr:uid="{00000000-0005-0000-0000-000010190000}"/>
    <cellStyle name="Normal 4 4 3 2 4" xfId="6837" xr:uid="{00000000-0005-0000-0000-000011190000}"/>
    <cellStyle name="Normal 4 4 3 2 4 2" xfId="6838" xr:uid="{00000000-0005-0000-0000-000012190000}"/>
    <cellStyle name="Normal 4 4 3 2 4 2 2" xfId="6839" xr:uid="{00000000-0005-0000-0000-000013190000}"/>
    <cellStyle name="Normal 4 4 3 2 4 2 3" xfId="6840" xr:uid="{00000000-0005-0000-0000-000014190000}"/>
    <cellStyle name="Normal 4 4 3 2 4 3" xfId="6841" xr:uid="{00000000-0005-0000-0000-000015190000}"/>
    <cellStyle name="Normal 4 4 3 2 4 4" xfId="6842" xr:uid="{00000000-0005-0000-0000-000016190000}"/>
    <cellStyle name="Normal 4 4 3 2 4 5" xfId="6843" xr:uid="{00000000-0005-0000-0000-000017190000}"/>
    <cellStyle name="Normal 4 4 3 2 5" xfId="6844" xr:uid="{00000000-0005-0000-0000-000018190000}"/>
    <cellStyle name="Normal 4 4 3 2 5 2" xfId="6845" xr:uid="{00000000-0005-0000-0000-000019190000}"/>
    <cellStyle name="Normal 4 4 3 2 5 3" xfId="6846" xr:uid="{00000000-0005-0000-0000-00001A190000}"/>
    <cellStyle name="Normal 4 4 3 2 6" xfId="6847" xr:uid="{00000000-0005-0000-0000-00001B190000}"/>
    <cellStyle name="Normal 4 4 3 2 7" xfId="6848" xr:uid="{00000000-0005-0000-0000-00001C190000}"/>
    <cellStyle name="Normal 4 4 3 2 8" xfId="6849" xr:uid="{00000000-0005-0000-0000-00001D190000}"/>
    <cellStyle name="Normal 4 4 3 3" xfId="6850" xr:uid="{00000000-0005-0000-0000-00001E190000}"/>
    <cellStyle name="Normal 4 4 3 3 2" xfId="6851" xr:uid="{00000000-0005-0000-0000-00001F190000}"/>
    <cellStyle name="Normal 4 4 3 3 2 2" xfId="6852" xr:uid="{00000000-0005-0000-0000-000020190000}"/>
    <cellStyle name="Normal 4 4 3 3 2 2 2" xfId="6853" xr:uid="{00000000-0005-0000-0000-000021190000}"/>
    <cellStyle name="Normal 4 4 3 3 2 2 3" xfId="6854" xr:uid="{00000000-0005-0000-0000-000022190000}"/>
    <cellStyle name="Normal 4 4 3 3 2 3" xfId="6855" xr:uid="{00000000-0005-0000-0000-000023190000}"/>
    <cellStyle name="Normal 4 4 3 3 2 4" xfId="6856" xr:uid="{00000000-0005-0000-0000-000024190000}"/>
    <cellStyle name="Normal 4 4 3 3 2 5" xfId="6857" xr:uid="{00000000-0005-0000-0000-000025190000}"/>
    <cellStyle name="Normal 4 4 3 3 3" xfId="6858" xr:uid="{00000000-0005-0000-0000-000026190000}"/>
    <cellStyle name="Normal 4 4 3 3 3 2" xfId="6859" xr:uid="{00000000-0005-0000-0000-000027190000}"/>
    <cellStyle name="Normal 4 4 3 3 3 2 2" xfId="6860" xr:uid="{00000000-0005-0000-0000-000028190000}"/>
    <cellStyle name="Normal 4 4 3 3 3 2 3" xfId="6861" xr:uid="{00000000-0005-0000-0000-000029190000}"/>
    <cellStyle name="Normal 4 4 3 3 3 3" xfId="6862" xr:uid="{00000000-0005-0000-0000-00002A190000}"/>
    <cellStyle name="Normal 4 4 3 3 3 4" xfId="6863" xr:uid="{00000000-0005-0000-0000-00002B190000}"/>
    <cellStyle name="Normal 4 4 3 3 3 5" xfId="6864" xr:uid="{00000000-0005-0000-0000-00002C190000}"/>
    <cellStyle name="Normal 4 4 3 3 4" xfId="6865" xr:uid="{00000000-0005-0000-0000-00002D190000}"/>
    <cellStyle name="Normal 4 4 3 3 4 2" xfId="6866" xr:uid="{00000000-0005-0000-0000-00002E190000}"/>
    <cellStyle name="Normal 4 4 3 3 4 3" xfId="6867" xr:uid="{00000000-0005-0000-0000-00002F190000}"/>
    <cellStyle name="Normal 4 4 3 3 5" xfId="6868" xr:uid="{00000000-0005-0000-0000-000030190000}"/>
    <cellStyle name="Normal 4 4 3 3 6" xfId="6869" xr:uid="{00000000-0005-0000-0000-000031190000}"/>
    <cellStyle name="Normal 4 4 3 3 7" xfId="6870" xr:uid="{00000000-0005-0000-0000-000032190000}"/>
    <cellStyle name="Normal 4 4 3 4" xfId="6871" xr:uid="{00000000-0005-0000-0000-000033190000}"/>
    <cellStyle name="Normal 4 4 3 4 2" xfId="6872" xr:uid="{00000000-0005-0000-0000-000034190000}"/>
    <cellStyle name="Normal 4 4 3 4 2 2" xfId="6873" xr:uid="{00000000-0005-0000-0000-000035190000}"/>
    <cellStyle name="Normal 4 4 3 4 2 3" xfId="6874" xr:uid="{00000000-0005-0000-0000-000036190000}"/>
    <cellStyle name="Normal 4 4 3 4 3" xfId="6875" xr:uid="{00000000-0005-0000-0000-000037190000}"/>
    <cellStyle name="Normal 4 4 3 4 4" xfId="6876" xr:uid="{00000000-0005-0000-0000-000038190000}"/>
    <cellStyle name="Normal 4 4 3 4 5" xfId="6877" xr:uid="{00000000-0005-0000-0000-000039190000}"/>
    <cellStyle name="Normal 4 4 3 5" xfId="6878" xr:uid="{00000000-0005-0000-0000-00003A190000}"/>
    <cellStyle name="Normal 4 4 3 5 2" xfId="6879" xr:uid="{00000000-0005-0000-0000-00003B190000}"/>
    <cellStyle name="Normal 4 4 3 5 2 2" xfId="6880" xr:uid="{00000000-0005-0000-0000-00003C190000}"/>
    <cellStyle name="Normal 4 4 3 5 2 3" xfId="6881" xr:uid="{00000000-0005-0000-0000-00003D190000}"/>
    <cellStyle name="Normal 4 4 3 5 3" xfId="6882" xr:uid="{00000000-0005-0000-0000-00003E190000}"/>
    <cellStyle name="Normal 4 4 3 5 4" xfId="6883" xr:uid="{00000000-0005-0000-0000-00003F190000}"/>
    <cellStyle name="Normal 4 4 3 5 5" xfId="6884" xr:uid="{00000000-0005-0000-0000-000040190000}"/>
    <cellStyle name="Normal 4 4 3 6" xfId="6885" xr:uid="{00000000-0005-0000-0000-000041190000}"/>
    <cellStyle name="Normal 4 4 3 6 2" xfId="6886" xr:uid="{00000000-0005-0000-0000-000042190000}"/>
    <cellStyle name="Normal 4 4 3 6 3" xfId="6887" xr:uid="{00000000-0005-0000-0000-000043190000}"/>
    <cellStyle name="Normal 4 4 3 7" xfId="6888" xr:uid="{00000000-0005-0000-0000-000044190000}"/>
    <cellStyle name="Normal 4 4 3 8" xfId="6889" xr:uid="{00000000-0005-0000-0000-000045190000}"/>
    <cellStyle name="Normal 4 4 3 9" xfId="6890" xr:uid="{00000000-0005-0000-0000-000046190000}"/>
    <cellStyle name="Normal 4 4 4" xfId="6891" xr:uid="{00000000-0005-0000-0000-000047190000}"/>
    <cellStyle name="Normal 4 4 4 2" xfId="6892" xr:uid="{00000000-0005-0000-0000-000048190000}"/>
    <cellStyle name="Normal 4 4 4 2 2" xfId="6893" xr:uid="{00000000-0005-0000-0000-000049190000}"/>
    <cellStyle name="Normal 4 4 4 2 2 2" xfId="6894" xr:uid="{00000000-0005-0000-0000-00004A190000}"/>
    <cellStyle name="Normal 4 4 4 2 2 2 2" xfId="6895" xr:uid="{00000000-0005-0000-0000-00004B190000}"/>
    <cellStyle name="Normal 4 4 4 2 2 2 2 2" xfId="6896" xr:uid="{00000000-0005-0000-0000-00004C190000}"/>
    <cellStyle name="Normal 4 4 4 2 2 2 2 3" xfId="6897" xr:uid="{00000000-0005-0000-0000-00004D190000}"/>
    <cellStyle name="Normal 4 4 4 2 2 2 3" xfId="6898" xr:uid="{00000000-0005-0000-0000-00004E190000}"/>
    <cellStyle name="Normal 4 4 4 2 2 2 4" xfId="6899" xr:uid="{00000000-0005-0000-0000-00004F190000}"/>
    <cellStyle name="Normal 4 4 4 2 2 2 5" xfId="6900" xr:uid="{00000000-0005-0000-0000-000050190000}"/>
    <cellStyle name="Normal 4 4 4 2 2 3" xfId="6901" xr:uid="{00000000-0005-0000-0000-000051190000}"/>
    <cellStyle name="Normal 4 4 4 2 2 3 2" xfId="6902" xr:uid="{00000000-0005-0000-0000-000052190000}"/>
    <cellStyle name="Normal 4 4 4 2 2 3 2 2" xfId="6903" xr:uid="{00000000-0005-0000-0000-000053190000}"/>
    <cellStyle name="Normal 4 4 4 2 2 3 2 3" xfId="6904" xr:uid="{00000000-0005-0000-0000-000054190000}"/>
    <cellStyle name="Normal 4 4 4 2 2 3 3" xfId="6905" xr:uid="{00000000-0005-0000-0000-000055190000}"/>
    <cellStyle name="Normal 4 4 4 2 2 3 4" xfId="6906" xr:uid="{00000000-0005-0000-0000-000056190000}"/>
    <cellStyle name="Normal 4 4 4 2 2 3 5" xfId="6907" xr:uid="{00000000-0005-0000-0000-000057190000}"/>
    <cellStyle name="Normal 4 4 4 2 2 4" xfId="6908" xr:uid="{00000000-0005-0000-0000-000058190000}"/>
    <cellStyle name="Normal 4 4 4 2 2 4 2" xfId="6909" xr:uid="{00000000-0005-0000-0000-000059190000}"/>
    <cellStyle name="Normal 4 4 4 2 2 4 3" xfId="6910" xr:uid="{00000000-0005-0000-0000-00005A190000}"/>
    <cellStyle name="Normal 4 4 4 2 2 5" xfId="6911" xr:uid="{00000000-0005-0000-0000-00005B190000}"/>
    <cellStyle name="Normal 4 4 4 2 2 6" xfId="6912" xr:uid="{00000000-0005-0000-0000-00005C190000}"/>
    <cellStyle name="Normal 4 4 4 2 2 7" xfId="6913" xr:uid="{00000000-0005-0000-0000-00005D190000}"/>
    <cellStyle name="Normal 4 4 4 2 3" xfId="6914" xr:uid="{00000000-0005-0000-0000-00005E190000}"/>
    <cellStyle name="Normal 4 4 4 2 3 2" xfId="6915" xr:uid="{00000000-0005-0000-0000-00005F190000}"/>
    <cellStyle name="Normal 4 4 4 2 3 2 2" xfId="6916" xr:uid="{00000000-0005-0000-0000-000060190000}"/>
    <cellStyle name="Normal 4 4 4 2 3 2 3" xfId="6917" xr:uid="{00000000-0005-0000-0000-000061190000}"/>
    <cellStyle name="Normal 4 4 4 2 3 3" xfId="6918" xr:uid="{00000000-0005-0000-0000-000062190000}"/>
    <cellStyle name="Normal 4 4 4 2 3 4" xfId="6919" xr:uid="{00000000-0005-0000-0000-000063190000}"/>
    <cellStyle name="Normal 4 4 4 2 3 5" xfId="6920" xr:uid="{00000000-0005-0000-0000-000064190000}"/>
    <cellStyle name="Normal 4 4 4 2 4" xfId="6921" xr:uid="{00000000-0005-0000-0000-000065190000}"/>
    <cellStyle name="Normal 4 4 4 2 4 2" xfId="6922" xr:uid="{00000000-0005-0000-0000-000066190000}"/>
    <cellStyle name="Normal 4 4 4 2 4 2 2" xfId="6923" xr:uid="{00000000-0005-0000-0000-000067190000}"/>
    <cellStyle name="Normal 4 4 4 2 4 2 3" xfId="6924" xr:uid="{00000000-0005-0000-0000-000068190000}"/>
    <cellStyle name="Normal 4 4 4 2 4 3" xfId="6925" xr:uid="{00000000-0005-0000-0000-000069190000}"/>
    <cellStyle name="Normal 4 4 4 2 4 4" xfId="6926" xr:uid="{00000000-0005-0000-0000-00006A190000}"/>
    <cellStyle name="Normal 4 4 4 2 4 5" xfId="6927" xr:uid="{00000000-0005-0000-0000-00006B190000}"/>
    <cellStyle name="Normal 4 4 4 2 5" xfId="6928" xr:uid="{00000000-0005-0000-0000-00006C190000}"/>
    <cellStyle name="Normal 4 4 4 2 5 2" xfId="6929" xr:uid="{00000000-0005-0000-0000-00006D190000}"/>
    <cellStyle name="Normal 4 4 4 2 5 3" xfId="6930" xr:uid="{00000000-0005-0000-0000-00006E190000}"/>
    <cellStyle name="Normal 4 4 4 2 6" xfId="6931" xr:uid="{00000000-0005-0000-0000-00006F190000}"/>
    <cellStyle name="Normal 4 4 4 2 7" xfId="6932" xr:uid="{00000000-0005-0000-0000-000070190000}"/>
    <cellStyle name="Normal 4 4 4 2 8" xfId="6933" xr:uid="{00000000-0005-0000-0000-000071190000}"/>
    <cellStyle name="Normal 4 4 4 3" xfId="6934" xr:uid="{00000000-0005-0000-0000-000072190000}"/>
    <cellStyle name="Normal 4 4 4 3 2" xfId="6935" xr:uid="{00000000-0005-0000-0000-000073190000}"/>
    <cellStyle name="Normal 4 4 4 3 2 2" xfId="6936" xr:uid="{00000000-0005-0000-0000-000074190000}"/>
    <cellStyle name="Normal 4 4 4 3 2 2 2" xfId="6937" xr:uid="{00000000-0005-0000-0000-000075190000}"/>
    <cellStyle name="Normal 4 4 4 3 2 2 3" xfId="6938" xr:uid="{00000000-0005-0000-0000-000076190000}"/>
    <cellStyle name="Normal 4 4 4 3 2 3" xfId="6939" xr:uid="{00000000-0005-0000-0000-000077190000}"/>
    <cellStyle name="Normal 4 4 4 3 2 4" xfId="6940" xr:uid="{00000000-0005-0000-0000-000078190000}"/>
    <cellStyle name="Normal 4 4 4 3 2 5" xfId="6941" xr:uid="{00000000-0005-0000-0000-000079190000}"/>
    <cellStyle name="Normal 4 4 4 3 3" xfId="6942" xr:uid="{00000000-0005-0000-0000-00007A190000}"/>
    <cellStyle name="Normal 4 4 4 3 3 2" xfId="6943" xr:uid="{00000000-0005-0000-0000-00007B190000}"/>
    <cellStyle name="Normal 4 4 4 3 3 2 2" xfId="6944" xr:uid="{00000000-0005-0000-0000-00007C190000}"/>
    <cellStyle name="Normal 4 4 4 3 3 2 3" xfId="6945" xr:uid="{00000000-0005-0000-0000-00007D190000}"/>
    <cellStyle name="Normal 4 4 4 3 3 3" xfId="6946" xr:uid="{00000000-0005-0000-0000-00007E190000}"/>
    <cellStyle name="Normal 4 4 4 3 3 4" xfId="6947" xr:uid="{00000000-0005-0000-0000-00007F190000}"/>
    <cellStyle name="Normal 4 4 4 3 3 5" xfId="6948" xr:uid="{00000000-0005-0000-0000-000080190000}"/>
    <cellStyle name="Normal 4 4 4 3 4" xfId="6949" xr:uid="{00000000-0005-0000-0000-000081190000}"/>
    <cellStyle name="Normal 4 4 4 3 4 2" xfId="6950" xr:uid="{00000000-0005-0000-0000-000082190000}"/>
    <cellStyle name="Normal 4 4 4 3 4 3" xfId="6951" xr:uid="{00000000-0005-0000-0000-000083190000}"/>
    <cellStyle name="Normal 4 4 4 3 5" xfId="6952" xr:uid="{00000000-0005-0000-0000-000084190000}"/>
    <cellStyle name="Normal 4 4 4 3 6" xfId="6953" xr:uid="{00000000-0005-0000-0000-000085190000}"/>
    <cellStyle name="Normal 4 4 4 3 7" xfId="6954" xr:uid="{00000000-0005-0000-0000-000086190000}"/>
    <cellStyle name="Normal 4 4 4 4" xfId="6955" xr:uid="{00000000-0005-0000-0000-000087190000}"/>
    <cellStyle name="Normal 4 4 4 4 2" xfId="6956" xr:uid="{00000000-0005-0000-0000-000088190000}"/>
    <cellStyle name="Normal 4 4 4 4 2 2" xfId="6957" xr:uid="{00000000-0005-0000-0000-000089190000}"/>
    <cellStyle name="Normal 4 4 4 4 2 3" xfId="6958" xr:uid="{00000000-0005-0000-0000-00008A190000}"/>
    <cellStyle name="Normal 4 4 4 4 3" xfId="6959" xr:uid="{00000000-0005-0000-0000-00008B190000}"/>
    <cellStyle name="Normal 4 4 4 4 4" xfId="6960" xr:uid="{00000000-0005-0000-0000-00008C190000}"/>
    <cellStyle name="Normal 4 4 4 4 5" xfId="6961" xr:uid="{00000000-0005-0000-0000-00008D190000}"/>
    <cellStyle name="Normal 4 4 4 5" xfId="6962" xr:uid="{00000000-0005-0000-0000-00008E190000}"/>
    <cellStyle name="Normal 4 4 4 5 2" xfId="6963" xr:uid="{00000000-0005-0000-0000-00008F190000}"/>
    <cellStyle name="Normal 4 4 4 5 2 2" xfId="6964" xr:uid="{00000000-0005-0000-0000-000090190000}"/>
    <cellStyle name="Normal 4 4 4 5 2 3" xfId="6965" xr:uid="{00000000-0005-0000-0000-000091190000}"/>
    <cellStyle name="Normal 4 4 4 5 3" xfId="6966" xr:uid="{00000000-0005-0000-0000-000092190000}"/>
    <cellStyle name="Normal 4 4 4 5 4" xfId="6967" xr:uid="{00000000-0005-0000-0000-000093190000}"/>
    <cellStyle name="Normal 4 4 4 5 5" xfId="6968" xr:uid="{00000000-0005-0000-0000-000094190000}"/>
    <cellStyle name="Normal 4 4 4 6" xfId="6969" xr:uid="{00000000-0005-0000-0000-000095190000}"/>
    <cellStyle name="Normal 4 4 4 6 2" xfId="6970" xr:uid="{00000000-0005-0000-0000-000096190000}"/>
    <cellStyle name="Normal 4 4 4 6 3" xfId="6971" xr:uid="{00000000-0005-0000-0000-000097190000}"/>
    <cellStyle name="Normal 4 4 4 7" xfId="6972" xr:uid="{00000000-0005-0000-0000-000098190000}"/>
    <cellStyle name="Normal 4 4 4 8" xfId="6973" xr:uid="{00000000-0005-0000-0000-000099190000}"/>
    <cellStyle name="Normal 4 4 4 9" xfId="6974" xr:uid="{00000000-0005-0000-0000-00009A190000}"/>
    <cellStyle name="Normal 4 4 5" xfId="6975" xr:uid="{00000000-0005-0000-0000-00009B190000}"/>
    <cellStyle name="Normal 4 4 5 2" xfId="6976" xr:uid="{00000000-0005-0000-0000-00009C190000}"/>
    <cellStyle name="Normal 4 4 5 2 2" xfId="6977" xr:uid="{00000000-0005-0000-0000-00009D190000}"/>
    <cellStyle name="Normal 4 4 5 2 2 2" xfId="6978" xr:uid="{00000000-0005-0000-0000-00009E190000}"/>
    <cellStyle name="Normal 4 4 5 2 2 2 2" xfId="6979" xr:uid="{00000000-0005-0000-0000-00009F190000}"/>
    <cellStyle name="Normal 4 4 5 2 2 2 2 2" xfId="6980" xr:uid="{00000000-0005-0000-0000-0000A0190000}"/>
    <cellStyle name="Normal 4 4 5 2 2 2 2 3" xfId="6981" xr:uid="{00000000-0005-0000-0000-0000A1190000}"/>
    <cellStyle name="Normal 4 4 5 2 2 2 3" xfId="6982" xr:uid="{00000000-0005-0000-0000-0000A2190000}"/>
    <cellStyle name="Normal 4 4 5 2 2 2 4" xfId="6983" xr:uid="{00000000-0005-0000-0000-0000A3190000}"/>
    <cellStyle name="Normal 4 4 5 2 2 2 5" xfId="6984" xr:uid="{00000000-0005-0000-0000-0000A4190000}"/>
    <cellStyle name="Normal 4 4 5 2 2 3" xfId="6985" xr:uid="{00000000-0005-0000-0000-0000A5190000}"/>
    <cellStyle name="Normal 4 4 5 2 2 3 2" xfId="6986" xr:uid="{00000000-0005-0000-0000-0000A6190000}"/>
    <cellStyle name="Normal 4 4 5 2 2 3 2 2" xfId="6987" xr:uid="{00000000-0005-0000-0000-0000A7190000}"/>
    <cellStyle name="Normal 4 4 5 2 2 3 2 3" xfId="6988" xr:uid="{00000000-0005-0000-0000-0000A8190000}"/>
    <cellStyle name="Normal 4 4 5 2 2 3 3" xfId="6989" xr:uid="{00000000-0005-0000-0000-0000A9190000}"/>
    <cellStyle name="Normal 4 4 5 2 2 3 4" xfId="6990" xr:uid="{00000000-0005-0000-0000-0000AA190000}"/>
    <cellStyle name="Normal 4 4 5 2 2 3 5" xfId="6991" xr:uid="{00000000-0005-0000-0000-0000AB190000}"/>
    <cellStyle name="Normal 4 4 5 2 2 4" xfId="6992" xr:uid="{00000000-0005-0000-0000-0000AC190000}"/>
    <cellStyle name="Normal 4 4 5 2 2 4 2" xfId="6993" xr:uid="{00000000-0005-0000-0000-0000AD190000}"/>
    <cellStyle name="Normal 4 4 5 2 2 4 3" xfId="6994" xr:uid="{00000000-0005-0000-0000-0000AE190000}"/>
    <cellStyle name="Normal 4 4 5 2 2 5" xfId="6995" xr:uid="{00000000-0005-0000-0000-0000AF190000}"/>
    <cellStyle name="Normal 4 4 5 2 2 6" xfId="6996" xr:uid="{00000000-0005-0000-0000-0000B0190000}"/>
    <cellStyle name="Normal 4 4 5 2 2 7" xfId="6997" xr:uid="{00000000-0005-0000-0000-0000B1190000}"/>
    <cellStyle name="Normal 4 4 5 2 3" xfId="6998" xr:uid="{00000000-0005-0000-0000-0000B2190000}"/>
    <cellStyle name="Normal 4 4 5 2 3 2" xfId="6999" xr:uid="{00000000-0005-0000-0000-0000B3190000}"/>
    <cellStyle name="Normal 4 4 5 2 3 2 2" xfId="7000" xr:uid="{00000000-0005-0000-0000-0000B4190000}"/>
    <cellStyle name="Normal 4 4 5 2 3 2 3" xfId="7001" xr:uid="{00000000-0005-0000-0000-0000B5190000}"/>
    <cellStyle name="Normal 4 4 5 2 3 3" xfId="7002" xr:uid="{00000000-0005-0000-0000-0000B6190000}"/>
    <cellStyle name="Normal 4 4 5 2 3 4" xfId="7003" xr:uid="{00000000-0005-0000-0000-0000B7190000}"/>
    <cellStyle name="Normal 4 4 5 2 3 5" xfId="7004" xr:uid="{00000000-0005-0000-0000-0000B8190000}"/>
    <cellStyle name="Normal 4 4 5 2 4" xfId="7005" xr:uid="{00000000-0005-0000-0000-0000B9190000}"/>
    <cellStyle name="Normal 4 4 5 2 4 2" xfId="7006" xr:uid="{00000000-0005-0000-0000-0000BA190000}"/>
    <cellStyle name="Normal 4 4 5 2 4 2 2" xfId="7007" xr:uid="{00000000-0005-0000-0000-0000BB190000}"/>
    <cellStyle name="Normal 4 4 5 2 4 2 3" xfId="7008" xr:uid="{00000000-0005-0000-0000-0000BC190000}"/>
    <cellStyle name="Normal 4 4 5 2 4 3" xfId="7009" xr:uid="{00000000-0005-0000-0000-0000BD190000}"/>
    <cellStyle name="Normal 4 4 5 2 4 4" xfId="7010" xr:uid="{00000000-0005-0000-0000-0000BE190000}"/>
    <cellStyle name="Normal 4 4 5 2 4 5" xfId="7011" xr:uid="{00000000-0005-0000-0000-0000BF190000}"/>
    <cellStyle name="Normal 4 4 5 2 5" xfId="7012" xr:uid="{00000000-0005-0000-0000-0000C0190000}"/>
    <cellStyle name="Normal 4 4 5 2 5 2" xfId="7013" xr:uid="{00000000-0005-0000-0000-0000C1190000}"/>
    <cellStyle name="Normal 4 4 5 2 5 3" xfId="7014" xr:uid="{00000000-0005-0000-0000-0000C2190000}"/>
    <cellStyle name="Normal 4 4 5 2 6" xfId="7015" xr:uid="{00000000-0005-0000-0000-0000C3190000}"/>
    <cellStyle name="Normal 4 4 5 2 7" xfId="7016" xr:uid="{00000000-0005-0000-0000-0000C4190000}"/>
    <cellStyle name="Normal 4 4 5 2 8" xfId="7017" xr:uid="{00000000-0005-0000-0000-0000C5190000}"/>
    <cellStyle name="Normal 4 4 5 3" xfId="7018" xr:uid="{00000000-0005-0000-0000-0000C6190000}"/>
    <cellStyle name="Normal 4 4 5 3 2" xfId="7019" xr:uid="{00000000-0005-0000-0000-0000C7190000}"/>
    <cellStyle name="Normal 4 4 5 3 2 2" xfId="7020" xr:uid="{00000000-0005-0000-0000-0000C8190000}"/>
    <cellStyle name="Normal 4 4 5 3 2 2 2" xfId="7021" xr:uid="{00000000-0005-0000-0000-0000C9190000}"/>
    <cellStyle name="Normal 4 4 5 3 2 2 3" xfId="7022" xr:uid="{00000000-0005-0000-0000-0000CA190000}"/>
    <cellStyle name="Normal 4 4 5 3 2 3" xfId="7023" xr:uid="{00000000-0005-0000-0000-0000CB190000}"/>
    <cellStyle name="Normal 4 4 5 3 2 4" xfId="7024" xr:uid="{00000000-0005-0000-0000-0000CC190000}"/>
    <cellStyle name="Normal 4 4 5 3 2 5" xfId="7025" xr:uid="{00000000-0005-0000-0000-0000CD190000}"/>
    <cellStyle name="Normal 4 4 5 3 3" xfId="7026" xr:uid="{00000000-0005-0000-0000-0000CE190000}"/>
    <cellStyle name="Normal 4 4 5 3 3 2" xfId="7027" xr:uid="{00000000-0005-0000-0000-0000CF190000}"/>
    <cellStyle name="Normal 4 4 5 3 3 2 2" xfId="7028" xr:uid="{00000000-0005-0000-0000-0000D0190000}"/>
    <cellStyle name="Normal 4 4 5 3 3 2 3" xfId="7029" xr:uid="{00000000-0005-0000-0000-0000D1190000}"/>
    <cellStyle name="Normal 4 4 5 3 3 3" xfId="7030" xr:uid="{00000000-0005-0000-0000-0000D2190000}"/>
    <cellStyle name="Normal 4 4 5 3 3 4" xfId="7031" xr:uid="{00000000-0005-0000-0000-0000D3190000}"/>
    <cellStyle name="Normal 4 4 5 3 3 5" xfId="7032" xr:uid="{00000000-0005-0000-0000-0000D4190000}"/>
    <cellStyle name="Normal 4 4 5 3 4" xfId="7033" xr:uid="{00000000-0005-0000-0000-0000D5190000}"/>
    <cellStyle name="Normal 4 4 5 3 4 2" xfId="7034" xr:uid="{00000000-0005-0000-0000-0000D6190000}"/>
    <cellStyle name="Normal 4 4 5 3 4 3" xfId="7035" xr:uid="{00000000-0005-0000-0000-0000D7190000}"/>
    <cellStyle name="Normal 4 4 5 3 5" xfId="7036" xr:uid="{00000000-0005-0000-0000-0000D8190000}"/>
    <cellStyle name="Normal 4 4 5 3 6" xfId="7037" xr:uid="{00000000-0005-0000-0000-0000D9190000}"/>
    <cellStyle name="Normal 4 4 5 3 7" xfId="7038" xr:uid="{00000000-0005-0000-0000-0000DA190000}"/>
    <cellStyle name="Normal 4 4 5 4" xfId="7039" xr:uid="{00000000-0005-0000-0000-0000DB190000}"/>
    <cellStyle name="Normal 4 4 5 4 2" xfId="7040" xr:uid="{00000000-0005-0000-0000-0000DC190000}"/>
    <cellStyle name="Normal 4 4 5 4 2 2" xfId="7041" xr:uid="{00000000-0005-0000-0000-0000DD190000}"/>
    <cellStyle name="Normal 4 4 5 4 2 3" xfId="7042" xr:uid="{00000000-0005-0000-0000-0000DE190000}"/>
    <cellStyle name="Normal 4 4 5 4 3" xfId="7043" xr:uid="{00000000-0005-0000-0000-0000DF190000}"/>
    <cellStyle name="Normal 4 4 5 4 4" xfId="7044" xr:uid="{00000000-0005-0000-0000-0000E0190000}"/>
    <cellStyle name="Normal 4 4 5 4 5" xfId="7045" xr:uid="{00000000-0005-0000-0000-0000E1190000}"/>
    <cellStyle name="Normal 4 4 5 5" xfId="7046" xr:uid="{00000000-0005-0000-0000-0000E2190000}"/>
    <cellStyle name="Normal 4 4 5 5 2" xfId="7047" xr:uid="{00000000-0005-0000-0000-0000E3190000}"/>
    <cellStyle name="Normal 4 4 5 5 2 2" xfId="7048" xr:uid="{00000000-0005-0000-0000-0000E4190000}"/>
    <cellStyle name="Normal 4 4 5 5 2 3" xfId="7049" xr:uid="{00000000-0005-0000-0000-0000E5190000}"/>
    <cellStyle name="Normal 4 4 5 5 3" xfId="7050" xr:uid="{00000000-0005-0000-0000-0000E6190000}"/>
    <cellStyle name="Normal 4 4 5 5 4" xfId="7051" xr:uid="{00000000-0005-0000-0000-0000E7190000}"/>
    <cellStyle name="Normal 4 4 5 5 5" xfId="7052" xr:uid="{00000000-0005-0000-0000-0000E8190000}"/>
    <cellStyle name="Normal 4 4 5 6" xfId="7053" xr:uid="{00000000-0005-0000-0000-0000E9190000}"/>
    <cellStyle name="Normal 4 4 5 6 2" xfId="7054" xr:uid="{00000000-0005-0000-0000-0000EA190000}"/>
    <cellStyle name="Normal 4 4 5 6 3" xfId="7055" xr:uid="{00000000-0005-0000-0000-0000EB190000}"/>
    <cellStyle name="Normal 4 4 5 7" xfId="7056" xr:uid="{00000000-0005-0000-0000-0000EC190000}"/>
    <cellStyle name="Normal 4 4 5 8" xfId="7057" xr:uid="{00000000-0005-0000-0000-0000ED190000}"/>
    <cellStyle name="Normal 4 4 5 9" xfId="7058" xr:uid="{00000000-0005-0000-0000-0000EE190000}"/>
    <cellStyle name="Normal 4 4 6" xfId="7059" xr:uid="{00000000-0005-0000-0000-0000EF190000}"/>
    <cellStyle name="Normal 4 4 6 2" xfId="7060" xr:uid="{00000000-0005-0000-0000-0000F0190000}"/>
    <cellStyle name="Normal 4 4 6 2 2" xfId="7061" xr:uid="{00000000-0005-0000-0000-0000F1190000}"/>
    <cellStyle name="Normal 4 4 6 2 2 2" xfId="7062" xr:uid="{00000000-0005-0000-0000-0000F2190000}"/>
    <cellStyle name="Normal 4 4 6 2 2 2 2" xfId="7063" xr:uid="{00000000-0005-0000-0000-0000F3190000}"/>
    <cellStyle name="Normal 4 4 6 2 2 2 3" xfId="7064" xr:uid="{00000000-0005-0000-0000-0000F4190000}"/>
    <cellStyle name="Normal 4 4 6 2 2 3" xfId="7065" xr:uid="{00000000-0005-0000-0000-0000F5190000}"/>
    <cellStyle name="Normal 4 4 6 2 2 4" xfId="7066" xr:uid="{00000000-0005-0000-0000-0000F6190000}"/>
    <cellStyle name="Normal 4 4 6 2 2 5" xfId="7067" xr:uid="{00000000-0005-0000-0000-0000F7190000}"/>
    <cellStyle name="Normal 4 4 6 2 3" xfId="7068" xr:uid="{00000000-0005-0000-0000-0000F8190000}"/>
    <cellStyle name="Normal 4 4 6 2 3 2" xfId="7069" xr:uid="{00000000-0005-0000-0000-0000F9190000}"/>
    <cellStyle name="Normal 4 4 6 2 3 2 2" xfId="7070" xr:uid="{00000000-0005-0000-0000-0000FA190000}"/>
    <cellStyle name="Normal 4 4 6 2 3 2 3" xfId="7071" xr:uid="{00000000-0005-0000-0000-0000FB190000}"/>
    <cellStyle name="Normal 4 4 6 2 3 3" xfId="7072" xr:uid="{00000000-0005-0000-0000-0000FC190000}"/>
    <cellStyle name="Normal 4 4 6 2 3 4" xfId="7073" xr:uid="{00000000-0005-0000-0000-0000FD190000}"/>
    <cellStyle name="Normal 4 4 6 2 3 5" xfId="7074" xr:uid="{00000000-0005-0000-0000-0000FE190000}"/>
    <cellStyle name="Normal 4 4 6 2 4" xfId="7075" xr:uid="{00000000-0005-0000-0000-0000FF190000}"/>
    <cellStyle name="Normal 4 4 6 2 4 2" xfId="7076" xr:uid="{00000000-0005-0000-0000-0000001A0000}"/>
    <cellStyle name="Normal 4 4 6 2 4 3" xfId="7077" xr:uid="{00000000-0005-0000-0000-0000011A0000}"/>
    <cellStyle name="Normal 4 4 6 2 5" xfId="7078" xr:uid="{00000000-0005-0000-0000-0000021A0000}"/>
    <cellStyle name="Normal 4 4 6 2 6" xfId="7079" xr:uid="{00000000-0005-0000-0000-0000031A0000}"/>
    <cellStyle name="Normal 4 4 6 2 7" xfId="7080" xr:uid="{00000000-0005-0000-0000-0000041A0000}"/>
    <cellStyle name="Normal 4 4 6 3" xfId="7081" xr:uid="{00000000-0005-0000-0000-0000051A0000}"/>
    <cellStyle name="Normal 4 4 6 3 2" xfId="7082" xr:uid="{00000000-0005-0000-0000-0000061A0000}"/>
    <cellStyle name="Normal 4 4 6 3 2 2" xfId="7083" xr:uid="{00000000-0005-0000-0000-0000071A0000}"/>
    <cellStyle name="Normal 4 4 6 3 2 3" xfId="7084" xr:uid="{00000000-0005-0000-0000-0000081A0000}"/>
    <cellStyle name="Normal 4 4 6 3 3" xfId="7085" xr:uid="{00000000-0005-0000-0000-0000091A0000}"/>
    <cellStyle name="Normal 4 4 6 3 4" xfId="7086" xr:uid="{00000000-0005-0000-0000-00000A1A0000}"/>
    <cellStyle name="Normal 4 4 6 3 5" xfId="7087" xr:uid="{00000000-0005-0000-0000-00000B1A0000}"/>
    <cellStyle name="Normal 4 4 6 4" xfId="7088" xr:uid="{00000000-0005-0000-0000-00000C1A0000}"/>
    <cellStyle name="Normal 4 4 6 4 2" xfId="7089" xr:uid="{00000000-0005-0000-0000-00000D1A0000}"/>
    <cellStyle name="Normal 4 4 6 4 2 2" xfId="7090" xr:uid="{00000000-0005-0000-0000-00000E1A0000}"/>
    <cellStyle name="Normal 4 4 6 4 2 3" xfId="7091" xr:uid="{00000000-0005-0000-0000-00000F1A0000}"/>
    <cellStyle name="Normal 4 4 6 4 3" xfId="7092" xr:uid="{00000000-0005-0000-0000-0000101A0000}"/>
    <cellStyle name="Normal 4 4 6 4 4" xfId="7093" xr:uid="{00000000-0005-0000-0000-0000111A0000}"/>
    <cellStyle name="Normal 4 4 6 4 5" xfId="7094" xr:uid="{00000000-0005-0000-0000-0000121A0000}"/>
    <cellStyle name="Normal 4 4 6 5" xfId="7095" xr:uid="{00000000-0005-0000-0000-0000131A0000}"/>
    <cellStyle name="Normal 4 4 6 5 2" xfId="7096" xr:uid="{00000000-0005-0000-0000-0000141A0000}"/>
    <cellStyle name="Normal 4 4 6 5 3" xfId="7097" xr:uid="{00000000-0005-0000-0000-0000151A0000}"/>
    <cellStyle name="Normal 4 4 6 6" xfId="7098" xr:uid="{00000000-0005-0000-0000-0000161A0000}"/>
    <cellStyle name="Normal 4 4 6 7" xfId="7099" xr:uid="{00000000-0005-0000-0000-0000171A0000}"/>
    <cellStyle name="Normal 4 4 6 8" xfId="7100" xr:uid="{00000000-0005-0000-0000-0000181A0000}"/>
    <cellStyle name="Normal 4 4 7" xfId="7101" xr:uid="{00000000-0005-0000-0000-0000191A0000}"/>
    <cellStyle name="Normal 4 4 7 2" xfId="7102" xr:uid="{00000000-0005-0000-0000-00001A1A0000}"/>
    <cellStyle name="Normal 4 4 7 2 2" xfId="7103" xr:uid="{00000000-0005-0000-0000-00001B1A0000}"/>
    <cellStyle name="Normal 4 4 7 2 2 2" xfId="7104" xr:uid="{00000000-0005-0000-0000-00001C1A0000}"/>
    <cellStyle name="Normal 4 4 7 2 2 3" xfId="7105" xr:uid="{00000000-0005-0000-0000-00001D1A0000}"/>
    <cellStyle name="Normal 4 4 7 2 3" xfId="7106" xr:uid="{00000000-0005-0000-0000-00001E1A0000}"/>
    <cellStyle name="Normal 4 4 7 2 4" xfId="7107" xr:uid="{00000000-0005-0000-0000-00001F1A0000}"/>
    <cellStyle name="Normal 4 4 7 2 5" xfId="7108" xr:uid="{00000000-0005-0000-0000-0000201A0000}"/>
    <cellStyle name="Normal 4 4 7 3" xfId="7109" xr:uid="{00000000-0005-0000-0000-0000211A0000}"/>
    <cellStyle name="Normal 4 4 7 3 2" xfId="7110" xr:uid="{00000000-0005-0000-0000-0000221A0000}"/>
    <cellStyle name="Normal 4 4 7 3 2 2" xfId="7111" xr:uid="{00000000-0005-0000-0000-0000231A0000}"/>
    <cellStyle name="Normal 4 4 7 3 2 3" xfId="7112" xr:uid="{00000000-0005-0000-0000-0000241A0000}"/>
    <cellStyle name="Normal 4 4 7 3 3" xfId="7113" xr:uid="{00000000-0005-0000-0000-0000251A0000}"/>
    <cellStyle name="Normal 4 4 7 3 4" xfId="7114" xr:uid="{00000000-0005-0000-0000-0000261A0000}"/>
    <cellStyle name="Normal 4 4 7 3 5" xfId="7115" xr:uid="{00000000-0005-0000-0000-0000271A0000}"/>
    <cellStyle name="Normal 4 4 7 4" xfId="7116" xr:uid="{00000000-0005-0000-0000-0000281A0000}"/>
    <cellStyle name="Normal 4 4 7 4 2" xfId="7117" xr:uid="{00000000-0005-0000-0000-0000291A0000}"/>
    <cellStyle name="Normal 4 4 7 4 3" xfId="7118" xr:uid="{00000000-0005-0000-0000-00002A1A0000}"/>
    <cellStyle name="Normal 4 4 7 5" xfId="7119" xr:uid="{00000000-0005-0000-0000-00002B1A0000}"/>
    <cellStyle name="Normal 4 4 7 6" xfId="7120" xr:uid="{00000000-0005-0000-0000-00002C1A0000}"/>
    <cellStyle name="Normal 4 4 7 7" xfId="7121" xr:uid="{00000000-0005-0000-0000-00002D1A0000}"/>
    <cellStyle name="Normal 4 4 8" xfId="7122" xr:uid="{00000000-0005-0000-0000-00002E1A0000}"/>
    <cellStyle name="Normal 4 4 8 2" xfId="7123" xr:uid="{00000000-0005-0000-0000-00002F1A0000}"/>
    <cellStyle name="Normal 4 4 8 2 2" xfId="7124" xr:uid="{00000000-0005-0000-0000-0000301A0000}"/>
    <cellStyle name="Normal 4 4 8 2 2 2" xfId="7125" xr:uid="{00000000-0005-0000-0000-0000311A0000}"/>
    <cellStyle name="Normal 4 4 8 2 2 3" xfId="7126" xr:uid="{00000000-0005-0000-0000-0000321A0000}"/>
    <cellStyle name="Normal 4 4 8 2 3" xfId="7127" xr:uid="{00000000-0005-0000-0000-0000331A0000}"/>
    <cellStyle name="Normal 4 4 8 2 4" xfId="7128" xr:uid="{00000000-0005-0000-0000-0000341A0000}"/>
    <cellStyle name="Normal 4 4 8 2 5" xfId="7129" xr:uid="{00000000-0005-0000-0000-0000351A0000}"/>
    <cellStyle name="Normal 4 4 8 3" xfId="7130" xr:uid="{00000000-0005-0000-0000-0000361A0000}"/>
    <cellStyle name="Normal 4 4 8 3 2" xfId="7131" xr:uid="{00000000-0005-0000-0000-0000371A0000}"/>
    <cellStyle name="Normal 4 4 8 3 2 2" xfId="7132" xr:uid="{00000000-0005-0000-0000-0000381A0000}"/>
    <cellStyle name="Normal 4 4 8 3 2 3" xfId="7133" xr:uid="{00000000-0005-0000-0000-0000391A0000}"/>
    <cellStyle name="Normal 4 4 8 3 3" xfId="7134" xr:uid="{00000000-0005-0000-0000-00003A1A0000}"/>
    <cellStyle name="Normal 4 4 8 3 4" xfId="7135" xr:uid="{00000000-0005-0000-0000-00003B1A0000}"/>
    <cellStyle name="Normal 4 4 8 3 5" xfId="7136" xr:uid="{00000000-0005-0000-0000-00003C1A0000}"/>
    <cellStyle name="Normal 4 4 8 4" xfId="7137" xr:uid="{00000000-0005-0000-0000-00003D1A0000}"/>
    <cellStyle name="Normal 4 4 8 4 2" xfId="7138" xr:uid="{00000000-0005-0000-0000-00003E1A0000}"/>
    <cellStyle name="Normal 4 4 8 4 3" xfId="7139" xr:uid="{00000000-0005-0000-0000-00003F1A0000}"/>
    <cellStyle name="Normal 4 4 8 5" xfId="7140" xr:uid="{00000000-0005-0000-0000-0000401A0000}"/>
    <cellStyle name="Normal 4 4 8 6" xfId="7141" xr:uid="{00000000-0005-0000-0000-0000411A0000}"/>
    <cellStyle name="Normal 4 4 8 7" xfId="7142" xr:uid="{00000000-0005-0000-0000-0000421A0000}"/>
    <cellStyle name="Normal 4 4 9" xfId="7143" xr:uid="{00000000-0005-0000-0000-0000431A0000}"/>
    <cellStyle name="Normal 4 4 9 2" xfId="7144" xr:uid="{00000000-0005-0000-0000-0000441A0000}"/>
    <cellStyle name="Normal 4 4 9 2 2" xfId="7145" xr:uid="{00000000-0005-0000-0000-0000451A0000}"/>
    <cellStyle name="Normal 4 4 9 2 3" xfId="7146" xr:uid="{00000000-0005-0000-0000-0000461A0000}"/>
    <cellStyle name="Normal 4 4 9 3" xfId="7147" xr:uid="{00000000-0005-0000-0000-0000471A0000}"/>
    <cellStyle name="Normal 4 4 9 4" xfId="7148" xr:uid="{00000000-0005-0000-0000-0000481A0000}"/>
    <cellStyle name="Normal 4 4 9 5" xfId="7149" xr:uid="{00000000-0005-0000-0000-0000491A0000}"/>
    <cellStyle name="Normal 4 5" xfId="644" xr:uid="{00000000-0005-0000-0000-00004A1A0000}"/>
    <cellStyle name="Normal 4 5 10" xfId="7150" xr:uid="{00000000-0005-0000-0000-00004B1A0000}"/>
    <cellStyle name="Normal 4 5 10 2" xfId="7151" xr:uid="{00000000-0005-0000-0000-00004C1A0000}"/>
    <cellStyle name="Normal 4 5 10 2 2" xfId="7152" xr:uid="{00000000-0005-0000-0000-00004D1A0000}"/>
    <cellStyle name="Normal 4 5 10 2 3" xfId="7153" xr:uid="{00000000-0005-0000-0000-00004E1A0000}"/>
    <cellStyle name="Normal 4 5 10 3" xfId="7154" xr:uid="{00000000-0005-0000-0000-00004F1A0000}"/>
    <cellStyle name="Normal 4 5 10 4" xfId="7155" xr:uid="{00000000-0005-0000-0000-0000501A0000}"/>
    <cellStyle name="Normal 4 5 10 5" xfId="7156" xr:uid="{00000000-0005-0000-0000-0000511A0000}"/>
    <cellStyle name="Normal 4 5 11" xfId="7157" xr:uid="{00000000-0005-0000-0000-0000521A0000}"/>
    <cellStyle name="Normal 4 5 11 2" xfId="7158" xr:uid="{00000000-0005-0000-0000-0000531A0000}"/>
    <cellStyle name="Normal 4 5 11 3" xfId="7159" xr:uid="{00000000-0005-0000-0000-0000541A0000}"/>
    <cellStyle name="Normal 4 5 12" xfId="7160" xr:uid="{00000000-0005-0000-0000-0000551A0000}"/>
    <cellStyle name="Normal 4 5 13" xfId="7161" xr:uid="{00000000-0005-0000-0000-0000561A0000}"/>
    <cellStyle name="Normal 4 5 14" xfId="7162" xr:uid="{00000000-0005-0000-0000-0000571A0000}"/>
    <cellStyle name="Normal 4 5 2" xfId="749" xr:uid="{00000000-0005-0000-0000-0000581A0000}"/>
    <cellStyle name="Normal 4 5 2 10" xfId="7163" xr:uid="{00000000-0005-0000-0000-0000591A0000}"/>
    <cellStyle name="Normal 4 5 2 11" xfId="7164" xr:uid="{00000000-0005-0000-0000-00005A1A0000}"/>
    <cellStyle name="Normal 4 5 2 12" xfId="7165" xr:uid="{00000000-0005-0000-0000-00005B1A0000}"/>
    <cellStyle name="Normal 4 5 2 2" xfId="7166" xr:uid="{00000000-0005-0000-0000-00005C1A0000}"/>
    <cellStyle name="Normal 4 5 2 2 2" xfId="7167" xr:uid="{00000000-0005-0000-0000-00005D1A0000}"/>
    <cellStyle name="Normal 4 5 2 2 2 2" xfId="7168" xr:uid="{00000000-0005-0000-0000-00005E1A0000}"/>
    <cellStyle name="Normal 4 5 2 2 2 2 2" xfId="7169" xr:uid="{00000000-0005-0000-0000-00005F1A0000}"/>
    <cellStyle name="Normal 4 5 2 2 2 2 2 2" xfId="7170" xr:uid="{00000000-0005-0000-0000-0000601A0000}"/>
    <cellStyle name="Normal 4 5 2 2 2 2 2 2 2" xfId="7171" xr:uid="{00000000-0005-0000-0000-0000611A0000}"/>
    <cellStyle name="Normal 4 5 2 2 2 2 2 2 3" xfId="7172" xr:uid="{00000000-0005-0000-0000-0000621A0000}"/>
    <cellStyle name="Normal 4 5 2 2 2 2 2 3" xfId="7173" xr:uid="{00000000-0005-0000-0000-0000631A0000}"/>
    <cellStyle name="Normal 4 5 2 2 2 2 2 4" xfId="7174" xr:uid="{00000000-0005-0000-0000-0000641A0000}"/>
    <cellStyle name="Normal 4 5 2 2 2 2 2 5" xfId="7175" xr:uid="{00000000-0005-0000-0000-0000651A0000}"/>
    <cellStyle name="Normal 4 5 2 2 2 2 3" xfId="7176" xr:uid="{00000000-0005-0000-0000-0000661A0000}"/>
    <cellStyle name="Normal 4 5 2 2 2 2 3 2" xfId="7177" xr:uid="{00000000-0005-0000-0000-0000671A0000}"/>
    <cellStyle name="Normal 4 5 2 2 2 2 3 2 2" xfId="7178" xr:uid="{00000000-0005-0000-0000-0000681A0000}"/>
    <cellStyle name="Normal 4 5 2 2 2 2 3 2 3" xfId="7179" xr:uid="{00000000-0005-0000-0000-0000691A0000}"/>
    <cellStyle name="Normal 4 5 2 2 2 2 3 3" xfId="7180" xr:uid="{00000000-0005-0000-0000-00006A1A0000}"/>
    <cellStyle name="Normal 4 5 2 2 2 2 3 4" xfId="7181" xr:uid="{00000000-0005-0000-0000-00006B1A0000}"/>
    <cellStyle name="Normal 4 5 2 2 2 2 3 5" xfId="7182" xr:uid="{00000000-0005-0000-0000-00006C1A0000}"/>
    <cellStyle name="Normal 4 5 2 2 2 2 4" xfId="7183" xr:uid="{00000000-0005-0000-0000-00006D1A0000}"/>
    <cellStyle name="Normal 4 5 2 2 2 2 4 2" xfId="7184" xr:uid="{00000000-0005-0000-0000-00006E1A0000}"/>
    <cellStyle name="Normal 4 5 2 2 2 2 4 3" xfId="7185" xr:uid="{00000000-0005-0000-0000-00006F1A0000}"/>
    <cellStyle name="Normal 4 5 2 2 2 2 5" xfId="7186" xr:uid="{00000000-0005-0000-0000-0000701A0000}"/>
    <cellStyle name="Normal 4 5 2 2 2 2 6" xfId="7187" xr:uid="{00000000-0005-0000-0000-0000711A0000}"/>
    <cellStyle name="Normal 4 5 2 2 2 2 7" xfId="7188" xr:uid="{00000000-0005-0000-0000-0000721A0000}"/>
    <cellStyle name="Normal 4 5 2 2 2 3" xfId="7189" xr:uid="{00000000-0005-0000-0000-0000731A0000}"/>
    <cellStyle name="Normal 4 5 2 2 2 3 2" xfId="7190" xr:uid="{00000000-0005-0000-0000-0000741A0000}"/>
    <cellStyle name="Normal 4 5 2 2 2 3 2 2" xfId="7191" xr:uid="{00000000-0005-0000-0000-0000751A0000}"/>
    <cellStyle name="Normal 4 5 2 2 2 3 2 3" xfId="7192" xr:uid="{00000000-0005-0000-0000-0000761A0000}"/>
    <cellStyle name="Normal 4 5 2 2 2 3 3" xfId="7193" xr:uid="{00000000-0005-0000-0000-0000771A0000}"/>
    <cellStyle name="Normal 4 5 2 2 2 3 4" xfId="7194" xr:uid="{00000000-0005-0000-0000-0000781A0000}"/>
    <cellStyle name="Normal 4 5 2 2 2 3 5" xfId="7195" xr:uid="{00000000-0005-0000-0000-0000791A0000}"/>
    <cellStyle name="Normal 4 5 2 2 2 4" xfId="7196" xr:uid="{00000000-0005-0000-0000-00007A1A0000}"/>
    <cellStyle name="Normal 4 5 2 2 2 4 2" xfId="7197" xr:uid="{00000000-0005-0000-0000-00007B1A0000}"/>
    <cellStyle name="Normal 4 5 2 2 2 4 2 2" xfId="7198" xr:uid="{00000000-0005-0000-0000-00007C1A0000}"/>
    <cellStyle name="Normal 4 5 2 2 2 4 2 3" xfId="7199" xr:uid="{00000000-0005-0000-0000-00007D1A0000}"/>
    <cellStyle name="Normal 4 5 2 2 2 4 3" xfId="7200" xr:uid="{00000000-0005-0000-0000-00007E1A0000}"/>
    <cellStyle name="Normal 4 5 2 2 2 4 4" xfId="7201" xr:uid="{00000000-0005-0000-0000-00007F1A0000}"/>
    <cellStyle name="Normal 4 5 2 2 2 4 5" xfId="7202" xr:uid="{00000000-0005-0000-0000-0000801A0000}"/>
    <cellStyle name="Normal 4 5 2 2 2 5" xfId="7203" xr:uid="{00000000-0005-0000-0000-0000811A0000}"/>
    <cellStyle name="Normal 4 5 2 2 2 5 2" xfId="7204" xr:uid="{00000000-0005-0000-0000-0000821A0000}"/>
    <cellStyle name="Normal 4 5 2 2 2 5 3" xfId="7205" xr:uid="{00000000-0005-0000-0000-0000831A0000}"/>
    <cellStyle name="Normal 4 5 2 2 2 6" xfId="7206" xr:uid="{00000000-0005-0000-0000-0000841A0000}"/>
    <cellStyle name="Normal 4 5 2 2 2 7" xfId="7207" xr:uid="{00000000-0005-0000-0000-0000851A0000}"/>
    <cellStyle name="Normal 4 5 2 2 2 8" xfId="7208" xr:uid="{00000000-0005-0000-0000-0000861A0000}"/>
    <cellStyle name="Normal 4 5 2 2 3" xfId="7209" xr:uid="{00000000-0005-0000-0000-0000871A0000}"/>
    <cellStyle name="Normal 4 5 2 2 3 2" xfId="7210" xr:uid="{00000000-0005-0000-0000-0000881A0000}"/>
    <cellStyle name="Normal 4 5 2 2 3 2 2" xfId="7211" xr:uid="{00000000-0005-0000-0000-0000891A0000}"/>
    <cellStyle name="Normal 4 5 2 2 3 2 2 2" xfId="7212" xr:uid="{00000000-0005-0000-0000-00008A1A0000}"/>
    <cellStyle name="Normal 4 5 2 2 3 2 2 3" xfId="7213" xr:uid="{00000000-0005-0000-0000-00008B1A0000}"/>
    <cellStyle name="Normal 4 5 2 2 3 2 3" xfId="7214" xr:uid="{00000000-0005-0000-0000-00008C1A0000}"/>
    <cellStyle name="Normal 4 5 2 2 3 2 4" xfId="7215" xr:uid="{00000000-0005-0000-0000-00008D1A0000}"/>
    <cellStyle name="Normal 4 5 2 2 3 2 5" xfId="7216" xr:uid="{00000000-0005-0000-0000-00008E1A0000}"/>
    <cellStyle name="Normal 4 5 2 2 3 3" xfId="7217" xr:uid="{00000000-0005-0000-0000-00008F1A0000}"/>
    <cellStyle name="Normal 4 5 2 2 3 3 2" xfId="7218" xr:uid="{00000000-0005-0000-0000-0000901A0000}"/>
    <cellStyle name="Normal 4 5 2 2 3 3 2 2" xfId="7219" xr:uid="{00000000-0005-0000-0000-0000911A0000}"/>
    <cellStyle name="Normal 4 5 2 2 3 3 2 3" xfId="7220" xr:uid="{00000000-0005-0000-0000-0000921A0000}"/>
    <cellStyle name="Normal 4 5 2 2 3 3 3" xfId="7221" xr:uid="{00000000-0005-0000-0000-0000931A0000}"/>
    <cellStyle name="Normal 4 5 2 2 3 3 4" xfId="7222" xr:uid="{00000000-0005-0000-0000-0000941A0000}"/>
    <cellStyle name="Normal 4 5 2 2 3 3 5" xfId="7223" xr:uid="{00000000-0005-0000-0000-0000951A0000}"/>
    <cellStyle name="Normal 4 5 2 2 3 4" xfId="7224" xr:uid="{00000000-0005-0000-0000-0000961A0000}"/>
    <cellStyle name="Normal 4 5 2 2 3 4 2" xfId="7225" xr:uid="{00000000-0005-0000-0000-0000971A0000}"/>
    <cellStyle name="Normal 4 5 2 2 3 4 3" xfId="7226" xr:uid="{00000000-0005-0000-0000-0000981A0000}"/>
    <cellStyle name="Normal 4 5 2 2 3 5" xfId="7227" xr:uid="{00000000-0005-0000-0000-0000991A0000}"/>
    <cellStyle name="Normal 4 5 2 2 3 6" xfId="7228" xr:uid="{00000000-0005-0000-0000-00009A1A0000}"/>
    <cellStyle name="Normal 4 5 2 2 3 7" xfId="7229" xr:uid="{00000000-0005-0000-0000-00009B1A0000}"/>
    <cellStyle name="Normal 4 5 2 2 4" xfId="7230" xr:uid="{00000000-0005-0000-0000-00009C1A0000}"/>
    <cellStyle name="Normal 4 5 2 2 4 2" xfId="7231" xr:uid="{00000000-0005-0000-0000-00009D1A0000}"/>
    <cellStyle name="Normal 4 5 2 2 4 2 2" xfId="7232" xr:uid="{00000000-0005-0000-0000-00009E1A0000}"/>
    <cellStyle name="Normal 4 5 2 2 4 2 3" xfId="7233" xr:uid="{00000000-0005-0000-0000-00009F1A0000}"/>
    <cellStyle name="Normal 4 5 2 2 4 3" xfId="7234" xr:uid="{00000000-0005-0000-0000-0000A01A0000}"/>
    <cellStyle name="Normal 4 5 2 2 4 4" xfId="7235" xr:uid="{00000000-0005-0000-0000-0000A11A0000}"/>
    <cellStyle name="Normal 4 5 2 2 4 5" xfId="7236" xr:uid="{00000000-0005-0000-0000-0000A21A0000}"/>
    <cellStyle name="Normal 4 5 2 2 5" xfId="7237" xr:uid="{00000000-0005-0000-0000-0000A31A0000}"/>
    <cellStyle name="Normal 4 5 2 2 5 2" xfId="7238" xr:uid="{00000000-0005-0000-0000-0000A41A0000}"/>
    <cellStyle name="Normal 4 5 2 2 5 2 2" xfId="7239" xr:uid="{00000000-0005-0000-0000-0000A51A0000}"/>
    <cellStyle name="Normal 4 5 2 2 5 2 3" xfId="7240" xr:uid="{00000000-0005-0000-0000-0000A61A0000}"/>
    <cellStyle name="Normal 4 5 2 2 5 3" xfId="7241" xr:uid="{00000000-0005-0000-0000-0000A71A0000}"/>
    <cellStyle name="Normal 4 5 2 2 5 4" xfId="7242" xr:uid="{00000000-0005-0000-0000-0000A81A0000}"/>
    <cellStyle name="Normal 4 5 2 2 5 5" xfId="7243" xr:uid="{00000000-0005-0000-0000-0000A91A0000}"/>
    <cellStyle name="Normal 4 5 2 2 6" xfId="7244" xr:uid="{00000000-0005-0000-0000-0000AA1A0000}"/>
    <cellStyle name="Normal 4 5 2 2 6 2" xfId="7245" xr:uid="{00000000-0005-0000-0000-0000AB1A0000}"/>
    <cellStyle name="Normal 4 5 2 2 6 3" xfId="7246" xr:uid="{00000000-0005-0000-0000-0000AC1A0000}"/>
    <cellStyle name="Normal 4 5 2 2 7" xfId="7247" xr:uid="{00000000-0005-0000-0000-0000AD1A0000}"/>
    <cellStyle name="Normal 4 5 2 2 8" xfId="7248" xr:uid="{00000000-0005-0000-0000-0000AE1A0000}"/>
    <cellStyle name="Normal 4 5 2 2 9" xfId="7249" xr:uid="{00000000-0005-0000-0000-0000AF1A0000}"/>
    <cellStyle name="Normal 4 5 2 3" xfId="7250" xr:uid="{00000000-0005-0000-0000-0000B01A0000}"/>
    <cellStyle name="Normal 4 5 2 3 2" xfId="7251" xr:uid="{00000000-0005-0000-0000-0000B11A0000}"/>
    <cellStyle name="Normal 4 5 2 3 2 2" xfId="7252" xr:uid="{00000000-0005-0000-0000-0000B21A0000}"/>
    <cellStyle name="Normal 4 5 2 3 2 2 2" xfId="7253" xr:uid="{00000000-0005-0000-0000-0000B31A0000}"/>
    <cellStyle name="Normal 4 5 2 3 2 2 2 2" xfId="7254" xr:uid="{00000000-0005-0000-0000-0000B41A0000}"/>
    <cellStyle name="Normal 4 5 2 3 2 2 2 2 2" xfId="7255" xr:uid="{00000000-0005-0000-0000-0000B51A0000}"/>
    <cellStyle name="Normal 4 5 2 3 2 2 2 2 3" xfId="7256" xr:uid="{00000000-0005-0000-0000-0000B61A0000}"/>
    <cellStyle name="Normal 4 5 2 3 2 2 2 3" xfId="7257" xr:uid="{00000000-0005-0000-0000-0000B71A0000}"/>
    <cellStyle name="Normal 4 5 2 3 2 2 2 4" xfId="7258" xr:uid="{00000000-0005-0000-0000-0000B81A0000}"/>
    <cellStyle name="Normal 4 5 2 3 2 2 2 5" xfId="7259" xr:uid="{00000000-0005-0000-0000-0000B91A0000}"/>
    <cellStyle name="Normal 4 5 2 3 2 2 3" xfId="7260" xr:uid="{00000000-0005-0000-0000-0000BA1A0000}"/>
    <cellStyle name="Normal 4 5 2 3 2 2 3 2" xfId="7261" xr:uid="{00000000-0005-0000-0000-0000BB1A0000}"/>
    <cellStyle name="Normal 4 5 2 3 2 2 3 2 2" xfId="7262" xr:uid="{00000000-0005-0000-0000-0000BC1A0000}"/>
    <cellStyle name="Normal 4 5 2 3 2 2 3 2 3" xfId="7263" xr:uid="{00000000-0005-0000-0000-0000BD1A0000}"/>
    <cellStyle name="Normal 4 5 2 3 2 2 3 3" xfId="7264" xr:uid="{00000000-0005-0000-0000-0000BE1A0000}"/>
    <cellStyle name="Normal 4 5 2 3 2 2 3 4" xfId="7265" xr:uid="{00000000-0005-0000-0000-0000BF1A0000}"/>
    <cellStyle name="Normal 4 5 2 3 2 2 3 5" xfId="7266" xr:uid="{00000000-0005-0000-0000-0000C01A0000}"/>
    <cellStyle name="Normal 4 5 2 3 2 2 4" xfId="7267" xr:uid="{00000000-0005-0000-0000-0000C11A0000}"/>
    <cellStyle name="Normal 4 5 2 3 2 2 4 2" xfId="7268" xr:uid="{00000000-0005-0000-0000-0000C21A0000}"/>
    <cellStyle name="Normal 4 5 2 3 2 2 4 3" xfId="7269" xr:uid="{00000000-0005-0000-0000-0000C31A0000}"/>
    <cellStyle name="Normal 4 5 2 3 2 2 5" xfId="7270" xr:uid="{00000000-0005-0000-0000-0000C41A0000}"/>
    <cellStyle name="Normal 4 5 2 3 2 2 6" xfId="7271" xr:uid="{00000000-0005-0000-0000-0000C51A0000}"/>
    <cellStyle name="Normal 4 5 2 3 2 2 7" xfId="7272" xr:uid="{00000000-0005-0000-0000-0000C61A0000}"/>
    <cellStyle name="Normal 4 5 2 3 2 3" xfId="7273" xr:uid="{00000000-0005-0000-0000-0000C71A0000}"/>
    <cellStyle name="Normal 4 5 2 3 2 3 2" xfId="7274" xr:uid="{00000000-0005-0000-0000-0000C81A0000}"/>
    <cellStyle name="Normal 4 5 2 3 2 3 2 2" xfId="7275" xr:uid="{00000000-0005-0000-0000-0000C91A0000}"/>
    <cellStyle name="Normal 4 5 2 3 2 3 2 3" xfId="7276" xr:uid="{00000000-0005-0000-0000-0000CA1A0000}"/>
    <cellStyle name="Normal 4 5 2 3 2 3 3" xfId="7277" xr:uid="{00000000-0005-0000-0000-0000CB1A0000}"/>
    <cellStyle name="Normal 4 5 2 3 2 3 4" xfId="7278" xr:uid="{00000000-0005-0000-0000-0000CC1A0000}"/>
    <cellStyle name="Normal 4 5 2 3 2 3 5" xfId="7279" xr:uid="{00000000-0005-0000-0000-0000CD1A0000}"/>
    <cellStyle name="Normal 4 5 2 3 2 4" xfId="7280" xr:uid="{00000000-0005-0000-0000-0000CE1A0000}"/>
    <cellStyle name="Normal 4 5 2 3 2 4 2" xfId="7281" xr:uid="{00000000-0005-0000-0000-0000CF1A0000}"/>
    <cellStyle name="Normal 4 5 2 3 2 4 2 2" xfId="7282" xr:uid="{00000000-0005-0000-0000-0000D01A0000}"/>
    <cellStyle name="Normal 4 5 2 3 2 4 2 3" xfId="7283" xr:uid="{00000000-0005-0000-0000-0000D11A0000}"/>
    <cellStyle name="Normal 4 5 2 3 2 4 3" xfId="7284" xr:uid="{00000000-0005-0000-0000-0000D21A0000}"/>
    <cellStyle name="Normal 4 5 2 3 2 4 4" xfId="7285" xr:uid="{00000000-0005-0000-0000-0000D31A0000}"/>
    <cellStyle name="Normal 4 5 2 3 2 4 5" xfId="7286" xr:uid="{00000000-0005-0000-0000-0000D41A0000}"/>
    <cellStyle name="Normal 4 5 2 3 2 5" xfId="7287" xr:uid="{00000000-0005-0000-0000-0000D51A0000}"/>
    <cellStyle name="Normal 4 5 2 3 2 5 2" xfId="7288" xr:uid="{00000000-0005-0000-0000-0000D61A0000}"/>
    <cellStyle name="Normal 4 5 2 3 2 5 3" xfId="7289" xr:uid="{00000000-0005-0000-0000-0000D71A0000}"/>
    <cellStyle name="Normal 4 5 2 3 2 6" xfId="7290" xr:uid="{00000000-0005-0000-0000-0000D81A0000}"/>
    <cellStyle name="Normal 4 5 2 3 2 7" xfId="7291" xr:uid="{00000000-0005-0000-0000-0000D91A0000}"/>
    <cellStyle name="Normal 4 5 2 3 2 8" xfId="7292" xr:uid="{00000000-0005-0000-0000-0000DA1A0000}"/>
    <cellStyle name="Normal 4 5 2 3 3" xfId="7293" xr:uid="{00000000-0005-0000-0000-0000DB1A0000}"/>
    <cellStyle name="Normal 4 5 2 3 3 2" xfId="7294" xr:uid="{00000000-0005-0000-0000-0000DC1A0000}"/>
    <cellStyle name="Normal 4 5 2 3 3 2 2" xfId="7295" xr:uid="{00000000-0005-0000-0000-0000DD1A0000}"/>
    <cellStyle name="Normal 4 5 2 3 3 2 2 2" xfId="7296" xr:uid="{00000000-0005-0000-0000-0000DE1A0000}"/>
    <cellStyle name="Normal 4 5 2 3 3 2 2 3" xfId="7297" xr:uid="{00000000-0005-0000-0000-0000DF1A0000}"/>
    <cellStyle name="Normal 4 5 2 3 3 2 3" xfId="7298" xr:uid="{00000000-0005-0000-0000-0000E01A0000}"/>
    <cellStyle name="Normal 4 5 2 3 3 2 4" xfId="7299" xr:uid="{00000000-0005-0000-0000-0000E11A0000}"/>
    <cellStyle name="Normal 4 5 2 3 3 2 5" xfId="7300" xr:uid="{00000000-0005-0000-0000-0000E21A0000}"/>
    <cellStyle name="Normal 4 5 2 3 3 3" xfId="7301" xr:uid="{00000000-0005-0000-0000-0000E31A0000}"/>
    <cellStyle name="Normal 4 5 2 3 3 3 2" xfId="7302" xr:uid="{00000000-0005-0000-0000-0000E41A0000}"/>
    <cellStyle name="Normal 4 5 2 3 3 3 2 2" xfId="7303" xr:uid="{00000000-0005-0000-0000-0000E51A0000}"/>
    <cellStyle name="Normal 4 5 2 3 3 3 2 3" xfId="7304" xr:uid="{00000000-0005-0000-0000-0000E61A0000}"/>
    <cellStyle name="Normal 4 5 2 3 3 3 3" xfId="7305" xr:uid="{00000000-0005-0000-0000-0000E71A0000}"/>
    <cellStyle name="Normal 4 5 2 3 3 3 4" xfId="7306" xr:uid="{00000000-0005-0000-0000-0000E81A0000}"/>
    <cellStyle name="Normal 4 5 2 3 3 3 5" xfId="7307" xr:uid="{00000000-0005-0000-0000-0000E91A0000}"/>
    <cellStyle name="Normal 4 5 2 3 3 4" xfId="7308" xr:uid="{00000000-0005-0000-0000-0000EA1A0000}"/>
    <cellStyle name="Normal 4 5 2 3 3 4 2" xfId="7309" xr:uid="{00000000-0005-0000-0000-0000EB1A0000}"/>
    <cellStyle name="Normal 4 5 2 3 3 4 3" xfId="7310" xr:uid="{00000000-0005-0000-0000-0000EC1A0000}"/>
    <cellStyle name="Normal 4 5 2 3 3 5" xfId="7311" xr:uid="{00000000-0005-0000-0000-0000ED1A0000}"/>
    <cellStyle name="Normal 4 5 2 3 3 6" xfId="7312" xr:uid="{00000000-0005-0000-0000-0000EE1A0000}"/>
    <cellStyle name="Normal 4 5 2 3 3 7" xfId="7313" xr:uid="{00000000-0005-0000-0000-0000EF1A0000}"/>
    <cellStyle name="Normal 4 5 2 3 4" xfId="7314" xr:uid="{00000000-0005-0000-0000-0000F01A0000}"/>
    <cellStyle name="Normal 4 5 2 3 4 2" xfId="7315" xr:uid="{00000000-0005-0000-0000-0000F11A0000}"/>
    <cellStyle name="Normal 4 5 2 3 4 2 2" xfId="7316" xr:uid="{00000000-0005-0000-0000-0000F21A0000}"/>
    <cellStyle name="Normal 4 5 2 3 4 2 3" xfId="7317" xr:uid="{00000000-0005-0000-0000-0000F31A0000}"/>
    <cellStyle name="Normal 4 5 2 3 4 3" xfId="7318" xr:uid="{00000000-0005-0000-0000-0000F41A0000}"/>
    <cellStyle name="Normal 4 5 2 3 4 4" xfId="7319" xr:uid="{00000000-0005-0000-0000-0000F51A0000}"/>
    <cellStyle name="Normal 4 5 2 3 4 5" xfId="7320" xr:uid="{00000000-0005-0000-0000-0000F61A0000}"/>
    <cellStyle name="Normal 4 5 2 3 5" xfId="7321" xr:uid="{00000000-0005-0000-0000-0000F71A0000}"/>
    <cellStyle name="Normal 4 5 2 3 5 2" xfId="7322" xr:uid="{00000000-0005-0000-0000-0000F81A0000}"/>
    <cellStyle name="Normal 4 5 2 3 5 2 2" xfId="7323" xr:uid="{00000000-0005-0000-0000-0000F91A0000}"/>
    <cellStyle name="Normal 4 5 2 3 5 2 3" xfId="7324" xr:uid="{00000000-0005-0000-0000-0000FA1A0000}"/>
    <cellStyle name="Normal 4 5 2 3 5 3" xfId="7325" xr:uid="{00000000-0005-0000-0000-0000FB1A0000}"/>
    <cellStyle name="Normal 4 5 2 3 5 4" xfId="7326" xr:uid="{00000000-0005-0000-0000-0000FC1A0000}"/>
    <cellStyle name="Normal 4 5 2 3 5 5" xfId="7327" xr:uid="{00000000-0005-0000-0000-0000FD1A0000}"/>
    <cellStyle name="Normal 4 5 2 3 6" xfId="7328" xr:uid="{00000000-0005-0000-0000-0000FE1A0000}"/>
    <cellStyle name="Normal 4 5 2 3 6 2" xfId="7329" xr:uid="{00000000-0005-0000-0000-0000FF1A0000}"/>
    <cellStyle name="Normal 4 5 2 3 6 3" xfId="7330" xr:uid="{00000000-0005-0000-0000-0000001B0000}"/>
    <cellStyle name="Normal 4 5 2 3 7" xfId="7331" xr:uid="{00000000-0005-0000-0000-0000011B0000}"/>
    <cellStyle name="Normal 4 5 2 3 8" xfId="7332" xr:uid="{00000000-0005-0000-0000-0000021B0000}"/>
    <cellStyle name="Normal 4 5 2 3 9" xfId="7333" xr:uid="{00000000-0005-0000-0000-0000031B0000}"/>
    <cellStyle name="Normal 4 5 2 4" xfId="7334" xr:uid="{00000000-0005-0000-0000-0000041B0000}"/>
    <cellStyle name="Normal 4 5 2 4 2" xfId="7335" xr:uid="{00000000-0005-0000-0000-0000051B0000}"/>
    <cellStyle name="Normal 4 5 2 4 2 2" xfId="7336" xr:uid="{00000000-0005-0000-0000-0000061B0000}"/>
    <cellStyle name="Normal 4 5 2 4 2 2 2" xfId="7337" xr:uid="{00000000-0005-0000-0000-0000071B0000}"/>
    <cellStyle name="Normal 4 5 2 4 2 2 2 2" xfId="7338" xr:uid="{00000000-0005-0000-0000-0000081B0000}"/>
    <cellStyle name="Normal 4 5 2 4 2 2 2 2 2" xfId="7339" xr:uid="{00000000-0005-0000-0000-0000091B0000}"/>
    <cellStyle name="Normal 4 5 2 4 2 2 2 2 3" xfId="7340" xr:uid="{00000000-0005-0000-0000-00000A1B0000}"/>
    <cellStyle name="Normal 4 5 2 4 2 2 2 3" xfId="7341" xr:uid="{00000000-0005-0000-0000-00000B1B0000}"/>
    <cellStyle name="Normal 4 5 2 4 2 2 2 4" xfId="7342" xr:uid="{00000000-0005-0000-0000-00000C1B0000}"/>
    <cellStyle name="Normal 4 5 2 4 2 2 2 5" xfId="7343" xr:uid="{00000000-0005-0000-0000-00000D1B0000}"/>
    <cellStyle name="Normal 4 5 2 4 2 2 3" xfId="7344" xr:uid="{00000000-0005-0000-0000-00000E1B0000}"/>
    <cellStyle name="Normal 4 5 2 4 2 2 3 2" xfId="7345" xr:uid="{00000000-0005-0000-0000-00000F1B0000}"/>
    <cellStyle name="Normal 4 5 2 4 2 2 3 2 2" xfId="7346" xr:uid="{00000000-0005-0000-0000-0000101B0000}"/>
    <cellStyle name="Normal 4 5 2 4 2 2 3 2 3" xfId="7347" xr:uid="{00000000-0005-0000-0000-0000111B0000}"/>
    <cellStyle name="Normal 4 5 2 4 2 2 3 3" xfId="7348" xr:uid="{00000000-0005-0000-0000-0000121B0000}"/>
    <cellStyle name="Normal 4 5 2 4 2 2 3 4" xfId="7349" xr:uid="{00000000-0005-0000-0000-0000131B0000}"/>
    <cellStyle name="Normal 4 5 2 4 2 2 3 5" xfId="7350" xr:uid="{00000000-0005-0000-0000-0000141B0000}"/>
    <cellStyle name="Normal 4 5 2 4 2 2 4" xfId="7351" xr:uid="{00000000-0005-0000-0000-0000151B0000}"/>
    <cellStyle name="Normal 4 5 2 4 2 2 4 2" xfId="7352" xr:uid="{00000000-0005-0000-0000-0000161B0000}"/>
    <cellStyle name="Normal 4 5 2 4 2 2 4 3" xfId="7353" xr:uid="{00000000-0005-0000-0000-0000171B0000}"/>
    <cellStyle name="Normal 4 5 2 4 2 2 5" xfId="7354" xr:uid="{00000000-0005-0000-0000-0000181B0000}"/>
    <cellStyle name="Normal 4 5 2 4 2 2 6" xfId="7355" xr:uid="{00000000-0005-0000-0000-0000191B0000}"/>
    <cellStyle name="Normal 4 5 2 4 2 2 7" xfId="7356" xr:uid="{00000000-0005-0000-0000-00001A1B0000}"/>
    <cellStyle name="Normal 4 5 2 4 2 3" xfId="7357" xr:uid="{00000000-0005-0000-0000-00001B1B0000}"/>
    <cellStyle name="Normal 4 5 2 4 2 3 2" xfId="7358" xr:uid="{00000000-0005-0000-0000-00001C1B0000}"/>
    <cellStyle name="Normal 4 5 2 4 2 3 2 2" xfId="7359" xr:uid="{00000000-0005-0000-0000-00001D1B0000}"/>
    <cellStyle name="Normal 4 5 2 4 2 3 2 3" xfId="7360" xr:uid="{00000000-0005-0000-0000-00001E1B0000}"/>
    <cellStyle name="Normal 4 5 2 4 2 3 3" xfId="7361" xr:uid="{00000000-0005-0000-0000-00001F1B0000}"/>
    <cellStyle name="Normal 4 5 2 4 2 3 4" xfId="7362" xr:uid="{00000000-0005-0000-0000-0000201B0000}"/>
    <cellStyle name="Normal 4 5 2 4 2 3 5" xfId="7363" xr:uid="{00000000-0005-0000-0000-0000211B0000}"/>
    <cellStyle name="Normal 4 5 2 4 2 4" xfId="7364" xr:uid="{00000000-0005-0000-0000-0000221B0000}"/>
    <cellStyle name="Normal 4 5 2 4 2 4 2" xfId="7365" xr:uid="{00000000-0005-0000-0000-0000231B0000}"/>
    <cellStyle name="Normal 4 5 2 4 2 4 2 2" xfId="7366" xr:uid="{00000000-0005-0000-0000-0000241B0000}"/>
    <cellStyle name="Normal 4 5 2 4 2 4 2 3" xfId="7367" xr:uid="{00000000-0005-0000-0000-0000251B0000}"/>
    <cellStyle name="Normal 4 5 2 4 2 4 3" xfId="7368" xr:uid="{00000000-0005-0000-0000-0000261B0000}"/>
    <cellStyle name="Normal 4 5 2 4 2 4 4" xfId="7369" xr:uid="{00000000-0005-0000-0000-0000271B0000}"/>
    <cellStyle name="Normal 4 5 2 4 2 4 5" xfId="7370" xr:uid="{00000000-0005-0000-0000-0000281B0000}"/>
    <cellStyle name="Normal 4 5 2 4 2 5" xfId="7371" xr:uid="{00000000-0005-0000-0000-0000291B0000}"/>
    <cellStyle name="Normal 4 5 2 4 2 5 2" xfId="7372" xr:uid="{00000000-0005-0000-0000-00002A1B0000}"/>
    <cellStyle name="Normal 4 5 2 4 2 5 3" xfId="7373" xr:uid="{00000000-0005-0000-0000-00002B1B0000}"/>
    <cellStyle name="Normal 4 5 2 4 2 6" xfId="7374" xr:uid="{00000000-0005-0000-0000-00002C1B0000}"/>
    <cellStyle name="Normal 4 5 2 4 2 7" xfId="7375" xr:uid="{00000000-0005-0000-0000-00002D1B0000}"/>
    <cellStyle name="Normal 4 5 2 4 2 8" xfId="7376" xr:uid="{00000000-0005-0000-0000-00002E1B0000}"/>
    <cellStyle name="Normal 4 5 2 4 3" xfId="7377" xr:uid="{00000000-0005-0000-0000-00002F1B0000}"/>
    <cellStyle name="Normal 4 5 2 4 3 2" xfId="7378" xr:uid="{00000000-0005-0000-0000-0000301B0000}"/>
    <cellStyle name="Normal 4 5 2 4 3 2 2" xfId="7379" xr:uid="{00000000-0005-0000-0000-0000311B0000}"/>
    <cellStyle name="Normal 4 5 2 4 3 2 2 2" xfId="7380" xr:uid="{00000000-0005-0000-0000-0000321B0000}"/>
    <cellStyle name="Normal 4 5 2 4 3 2 2 3" xfId="7381" xr:uid="{00000000-0005-0000-0000-0000331B0000}"/>
    <cellStyle name="Normal 4 5 2 4 3 2 3" xfId="7382" xr:uid="{00000000-0005-0000-0000-0000341B0000}"/>
    <cellStyle name="Normal 4 5 2 4 3 2 4" xfId="7383" xr:uid="{00000000-0005-0000-0000-0000351B0000}"/>
    <cellStyle name="Normal 4 5 2 4 3 2 5" xfId="7384" xr:uid="{00000000-0005-0000-0000-0000361B0000}"/>
    <cellStyle name="Normal 4 5 2 4 3 3" xfId="7385" xr:uid="{00000000-0005-0000-0000-0000371B0000}"/>
    <cellStyle name="Normal 4 5 2 4 3 3 2" xfId="7386" xr:uid="{00000000-0005-0000-0000-0000381B0000}"/>
    <cellStyle name="Normal 4 5 2 4 3 3 2 2" xfId="7387" xr:uid="{00000000-0005-0000-0000-0000391B0000}"/>
    <cellStyle name="Normal 4 5 2 4 3 3 2 3" xfId="7388" xr:uid="{00000000-0005-0000-0000-00003A1B0000}"/>
    <cellStyle name="Normal 4 5 2 4 3 3 3" xfId="7389" xr:uid="{00000000-0005-0000-0000-00003B1B0000}"/>
    <cellStyle name="Normal 4 5 2 4 3 3 4" xfId="7390" xr:uid="{00000000-0005-0000-0000-00003C1B0000}"/>
    <cellStyle name="Normal 4 5 2 4 3 3 5" xfId="7391" xr:uid="{00000000-0005-0000-0000-00003D1B0000}"/>
    <cellStyle name="Normal 4 5 2 4 3 4" xfId="7392" xr:uid="{00000000-0005-0000-0000-00003E1B0000}"/>
    <cellStyle name="Normal 4 5 2 4 3 4 2" xfId="7393" xr:uid="{00000000-0005-0000-0000-00003F1B0000}"/>
    <cellStyle name="Normal 4 5 2 4 3 4 3" xfId="7394" xr:uid="{00000000-0005-0000-0000-0000401B0000}"/>
    <cellStyle name="Normal 4 5 2 4 3 5" xfId="7395" xr:uid="{00000000-0005-0000-0000-0000411B0000}"/>
    <cellStyle name="Normal 4 5 2 4 3 6" xfId="7396" xr:uid="{00000000-0005-0000-0000-0000421B0000}"/>
    <cellStyle name="Normal 4 5 2 4 3 7" xfId="7397" xr:uid="{00000000-0005-0000-0000-0000431B0000}"/>
    <cellStyle name="Normal 4 5 2 4 4" xfId="7398" xr:uid="{00000000-0005-0000-0000-0000441B0000}"/>
    <cellStyle name="Normal 4 5 2 4 4 2" xfId="7399" xr:uid="{00000000-0005-0000-0000-0000451B0000}"/>
    <cellStyle name="Normal 4 5 2 4 4 2 2" xfId="7400" xr:uid="{00000000-0005-0000-0000-0000461B0000}"/>
    <cellStyle name="Normal 4 5 2 4 4 2 3" xfId="7401" xr:uid="{00000000-0005-0000-0000-0000471B0000}"/>
    <cellStyle name="Normal 4 5 2 4 4 3" xfId="7402" xr:uid="{00000000-0005-0000-0000-0000481B0000}"/>
    <cellStyle name="Normal 4 5 2 4 4 4" xfId="7403" xr:uid="{00000000-0005-0000-0000-0000491B0000}"/>
    <cellStyle name="Normal 4 5 2 4 4 5" xfId="7404" xr:uid="{00000000-0005-0000-0000-00004A1B0000}"/>
    <cellStyle name="Normal 4 5 2 4 5" xfId="7405" xr:uid="{00000000-0005-0000-0000-00004B1B0000}"/>
    <cellStyle name="Normal 4 5 2 4 5 2" xfId="7406" xr:uid="{00000000-0005-0000-0000-00004C1B0000}"/>
    <cellStyle name="Normal 4 5 2 4 5 2 2" xfId="7407" xr:uid="{00000000-0005-0000-0000-00004D1B0000}"/>
    <cellStyle name="Normal 4 5 2 4 5 2 3" xfId="7408" xr:uid="{00000000-0005-0000-0000-00004E1B0000}"/>
    <cellStyle name="Normal 4 5 2 4 5 3" xfId="7409" xr:uid="{00000000-0005-0000-0000-00004F1B0000}"/>
    <cellStyle name="Normal 4 5 2 4 5 4" xfId="7410" xr:uid="{00000000-0005-0000-0000-0000501B0000}"/>
    <cellStyle name="Normal 4 5 2 4 5 5" xfId="7411" xr:uid="{00000000-0005-0000-0000-0000511B0000}"/>
    <cellStyle name="Normal 4 5 2 4 6" xfId="7412" xr:uid="{00000000-0005-0000-0000-0000521B0000}"/>
    <cellStyle name="Normal 4 5 2 4 6 2" xfId="7413" xr:uid="{00000000-0005-0000-0000-0000531B0000}"/>
    <cellStyle name="Normal 4 5 2 4 6 3" xfId="7414" xr:uid="{00000000-0005-0000-0000-0000541B0000}"/>
    <cellStyle name="Normal 4 5 2 4 7" xfId="7415" xr:uid="{00000000-0005-0000-0000-0000551B0000}"/>
    <cellStyle name="Normal 4 5 2 4 8" xfId="7416" xr:uid="{00000000-0005-0000-0000-0000561B0000}"/>
    <cellStyle name="Normal 4 5 2 4 9" xfId="7417" xr:uid="{00000000-0005-0000-0000-0000571B0000}"/>
    <cellStyle name="Normal 4 5 2 5" xfId="7418" xr:uid="{00000000-0005-0000-0000-0000581B0000}"/>
    <cellStyle name="Normal 4 5 2 5 2" xfId="7419" xr:uid="{00000000-0005-0000-0000-0000591B0000}"/>
    <cellStyle name="Normal 4 5 2 5 2 2" xfId="7420" xr:uid="{00000000-0005-0000-0000-00005A1B0000}"/>
    <cellStyle name="Normal 4 5 2 5 2 2 2" xfId="7421" xr:uid="{00000000-0005-0000-0000-00005B1B0000}"/>
    <cellStyle name="Normal 4 5 2 5 2 2 2 2" xfId="7422" xr:uid="{00000000-0005-0000-0000-00005C1B0000}"/>
    <cellStyle name="Normal 4 5 2 5 2 2 2 3" xfId="7423" xr:uid="{00000000-0005-0000-0000-00005D1B0000}"/>
    <cellStyle name="Normal 4 5 2 5 2 2 3" xfId="7424" xr:uid="{00000000-0005-0000-0000-00005E1B0000}"/>
    <cellStyle name="Normal 4 5 2 5 2 2 4" xfId="7425" xr:uid="{00000000-0005-0000-0000-00005F1B0000}"/>
    <cellStyle name="Normal 4 5 2 5 2 2 5" xfId="7426" xr:uid="{00000000-0005-0000-0000-0000601B0000}"/>
    <cellStyle name="Normal 4 5 2 5 2 3" xfId="7427" xr:uid="{00000000-0005-0000-0000-0000611B0000}"/>
    <cellStyle name="Normal 4 5 2 5 2 3 2" xfId="7428" xr:uid="{00000000-0005-0000-0000-0000621B0000}"/>
    <cellStyle name="Normal 4 5 2 5 2 3 2 2" xfId="7429" xr:uid="{00000000-0005-0000-0000-0000631B0000}"/>
    <cellStyle name="Normal 4 5 2 5 2 3 2 3" xfId="7430" xr:uid="{00000000-0005-0000-0000-0000641B0000}"/>
    <cellStyle name="Normal 4 5 2 5 2 3 3" xfId="7431" xr:uid="{00000000-0005-0000-0000-0000651B0000}"/>
    <cellStyle name="Normal 4 5 2 5 2 3 4" xfId="7432" xr:uid="{00000000-0005-0000-0000-0000661B0000}"/>
    <cellStyle name="Normal 4 5 2 5 2 3 5" xfId="7433" xr:uid="{00000000-0005-0000-0000-0000671B0000}"/>
    <cellStyle name="Normal 4 5 2 5 2 4" xfId="7434" xr:uid="{00000000-0005-0000-0000-0000681B0000}"/>
    <cellStyle name="Normal 4 5 2 5 2 4 2" xfId="7435" xr:uid="{00000000-0005-0000-0000-0000691B0000}"/>
    <cellStyle name="Normal 4 5 2 5 2 4 3" xfId="7436" xr:uid="{00000000-0005-0000-0000-00006A1B0000}"/>
    <cellStyle name="Normal 4 5 2 5 2 5" xfId="7437" xr:uid="{00000000-0005-0000-0000-00006B1B0000}"/>
    <cellStyle name="Normal 4 5 2 5 2 6" xfId="7438" xr:uid="{00000000-0005-0000-0000-00006C1B0000}"/>
    <cellStyle name="Normal 4 5 2 5 2 7" xfId="7439" xr:uid="{00000000-0005-0000-0000-00006D1B0000}"/>
    <cellStyle name="Normal 4 5 2 5 3" xfId="7440" xr:uid="{00000000-0005-0000-0000-00006E1B0000}"/>
    <cellStyle name="Normal 4 5 2 5 3 2" xfId="7441" xr:uid="{00000000-0005-0000-0000-00006F1B0000}"/>
    <cellStyle name="Normal 4 5 2 5 3 2 2" xfId="7442" xr:uid="{00000000-0005-0000-0000-0000701B0000}"/>
    <cellStyle name="Normal 4 5 2 5 3 2 3" xfId="7443" xr:uid="{00000000-0005-0000-0000-0000711B0000}"/>
    <cellStyle name="Normal 4 5 2 5 3 3" xfId="7444" xr:uid="{00000000-0005-0000-0000-0000721B0000}"/>
    <cellStyle name="Normal 4 5 2 5 3 4" xfId="7445" xr:uid="{00000000-0005-0000-0000-0000731B0000}"/>
    <cellStyle name="Normal 4 5 2 5 3 5" xfId="7446" xr:uid="{00000000-0005-0000-0000-0000741B0000}"/>
    <cellStyle name="Normal 4 5 2 5 4" xfId="7447" xr:uid="{00000000-0005-0000-0000-0000751B0000}"/>
    <cellStyle name="Normal 4 5 2 5 4 2" xfId="7448" xr:uid="{00000000-0005-0000-0000-0000761B0000}"/>
    <cellStyle name="Normal 4 5 2 5 4 2 2" xfId="7449" xr:uid="{00000000-0005-0000-0000-0000771B0000}"/>
    <cellStyle name="Normal 4 5 2 5 4 2 3" xfId="7450" xr:uid="{00000000-0005-0000-0000-0000781B0000}"/>
    <cellStyle name="Normal 4 5 2 5 4 3" xfId="7451" xr:uid="{00000000-0005-0000-0000-0000791B0000}"/>
    <cellStyle name="Normal 4 5 2 5 4 4" xfId="7452" xr:uid="{00000000-0005-0000-0000-00007A1B0000}"/>
    <cellStyle name="Normal 4 5 2 5 4 5" xfId="7453" xr:uid="{00000000-0005-0000-0000-00007B1B0000}"/>
    <cellStyle name="Normal 4 5 2 5 5" xfId="7454" xr:uid="{00000000-0005-0000-0000-00007C1B0000}"/>
    <cellStyle name="Normal 4 5 2 5 5 2" xfId="7455" xr:uid="{00000000-0005-0000-0000-00007D1B0000}"/>
    <cellStyle name="Normal 4 5 2 5 5 3" xfId="7456" xr:uid="{00000000-0005-0000-0000-00007E1B0000}"/>
    <cellStyle name="Normal 4 5 2 5 6" xfId="7457" xr:uid="{00000000-0005-0000-0000-00007F1B0000}"/>
    <cellStyle name="Normal 4 5 2 5 7" xfId="7458" xr:uid="{00000000-0005-0000-0000-0000801B0000}"/>
    <cellStyle name="Normal 4 5 2 5 8" xfId="7459" xr:uid="{00000000-0005-0000-0000-0000811B0000}"/>
    <cellStyle name="Normal 4 5 2 6" xfId="7460" xr:uid="{00000000-0005-0000-0000-0000821B0000}"/>
    <cellStyle name="Normal 4 5 2 6 2" xfId="7461" xr:uid="{00000000-0005-0000-0000-0000831B0000}"/>
    <cellStyle name="Normal 4 5 2 6 2 2" xfId="7462" xr:uid="{00000000-0005-0000-0000-0000841B0000}"/>
    <cellStyle name="Normal 4 5 2 6 2 2 2" xfId="7463" xr:uid="{00000000-0005-0000-0000-0000851B0000}"/>
    <cellStyle name="Normal 4 5 2 6 2 2 3" xfId="7464" xr:uid="{00000000-0005-0000-0000-0000861B0000}"/>
    <cellStyle name="Normal 4 5 2 6 2 3" xfId="7465" xr:uid="{00000000-0005-0000-0000-0000871B0000}"/>
    <cellStyle name="Normal 4 5 2 6 2 4" xfId="7466" xr:uid="{00000000-0005-0000-0000-0000881B0000}"/>
    <cellStyle name="Normal 4 5 2 6 2 5" xfId="7467" xr:uid="{00000000-0005-0000-0000-0000891B0000}"/>
    <cellStyle name="Normal 4 5 2 6 3" xfId="7468" xr:uid="{00000000-0005-0000-0000-00008A1B0000}"/>
    <cellStyle name="Normal 4 5 2 6 3 2" xfId="7469" xr:uid="{00000000-0005-0000-0000-00008B1B0000}"/>
    <cellStyle name="Normal 4 5 2 6 3 2 2" xfId="7470" xr:uid="{00000000-0005-0000-0000-00008C1B0000}"/>
    <cellStyle name="Normal 4 5 2 6 3 2 3" xfId="7471" xr:uid="{00000000-0005-0000-0000-00008D1B0000}"/>
    <cellStyle name="Normal 4 5 2 6 3 3" xfId="7472" xr:uid="{00000000-0005-0000-0000-00008E1B0000}"/>
    <cellStyle name="Normal 4 5 2 6 3 4" xfId="7473" xr:uid="{00000000-0005-0000-0000-00008F1B0000}"/>
    <cellStyle name="Normal 4 5 2 6 3 5" xfId="7474" xr:uid="{00000000-0005-0000-0000-0000901B0000}"/>
    <cellStyle name="Normal 4 5 2 6 4" xfId="7475" xr:uid="{00000000-0005-0000-0000-0000911B0000}"/>
    <cellStyle name="Normal 4 5 2 6 4 2" xfId="7476" xr:uid="{00000000-0005-0000-0000-0000921B0000}"/>
    <cellStyle name="Normal 4 5 2 6 4 3" xfId="7477" xr:uid="{00000000-0005-0000-0000-0000931B0000}"/>
    <cellStyle name="Normal 4 5 2 6 5" xfId="7478" xr:uid="{00000000-0005-0000-0000-0000941B0000}"/>
    <cellStyle name="Normal 4 5 2 6 6" xfId="7479" xr:uid="{00000000-0005-0000-0000-0000951B0000}"/>
    <cellStyle name="Normal 4 5 2 6 7" xfId="7480" xr:uid="{00000000-0005-0000-0000-0000961B0000}"/>
    <cellStyle name="Normal 4 5 2 7" xfId="7481" xr:uid="{00000000-0005-0000-0000-0000971B0000}"/>
    <cellStyle name="Normal 4 5 2 7 2" xfId="7482" xr:uid="{00000000-0005-0000-0000-0000981B0000}"/>
    <cellStyle name="Normal 4 5 2 7 2 2" xfId="7483" xr:uid="{00000000-0005-0000-0000-0000991B0000}"/>
    <cellStyle name="Normal 4 5 2 7 2 3" xfId="7484" xr:uid="{00000000-0005-0000-0000-00009A1B0000}"/>
    <cellStyle name="Normal 4 5 2 7 3" xfId="7485" xr:uid="{00000000-0005-0000-0000-00009B1B0000}"/>
    <cellStyle name="Normal 4 5 2 7 4" xfId="7486" xr:uid="{00000000-0005-0000-0000-00009C1B0000}"/>
    <cellStyle name="Normal 4 5 2 7 5" xfId="7487" xr:uid="{00000000-0005-0000-0000-00009D1B0000}"/>
    <cellStyle name="Normal 4 5 2 8" xfId="7488" xr:uid="{00000000-0005-0000-0000-00009E1B0000}"/>
    <cellStyle name="Normal 4 5 2 8 2" xfId="7489" xr:uid="{00000000-0005-0000-0000-00009F1B0000}"/>
    <cellStyle name="Normal 4 5 2 8 2 2" xfId="7490" xr:uid="{00000000-0005-0000-0000-0000A01B0000}"/>
    <cellStyle name="Normal 4 5 2 8 2 3" xfId="7491" xr:uid="{00000000-0005-0000-0000-0000A11B0000}"/>
    <cellStyle name="Normal 4 5 2 8 3" xfId="7492" xr:uid="{00000000-0005-0000-0000-0000A21B0000}"/>
    <cellStyle name="Normal 4 5 2 8 4" xfId="7493" xr:uid="{00000000-0005-0000-0000-0000A31B0000}"/>
    <cellStyle name="Normal 4 5 2 8 5" xfId="7494" xr:uid="{00000000-0005-0000-0000-0000A41B0000}"/>
    <cellStyle name="Normal 4 5 2 9" xfId="7495" xr:uid="{00000000-0005-0000-0000-0000A51B0000}"/>
    <cellStyle name="Normal 4 5 2 9 2" xfId="7496" xr:uid="{00000000-0005-0000-0000-0000A61B0000}"/>
    <cellStyle name="Normal 4 5 2 9 3" xfId="7497" xr:uid="{00000000-0005-0000-0000-0000A71B0000}"/>
    <cellStyle name="Normal 4 5 3" xfId="7498" xr:uid="{00000000-0005-0000-0000-0000A81B0000}"/>
    <cellStyle name="Normal 4 5 3 2" xfId="7499" xr:uid="{00000000-0005-0000-0000-0000A91B0000}"/>
    <cellStyle name="Normal 4 5 3 2 2" xfId="7500" xr:uid="{00000000-0005-0000-0000-0000AA1B0000}"/>
    <cellStyle name="Normal 4 5 3 2 2 2" xfId="7501" xr:uid="{00000000-0005-0000-0000-0000AB1B0000}"/>
    <cellStyle name="Normal 4 5 3 2 2 2 2" xfId="7502" xr:uid="{00000000-0005-0000-0000-0000AC1B0000}"/>
    <cellStyle name="Normal 4 5 3 2 2 2 2 2" xfId="7503" xr:uid="{00000000-0005-0000-0000-0000AD1B0000}"/>
    <cellStyle name="Normal 4 5 3 2 2 2 2 3" xfId="7504" xr:uid="{00000000-0005-0000-0000-0000AE1B0000}"/>
    <cellStyle name="Normal 4 5 3 2 2 2 3" xfId="7505" xr:uid="{00000000-0005-0000-0000-0000AF1B0000}"/>
    <cellStyle name="Normal 4 5 3 2 2 2 4" xfId="7506" xr:uid="{00000000-0005-0000-0000-0000B01B0000}"/>
    <cellStyle name="Normal 4 5 3 2 2 2 5" xfId="7507" xr:uid="{00000000-0005-0000-0000-0000B11B0000}"/>
    <cellStyle name="Normal 4 5 3 2 2 3" xfId="7508" xr:uid="{00000000-0005-0000-0000-0000B21B0000}"/>
    <cellStyle name="Normal 4 5 3 2 2 3 2" xfId="7509" xr:uid="{00000000-0005-0000-0000-0000B31B0000}"/>
    <cellStyle name="Normal 4 5 3 2 2 3 2 2" xfId="7510" xr:uid="{00000000-0005-0000-0000-0000B41B0000}"/>
    <cellStyle name="Normal 4 5 3 2 2 3 2 3" xfId="7511" xr:uid="{00000000-0005-0000-0000-0000B51B0000}"/>
    <cellStyle name="Normal 4 5 3 2 2 3 3" xfId="7512" xr:uid="{00000000-0005-0000-0000-0000B61B0000}"/>
    <cellStyle name="Normal 4 5 3 2 2 3 4" xfId="7513" xr:uid="{00000000-0005-0000-0000-0000B71B0000}"/>
    <cellStyle name="Normal 4 5 3 2 2 3 5" xfId="7514" xr:uid="{00000000-0005-0000-0000-0000B81B0000}"/>
    <cellStyle name="Normal 4 5 3 2 2 4" xfId="7515" xr:uid="{00000000-0005-0000-0000-0000B91B0000}"/>
    <cellStyle name="Normal 4 5 3 2 2 4 2" xfId="7516" xr:uid="{00000000-0005-0000-0000-0000BA1B0000}"/>
    <cellStyle name="Normal 4 5 3 2 2 4 3" xfId="7517" xr:uid="{00000000-0005-0000-0000-0000BB1B0000}"/>
    <cellStyle name="Normal 4 5 3 2 2 5" xfId="7518" xr:uid="{00000000-0005-0000-0000-0000BC1B0000}"/>
    <cellStyle name="Normal 4 5 3 2 2 6" xfId="7519" xr:uid="{00000000-0005-0000-0000-0000BD1B0000}"/>
    <cellStyle name="Normal 4 5 3 2 2 7" xfId="7520" xr:uid="{00000000-0005-0000-0000-0000BE1B0000}"/>
    <cellStyle name="Normal 4 5 3 2 3" xfId="7521" xr:uid="{00000000-0005-0000-0000-0000BF1B0000}"/>
    <cellStyle name="Normal 4 5 3 2 3 2" xfId="7522" xr:uid="{00000000-0005-0000-0000-0000C01B0000}"/>
    <cellStyle name="Normal 4 5 3 2 3 2 2" xfId="7523" xr:uid="{00000000-0005-0000-0000-0000C11B0000}"/>
    <cellStyle name="Normal 4 5 3 2 3 2 3" xfId="7524" xr:uid="{00000000-0005-0000-0000-0000C21B0000}"/>
    <cellStyle name="Normal 4 5 3 2 3 3" xfId="7525" xr:uid="{00000000-0005-0000-0000-0000C31B0000}"/>
    <cellStyle name="Normal 4 5 3 2 3 4" xfId="7526" xr:uid="{00000000-0005-0000-0000-0000C41B0000}"/>
    <cellStyle name="Normal 4 5 3 2 3 5" xfId="7527" xr:uid="{00000000-0005-0000-0000-0000C51B0000}"/>
    <cellStyle name="Normal 4 5 3 2 4" xfId="7528" xr:uid="{00000000-0005-0000-0000-0000C61B0000}"/>
    <cellStyle name="Normal 4 5 3 2 4 2" xfId="7529" xr:uid="{00000000-0005-0000-0000-0000C71B0000}"/>
    <cellStyle name="Normal 4 5 3 2 4 2 2" xfId="7530" xr:uid="{00000000-0005-0000-0000-0000C81B0000}"/>
    <cellStyle name="Normal 4 5 3 2 4 2 3" xfId="7531" xr:uid="{00000000-0005-0000-0000-0000C91B0000}"/>
    <cellStyle name="Normal 4 5 3 2 4 3" xfId="7532" xr:uid="{00000000-0005-0000-0000-0000CA1B0000}"/>
    <cellStyle name="Normal 4 5 3 2 4 4" xfId="7533" xr:uid="{00000000-0005-0000-0000-0000CB1B0000}"/>
    <cellStyle name="Normal 4 5 3 2 4 5" xfId="7534" xr:uid="{00000000-0005-0000-0000-0000CC1B0000}"/>
    <cellStyle name="Normal 4 5 3 2 5" xfId="7535" xr:uid="{00000000-0005-0000-0000-0000CD1B0000}"/>
    <cellStyle name="Normal 4 5 3 2 5 2" xfId="7536" xr:uid="{00000000-0005-0000-0000-0000CE1B0000}"/>
    <cellStyle name="Normal 4 5 3 2 5 3" xfId="7537" xr:uid="{00000000-0005-0000-0000-0000CF1B0000}"/>
    <cellStyle name="Normal 4 5 3 2 6" xfId="7538" xr:uid="{00000000-0005-0000-0000-0000D01B0000}"/>
    <cellStyle name="Normal 4 5 3 2 7" xfId="7539" xr:uid="{00000000-0005-0000-0000-0000D11B0000}"/>
    <cellStyle name="Normal 4 5 3 2 8" xfId="7540" xr:uid="{00000000-0005-0000-0000-0000D21B0000}"/>
    <cellStyle name="Normal 4 5 3 3" xfId="7541" xr:uid="{00000000-0005-0000-0000-0000D31B0000}"/>
    <cellStyle name="Normal 4 5 3 3 2" xfId="7542" xr:uid="{00000000-0005-0000-0000-0000D41B0000}"/>
    <cellStyle name="Normal 4 5 3 3 2 2" xfId="7543" xr:uid="{00000000-0005-0000-0000-0000D51B0000}"/>
    <cellStyle name="Normal 4 5 3 3 2 2 2" xfId="7544" xr:uid="{00000000-0005-0000-0000-0000D61B0000}"/>
    <cellStyle name="Normal 4 5 3 3 2 2 3" xfId="7545" xr:uid="{00000000-0005-0000-0000-0000D71B0000}"/>
    <cellStyle name="Normal 4 5 3 3 2 3" xfId="7546" xr:uid="{00000000-0005-0000-0000-0000D81B0000}"/>
    <cellStyle name="Normal 4 5 3 3 2 4" xfId="7547" xr:uid="{00000000-0005-0000-0000-0000D91B0000}"/>
    <cellStyle name="Normal 4 5 3 3 2 5" xfId="7548" xr:uid="{00000000-0005-0000-0000-0000DA1B0000}"/>
    <cellStyle name="Normal 4 5 3 3 3" xfId="7549" xr:uid="{00000000-0005-0000-0000-0000DB1B0000}"/>
    <cellStyle name="Normal 4 5 3 3 3 2" xfId="7550" xr:uid="{00000000-0005-0000-0000-0000DC1B0000}"/>
    <cellStyle name="Normal 4 5 3 3 3 2 2" xfId="7551" xr:uid="{00000000-0005-0000-0000-0000DD1B0000}"/>
    <cellStyle name="Normal 4 5 3 3 3 2 3" xfId="7552" xr:uid="{00000000-0005-0000-0000-0000DE1B0000}"/>
    <cellStyle name="Normal 4 5 3 3 3 3" xfId="7553" xr:uid="{00000000-0005-0000-0000-0000DF1B0000}"/>
    <cellStyle name="Normal 4 5 3 3 3 4" xfId="7554" xr:uid="{00000000-0005-0000-0000-0000E01B0000}"/>
    <cellStyle name="Normal 4 5 3 3 3 5" xfId="7555" xr:uid="{00000000-0005-0000-0000-0000E11B0000}"/>
    <cellStyle name="Normal 4 5 3 3 4" xfId="7556" xr:uid="{00000000-0005-0000-0000-0000E21B0000}"/>
    <cellStyle name="Normal 4 5 3 3 4 2" xfId="7557" xr:uid="{00000000-0005-0000-0000-0000E31B0000}"/>
    <cellStyle name="Normal 4 5 3 3 4 3" xfId="7558" xr:uid="{00000000-0005-0000-0000-0000E41B0000}"/>
    <cellStyle name="Normal 4 5 3 3 5" xfId="7559" xr:uid="{00000000-0005-0000-0000-0000E51B0000}"/>
    <cellStyle name="Normal 4 5 3 3 6" xfId="7560" xr:uid="{00000000-0005-0000-0000-0000E61B0000}"/>
    <cellStyle name="Normal 4 5 3 3 7" xfId="7561" xr:uid="{00000000-0005-0000-0000-0000E71B0000}"/>
    <cellStyle name="Normal 4 5 3 4" xfId="7562" xr:uid="{00000000-0005-0000-0000-0000E81B0000}"/>
    <cellStyle name="Normal 4 5 3 4 2" xfId="7563" xr:uid="{00000000-0005-0000-0000-0000E91B0000}"/>
    <cellStyle name="Normal 4 5 3 4 2 2" xfId="7564" xr:uid="{00000000-0005-0000-0000-0000EA1B0000}"/>
    <cellStyle name="Normal 4 5 3 4 2 3" xfId="7565" xr:uid="{00000000-0005-0000-0000-0000EB1B0000}"/>
    <cellStyle name="Normal 4 5 3 4 3" xfId="7566" xr:uid="{00000000-0005-0000-0000-0000EC1B0000}"/>
    <cellStyle name="Normal 4 5 3 4 4" xfId="7567" xr:uid="{00000000-0005-0000-0000-0000ED1B0000}"/>
    <cellStyle name="Normal 4 5 3 4 5" xfId="7568" xr:uid="{00000000-0005-0000-0000-0000EE1B0000}"/>
    <cellStyle name="Normal 4 5 3 5" xfId="7569" xr:uid="{00000000-0005-0000-0000-0000EF1B0000}"/>
    <cellStyle name="Normal 4 5 3 5 2" xfId="7570" xr:uid="{00000000-0005-0000-0000-0000F01B0000}"/>
    <cellStyle name="Normal 4 5 3 5 2 2" xfId="7571" xr:uid="{00000000-0005-0000-0000-0000F11B0000}"/>
    <cellStyle name="Normal 4 5 3 5 2 3" xfId="7572" xr:uid="{00000000-0005-0000-0000-0000F21B0000}"/>
    <cellStyle name="Normal 4 5 3 5 3" xfId="7573" xr:uid="{00000000-0005-0000-0000-0000F31B0000}"/>
    <cellStyle name="Normal 4 5 3 5 4" xfId="7574" xr:uid="{00000000-0005-0000-0000-0000F41B0000}"/>
    <cellStyle name="Normal 4 5 3 5 5" xfId="7575" xr:uid="{00000000-0005-0000-0000-0000F51B0000}"/>
    <cellStyle name="Normal 4 5 3 6" xfId="7576" xr:uid="{00000000-0005-0000-0000-0000F61B0000}"/>
    <cellStyle name="Normal 4 5 3 6 2" xfId="7577" xr:uid="{00000000-0005-0000-0000-0000F71B0000}"/>
    <cellStyle name="Normal 4 5 3 6 3" xfId="7578" xr:uid="{00000000-0005-0000-0000-0000F81B0000}"/>
    <cellStyle name="Normal 4 5 3 7" xfId="7579" xr:uid="{00000000-0005-0000-0000-0000F91B0000}"/>
    <cellStyle name="Normal 4 5 3 8" xfId="7580" xr:uid="{00000000-0005-0000-0000-0000FA1B0000}"/>
    <cellStyle name="Normal 4 5 3 9" xfId="7581" xr:uid="{00000000-0005-0000-0000-0000FB1B0000}"/>
    <cellStyle name="Normal 4 5 4" xfId="7582" xr:uid="{00000000-0005-0000-0000-0000FC1B0000}"/>
    <cellStyle name="Normal 4 5 4 2" xfId="7583" xr:uid="{00000000-0005-0000-0000-0000FD1B0000}"/>
    <cellStyle name="Normal 4 5 4 2 2" xfId="7584" xr:uid="{00000000-0005-0000-0000-0000FE1B0000}"/>
    <cellStyle name="Normal 4 5 4 2 2 2" xfId="7585" xr:uid="{00000000-0005-0000-0000-0000FF1B0000}"/>
    <cellStyle name="Normal 4 5 4 2 2 2 2" xfId="7586" xr:uid="{00000000-0005-0000-0000-0000001C0000}"/>
    <cellStyle name="Normal 4 5 4 2 2 2 2 2" xfId="7587" xr:uid="{00000000-0005-0000-0000-0000011C0000}"/>
    <cellStyle name="Normal 4 5 4 2 2 2 2 3" xfId="7588" xr:uid="{00000000-0005-0000-0000-0000021C0000}"/>
    <cellStyle name="Normal 4 5 4 2 2 2 3" xfId="7589" xr:uid="{00000000-0005-0000-0000-0000031C0000}"/>
    <cellStyle name="Normal 4 5 4 2 2 2 4" xfId="7590" xr:uid="{00000000-0005-0000-0000-0000041C0000}"/>
    <cellStyle name="Normal 4 5 4 2 2 2 5" xfId="7591" xr:uid="{00000000-0005-0000-0000-0000051C0000}"/>
    <cellStyle name="Normal 4 5 4 2 2 3" xfId="7592" xr:uid="{00000000-0005-0000-0000-0000061C0000}"/>
    <cellStyle name="Normal 4 5 4 2 2 3 2" xfId="7593" xr:uid="{00000000-0005-0000-0000-0000071C0000}"/>
    <cellStyle name="Normal 4 5 4 2 2 3 2 2" xfId="7594" xr:uid="{00000000-0005-0000-0000-0000081C0000}"/>
    <cellStyle name="Normal 4 5 4 2 2 3 2 3" xfId="7595" xr:uid="{00000000-0005-0000-0000-0000091C0000}"/>
    <cellStyle name="Normal 4 5 4 2 2 3 3" xfId="7596" xr:uid="{00000000-0005-0000-0000-00000A1C0000}"/>
    <cellStyle name="Normal 4 5 4 2 2 3 4" xfId="7597" xr:uid="{00000000-0005-0000-0000-00000B1C0000}"/>
    <cellStyle name="Normal 4 5 4 2 2 3 5" xfId="7598" xr:uid="{00000000-0005-0000-0000-00000C1C0000}"/>
    <cellStyle name="Normal 4 5 4 2 2 4" xfId="7599" xr:uid="{00000000-0005-0000-0000-00000D1C0000}"/>
    <cellStyle name="Normal 4 5 4 2 2 4 2" xfId="7600" xr:uid="{00000000-0005-0000-0000-00000E1C0000}"/>
    <cellStyle name="Normal 4 5 4 2 2 4 3" xfId="7601" xr:uid="{00000000-0005-0000-0000-00000F1C0000}"/>
    <cellStyle name="Normal 4 5 4 2 2 5" xfId="7602" xr:uid="{00000000-0005-0000-0000-0000101C0000}"/>
    <cellStyle name="Normal 4 5 4 2 2 6" xfId="7603" xr:uid="{00000000-0005-0000-0000-0000111C0000}"/>
    <cellStyle name="Normal 4 5 4 2 2 7" xfId="7604" xr:uid="{00000000-0005-0000-0000-0000121C0000}"/>
    <cellStyle name="Normal 4 5 4 2 3" xfId="7605" xr:uid="{00000000-0005-0000-0000-0000131C0000}"/>
    <cellStyle name="Normal 4 5 4 2 3 2" xfId="7606" xr:uid="{00000000-0005-0000-0000-0000141C0000}"/>
    <cellStyle name="Normal 4 5 4 2 3 2 2" xfId="7607" xr:uid="{00000000-0005-0000-0000-0000151C0000}"/>
    <cellStyle name="Normal 4 5 4 2 3 2 3" xfId="7608" xr:uid="{00000000-0005-0000-0000-0000161C0000}"/>
    <cellStyle name="Normal 4 5 4 2 3 3" xfId="7609" xr:uid="{00000000-0005-0000-0000-0000171C0000}"/>
    <cellStyle name="Normal 4 5 4 2 3 4" xfId="7610" xr:uid="{00000000-0005-0000-0000-0000181C0000}"/>
    <cellStyle name="Normal 4 5 4 2 3 5" xfId="7611" xr:uid="{00000000-0005-0000-0000-0000191C0000}"/>
    <cellStyle name="Normal 4 5 4 2 4" xfId="7612" xr:uid="{00000000-0005-0000-0000-00001A1C0000}"/>
    <cellStyle name="Normal 4 5 4 2 4 2" xfId="7613" xr:uid="{00000000-0005-0000-0000-00001B1C0000}"/>
    <cellStyle name="Normal 4 5 4 2 4 2 2" xfId="7614" xr:uid="{00000000-0005-0000-0000-00001C1C0000}"/>
    <cellStyle name="Normal 4 5 4 2 4 2 3" xfId="7615" xr:uid="{00000000-0005-0000-0000-00001D1C0000}"/>
    <cellStyle name="Normal 4 5 4 2 4 3" xfId="7616" xr:uid="{00000000-0005-0000-0000-00001E1C0000}"/>
    <cellStyle name="Normal 4 5 4 2 4 4" xfId="7617" xr:uid="{00000000-0005-0000-0000-00001F1C0000}"/>
    <cellStyle name="Normal 4 5 4 2 4 5" xfId="7618" xr:uid="{00000000-0005-0000-0000-0000201C0000}"/>
    <cellStyle name="Normal 4 5 4 2 5" xfId="7619" xr:uid="{00000000-0005-0000-0000-0000211C0000}"/>
    <cellStyle name="Normal 4 5 4 2 5 2" xfId="7620" xr:uid="{00000000-0005-0000-0000-0000221C0000}"/>
    <cellStyle name="Normal 4 5 4 2 5 3" xfId="7621" xr:uid="{00000000-0005-0000-0000-0000231C0000}"/>
    <cellStyle name="Normal 4 5 4 2 6" xfId="7622" xr:uid="{00000000-0005-0000-0000-0000241C0000}"/>
    <cellStyle name="Normal 4 5 4 2 7" xfId="7623" xr:uid="{00000000-0005-0000-0000-0000251C0000}"/>
    <cellStyle name="Normal 4 5 4 2 8" xfId="7624" xr:uid="{00000000-0005-0000-0000-0000261C0000}"/>
    <cellStyle name="Normal 4 5 4 3" xfId="7625" xr:uid="{00000000-0005-0000-0000-0000271C0000}"/>
    <cellStyle name="Normal 4 5 4 3 2" xfId="7626" xr:uid="{00000000-0005-0000-0000-0000281C0000}"/>
    <cellStyle name="Normal 4 5 4 3 2 2" xfId="7627" xr:uid="{00000000-0005-0000-0000-0000291C0000}"/>
    <cellStyle name="Normal 4 5 4 3 2 2 2" xfId="7628" xr:uid="{00000000-0005-0000-0000-00002A1C0000}"/>
    <cellStyle name="Normal 4 5 4 3 2 2 3" xfId="7629" xr:uid="{00000000-0005-0000-0000-00002B1C0000}"/>
    <cellStyle name="Normal 4 5 4 3 2 3" xfId="7630" xr:uid="{00000000-0005-0000-0000-00002C1C0000}"/>
    <cellStyle name="Normal 4 5 4 3 2 4" xfId="7631" xr:uid="{00000000-0005-0000-0000-00002D1C0000}"/>
    <cellStyle name="Normal 4 5 4 3 2 5" xfId="7632" xr:uid="{00000000-0005-0000-0000-00002E1C0000}"/>
    <cellStyle name="Normal 4 5 4 3 3" xfId="7633" xr:uid="{00000000-0005-0000-0000-00002F1C0000}"/>
    <cellStyle name="Normal 4 5 4 3 3 2" xfId="7634" xr:uid="{00000000-0005-0000-0000-0000301C0000}"/>
    <cellStyle name="Normal 4 5 4 3 3 2 2" xfId="7635" xr:uid="{00000000-0005-0000-0000-0000311C0000}"/>
    <cellStyle name="Normal 4 5 4 3 3 2 3" xfId="7636" xr:uid="{00000000-0005-0000-0000-0000321C0000}"/>
    <cellStyle name="Normal 4 5 4 3 3 3" xfId="7637" xr:uid="{00000000-0005-0000-0000-0000331C0000}"/>
    <cellStyle name="Normal 4 5 4 3 3 4" xfId="7638" xr:uid="{00000000-0005-0000-0000-0000341C0000}"/>
    <cellStyle name="Normal 4 5 4 3 3 5" xfId="7639" xr:uid="{00000000-0005-0000-0000-0000351C0000}"/>
    <cellStyle name="Normal 4 5 4 3 4" xfId="7640" xr:uid="{00000000-0005-0000-0000-0000361C0000}"/>
    <cellStyle name="Normal 4 5 4 3 4 2" xfId="7641" xr:uid="{00000000-0005-0000-0000-0000371C0000}"/>
    <cellStyle name="Normal 4 5 4 3 4 3" xfId="7642" xr:uid="{00000000-0005-0000-0000-0000381C0000}"/>
    <cellStyle name="Normal 4 5 4 3 5" xfId="7643" xr:uid="{00000000-0005-0000-0000-0000391C0000}"/>
    <cellStyle name="Normal 4 5 4 3 6" xfId="7644" xr:uid="{00000000-0005-0000-0000-00003A1C0000}"/>
    <cellStyle name="Normal 4 5 4 3 7" xfId="7645" xr:uid="{00000000-0005-0000-0000-00003B1C0000}"/>
    <cellStyle name="Normal 4 5 4 4" xfId="7646" xr:uid="{00000000-0005-0000-0000-00003C1C0000}"/>
    <cellStyle name="Normal 4 5 4 4 2" xfId="7647" xr:uid="{00000000-0005-0000-0000-00003D1C0000}"/>
    <cellStyle name="Normal 4 5 4 4 2 2" xfId="7648" xr:uid="{00000000-0005-0000-0000-00003E1C0000}"/>
    <cellStyle name="Normal 4 5 4 4 2 3" xfId="7649" xr:uid="{00000000-0005-0000-0000-00003F1C0000}"/>
    <cellStyle name="Normal 4 5 4 4 3" xfId="7650" xr:uid="{00000000-0005-0000-0000-0000401C0000}"/>
    <cellStyle name="Normal 4 5 4 4 4" xfId="7651" xr:uid="{00000000-0005-0000-0000-0000411C0000}"/>
    <cellStyle name="Normal 4 5 4 4 5" xfId="7652" xr:uid="{00000000-0005-0000-0000-0000421C0000}"/>
    <cellStyle name="Normal 4 5 4 5" xfId="7653" xr:uid="{00000000-0005-0000-0000-0000431C0000}"/>
    <cellStyle name="Normal 4 5 4 5 2" xfId="7654" xr:uid="{00000000-0005-0000-0000-0000441C0000}"/>
    <cellStyle name="Normal 4 5 4 5 2 2" xfId="7655" xr:uid="{00000000-0005-0000-0000-0000451C0000}"/>
    <cellStyle name="Normal 4 5 4 5 2 3" xfId="7656" xr:uid="{00000000-0005-0000-0000-0000461C0000}"/>
    <cellStyle name="Normal 4 5 4 5 3" xfId="7657" xr:uid="{00000000-0005-0000-0000-0000471C0000}"/>
    <cellStyle name="Normal 4 5 4 5 4" xfId="7658" xr:uid="{00000000-0005-0000-0000-0000481C0000}"/>
    <cellStyle name="Normal 4 5 4 5 5" xfId="7659" xr:uid="{00000000-0005-0000-0000-0000491C0000}"/>
    <cellStyle name="Normal 4 5 4 6" xfId="7660" xr:uid="{00000000-0005-0000-0000-00004A1C0000}"/>
    <cellStyle name="Normal 4 5 4 6 2" xfId="7661" xr:uid="{00000000-0005-0000-0000-00004B1C0000}"/>
    <cellStyle name="Normal 4 5 4 6 3" xfId="7662" xr:uid="{00000000-0005-0000-0000-00004C1C0000}"/>
    <cellStyle name="Normal 4 5 4 7" xfId="7663" xr:uid="{00000000-0005-0000-0000-00004D1C0000}"/>
    <cellStyle name="Normal 4 5 4 8" xfId="7664" xr:uid="{00000000-0005-0000-0000-00004E1C0000}"/>
    <cellStyle name="Normal 4 5 4 9" xfId="7665" xr:uid="{00000000-0005-0000-0000-00004F1C0000}"/>
    <cellStyle name="Normal 4 5 5" xfId="7666" xr:uid="{00000000-0005-0000-0000-0000501C0000}"/>
    <cellStyle name="Normal 4 5 5 2" xfId="7667" xr:uid="{00000000-0005-0000-0000-0000511C0000}"/>
    <cellStyle name="Normal 4 5 5 2 2" xfId="7668" xr:uid="{00000000-0005-0000-0000-0000521C0000}"/>
    <cellStyle name="Normal 4 5 5 2 2 2" xfId="7669" xr:uid="{00000000-0005-0000-0000-0000531C0000}"/>
    <cellStyle name="Normal 4 5 5 2 2 2 2" xfId="7670" xr:uid="{00000000-0005-0000-0000-0000541C0000}"/>
    <cellStyle name="Normal 4 5 5 2 2 2 2 2" xfId="7671" xr:uid="{00000000-0005-0000-0000-0000551C0000}"/>
    <cellStyle name="Normal 4 5 5 2 2 2 2 3" xfId="7672" xr:uid="{00000000-0005-0000-0000-0000561C0000}"/>
    <cellStyle name="Normal 4 5 5 2 2 2 3" xfId="7673" xr:uid="{00000000-0005-0000-0000-0000571C0000}"/>
    <cellStyle name="Normal 4 5 5 2 2 2 4" xfId="7674" xr:uid="{00000000-0005-0000-0000-0000581C0000}"/>
    <cellStyle name="Normal 4 5 5 2 2 2 5" xfId="7675" xr:uid="{00000000-0005-0000-0000-0000591C0000}"/>
    <cellStyle name="Normal 4 5 5 2 2 3" xfId="7676" xr:uid="{00000000-0005-0000-0000-00005A1C0000}"/>
    <cellStyle name="Normal 4 5 5 2 2 3 2" xfId="7677" xr:uid="{00000000-0005-0000-0000-00005B1C0000}"/>
    <cellStyle name="Normal 4 5 5 2 2 3 2 2" xfId="7678" xr:uid="{00000000-0005-0000-0000-00005C1C0000}"/>
    <cellStyle name="Normal 4 5 5 2 2 3 2 3" xfId="7679" xr:uid="{00000000-0005-0000-0000-00005D1C0000}"/>
    <cellStyle name="Normal 4 5 5 2 2 3 3" xfId="7680" xr:uid="{00000000-0005-0000-0000-00005E1C0000}"/>
    <cellStyle name="Normal 4 5 5 2 2 3 4" xfId="7681" xr:uid="{00000000-0005-0000-0000-00005F1C0000}"/>
    <cellStyle name="Normal 4 5 5 2 2 3 5" xfId="7682" xr:uid="{00000000-0005-0000-0000-0000601C0000}"/>
    <cellStyle name="Normal 4 5 5 2 2 4" xfId="7683" xr:uid="{00000000-0005-0000-0000-0000611C0000}"/>
    <cellStyle name="Normal 4 5 5 2 2 4 2" xfId="7684" xr:uid="{00000000-0005-0000-0000-0000621C0000}"/>
    <cellStyle name="Normal 4 5 5 2 2 4 3" xfId="7685" xr:uid="{00000000-0005-0000-0000-0000631C0000}"/>
    <cellStyle name="Normal 4 5 5 2 2 5" xfId="7686" xr:uid="{00000000-0005-0000-0000-0000641C0000}"/>
    <cellStyle name="Normal 4 5 5 2 2 6" xfId="7687" xr:uid="{00000000-0005-0000-0000-0000651C0000}"/>
    <cellStyle name="Normal 4 5 5 2 2 7" xfId="7688" xr:uid="{00000000-0005-0000-0000-0000661C0000}"/>
    <cellStyle name="Normal 4 5 5 2 3" xfId="7689" xr:uid="{00000000-0005-0000-0000-0000671C0000}"/>
    <cellStyle name="Normal 4 5 5 2 3 2" xfId="7690" xr:uid="{00000000-0005-0000-0000-0000681C0000}"/>
    <cellStyle name="Normal 4 5 5 2 3 2 2" xfId="7691" xr:uid="{00000000-0005-0000-0000-0000691C0000}"/>
    <cellStyle name="Normal 4 5 5 2 3 2 3" xfId="7692" xr:uid="{00000000-0005-0000-0000-00006A1C0000}"/>
    <cellStyle name="Normal 4 5 5 2 3 3" xfId="7693" xr:uid="{00000000-0005-0000-0000-00006B1C0000}"/>
    <cellStyle name="Normal 4 5 5 2 3 4" xfId="7694" xr:uid="{00000000-0005-0000-0000-00006C1C0000}"/>
    <cellStyle name="Normal 4 5 5 2 3 5" xfId="7695" xr:uid="{00000000-0005-0000-0000-00006D1C0000}"/>
    <cellStyle name="Normal 4 5 5 2 4" xfId="7696" xr:uid="{00000000-0005-0000-0000-00006E1C0000}"/>
    <cellStyle name="Normal 4 5 5 2 4 2" xfId="7697" xr:uid="{00000000-0005-0000-0000-00006F1C0000}"/>
    <cellStyle name="Normal 4 5 5 2 4 2 2" xfId="7698" xr:uid="{00000000-0005-0000-0000-0000701C0000}"/>
    <cellStyle name="Normal 4 5 5 2 4 2 3" xfId="7699" xr:uid="{00000000-0005-0000-0000-0000711C0000}"/>
    <cellStyle name="Normal 4 5 5 2 4 3" xfId="7700" xr:uid="{00000000-0005-0000-0000-0000721C0000}"/>
    <cellStyle name="Normal 4 5 5 2 4 4" xfId="7701" xr:uid="{00000000-0005-0000-0000-0000731C0000}"/>
    <cellStyle name="Normal 4 5 5 2 4 5" xfId="7702" xr:uid="{00000000-0005-0000-0000-0000741C0000}"/>
    <cellStyle name="Normal 4 5 5 2 5" xfId="7703" xr:uid="{00000000-0005-0000-0000-0000751C0000}"/>
    <cellStyle name="Normal 4 5 5 2 5 2" xfId="7704" xr:uid="{00000000-0005-0000-0000-0000761C0000}"/>
    <cellStyle name="Normal 4 5 5 2 5 3" xfId="7705" xr:uid="{00000000-0005-0000-0000-0000771C0000}"/>
    <cellStyle name="Normal 4 5 5 2 6" xfId="7706" xr:uid="{00000000-0005-0000-0000-0000781C0000}"/>
    <cellStyle name="Normal 4 5 5 2 7" xfId="7707" xr:uid="{00000000-0005-0000-0000-0000791C0000}"/>
    <cellStyle name="Normal 4 5 5 2 8" xfId="7708" xr:uid="{00000000-0005-0000-0000-00007A1C0000}"/>
    <cellStyle name="Normal 4 5 5 3" xfId="7709" xr:uid="{00000000-0005-0000-0000-00007B1C0000}"/>
    <cellStyle name="Normal 4 5 5 3 2" xfId="7710" xr:uid="{00000000-0005-0000-0000-00007C1C0000}"/>
    <cellStyle name="Normal 4 5 5 3 2 2" xfId="7711" xr:uid="{00000000-0005-0000-0000-00007D1C0000}"/>
    <cellStyle name="Normal 4 5 5 3 2 2 2" xfId="7712" xr:uid="{00000000-0005-0000-0000-00007E1C0000}"/>
    <cellStyle name="Normal 4 5 5 3 2 2 3" xfId="7713" xr:uid="{00000000-0005-0000-0000-00007F1C0000}"/>
    <cellStyle name="Normal 4 5 5 3 2 3" xfId="7714" xr:uid="{00000000-0005-0000-0000-0000801C0000}"/>
    <cellStyle name="Normal 4 5 5 3 2 4" xfId="7715" xr:uid="{00000000-0005-0000-0000-0000811C0000}"/>
    <cellStyle name="Normal 4 5 5 3 2 5" xfId="7716" xr:uid="{00000000-0005-0000-0000-0000821C0000}"/>
    <cellStyle name="Normal 4 5 5 3 3" xfId="7717" xr:uid="{00000000-0005-0000-0000-0000831C0000}"/>
    <cellStyle name="Normal 4 5 5 3 3 2" xfId="7718" xr:uid="{00000000-0005-0000-0000-0000841C0000}"/>
    <cellStyle name="Normal 4 5 5 3 3 2 2" xfId="7719" xr:uid="{00000000-0005-0000-0000-0000851C0000}"/>
    <cellStyle name="Normal 4 5 5 3 3 2 3" xfId="7720" xr:uid="{00000000-0005-0000-0000-0000861C0000}"/>
    <cellStyle name="Normal 4 5 5 3 3 3" xfId="7721" xr:uid="{00000000-0005-0000-0000-0000871C0000}"/>
    <cellStyle name="Normal 4 5 5 3 3 4" xfId="7722" xr:uid="{00000000-0005-0000-0000-0000881C0000}"/>
    <cellStyle name="Normal 4 5 5 3 3 5" xfId="7723" xr:uid="{00000000-0005-0000-0000-0000891C0000}"/>
    <cellStyle name="Normal 4 5 5 3 4" xfId="7724" xr:uid="{00000000-0005-0000-0000-00008A1C0000}"/>
    <cellStyle name="Normal 4 5 5 3 4 2" xfId="7725" xr:uid="{00000000-0005-0000-0000-00008B1C0000}"/>
    <cellStyle name="Normal 4 5 5 3 4 3" xfId="7726" xr:uid="{00000000-0005-0000-0000-00008C1C0000}"/>
    <cellStyle name="Normal 4 5 5 3 5" xfId="7727" xr:uid="{00000000-0005-0000-0000-00008D1C0000}"/>
    <cellStyle name="Normal 4 5 5 3 6" xfId="7728" xr:uid="{00000000-0005-0000-0000-00008E1C0000}"/>
    <cellStyle name="Normal 4 5 5 3 7" xfId="7729" xr:uid="{00000000-0005-0000-0000-00008F1C0000}"/>
    <cellStyle name="Normal 4 5 5 4" xfId="7730" xr:uid="{00000000-0005-0000-0000-0000901C0000}"/>
    <cellStyle name="Normal 4 5 5 4 2" xfId="7731" xr:uid="{00000000-0005-0000-0000-0000911C0000}"/>
    <cellStyle name="Normal 4 5 5 4 2 2" xfId="7732" xr:uid="{00000000-0005-0000-0000-0000921C0000}"/>
    <cellStyle name="Normal 4 5 5 4 2 3" xfId="7733" xr:uid="{00000000-0005-0000-0000-0000931C0000}"/>
    <cellStyle name="Normal 4 5 5 4 3" xfId="7734" xr:uid="{00000000-0005-0000-0000-0000941C0000}"/>
    <cellStyle name="Normal 4 5 5 4 4" xfId="7735" xr:uid="{00000000-0005-0000-0000-0000951C0000}"/>
    <cellStyle name="Normal 4 5 5 4 5" xfId="7736" xr:uid="{00000000-0005-0000-0000-0000961C0000}"/>
    <cellStyle name="Normal 4 5 5 5" xfId="7737" xr:uid="{00000000-0005-0000-0000-0000971C0000}"/>
    <cellStyle name="Normal 4 5 5 5 2" xfId="7738" xr:uid="{00000000-0005-0000-0000-0000981C0000}"/>
    <cellStyle name="Normal 4 5 5 5 2 2" xfId="7739" xr:uid="{00000000-0005-0000-0000-0000991C0000}"/>
    <cellStyle name="Normal 4 5 5 5 2 3" xfId="7740" xr:uid="{00000000-0005-0000-0000-00009A1C0000}"/>
    <cellStyle name="Normal 4 5 5 5 3" xfId="7741" xr:uid="{00000000-0005-0000-0000-00009B1C0000}"/>
    <cellStyle name="Normal 4 5 5 5 4" xfId="7742" xr:uid="{00000000-0005-0000-0000-00009C1C0000}"/>
    <cellStyle name="Normal 4 5 5 5 5" xfId="7743" xr:uid="{00000000-0005-0000-0000-00009D1C0000}"/>
    <cellStyle name="Normal 4 5 5 6" xfId="7744" xr:uid="{00000000-0005-0000-0000-00009E1C0000}"/>
    <cellStyle name="Normal 4 5 5 6 2" xfId="7745" xr:uid="{00000000-0005-0000-0000-00009F1C0000}"/>
    <cellStyle name="Normal 4 5 5 6 3" xfId="7746" xr:uid="{00000000-0005-0000-0000-0000A01C0000}"/>
    <cellStyle name="Normal 4 5 5 7" xfId="7747" xr:uid="{00000000-0005-0000-0000-0000A11C0000}"/>
    <cellStyle name="Normal 4 5 5 8" xfId="7748" xr:uid="{00000000-0005-0000-0000-0000A21C0000}"/>
    <cellStyle name="Normal 4 5 5 9" xfId="7749" xr:uid="{00000000-0005-0000-0000-0000A31C0000}"/>
    <cellStyle name="Normal 4 5 6" xfId="7750" xr:uid="{00000000-0005-0000-0000-0000A41C0000}"/>
    <cellStyle name="Normal 4 5 6 2" xfId="7751" xr:uid="{00000000-0005-0000-0000-0000A51C0000}"/>
    <cellStyle name="Normal 4 5 6 2 2" xfId="7752" xr:uid="{00000000-0005-0000-0000-0000A61C0000}"/>
    <cellStyle name="Normal 4 5 6 2 2 2" xfId="7753" xr:uid="{00000000-0005-0000-0000-0000A71C0000}"/>
    <cellStyle name="Normal 4 5 6 2 2 2 2" xfId="7754" xr:uid="{00000000-0005-0000-0000-0000A81C0000}"/>
    <cellStyle name="Normal 4 5 6 2 2 2 3" xfId="7755" xr:uid="{00000000-0005-0000-0000-0000A91C0000}"/>
    <cellStyle name="Normal 4 5 6 2 2 3" xfId="7756" xr:uid="{00000000-0005-0000-0000-0000AA1C0000}"/>
    <cellStyle name="Normal 4 5 6 2 2 4" xfId="7757" xr:uid="{00000000-0005-0000-0000-0000AB1C0000}"/>
    <cellStyle name="Normal 4 5 6 2 2 5" xfId="7758" xr:uid="{00000000-0005-0000-0000-0000AC1C0000}"/>
    <cellStyle name="Normal 4 5 6 2 3" xfId="7759" xr:uid="{00000000-0005-0000-0000-0000AD1C0000}"/>
    <cellStyle name="Normal 4 5 6 2 3 2" xfId="7760" xr:uid="{00000000-0005-0000-0000-0000AE1C0000}"/>
    <cellStyle name="Normal 4 5 6 2 3 2 2" xfId="7761" xr:uid="{00000000-0005-0000-0000-0000AF1C0000}"/>
    <cellStyle name="Normal 4 5 6 2 3 2 3" xfId="7762" xr:uid="{00000000-0005-0000-0000-0000B01C0000}"/>
    <cellStyle name="Normal 4 5 6 2 3 3" xfId="7763" xr:uid="{00000000-0005-0000-0000-0000B11C0000}"/>
    <cellStyle name="Normal 4 5 6 2 3 4" xfId="7764" xr:uid="{00000000-0005-0000-0000-0000B21C0000}"/>
    <cellStyle name="Normal 4 5 6 2 3 5" xfId="7765" xr:uid="{00000000-0005-0000-0000-0000B31C0000}"/>
    <cellStyle name="Normal 4 5 6 2 4" xfId="7766" xr:uid="{00000000-0005-0000-0000-0000B41C0000}"/>
    <cellStyle name="Normal 4 5 6 2 4 2" xfId="7767" xr:uid="{00000000-0005-0000-0000-0000B51C0000}"/>
    <cellStyle name="Normal 4 5 6 2 4 3" xfId="7768" xr:uid="{00000000-0005-0000-0000-0000B61C0000}"/>
    <cellStyle name="Normal 4 5 6 2 5" xfId="7769" xr:uid="{00000000-0005-0000-0000-0000B71C0000}"/>
    <cellStyle name="Normal 4 5 6 2 6" xfId="7770" xr:uid="{00000000-0005-0000-0000-0000B81C0000}"/>
    <cellStyle name="Normal 4 5 6 2 7" xfId="7771" xr:uid="{00000000-0005-0000-0000-0000B91C0000}"/>
    <cellStyle name="Normal 4 5 6 3" xfId="7772" xr:uid="{00000000-0005-0000-0000-0000BA1C0000}"/>
    <cellStyle name="Normal 4 5 6 3 2" xfId="7773" xr:uid="{00000000-0005-0000-0000-0000BB1C0000}"/>
    <cellStyle name="Normal 4 5 6 3 2 2" xfId="7774" xr:uid="{00000000-0005-0000-0000-0000BC1C0000}"/>
    <cellStyle name="Normal 4 5 6 3 2 3" xfId="7775" xr:uid="{00000000-0005-0000-0000-0000BD1C0000}"/>
    <cellStyle name="Normal 4 5 6 3 3" xfId="7776" xr:uid="{00000000-0005-0000-0000-0000BE1C0000}"/>
    <cellStyle name="Normal 4 5 6 3 4" xfId="7777" xr:uid="{00000000-0005-0000-0000-0000BF1C0000}"/>
    <cellStyle name="Normal 4 5 6 3 5" xfId="7778" xr:uid="{00000000-0005-0000-0000-0000C01C0000}"/>
    <cellStyle name="Normal 4 5 6 4" xfId="7779" xr:uid="{00000000-0005-0000-0000-0000C11C0000}"/>
    <cellStyle name="Normal 4 5 6 4 2" xfId="7780" xr:uid="{00000000-0005-0000-0000-0000C21C0000}"/>
    <cellStyle name="Normal 4 5 6 4 2 2" xfId="7781" xr:uid="{00000000-0005-0000-0000-0000C31C0000}"/>
    <cellStyle name="Normal 4 5 6 4 2 3" xfId="7782" xr:uid="{00000000-0005-0000-0000-0000C41C0000}"/>
    <cellStyle name="Normal 4 5 6 4 3" xfId="7783" xr:uid="{00000000-0005-0000-0000-0000C51C0000}"/>
    <cellStyle name="Normal 4 5 6 4 4" xfId="7784" xr:uid="{00000000-0005-0000-0000-0000C61C0000}"/>
    <cellStyle name="Normal 4 5 6 4 5" xfId="7785" xr:uid="{00000000-0005-0000-0000-0000C71C0000}"/>
    <cellStyle name="Normal 4 5 6 5" xfId="7786" xr:uid="{00000000-0005-0000-0000-0000C81C0000}"/>
    <cellStyle name="Normal 4 5 6 5 2" xfId="7787" xr:uid="{00000000-0005-0000-0000-0000C91C0000}"/>
    <cellStyle name="Normal 4 5 6 5 3" xfId="7788" xr:uid="{00000000-0005-0000-0000-0000CA1C0000}"/>
    <cellStyle name="Normal 4 5 6 6" xfId="7789" xr:uid="{00000000-0005-0000-0000-0000CB1C0000}"/>
    <cellStyle name="Normal 4 5 6 7" xfId="7790" xr:uid="{00000000-0005-0000-0000-0000CC1C0000}"/>
    <cellStyle name="Normal 4 5 6 8" xfId="7791" xr:uid="{00000000-0005-0000-0000-0000CD1C0000}"/>
    <cellStyle name="Normal 4 5 7" xfId="7792" xr:uid="{00000000-0005-0000-0000-0000CE1C0000}"/>
    <cellStyle name="Normal 4 5 7 2" xfId="7793" xr:uid="{00000000-0005-0000-0000-0000CF1C0000}"/>
    <cellStyle name="Normal 4 5 7 2 2" xfId="7794" xr:uid="{00000000-0005-0000-0000-0000D01C0000}"/>
    <cellStyle name="Normal 4 5 7 2 2 2" xfId="7795" xr:uid="{00000000-0005-0000-0000-0000D11C0000}"/>
    <cellStyle name="Normal 4 5 7 2 2 3" xfId="7796" xr:uid="{00000000-0005-0000-0000-0000D21C0000}"/>
    <cellStyle name="Normal 4 5 7 2 3" xfId="7797" xr:uid="{00000000-0005-0000-0000-0000D31C0000}"/>
    <cellStyle name="Normal 4 5 7 2 4" xfId="7798" xr:uid="{00000000-0005-0000-0000-0000D41C0000}"/>
    <cellStyle name="Normal 4 5 7 2 5" xfId="7799" xr:uid="{00000000-0005-0000-0000-0000D51C0000}"/>
    <cellStyle name="Normal 4 5 7 3" xfId="7800" xr:uid="{00000000-0005-0000-0000-0000D61C0000}"/>
    <cellStyle name="Normal 4 5 7 3 2" xfId="7801" xr:uid="{00000000-0005-0000-0000-0000D71C0000}"/>
    <cellStyle name="Normal 4 5 7 3 2 2" xfId="7802" xr:uid="{00000000-0005-0000-0000-0000D81C0000}"/>
    <cellStyle name="Normal 4 5 7 3 2 3" xfId="7803" xr:uid="{00000000-0005-0000-0000-0000D91C0000}"/>
    <cellStyle name="Normal 4 5 7 3 3" xfId="7804" xr:uid="{00000000-0005-0000-0000-0000DA1C0000}"/>
    <cellStyle name="Normal 4 5 7 3 4" xfId="7805" xr:uid="{00000000-0005-0000-0000-0000DB1C0000}"/>
    <cellStyle name="Normal 4 5 7 3 5" xfId="7806" xr:uid="{00000000-0005-0000-0000-0000DC1C0000}"/>
    <cellStyle name="Normal 4 5 7 4" xfId="7807" xr:uid="{00000000-0005-0000-0000-0000DD1C0000}"/>
    <cellStyle name="Normal 4 5 7 4 2" xfId="7808" xr:uid="{00000000-0005-0000-0000-0000DE1C0000}"/>
    <cellStyle name="Normal 4 5 7 4 3" xfId="7809" xr:uid="{00000000-0005-0000-0000-0000DF1C0000}"/>
    <cellStyle name="Normal 4 5 7 5" xfId="7810" xr:uid="{00000000-0005-0000-0000-0000E01C0000}"/>
    <cellStyle name="Normal 4 5 7 6" xfId="7811" xr:uid="{00000000-0005-0000-0000-0000E11C0000}"/>
    <cellStyle name="Normal 4 5 7 7" xfId="7812" xr:uid="{00000000-0005-0000-0000-0000E21C0000}"/>
    <cellStyle name="Normal 4 5 8" xfId="7813" xr:uid="{00000000-0005-0000-0000-0000E31C0000}"/>
    <cellStyle name="Normal 4 5 8 2" xfId="7814" xr:uid="{00000000-0005-0000-0000-0000E41C0000}"/>
    <cellStyle name="Normal 4 5 8 2 2" xfId="7815" xr:uid="{00000000-0005-0000-0000-0000E51C0000}"/>
    <cellStyle name="Normal 4 5 8 2 2 2" xfId="7816" xr:uid="{00000000-0005-0000-0000-0000E61C0000}"/>
    <cellStyle name="Normal 4 5 8 2 2 3" xfId="7817" xr:uid="{00000000-0005-0000-0000-0000E71C0000}"/>
    <cellStyle name="Normal 4 5 8 2 3" xfId="7818" xr:uid="{00000000-0005-0000-0000-0000E81C0000}"/>
    <cellStyle name="Normal 4 5 8 2 4" xfId="7819" xr:uid="{00000000-0005-0000-0000-0000E91C0000}"/>
    <cellStyle name="Normal 4 5 8 2 5" xfId="7820" xr:uid="{00000000-0005-0000-0000-0000EA1C0000}"/>
    <cellStyle name="Normal 4 5 8 3" xfId="7821" xr:uid="{00000000-0005-0000-0000-0000EB1C0000}"/>
    <cellStyle name="Normal 4 5 8 3 2" xfId="7822" xr:uid="{00000000-0005-0000-0000-0000EC1C0000}"/>
    <cellStyle name="Normal 4 5 8 3 2 2" xfId="7823" xr:uid="{00000000-0005-0000-0000-0000ED1C0000}"/>
    <cellStyle name="Normal 4 5 8 3 2 3" xfId="7824" xr:uid="{00000000-0005-0000-0000-0000EE1C0000}"/>
    <cellStyle name="Normal 4 5 8 3 3" xfId="7825" xr:uid="{00000000-0005-0000-0000-0000EF1C0000}"/>
    <cellStyle name="Normal 4 5 8 3 4" xfId="7826" xr:uid="{00000000-0005-0000-0000-0000F01C0000}"/>
    <cellStyle name="Normal 4 5 8 3 5" xfId="7827" xr:uid="{00000000-0005-0000-0000-0000F11C0000}"/>
    <cellStyle name="Normal 4 5 8 4" xfId="7828" xr:uid="{00000000-0005-0000-0000-0000F21C0000}"/>
    <cellStyle name="Normal 4 5 8 4 2" xfId="7829" xr:uid="{00000000-0005-0000-0000-0000F31C0000}"/>
    <cellStyle name="Normal 4 5 8 4 3" xfId="7830" xr:uid="{00000000-0005-0000-0000-0000F41C0000}"/>
    <cellStyle name="Normal 4 5 8 5" xfId="7831" xr:uid="{00000000-0005-0000-0000-0000F51C0000}"/>
    <cellStyle name="Normal 4 5 8 6" xfId="7832" xr:uid="{00000000-0005-0000-0000-0000F61C0000}"/>
    <cellStyle name="Normal 4 5 8 7" xfId="7833" xr:uid="{00000000-0005-0000-0000-0000F71C0000}"/>
    <cellStyle name="Normal 4 5 9" xfId="7834" xr:uid="{00000000-0005-0000-0000-0000F81C0000}"/>
    <cellStyle name="Normal 4 5 9 2" xfId="7835" xr:uid="{00000000-0005-0000-0000-0000F91C0000}"/>
    <cellStyle name="Normal 4 5 9 2 2" xfId="7836" xr:uid="{00000000-0005-0000-0000-0000FA1C0000}"/>
    <cellStyle name="Normal 4 5 9 2 3" xfId="7837" xr:uid="{00000000-0005-0000-0000-0000FB1C0000}"/>
    <cellStyle name="Normal 4 5 9 3" xfId="7838" xr:uid="{00000000-0005-0000-0000-0000FC1C0000}"/>
    <cellStyle name="Normal 4 5 9 4" xfId="7839" xr:uid="{00000000-0005-0000-0000-0000FD1C0000}"/>
    <cellStyle name="Normal 4 5 9 5" xfId="7840" xr:uid="{00000000-0005-0000-0000-0000FE1C0000}"/>
    <cellStyle name="Normal 4 6" xfId="7841" xr:uid="{00000000-0005-0000-0000-0000FF1C0000}"/>
    <cellStyle name="Normal 4 6 10" xfId="7842" xr:uid="{00000000-0005-0000-0000-0000001D0000}"/>
    <cellStyle name="Normal 4 6 11" xfId="7843" xr:uid="{00000000-0005-0000-0000-0000011D0000}"/>
    <cellStyle name="Normal 4 6 12" xfId="7844" xr:uid="{00000000-0005-0000-0000-0000021D0000}"/>
    <cellStyle name="Normal 4 6 2" xfId="7845" xr:uid="{00000000-0005-0000-0000-0000031D0000}"/>
    <cellStyle name="Normal 4 6 2 2" xfId="7846" xr:uid="{00000000-0005-0000-0000-0000041D0000}"/>
    <cellStyle name="Normal 4 6 2 2 2" xfId="7847" xr:uid="{00000000-0005-0000-0000-0000051D0000}"/>
    <cellStyle name="Normal 4 6 2 2 2 2" xfId="7848" xr:uid="{00000000-0005-0000-0000-0000061D0000}"/>
    <cellStyle name="Normal 4 6 2 2 2 2 2" xfId="7849" xr:uid="{00000000-0005-0000-0000-0000071D0000}"/>
    <cellStyle name="Normal 4 6 2 2 2 2 2 2" xfId="7850" xr:uid="{00000000-0005-0000-0000-0000081D0000}"/>
    <cellStyle name="Normal 4 6 2 2 2 2 2 3" xfId="7851" xr:uid="{00000000-0005-0000-0000-0000091D0000}"/>
    <cellStyle name="Normal 4 6 2 2 2 2 3" xfId="7852" xr:uid="{00000000-0005-0000-0000-00000A1D0000}"/>
    <cellStyle name="Normal 4 6 2 2 2 2 4" xfId="7853" xr:uid="{00000000-0005-0000-0000-00000B1D0000}"/>
    <cellStyle name="Normal 4 6 2 2 2 2 5" xfId="7854" xr:uid="{00000000-0005-0000-0000-00000C1D0000}"/>
    <cellStyle name="Normal 4 6 2 2 2 3" xfId="7855" xr:uid="{00000000-0005-0000-0000-00000D1D0000}"/>
    <cellStyle name="Normal 4 6 2 2 2 3 2" xfId="7856" xr:uid="{00000000-0005-0000-0000-00000E1D0000}"/>
    <cellStyle name="Normal 4 6 2 2 2 3 2 2" xfId="7857" xr:uid="{00000000-0005-0000-0000-00000F1D0000}"/>
    <cellStyle name="Normal 4 6 2 2 2 3 2 3" xfId="7858" xr:uid="{00000000-0005-0000-0000-0000101D0000}"/>
    <cellStyle name="Normal 4 6 2 2 2 3 3" xfId="7859" xr:uid="{00000000-0005-0000-0000-0000111D0000}"/>
    <cellStyle name="Normal 4 6 2 2 2 3 4" xfId="7860" xr:uid="{00000000-0005-0000-0000-0000121D0000}"/>
    <cellStyle name="Normal 4 6 2 2 2 3 5" xfId="7861" xr:uid="{00000000-0005-0000-0000-0000131D0000}"/>
    <cellStyle name="Normal 4 6 2 2 2 4" xfId="7862" xr:uid="{00000000-0005-0000-0000-0000141D0000}"/>
    <cellStyle name="Normal 4 6 2 2 2 4 2" xfId="7863" xr:uid="{00000000-0005-0000-0000-0000151D0000}"/>
    <cellStyle name="Normal 4 6 2 2 2 4 3" xfId="7864" xr:uid="{00000000-0005-0000-0000-0000161D0000}"/>
    <cellStyle name="Normal 4 6 2 2 2 5" xfId="7865" xr:uid="{00000000-0005-0000-0000-0000171D0000}"/>
    <cellStyle name="Normal 4 6 2 2 2 6" xfId="7866" xr:uid="{00000000-0005-0000-0000-0000181D0000}"/>
    <cellStyle name="Normal 4 6 2 2 2 7" xfId="7867" xr:uid="{00000000-0005-0000-0000-0000191D0000}"/>
    <cellStyle name="Normal 4 6 2 2 3" xfId="7868" xr:uid="{00000000-0005-0000-0000-00001A1D0000}"/>
    <cellStyle name="Normal 4 6 2 2 3 2" xfId="7869" xr:uid="{00000000-0005-0000-0000-00001B1D0000}"/>
    <cellStyle name="Normal 4 6 2 2 3 2 2" xfId="7870" xr:uid="{00000000-0005-0000-0000-00001C1D0000}"/>
    <cellStyle name="Normal 4 6 2 2 3 2 3" xfId="7871" xr:uid="{00000000-0005-0000-0000-00001D1D0000}"/>
    <cellStyle name="Normal 4 6 2 2 3 3" xfId="7872" xr:uid="{00000000-0005-0000-0000-00001E1D0000}"/>
    <cellStyle name="Normal 4 6 2 2 3 4" xfId="7873" xr:uid="{00000000-0005-0000-0000-00001F1D0000}"/>
    <cellStyle name="Normal 4 6 2 2 3 5" xfId="7874" xr:uid="{00000000-0005-0000-0000-0000201D0000}"/>
    <cellStyle name="Normal 4 6 2 2 4" xfId="7875" xr:uid="{00000000-0005-0000-0000-0000211D0000}"/>
    <cellStyle name="Normal 4 6 2 2 4 2" xfId="7876" xr:uid="{00000000-0005-0000-0000-0000221D0000}"/>
    <cellStyle name="Normal 4 6 2 2 4 2 2" xfId="7877" xr:uid="{00000000-0005-0000-0000-0000231D0000}"/>
    <cellStyle name="Normal 4 6 2 2 4 2 3" xfId="7878" xr:uid="{00000000-0005-0000-0000-0000241D0000}"/>
    <cellStyle name="Normal 4 6 2 2 4 3" xfId="7879" xr:uid="{00000000-0005-0000-0000-0000251D0000}"/>
    <cellStyle name="Normal 4 6 2 2 4 4" xfId="7880" xr:uid="{00000000-0005-0000-0000-0000261D0000}"/>
    <cellStyle name="Normal 4 6 2 2 4 5" xfId="7881" xr:uid="{00000000-0005-0000-0000-0000271D0000}"/>
    <cellStyle name="Normal 4 6 2 2 5" xfId="7882" xr:uid="{00000000-0005-0000-0000-0000281D0000}"/>
    <cellStyle name="Normal 4 6 2 2 5 2" xfId="7883" xr:uid="{00000000-0005-0000-0000-0000291D0000}"/>
    <cellStyle name="Normal 4 6 2 2 5 3" xfId="7884" xr:uid="{00000000-0005-0000-0000-00002A1D0000}"/>
    <cellStyle name="Normal 4 6 2 2 6" xfId="7885" xr:uid="{00000000-0005-0000-0000-00002B1D0000}"/>
    <cellStyle name="Normal 4 6 2 2 7" xfId="7886" xr:uid="{00000000-0005-0000-0000-00002C1D0000}"/>
    <cellStyle name="Normal 4 6 2 2 8" xfId="7887" xr:uid="{00000000-0005-0000-0000-00002D1D0000}"/>
    <cellStyle name="Normal 4 6 2 3" xfId="7888" xr:uid="{00000000-0005-0000-0000-00002E1D0000}"/>
    <cellStyle name="Normal 4 6 2 3 2" xfId="7889" xr:uid="{00000000-0005-0000-0000-00002F1D0000}"/>
    <cellStyle name="Normal 4 6 2 3 2 2" xfId="7890" xr:uid="{00000000-0005-0000-0000-0000301D0000}"/>
    <cellStyle name="Normal 4 6 2 3 2 2 2" xfId="7891" xr:uid="{00000000-0005-0000-0000-0000311D0000}"/>
    <cellStyle name="Normal 4 6 2 3 2 2 3" xfId="7892" xr:uid="{00000000-0005-0000-0000-0000321D0000}"/>
    <cellStyle name="Normal 4 6 2 3 2 3" xfId="7893" xr:uid="{00000000-0005-0000-0000-0000331D0000}"/>
    <cellStyle name="Normal 4 6 2 3 2 4" xfId="7894" xr:uid="{00000000-0005-0000-0000-0000341D0000}"/>
    <cellStyle name="Normal 4 6 2 3 2 5" xfId="7895" xr:uid="{00000000-0005-0000-0000-0000351D0000}"/>
    <cellStyle name="Normal 4 6 2 3 3" xfId="7896" xr:uid="{00000000-0005-0000-0000-0000361D0000}"/>
    <cellStyle name="Normal 4 6 2 3 3 2" xfId="7897" xr:uid="{00000000-0005-0000-0000-0000371D0000}"/>
    <cellStyle name="Normal 4 6 2 3 3 2 2" xfId="7898" xr:uid="{00000000-0005-0000-0000-0000381D0000}"/>
    <cellStyle name="Normal 4 6 2 3 3 2 3" xfId="7899" xr:uid="{00000000-0005-0000-0000-0000391D0000}"/>
    <cellStyle name="Normal 4 6 2 3 3 3" xfId="7900" xr:uid="{00000000-0005-0000-0000-00003A1D0000}"/>
    <cellStyle name="Normal 4 6 2 3 3 4" xfId="7901" xr:uid="{00000000-0005-0000-0000-00003B1D0000}"/>
    <cellStyle name="Normal 4 6 2 3 3 5" xfId="7902" xr:uid="{00000000-0005-0000-0000-00003C1D0000}"/>
    <cellStyle name="Normal 4 6 2 3 4" xfId="7903" xr:uid="{00000000-0005-0000-0000-00003D1D0000}"/>
    <cellStyle name="Normal 4 6 2 3 4 2" xfId="7904" xr:uid="{00000000-0005-0000-0000-00003E1D0000}"/>
    <cellStyle name="Normal 4 6 2 3 4 3" xfId="7905" xr:uid="{00000000-0005-0000-0000-00003F1D0000}"/>
    <cellStyle name="Normal 4 6 2 3 5" xfId="7906" xr:uid="{00000000-0005-0000-0000-0000401D0000}"/>
    <cellStyle name="Normal 4 6 2 3 6" xfId="7907" xr:uid="{00000000-0005-0000-0000-0000411D0000}"/>
    <cellStyle name="Normal 4 6 2 3 7" xfId="7908" xr:uid="{00000000-0005-0000-0000-0000421D0000}"/>
    <cellStyle name="Normal 4 6 2 4" xfId="7909" xr:uid="{00000000-0005-0000-0000-0000431D0000}"/>
    <cellStyle name="Normal 4 6 2 4 2" xfId="7910" xr:uid="{00000000-0005-0000-0000-0000441D0000}"/>
    <cellStyle name="Normal 4 6 2 4 2 2" xfId="7911" xr:uid="{00000000-0005-0000-0000-0000451D0000}"/>
    <cellStyle name="Normal 4 6 2 4 2 3" xfId="7912" xr:uid="{00000000-0005-0000-0000-0000461D0000}"/>
    <cellStyle name="Normal 4 6 2 4 3" xfId="7913" xr:uid="{00000000-0005-0000-0000-0000471D0000}"/>
    <cellStyle name="Normal 4 6 2 4 4" xfId="7914" xr:uid="{00000000-0005-0000-0000-0000481D0000}"/>
    <cellStyle name="Normal 4 6 2 4 5" xfId="7915" xr:uid="{00000000-0005-0000-0000-0000491D0000}"/>
    <cellStyle name="Normal 4 6 2 5" xfId="7916" xr:uid="{00000000-0005-0000-0000-00004A1D0000}"/>
    <cellStyle name="Normal 4 6 2 5 2" xfId="7917" xr:uid="{00000000-0005-0000-0000-00004B1D0000}"/>
    <cellStyle name="Normal 4 6 2 5 2 2" xfId="7918" xr:uid="{00000000-0005-0000-0000-00004C1D0000}"/>
    <cellStyle name="Normal 4 6 2 5 2 3" xfId="7919" xr:uid="{00000000-0005-0000-0000-00004D1D0000}"/>
    <cellStyle name="Normal 4 6 2 5 3" xfId="7920" xr:uid="{00000000-0005-0000-0000-00004E1D0000}"/>
    <cellStyle name="Normal 4 6 2 5 4" xfId="7921" xr:uid="{00000000-0005-0000-0000-00004F1D0000}"/>
    <cellStyle name="Normal 4 6 2 5 5" xfId="7922" xr:uid="{00000000-0005-0000-0000-0000501D0000}"/>
    <cellStyle name="Normal 4 6 2 6" xfId="7923" xr:uid="{00000000-0005-0000-0000-0000511D0000}"/>
    <cellStyle name="Normal 4 6 2 6 2" xfId="7924" xr:uid="{00000000-0005-0000-0000-0000521D0000}"/>
    <cellStyle name="Normal 4 6 2 6 3" xfId="7925" xr:uid="{00000000-0005-0000-0000-0000531D0000}"/>
    <cellStyle name="Normal 4 6 2 7" xfId="7926" xr:uid="{00000000-0005-0000-0000-0000541D0000}"/>
    <cellStyle name="Normal 4 6 2 8" xfId="7927" xr:uid="{00000000-0005-0000-0000-0000551D0000}"/>
    <cellStyle name="Normal 4 6 2 9" xfId="7928" xr:uid="{00000000-0005-0000-0000-0000561D0000}"/>
    <cellStyle name="Normal 4 6 3" xfId="7929" xr:uid="{00000000-0005-0000-0000-0000571D0000}"/>
    <cellStyle name="Normal 4 6 3 2" xfId="7930" xr:uid="{00000000-0005-0000-0000-0000581D0000}"/>
    <cellStyle name="Normal 4 6 3 2 2" xfId="7931" xr:uid="{00000000-0005-0000-0000-0000591D0000}"/>
    <cellStyle name="Normal 4 6 3 2 2 2" xfId="7932" xr:uid="{00000000-0005-0000-0000-00005A1D0000}"/>
    <cellStyle name="Normal 4 6 3 2 2 2 2" xfId="7933" xr:uid="{00000000-0005-0000-0000-00005B1D0000}"/>
    <cellStyle name="Normal 4 6 3 2 2 2 2 2" xfId="7934" xr:uid="{00000000-0005-0000-0000-00005C1D0000}"/>
    <cellStyle name="Normal 4 6 3 2 2 2 2 3" xfId="7935" xr:uid="{00000000-0005-0000-0000-00005D1D0000}"/>
    <cellStyle name="Normal 4 6 3 2 2 2 3" xfId="7936" xr:uid="{00000000-0005-0000-0000-00005E1D0000}"/>
    <cellStyle name="Normal 4 6 3 2 2 2 4" xfId="7937" xr:uid="{00000000-0005-0000-0000-00005F1D0000}"/>
    <cellStyle name="Normal 4 6 3 2 2 2 5" xfId="7938" xr:uid="{00000000-0005-0000-0000-0000601D0000}"/>
    <cellStyle name="Normal 4 6 3 2 2 3" xfId="7939" xr:uid="{00000000-0005-0000-0000-0000611D0000}"/>
    <cellStyle name="Normal 4 6 3 2 2 3 2" xfId="7940" xr:uid="{00000000-0005-0000-0000-0000621D0000}"/>
    <cellStyle name="Normal 4 6 3 2 2 3 2 2" xfId="7941" xr:uid="{00000000-0005-0000-0000-0000631D0000}"/>
    <cellStyle name="Normal 4 6 3 2 2 3 2 3" xfId="7942" xr:uid="{00000000-0005-0000-0000-0000641D0000}"/>
    <cellStyle name="Normal 4 6 3 2 2 3 3" xfId="7943" xr:uid="{00000000-0005-0000-0000-0000651D0000}"/>
    <cellStyle name="Normal 4 6 3 2 2 3 4" xfId="7944" xr:uid="{00000000-0005-0000-0000-0000661D0000}"/>
    <cellStyle name="Normal 4 6 3 2 2 3 5" xfId="7945" xr:uid="{00000000-0005-0000-0000-0000671D0000}"/>
    <cellStyle name="Normal 4 6 3 2 2 4" xfId="7946" xr:uid="{00000000-0005-0000-0000-0000681D0000}"/>
    <cellStyle name="Normal 4 6 3 2 2 4 2" xfId="7947" xr:uid="{00000000-0005-0000-0000-0000691D0000}"/>
    <cellStyle name="Normal 4 6 3 2 2 4 3" xfId="7948" xr:uid="{00000000-0005-0000-0000-00006A1D0000}"/>
    <cellStyle name="Normal 4 6 3 2 2 5" xfId="7949" xr:uid="{00000000-0005-0000-0000-00006B1D0000}"/>
    <cellStyle name="Normal 4 6 3 2 2 6" xfId="7950" xr:uid="{00000000-0005-0000-0000-00006C1D0000}"/>
    <cellStyle name="Normal 4 6 3 2 2 7" xfId="7951" xr:uid="{00000000-0005-0000-0000-00006D1D0000}"/>
    <cellStyle name="Normal 4 6 3 2 3" xfId="7952" xr:uid="{00000000-0005-0000-0000-00006E1D0000}"/>
    <cellStyle name="Normal 4 6 3 2 3 2" xfId="7953" xr:uid="{00000000-0005-0000-0000-00006F1D0000}"/>
    <cellStyle name="Normal 4 6 3 2 3 2 2" xfId="7954" xr:uid="{00000000-0005-0000-0000-0000701D0000}"/>
    <cellStyle name="Normal 4 6 3 2 3 2 3" xfId="7955" xr:uid="{00000000-0005-0000-0000-0000711D0000}"/>
    <cellStyle name="Normal 4 6 3 2 3 3" xfId="7956" xr:uid="{00000000-0005-0000-0000-0000721D0000}"/>
    <cellStyle name="Normal 4 6 3 2 3 4" xfId="7957" xr:uid="{00000000-0005-0000-0000-0000731D0000}"/>
    <cellStyle name="Normal 4 6 3 2 3 5" xfId="7958" xr:uid="{00000000-0005-0000-0000-0000741D0000}"/>
    <cellStyle name="Normal 4 6 3 2 4" xfId="7959" xr:uid="{00000000-0005-0000-0000-0000751D0000}"/>
    <cellStyle name="Normal 4 6 3 2 4 2" xfId="7960" xr:uid="{00000000-0005-0000-0000-0000761D0000}"/>
    <cellStyle name="Normal 4 6 3 2 4 2 2" xfId="7961" xr:uid="{00000000-0005-0000-0000-0000771D0000}"/>
    <cellStyle name="Normal 4 6 3 2 4 2 3" xfId="7962" xr:uid="{00000000-0005-0000-0000-0000781D0000}"/>
    <cellStyle name="Normal 4 6 3 2 4 3" xfId="7963" xr:uid="{00000000-0005-0000-0000-0000791D0000}"/>
    <cellStyle name="Normal 4 6 3 2 4 4" xfId="7964" xr:uid="{00000000-0005-0000-0000-00007A1D0000}"/>
    <cellStyle name="Normal 4 6 3 2 4 5" xfId="7965" xr:uid="{00000000-0005-0000-0000-00007B1D0000}"/>
    <cellStyle name="Normal 4 6 3 2 5" xfId="7966" xr:uid="{00000000-0005-0000-0000-00007C1D0000}"/>
    <cellStyle name="Normal 4 6 3 2 5 2" xfId="7967" xr:uid="{00000000-0005-0000-0000-00007D1D0000}"/>
    <cellStyle name="Normal 4 6 3 2 5 3" xfId="7968" xr:uid="{00000000-0005-0000-0000-00007E1D0000}"/>
    <cellStyle name="Normal 4 6 3 2 6" xfId="7969" xr:uid="{00000000-0005-0000-0000-00007F1D0000}"/>
    <cellStyle name="Normal 4 6 3 2 7" xfId="7970" xr:uid="{00000000-0005-0000-0000-0000801D0000}"/>
    <cellStyle name="Normal 4 6 3 2 8" xfId="7971" xr:uid="{00000000-0005-0000-0000-0000811D0000}"/>
    <cellStyle name="Normal 4 6 3 3" xfId="7972" xr:uid="{00000000-0005-0000-0000-0000821D0000}"/>
    <cellStyle name="Normal 4 6 3 3 2" xfId="7973" xr:uid="{00000000-0005-0000-0000-0000831D0000}"/>
    <cellStyle name="Normal 4 6 3 3 2 2" xfId="7974" xr:uid="{00000000-0005-0000-0000-0000841D0000}"/>
    <cellStyle name="Normal 4 6 3 3 2 2 2" xfId="7975" xr:uid="{00000000-0005-0000-0000-0000851D0000}"/>
    <cellStyle name="Normal 4 6 3 3 2 2 3" xfId="7976" xr:uid="{00000000-0005-0000-0000-0000861D0000}"/>
    <cellStyle name="Normal 4 6 3 3 2 3" xfId="7977" xr:uid="{00000000-0005-0000-0000-0000871D0000}"/>
    <cellStyle name="Normal 4 6 3 3 2 4" xfId="7978" xr:uid="{00000000-0005-0000-0000-0000881D0000}"/>
    <cellStyle name="Normal 4 6 3 3 2 5" xfId="7979" xr:uid="{00000000-0005-0000-0000-0000891D0000}"/>
    <cellStyle name="Normal 4 6 3 3 3" xfId="7980" xr:uid="{00000000-0005-0000-0000-00008A1D0000}"/>
    <cellStyle name="Normal 4 6 3 3 3 2" xfId="7981" xr:uid="{00000000-0005-0000-0000-00008B1D0000}"/>
    <cellStyle name="Normal 4 6 3 3 3 2 2" xfId="7982" xr:uid="{00000000-0005-0000-0000-00008C1D0000}"/>
    <cellStyle name="Normal 4 6 3 3 3 2 3" xfId="7983" xr:uid="{00000000-0005-0000-0000-00008D1D0000}"/>
    <cellStyle name="Normal 4 6 3 3 3 3" xfId="7984" xr:uid="{00000000-0005-0000-0000-00008E1D0000}"/>
    <cellStyle name="Normal 4 6 3 3 3 4" xfId="7985" xr:uid="{00000000-0005-0000-0000-00008F1D0000}"/>
    <cellStyle name="Normal 4 6 3 3 3 5" xfId="7986" xr:uid="{00000000-0005-0000-0000-0000901D0000}"/>
    <cellStyle name="Normal 4 6 3 3 4" xfId="7987" xr:uid="{00000000-0005-0000-0000-0000911D0000}"/>
    <cellStyle name="Normal 4 6 3 3 4 2" xfId="7988" xr:uid="{00000000-0005-0000-0000-0000921D0000}"/>
    <cellStyle name="Normal 4 6 3 3 4 3" xfId="7989" xr:uid="{00000000-0005-0000-0000-0000931D0000}"/>
    <cellStyle name="Normal 4 6 3 3 5" xfId="7990" xr:uid="{00000000-0005-0000-0000-0000941D0000}"/>
    <cellStyle name="Normal 4 6 3 3 6" xfId="7991" xr:uid="{00000000-0005-0000-0000-0000951D0000}"/>
    <cellStyle name="Normal 4 6 3 3 7" xfId="7992" xr:uid="{00000000-0005-0000-0000-0000961D0000}"/>
    <cellStyle name="Normal 4 6 3 4" xfId="7993" xr:uid="{00000000-0005-0000-0000-0000971D0000}"/>
    <cellStyle name="Normal 4 6 3 4 2" xfId="7994" xr:uid="{00000000-0005-0000-0000-0000981D0000}"/>
    <cellStyle name="Normal 4 6 3 4 2 2" xfId="7995" xr:uid="{00000000-0005-0000-0000-0000991D0000}"/>
    <cellStyle name="Normal 4 6 3 4 2 3" xfId="7996" xr:uid="{00000000-0005-0000-0000-00009A1D0000}"/>
    <cellStyle name="Normal 4 6 3 4 3" xfId="7997" xr:uid="{00000000-0005-0000-0000-00009B1D0000}"/>
    <cellStyle name="Normal 4 6 3 4 4" xfId="7998" xr:uid="{00000000-0005-0000-0000-00009C1D0000}"/>
    <cellStyle name="Normal 4 6 3 4 5" xfId="7999" xr:uid="{00000000-0005-0000-0000-00009D1D0000}"/>
    <cellStyle name="Normal 4 6 3 5" xfId="8000" xr:uid="{00000000-0005-0000-0000-00009E1D0000}"/>
    <cellStyle name="Normal 4 6 3 5 2" xfId="8001" xr:uid="{00000000-0005-0000-0000-00009F1D0000}"/>
    <cellStyle name="Normal 4 6 3 5 2 2" xfId="8002" xr:uid="{00000000-0005-0000-0000-0000A01D0000}"/>
    <cellStyle name="Normal 4 6 3 5 2 3" xfId="8003" xr:uid="{00000000-0005-0000-0000-0000A11D0000}"/>
    <cellStyle name="Normal 4 6 3 5 3" xfId="8004" xr:uid="{00000000-0005-0000-0000-0000A21D0000}"/>
    <cellStyle name="Normal 4 6 3 5 4" xfId="8005" xr:uid="{00000000-0005-0000-0000-0000A31D0000}"/>
    <cellStyle name="Normal 4 6 3 5 5" xfId="8006" xr:uid="{00000000-0005-0000-0000-0000A41D0000}"/>
    <cellStyle name="Normal 4 6 3 6" xfId="8007" xr:uid="{00000000-0005-0000-0000-0000A51D0000}"/>
    <cellStyle name="Normal 4 6 3 6 2" xfId="8008" xr:uid="{00000000-0005-0000-0000-0000A61D0000}"/>
    <cellStyle name="Normal 4 6 3 6 3" xfId="8009" xr:uid="{00000000-0005-0000-0000-0000A71D0000}"/>
    <cellStyle name="Normal 4 6 3 7" xfId="8010" xr:uid="{00000000-0005-0000-0000-0000A81D0000}"/>
    <cellStyle name="Normal 4 6 3 8" xfId="8011" xr:uid="{00000000-0005-0000-0000-0000A91D0000}"/>
    <cellStyle name="Normal 4 6 3 9" xfId="8012" xr:uid="{00000000-0005-0000-0000-0000AA1D0000}"/>
    <cellStyle name="Normal 4 6 4" xfId="8013" xr:uid="{00000000-0005-0000-0000-0000AB1D0000}"/>
    <cellStyle name="Normal 4 6 4 2" xfId="8014" xr:uid="{00000000-0005-0000-0000-0000AC1D0000}"/>
    <cellStyle name="Normal 4 6 4 2 2" xfId="8015" xr:uid="{00000000-0005-0000-0000-0000AD1D0000}"/>
    <cellStyle name="Normal 4 6 4 2 2 2" xfId="8016" xr:uid="{00000000-0005-0000-0000-0000AE1D0000}"/>
    <cellStyle name="Normal 4 6 4 2 2 2 2" xfId="8017" xr:uid="{00000000-0005-0000-0000-0000AF1D0000}"/>
    <cellStyle name="Normal 4 6 4 2 2 2 2 2" xfId="8018" xr:uid="{00000000-0005-0000-0000-0000B01D0000}"/>
    <cellStyle name="Normal 4 6 4 2 2 2 2 3" xfId="8019" xr:uid="{00000000-0005-0000-0000-0000B11D0000}"/>
    <cellStyle name="Normal 4 6 4 2 2 2 3" xfId="8020" xr:uid="{00000000-0005-0000-0000-0000B21D0000}"/>
    <cellStyle name="Normal 4 6 4 2 2 2 4" xfId="8021" xr:uid="{00000000-0005-0000-0000-0000B31D0000}"/>
    <cellStyle name="Normal 4 6 4 2 2 2 5" xfId="8022" xr:uid="{00000000-0005-0000-0000-0000B41D0000}"/>
    <cellStyle name="Normal 4 6 4 2 2 3" xfId="8023" xr:uid="{00000000-0005-0000-0000-0000B51D0000}"/>
    <cellStyle name="Normal 4 6 4 2 2 3 2" xfId="8024" xr:uid="{00000000-0005-0000-0000-0000B61D0000}"/>
    <cellStyle name="Normal 4 6 4 2 2 3 2 2" xfId="8025" xr:uid="{00000000-0005-0000-0000-0000B71D0000}"/>
    <cellStyle name="Normal 4 6 4 2 2 3 2 3" xfId="8026" xr:uid="{00000000-0005-0000-0000-0000B81D0000}"/>
    <cellStyle name="Normal 4 6 4 2 2 3 3" xfId="8027" xr:uid="{00000000-0005-0000-0000-0000B91D0000}"/>
    <cellStyle name="Normal 4 6 4 2 2 3 4" xfId="8028" xr:uid="{00000000-0005-0000-0000-0000BA1D0000}"/>
    <cellStyle name="Normal 4 6 4 2 2 3 5" xfId="8029" xr:uid="{00000000-0005-0000-0000-0000BB1D0000}"/>
    <cellStyle name="Normal 4 6 4 2 2 4" xfId="8030" xr:uid="{00000000-0005-0000-0000-0000BC1D0000}"/>
    <cellStyle name="Normal 4 6 4 2 2 4 2" xfId="8031" xr:uid="{00000000-0005-0000-0000-0000BD1D0000}"/>
    <cellStyle name="Normal 4 6 4 2 2 4 3" xfId="8032" xr:uid="{00000000-0005-0000-0000-0000BE1D0000}"/>
    <cellStyle name="Normal 4 6 4 2 2 5" xfId="8033" xr:uid="{00000000-0005-0000-0000-0000BF1D0000}"/>
    <cellStyle name="Normal 4 6 4 2 2 6" xfId="8034" xr:uid="{00000000-0005-0000-0000-0000C01D0000}"/>
    <cellStyle name="Normal 4 6 4 2 2 7" xfId="8035" xr:uid="{00000000-0005-0000-0000-0000C11D0000}"/>
    <cellStyle name="Normal 4 6 4 2 3" xfId="8036" xr:uid="{00000000-0005-0000-0000-0000C21D0000}"/>
    <cellStyle name="Normal 4 6 4 2 3 2" xfId="8037" xr:uid="{00000000-0005-0000-0000-0000C31D0000}"/>
    <cellStyle name="Normal 4 6 4 2 3 2 2" xfId="8038" xr:uid="{00000000-0005-0000-0000-0000C41D0000}"/>
    <cellStyle name="Normal 4 6 4 2 3 2 3" xfId="8039" xr:uid="{00000000-0005-0000-0000-0000C51D0000}"/>
    <cellStyle name="Normal 4 6 4 2 3 3" xfId="8040" xr:uid="{00000000-0005-0000-0000-0000C61D0000}"/>
    <cellStyle name="Normal 4 6 4 2 3 4" xfId="8041" xr:uid="{00000000-0005-0000-0000-0000C71D0000}"/>
    <cellStyle name="Normal 4 6 4 2 3 5" xfId="8042" xr:uid="{00000000-0005-0000-0000-0000C81D0000}"/>
    <cellStyle name="Normal 4 6 4 2 4" xfId="8043" xr:uid="{00000000-0005-0000-0000-0000C91D0000}"/>
    <cellStyle name="Normal 4 6 4 2 4 2" xfId="8044" xr:uid="{00000000-0005-0000-0000-0000CA1D0000}"/>
    <cellStyle name="Normal 4 6 4 2 4 2 2" xfId="8045" xr:uid="{00000000-0005-0000-0000-0000CB1D0000}"/>
    <cellStyle name="Normal 4 6 4 2 4 2 3" xfId="8046" xr:uid="{00000000-0005-0000-0000-0000CC1D0000}"/>
    <cellStyle name="Normal 4 6 4 2 4 3" xfId="8047" xr:uid="{00000000-0005-0000-0000-0000CD1D0000}"/>
    <cellStyle name="Normal 4 6 4 2 4 4" xfId="8048" xr:uid="{00000000-0005-0000-0000-0000CE1D0000}"/>
    <cellStyle name="Normal 4 6 4 2 4 5" xfId="8049" xr:uid="{00000000-0005-0000-0000-0000CF1D0000}"/>
    <cellStyle name="Normal 4 6 4 2 5" xfId="8050" xr:uid="{00000000-0005-0000-0000-0000D01D0000}"/>
    <cellStyle name="Normal 4 6 4 2 5 2" xfId="8051" xr:uid="{00000000-0005-0000-0000-0000D11D0000}"/>
    <cellStyle name="Normal 4 6 4 2 5 3" xfId="8052" xr:uid="{00000000-0005-0000-0000-0000D21D0000}"/>
    <cellStyle name="Normal 4 6 4 2 6" xfId="8053" xr:uid="{00000000-0005-0000-0000-0000D31D0000}"/>
    <cellStyle name="Normal 4 6 4 2 7" xfId="8054" xr:uid="{00000000-0005-0000-0000-0000D41D0000}"/>
    <cellStyle name="Normal 4 6 4 2 8" xfId="8055" xr:uid="{00000000-0005-0000-0000-0000D51D0000}"/>
    <cellStyle name="Normal 4 6 4 3" xfId="8056" xr:uid="{00000000-0005-0000-0000-0000D61D0000}"/>
    <cellStyle name="Normal 4 6 4 3 2" xfId="8057" xr:uid="{00000000-0005-0000-0000-0000D71D0000}"/>
    <cellStyle name="Normal 4 6 4 3 2 2" xfId="8058" xr:uid="{00000000-0005-0000-0000-0000D81D0000}"/>
    <cellStyle name="Normal 4 6 4 3 2 2 2" xfId="8059" xr:uid="{00000000-0005-0000-0000-0000D91D0000}"/>
    <cellStyle name="Normal 4 6 4 3 2 2 3" xfId="8060" xr:uid="{00000000-0005-0000-0000-0000DA1D0000}"/>
    <cellStyle name="Normal 4 6 4 3 2 3" xfId="8061" xr:uid="{00000000-0005-0000-0000-0000DB1D0000}"/>
    <cellStyle name="Normal 4 6 4 3 2 4" xfId="8062" xr:uid="{00000000-0005-0000-0000-0000DC1D0000}"/>
    <cellStyle name="Normal 4 6 4 3 2 5" xfId="8063" xr:uid="{00000000-0005-0000-0000-0000DD1D0000}"/>
    <cellStyle name="Normal 4 6 4 3 3" xfId="8064" xr:uid="{00000000-0005-0000-0000-0000DE1D0000}"/>
    <cellStyle name="Normal 4 6 4 3 3 2" xfId="8065" xr:uid="{00000000-0005-0000-0000-0000DF1D0000}"/>
    <cellStyle name="Normal 4 6 4 3 3 2 2" xfId="8066" xr:uid="{00000000-0005-0000-0000-0000E01D0000}"/>
    <cellStyle name="Normal 4 6 4 3 3 2 3" xfId="8067" xr:uid="{00000000-0005-0000-0000-0000E11D0000}"/>
    <cellStyle name="Normal 4 6 4 3 3 3" xfId="8068" xr:uid="{00000000-0005-0000-0000-0000E21D0000}"/>
    <cellStyle name="Normal 4 6 4 3 3 4" xfId="8069" xr:uid="{00000000-0005-0000-0000-0000E31D0000}"/>
    <cellStyle name="Normal 4 6 4 3 3 5" xfId="8070" xr:uid="{00000000-0005-0000-0000-0000E41D0000}"/>
    <cellStyle name="Normal 4 6 4 3 4" xfId="8071" xr:uid="{00000000-0005-0000-0000-0000E51D0000}"/>
    <cellStyle name="Normal 4 6 4 3 4 2" xfId="8072" xr:uid="{00000000-0005-0000-0000-0000E61D0000}"/>
    <cellStyle name="Normal 4 6 4 3 4 3" xfId="8073" xr:uid="{00000000-0005-0000-0000-0000E71D0000}"/>
    <cellStyle name="Normal 4 6 4 3 5" xfId="8074" xr:uid="{00000000-0005-0000-0000-0000E81D0000}"/>
    <cellStyle name="Normal 4 6 4 3 6" xfId="8075" xr:uid="{00000000-0005-0000-0000-0000E91D0000}"/>
    <cellStyle name="Normal 4 6 4 3 7" xfId="8076" xr:uid="{00000000-0005-0000-0000-0000EA1D0000}"/>
    <cellStyle name="Normal 4 6 4 4" xfId="8077" xr:uid="{00000000-0005-0000-0000-0000EB1D0000}"/>
    <cellStyle name="Normal 4 6 4 4 2" xfId="8078" xr:uid="{00000000-0005-0000-0000-0000EC1D0000}"/>
    <cellStyle name="Normal 4 6 4 4 2 2" xfId="8079" xr:uid="{00000000-0005-0000-0000-0000ED1D0000}"/>
    <cellStyle name="Normal 4 6 4 4 2 3" xfId="8080" xr:uid="{00000000-0005-0000-0000-0000EE1D0000}"/>
    <cellStyle name="Normal 4 6 4 4 3" xfId="8081" xr:uid="{00000000-0005-0000-0000-0000EF1D0000}"/>
    <cellStyle name="Normal 4 6 4 4 4" xfId="8082" xr:uid="{00000000-0005-0000-0000-0000F01D0000}"/>
    <cellStyle name="Normal 4 6 4 4 5" xfId="8083" xr:uid="{00000000-0005-0000-0000-0000F11D0000}"/>
    <cellStyle name="Normal 4 6 4 5" xfId="8084" xr:uid="{00000000-0005-0000-0000-0000F21D0000}"/>
    <cellStyle name="Normal 4 6 4 5 2" xfId="8085" xr:uid="{00000000-0005-0000-0000-0000F31D0000}"/>
    <cellStyle name="Normal 4 6 4 5 2 2" xfId="8086" xr:uid="{00000000-0005-0000-0000-0000F41D0000}"/>
    <cellStyle name="Normal 4 6 4 5 2 3" xfId="8087" xr:uid="{00000000-0005-0000-0000-0000F51D0000}"/>
    <cellStyle name="Normal 4 6 4 5 3" xfId="8088" xr:uid="{00000000-0005-0000-0000-0000F61D0000}"/>
    <cellStyle name="Normal 4 6 4 5 4" xfId="8089" xr:uid="{00000000-0005-0000-0000-0000F71D0000}"/>
    <cellStyle name="Normal 4 6 4 5 5" xfId="8090" xr:uid="{00000000-0005-0000-0000-0000F81D0000}"/>
    <cellStyle name="Normal 4 6 4 6" xfId="8091" xr:uid="{00000000-0005-0000-0000-0000F91D0000}"/>
    <cellStyle name="Normal 4 6 4 6 2" xfId="8092" xr:uid="{00000000-0005-0000-0000-0000FA1D0000}"/>
    <cellStyle name="Normal 4 6 4 6 3" xfId="8093" xr:uid="{00000000-0005-0000-0000-0000FB1D0000}"/>
    <cellStyle name="Normal 4 6 4 7" xfId="8094" xr:uid="{00000000-0005-0000-0000-0000FC1D0000}"/>
    <cellStyle name="Normal 4 6 4 8" xfId="8095" xr:uid="{00000000-0005-0000-0000-0000FD1D0000}"/>
    <cellStyle name="Normal 4 6 4 9" xfId="8096" xr:uid="{00000000-0005-0000-0000-0000FE1D0000}"/>
    <cellStyle name="Normal 4 6 5" xfId="8097" xr:uid="{00000000-0005-0000-0000-0000FF1D0000}"/>
    <cellStyle name="Normal 4 6 5 2" xfId="8098" xr:uid="{00000000-0005-0000-0000-0000001E0000}"/>
    <cellStyle name="Normal 4 6 5 2 2" xfId="8099" xr:uid="{00000000-0005-0000-0000-0000011E0000}"/>
    <cellStyle name="Normal 4 6 5 2 2 2" xfId="8100" xr:uid="{00000000-0005-0000-0000-0000021E0000}"/>
    <cellStyle name="Normal 4 6 5 2 2 2 2" xfId="8101" xr:uid="{00000000-0005-0000-0000-0000031E0000}"/>
    <cellStyle name="Normal 4 6 5 2 2 2 3" xfId="8102" xr:uid="{00000000-0005-0000-0000-0000041E0000}"/>
    <cellStyle name="Normal 4 6 5 2 2 3" xfId="8103" xr:uid="{00000000-0005-0000-0000-0000051E0000}"/>
    <cellStyle name="Normal 4 6 5 2 2 4" xfId="8104" xr:uid="{00000000-0005-0000-0000-0000061E0000}"/>
    <cellStyle name="Normal 4 6 5 2 2 5" xfId="8105" xr:uid="{00000000-0005-0000-0000-0000071E0000}"/>
    <cellStyle name="Normal 4 6 5 2 3" xfId="8106" xr:uid="{00000000-0005-0000-0000-0000081E0000}"/>
    <cellStyle name="Normal 4 6 5 2 3 2" xfId="8107" xr:uid="{00000000-0005-0000-0000-0000091E0000}"/>
    <cellStyle name="Normal 4 6 5 2 3 2 2" xfId="8108" xr:uid="{00000000-0005-0000-0000-00000A1E0000}"/>
    <cellStyle name="Normal 4 6 5 2 3 2 3" xfId="8109" xr:uid="{00000000-0005-0000-0000-00000B1E0000}"/>
    <cellStyle name="Normal 4 6 5 2 3 3" xfId="8110" xr:uid="{00000000-0005-0000-0000-00000C1E0000}"/>
    <cellStyle name="Normal 4 6 5 2 3 4" xfId="8111" xr:uid="{00000000-0005-0000-0000-00000D1E0000}"/>
    <cellStyle name="Normal 4 6 5 2 3 5" xfId="8112" xr:uid="{00000000-0005-0000-0000-00000E1E0000}"/>
    <cellStyle name="Normal 4 6 5 2 4" xfId="8113" xr:uid="{00000000-0005-0000-0000-00000F1E0000}"/>
    <cellStyle name="Normal 4 6 5 2 4 2" xfId="8114" xr:uid="{00000000-0005-0000-0000-0000101E0000}"/>
    <cellStyle name="Normal 4 6 5 2 4 3" xfId="8115" xr:uid="{00000000-0005-0000-0000-0000111E0000}"/>
    <cellStyle name="Normal 4 6 5 2 5" xfId="8116" xr:uid="{00000000-0005-0000-0000-0000121E0000}"/>
    <cellStyle name="Normal 4 6 5 2 6" xfId="8117" xr:uid="{00000000-0005-0000-0000-0000131E0000}"/>
    <cellStyle name="Normal 4 6 5 2 7" xfId="8118" xr:uid="{00000000-0005-0000-0000-0000141E0000}"/>
    <cellStyle name="Normal 4 6 5 3" xfId="8119" xr:uid="{00000000-0005-0000-0000-0000151E0000}"/>
    <cellStyle name="Normal 4 6 5 3 2" xfId="8120" xr:uid="{00000000-0005-0000-0000-0000161E0000}"/>
    <cellStyle name="Normal 4 6 5 3 2 2" xfId="8121" xr:uid="{00000000-0005-0000-0000-0000171E0000}"/>
    <cellStyle name="Normal 4 6 5 3 2 3" xfId="8122" xr:uid="{00000000-0005-0000-0000-0000181E0000}"/>
    <cellStyle name="Normal 4 6 5 3 3" xfId="8123" xr:uid="{00000000-0005-0000-0000-0000191E0000}"/>
    <cellStyle name="Normal 4 6 5 3 4" xfId="8124" xr:uid="{00000000-0005-0000-0000-00001A1E0000}"/>
    <cellStyle name="Normal 4 6 5 3 5" xfId="8125" xr:uid="{00000000-0005-0000-0000-00001B1E0000}"/>
    <cellStyle name="Normal 4 6 5 4" xfId="8126" xr:uid="{00000000-0005-0000-0000-00001C1E0000}"/>
    <cellStyle name="Normal 4 6 5 4 2" xfId="8127" xr:uid="{00000000-0005-0000-0000-00001D1E0000}"/>
    <cellStyle name="Normal 4 6 5 4 2 2" xfId="8128" xr:uid="{00000000-0005-0000-0000-00001E1E0000}"/>
    <cellStyle name="Normal 4 6 5 4 2 3" xfId="8129" xr:uid="{00000000-0005-0000-0000-00001F1E0000}"/>
    <cellStyle name="Normal 4 6 5 4 3" xfId="8130" xr:uid="{00000000-0005-0000-0000-0000201E0000}"/>
    <cellStyle name="Normal 4 6 5 4 4" xfId="8131" xr:uid="{00000000-0005-0000-0000-0000211E0000}"/>
    <cellStyle name="Normal 4 6 5 4 5" xfId="8132" xr:uid="{00000000-0005-0000-0000-0000221E0000}"/>
    <cellStyle name="Normal 4 6 5 5" xfId="8133" xr:uid="{00000000-0005-0000-0000-0000231E0000}"/>
    <cellStyle name="Normal 4 6 5 5 2" xfId="8134" xr:uid="{00000000-0005-0000-0000-0000241E0000}"/>
    <cellStyle name="Normal 4 6 5 5 3" xfId="8135" xr:uid="{00000000-0005-0000-0000-0000251E0000}"/>
    <cellStyle name="Normal 4 6 5 6" xfId="8136" xr:uid="{00000000-0005-0000-0000-0000261E0000}"/>
    <cellStyle name="Normal 4 6 5 7" xfId="8137" xr:uid="{00000000-0005-0000-0000-0000271E0000}"/>
    <cellStyle name="Normal 4 6 5 8" xfId="8138" xr:uid="{00000000-0005-0000-0000-0000281E0000}"/>
    <cellStyle name="Normal 4 6 6" xfId="8139" xr:uid="{00000000-0005-0000-0000-0000291E0000}"/>
    <cellStyle name="Normal 4 6 6 2" xfId="8140" xr:uid="{00000000-0005-0000-0000-00002A1E0000}"/>
    <cellStyle name="Normal 4 6 6 2 2" xfId="8141" xr:uid="{00000000-0005-0000-0000-00002B1E0000}"/>
    <cellStyle name="Normal 4 6 6 2 2 2" xfId="8142" xr:uid="{00000000-0005-0000-0000-00002C1E0000}"/>
    <cellStyle name="Normal 4 6 6 2 2 3" xfId="8143" xr:uid="{00000000-0005-0000-0000-00002D1E0000}"/>
    <cellStyle name="Normal 4 6 6 2 3" xfId="8144" xr:uid="{00000000-0005-0000-0000-00002E1E0000}"/>
    <cellStyle name="Normal 4 6 6 2 4" xfId="8145" xr:uid="{00000000-0005-0000-0000-00002F1E0000}"/>
    <cellStyle name="Normal 4 6 6 2 5" xfId="8146" xr:uid="{00000000-0005-0000-0000-0000301E0000}"/>
    <cellStyle name="Normal 4 6 6 3" xfId="8147" xr:uid="{00000000-0005-0000-0000-0000311E0000}"/>
    <cellStyle name="Normal 4 6 6 3 2" xfId="8148" xr:uid="{00000000-0005-0000-0000-0000321E0000}"/>
    <cellStyle name="Normal 4 6 6 3 2 2" xfId="8149" xr:uid="{00000000-0005-0000-0000-0000331E0000}"/>
    <cellStyle name="Normal 4 6 6 3 2 3" xfId="8150" xr:uid="{00000000-0005-0000-0000-0000341E0000}"/>
    <cellStyle name="Normal 4 6 6 3 3" xfId="8151" xr:uid="{00000000-0005-0000-0000-0000351E0000}"/>
    <cellStyle name="Normal 4 6 6 3 4" xfId="8152" xr:uid="{00000000-0005-0000-0000-0000361E0000}"/>
    <cellStyle name="Normal 4 6 6 3 5" xfId="8153" xr:uid="{00000000-0005-0000-0000-0000371E0000}"/>
    <cellStyle name="Normal 4 6 6 4" xfId="8154" xr:uid="{00000000-0005-0000-0000-0000381E0000}"/>
    <cellStyle name="Normal 4 6 6 4 2" xfId="8155" xr:uid="{00000000-0005-0000-0000-0000391E0000}"/>
    <cellStyle name="Normal 4 6 6 4 3" xfId="8156" xr:uid="{00000000-0005-0000-0000-00003A1E0000}"/>
    <cellStyle name="Normal 4 6 6 5" xfId="8157" xr:uid="{00000000-0005-0000-0000-00003B1E0000}"/>
    <cellStyle name="Normal 4 6 6 6" xfId="8158" xr:uid="{00000000-0005-0000-0000-00003C1E0000}"/>
    <cellStyle name="Normal 4 6 6 7" xfId="8159" xr:uid="{00000000-0005-0000-0000-00003D1E0000}"/>
    <cellStyle name="Normal 4 6 7" xfId="8160" xr:uid="{00000000-0005-0000-0000-00003E1E0000}"/>
    <cellStyle name="Normal 4 6 7 2" xfId="8161" xr:uid="{00000000-0005-0000-0000-00003F1E0000}"/>
    <cellStyle name="Normal 4 6 7 2 2" xfId="8162" xr:uid="{00000000-0005-0000-0000-0000401E0000}"/>
    <cellStyle name="Normal 4 6 7 2 3" xfId="8163" xr:uid="{00000000-0005-0000-0000-0000411E0000}"/>
    <cellStyle name="Normal 4 6 7 3" xfId="8164" xr:uid="{00000000-0005-0000-0000-0000421E0000}"/>
    <cellStyle name="Normal 4 6 7 4" xfId="8165" xr:uid="{00000000-0005-0000-0000-0000431E0000}"/>
    <cellStyle name="Normal 4 6 7 5" xfId="8166" xr:uid="{00000000-0005-0000-0000-0000441E0000}"/>
    <cellStyle name="Normal 4 6 8" xfId="8167" xr:uid="{00000000-0005-0000-0000-0000451E0000}"/>
    <cellStyle name="Normal 4 6 8 2" xfId="8168" xr:uid="{00000000-0005-0000-0000-0000461E0000}"/>
    <cellStyle name="Normal 4 6 8 2 2" xfId="8169" xr:uid="{00000000-0005-0000-0000-0000471E0000}"/>
    <cellStyle name="Normal 4 6 8 2 3" xfId="8170" xr:uid="{00000000-0005-0000-0000-0000481E0000}"/>
    <cellStyle name="Normal 4 6 8 3" xfId="8171" xr:uid="{00000000-0005-0000-0000-0000491E0000}"/>
    <cellStyle name="Normal 4 6 8 4" xfId="8172" xr:uid="{00000000-0005-0000-0000-00004A1E0000}"/>
    <cellStyle name="Normal 4 6 8 5" xfId="8173" xr:uid="{00000000-0005-0000-0000-00004B1E0000}"/>
    <cellStyle name="Normal 4 6 9" xfId="8174" xr:uid="{00000000-0005-0000-0000-00004C1E0000}"/>
    <cellStyle name="Normal 4 6 9 2" xfId="8175" xr:uid="{00000000-0005-0000-0000-00004D1E0000}"/>
    <cellStyle name="Normal 4 6 9 3" xfId="8176" xr:uid="{00000000-0005-0000-0000-00004E1E0000}"/>
    <cellStyle name="Normal 4 7" xfId="8177" xr:uid="{00000000-0005-0000-0000-00004F1E0000}"/>
    <cellStyle name="Normal 4 7 2" xfId="8178" xr:uid="{00000000-0005-0000-0000-0000501E0000}"/>
    <cellStyle name="Normal 4 7 2 2" xfId="8179" xr:uid="{00000000-0005-0000-0000-0000511E0000}"/>
    <cellStyle name="Normal 4 7 2 2 2" xfId="8180" xr:uid="{00000000-0005-0000-0000-0000521E0000}"/>
    <cellStyle name="Normal 4 7 2 2 2 2" xfId="8181" xr:uid="{00000000-0005-0000-0000-0000531E0000}"/>
    <cellStyle name="Normal 4 7 2 2 2 2 2" xfId="8182" xr:uid="{00000000-0005-0000-0000-0000541E0000}"/>
    <cellStyle name="Normal 4 7 2 2 2 2 3" xfId="8183" xr:uid="{00000000-0005-0000-0000-0000551E0000}"/>
    <cellStyle name="Normal 4 7 2 2 2 3" xfId="8184" xr:uid="{00000000-0005-0000-0000-0000561E0000}"/>
    <cellStyle name="Normal 4 7 2 2 2 4" xfId="8185" xr:uid="{00000000-0005-0000-0000-0000571E0000}"/>
    <cellStyle name="Normal 4 7 2 2 2 5" xfId="8186" xr:uid="{00000000-0005-0000-0000-0000581E0000}"/>
    <cellStyle name="Normal 4 7 2 2 3" xfId="8187" xr:uid="{00000000-0005-0000-0000-0000591E0000}"/>
    <cellStyle name="Normal 4 7 2 2 3 2" xfId="8188" xr:uid="{00000000-0005-0000-0000-00005A1E0000}"/>
    <cellStyle name="Normal 4 7 2 2 3 2 2" xfId="8189" xr:uid="{00000000-0005-0000-0000-00005B1E0000}"/>
    <cellStyle name="Normal 4 7 2 2 3 2 3" xfId="8190" xr:uid="{00000000-0005-0000-0000-00005C1E0000}"/>
    <cellStyle name="Normal 4 7 2 2 3 3" xfId="8191" xr:uid="{00000000-0005-0000-0000-00005D1E0000}"/>
    <cellStyle name="Normal 4 7 2 2 3 4" xfId="8192" xr:uid="{00000000-0005-0000-0000-00005E1E0000}"/>
    <cellStyle name="Normal 4 7 2 2 3 5" xfId="8193" xr:uid="{00000000-0005-0000-0000-00005F1E0000}"/>
    <cellStyle name="Normal 4 7 2 2 4" xfId="8194" xr:uid="{00000000-0005-0000-0000-0000601E0000}"/>
    <cellStyle name="Normal 4 7 2 2 4 2" xfId="8195" xr:uid="{00000000-0005-0000-0000-0000611E0000}"/>
    <cellStyle name="Normal 4 7 2 2 4 3" xfId="8196" xr:uid="{00000000-0005-0000-0000-0000621E0000}"/>
    <cellStyle name="Normal 4 7 2 2 5" xfId="8197" xr:uid="{00000000-0005-0000-0000-0000631E0000}"/>
    <cellStyle name="Normal 4 7 2 2 6" xfId="8198" xr:uid="{00000000-0005-0000-0000-0000641E0000}"/>
    <cellStyle name="Normal 4 7 2 2 7" xfId="8199" xr:uid="{00000000-0005-0000-0000-0000651E0000}"/>
    <cellStyle name="Normal 4 7 2 3" xfId="8200" xr:uid="{00000000-0005-0000-0000-0000661E0000}"/>
    <cellStyle name="Normal 4 7 2 3 2" xfId="8201" xr:uid="{00000000-0005-0000-0000-0000671E0000}"/>
    <cellStyle name="Normal 4 7 2 3 2 2" xfId="8202" xr:uid="{00000000-0005-0000-0000-0000681E0000}"/>
    <cellStyle name="Normal 4 7 2 3 2 3" xfId="8203" xr:uid="{00000000-0005-0000-0000-0000691E0000}"/>
    <cellStyle name="Normal 4 7 2 3 3" xfId="8204" xr:uid="{00000000-0005-0000-0000-00006A1E0000}"/>
    <cellStyle name="Normal 4 7 2 3 4" xfId="8205" xr:uid="{00000000-0005-0000-0000-00006B1E0000}"/>
    <cellStyle name="Normal 4 7 2 3 5" xfId="8206" xr:uid="{00000000-0005-0000-0000-00006C1E0000}"/>
    <cellStyle name="Normal 4 7 2 4" xfId="8207" xr:uid="{00000000-0005-0000-0000-00006D1E0000}"/>
    <cellStyle name="Normal 4 7 2 4 2" xfId="8208" xr:uid="{00000000-0005-0000-0000-00006E1E0000}"/>
    <cellStyle name="Normal 4 7 2 4 2 2" xfId="8209" xr:uid="{00000000-0005-0000-0000-00006F1E0000}"/>
    <cellStyle name="Normal 4 7 2 4 2 3" xfId="8210" xr:uid="{00000000-0005-0000-0000-0000701E0000}"/>
    <cellStyle name="Normal 4 7 2 4 3" xfId="8211" xr:uid="{00000000-0005-0000-0000-0000711E0000}"/>
    <cellStyle name="Normal 4 7 2 4 4" xfId="8212" xr:uid="{00000000-0005-0000-0000-0000721E0000}"/>
    <cellStyle name="Normal 4 7 2 4 5" xfId="8213" xr:uid="{00000000-0005-0000-0000-0000731E0000}"/>
    <cellStyle name="Normal 4 7 2 5" xfId="8214" xr:uid="{00000000-0005-0000-0000-0000741E0000}"/>
    <cellStyle name="Normal 4 7 2 5 2" xfId="8215" xr:uid="{00000000-0005-0000-0000-0000751E0000}"/>
    <cellStyle name="Normal 4 7 2 5 3" xfId="8216" xr:uid="{00000000-0005-0000-0000-0000761E0000}"/>
    <cellStyle name="Normal 4 7 2 6" xfId="8217" xr:uid="{00000000-0005-0000-0000-0000771E0000}"/>
    <cellStyle name="Normal 4 7 2 7" xfId="8218" xr:uid="{00000000-0005-0000-0000-0000781E0000}"/>
    <cellStyle name="Normal 4 7 2 8" xfId="8219" xr:uid="{00000000-0005-0000-0000-0000791E0000}"/>
    <cellStyle name="Normal 4 7 3" xfId="8220" xr:uid="{00000000-0005-0000-0000-00007A1E0000}"/>
    <cellStyle name="Normal 4 7 3 2" xfId="8221" xr:uid="{00000000-0005-0000-0000-00007B1E0000}"/>
    <cellStyle name="Normal 4 7 3 2 2" xfId="8222" xr:uid="{00000000-0005-0000-0000-00007C1E0000}"/>
    <cellStyle name="Normal 4 7 3 2 2 2" xfId="8223" xr:uid="{00000000-0005-0000-0000-00007D1E0000}"/>
    <cellStyle name="Normal 4 7 3 2 2 3" xfId="8224" xr:uid="{00000000-0005-0000-0000-00007E1E0000}"/>
    <cellStyle name="Normal 4 7 3 2 3" xfId="8225" xr:uid="{00000000-0005-0000-0000-00007F1E0000}"/>
    <cellStyle name="Normal 4 7 3 2 4" xfId="8226" xr:uid="{00000000-0005-0000-0000-0000801E0000}"/>
    <cellStyle name="Normal 4 7 3 2 5" xfId="8227" xr:uid="{00000000-0005-0000-0000-0000811E0000}"/>
    <cellStyle name="Normal 4 7 3 3" xfId="8228" xr:uid="{00000000-0005-0000-0000-0000821E0000}"/>
    <cellStyle name="Normal 4 7 3 3 2" xfId="8229" xr:uid="{00000000-0005-0000-0000-0000831E0000}"/>
    <cellStyle name="Normal 4 7 3 3 2 2" xfId="8230" xr:uid="{00000000-0005-0000-0000-0000841E0000}"/>
    <cellStyle name="Normal 4 7 3 3 2 3" xfId="8231" xr:uid="{00000000-0005-0000-0000-0000851E0000}"/>
    <cellStyle name="Normal 4 7 3 3 3" xfId="8232" xr:uid="{00000000-0005-0000-0000-0000861E0000}"/>
    <cellStyle name="Normal 4 7 3 3 4" xfId="8233" xr:uid="{00000000-0005-0000-0000-0000871E0000}"/>
    <cellStyle name="Normal 4 7 3 3 5" xfId="8234" xr:uid="{00000000-0005-0000-0000-0000881E0000}"/>
    <cellStyle name="Normal 4 7 3 4" xfId="8235" xr:uid="{00000000-0005-0000-0000-0000891E0000}"/>
    <cellStyle name="Normal 4 7 3 4 2" xfId="8236" xr:uid="{00000000-0005-0000-0000-00008A1E0000}"/>
    <cellStyle name="Normal 4 7 3 4 3" xfId="8237" xr:uid="{00000000-0005-0000-0000-00008B1E0000}"/>
    <cellStyle name="Normal 4 7 3 5" xfId="8238" xr:uid="{00000000-0005-0000-0000-00008C1E0000}"/>
    <cellStyle name="Normal 4 7 3 6" xfId="8239" xr:uid="{00000000-0005-0000-0000-00008D1E0000}"/>
    <cellStyle name="Normal 4 7 3 7" xfId="8240" xr:uid="{00000000-0005-0000-0000-00008E1E0000}"/>
    <cellStyle name="Normal 4 7 4" xfId="8241" xr:uid="{00000000-0005-0000-0000-00008F1E0000}"/>
    <cellStyle name="Normal 4 7 4 2" xfId="8242" xr:uid="{00000000-0005-0000-0000-0000901E0000}"/>
    <cellStyle name="Normal 4 7 4 2 2" xfId="8243" xr:uid="{00000000-0005-0000-0000-0000911E0000}"/>
    <cellStyle name="Normal 4 7 4 2 3" xfId="8244" xr:uid="{00000000-0005-0000-0000-0000921E0000}"/>
    <cellStyle name="Normal 4 7 4 3" xfId="8245" xr:uid="{00000000-0005-0000-0000-0000931E0000}"/>
    <cellStyle name="Normal 4 7 4 4" xfId="8246" xr:uid="{00000000-0005-0000-0000-0000941E0000}"/>
    <cellStyle name="Normal 4 7 4 5" xfId="8247" xr:uid="{00000000-0005-0000-0000-0000951E0000}"/>
    <cellStyle name="Normal 4 7 5" xfId="8248" xr:uid="{00000000-0005-0000-0000-0000961E0000}"/>
    <cellStyle name="Normal 4 7 5 2" xfId="8249" xr:uid="{00000000-0005-0000-0000-0000971E0000}"/>
    <cellStyle name="Normal 4 7 5 2 2" xfId="8250" xr:uid="{00000000-0005-0000-0000-0000981E0000}"/>
    <cellStyle name="Normal 4 7 5 2 3" xfId="8251" xr:uid="{00000000-0005-0000-0000-0000991E0000}"/>
    <cellStyle name="Normal 4 7 5 3" xfId="8252" xr:uid="{00000000-0005-0000-0000-00009A1E0000}"/>
    <cellStyle name="Normal 4 7 5 4" xfId="8253" xr:uid="{00000000-0005-0000-0000-00009B1E0000}"/>
    <cellStyle name="Normal 4 7 5 5" xfId="8254" xr:uid="{00000000-0005-0000-0000-00009C1E0000}"/>
    <cellStyle name="Normal 4 7 6" xfId="8255" xr:uid="{00000000-0005-0000-0000-00009D1E0000}"/>
    <cellStyle name="Normal 4 7 6 2" xfId="8256" xr:uid="{00000000-0005-0000-0000-00009E1E0000}"/>
    <cellStyle name="Normal 4 7 6 3" xfId="8257" xr:uid="{00000000-0005-0000-0000-00009F1E0000}"/>
    <cellStyle name="Normal 4 7 7" xfId="8258" xr:uid="{00000000-0005-0000-0000-0000A01E0000}"/>
    <cellStyle name="Normal 4 7 8" xfId="8259" xr:uid="{00000000-0005-0000-0000-0000A11E0000}"/>
    <cellStyle name="Normal 4 7 9" xfId="8260" xr:uid="{00000000-0005-0000-0000-0000A21E0000}"/>
    <cellStyle name="Normal 4 8" xfId="8261" xr:uid="{00000000-0005-0000-0000-0000A31E0000}"/>
    <cellStyle name="Normal 4 8 2" xfId="8262" xr:uid="{00000000-0005-0000-0000-0000A41E0000}"/>
    <cellStyle name="Normal 4 8 2 2" xfId="8263" xr:uid="{00000000-0005-0000-0000-0000A51E0000}"/>
    <cellStyle name="Normal 4 8 2 2 2" xfId="8264" xr:uid="{00000000-0005-0000-0000-0000A61E0000}"/>
    <cellStyle name="Normal 4 8 2 2 2 2" xfId="8265" xr:uid="{00000000-0005-0000-0000-0000A71E0000}"/>
    <cellStyle name="Normal 4 8 2 2 2 2 2" xfId="8266" xr:uid="{00000000-0005-0000-0000-0000A81E0000}"/>
    <cellStyle name="Normal 4 8 2 2 2 2 3" xfId="8267" xr:uid="{00000000-0005-0000-0000-0000A91E0000}"/>
    <cellStyle name="Normal 4 8 2 2 2 3" xfId="8268" xr:uid="{00000000-0005-0000-0000-0000AA1E0000}"/>
    <cellStyle name="Normal 4 8 2 2 2 4" xfId="8269" xr:uid="{00000000-0005-0000-0000-0000AB1E0000}"/>
    <cellStyle name="Normal 4 8 2 2 2 5" xfId="8270" xr:uid="{00000000-0005-0000-0000-0000AC1E0000}"/>
    <cellStyle name="Normal 4 8 2 2 3" xfId="8271" xr:uid="{00000000-0005-0000-0000-0000AD1E0000}"/>
    <cellStyle name="Normal 4 8 2 2 3 2" xfId="8272" xr:uid="{00000000-0005-0000-0000-0000AE1E0000}"/>
    <cellStyle name="Normal 4 8 2 2 3 2 2" xfId="8273" xr:uid="{00000000-0005-0000-0000-0000AF1E0000}"/>
    <cellStyle name="Normal 4 8 2 2 3 2 3" xfId="8274" xr:uid="{00000000-0005-0000-0000-0000B01E0000}"/>
    <cellStyle name="Normal 4 8 2 2 3 3" xfId="8275" xr:uid="{00000000-0005-0000-0000-0000B11E0000}"/>
    <cellStyle name="Normal 4 8 2 2 3 4" xfId="8276" xr:uid="{00000000-0005-0000-0000-0000B21E0000}"/>
    <cellStyle name="Normal 4 8 2 2 3 5" xfId="8277" xr:uid="{00000000-0005-0000-0000-0000B31E0000}"/>
    <cellStyle name="Normal 4 8 2 2 4" xfId="8278" xr:uid="{00000000-0005-0000-0000-0000B41E0000}"/>
    <cellStyle name="Normal 4 8 2 2 4 2" xfId="8279" xr:uid="{00000000-0005-0000-0000-0000B51E0000}"/>
    <cellStyle name="Normal 4 8 2 2 4 3" xfId="8280" xr:uid="{00000000-0005-0000-0000-0000B61E0000}"/>
    <cellStyle name="Normal 4 8 2 2 5" xfId="8281" xr:uid="{00000000-0005-0000-0000-0000B71E0000}"/>
    <cellStyle name="Normal 4 8 2 2 6" xfId="8282" xr:uid="{00000000-0005-0000-0000-0000B81E0000}"/>
    <cellStyle name="Normal 4 8 2 2 7" xfId="8283" xr:uid="{00000000-0005-0000-0000-0000B91E0000}"/>
    <cellStyle name="Normal 4 8 2 3" xfId="8284" xr:uid="{00000000-0005-0000-0000-0000BA1E0000}"/>
    <cellStyle name="Normal 4 8 2 3 2" xfId="8285" xr:uid="{00000000-0005-0000-0000-0000BB1E0000}"/>
    <cellStyle name="Normal 4 8 2 3 2 2" xfId="8286" xr:uid="{00000000-0005-0000-0000-0000BC1E0000}"/>
    <cellStyle name="Normal 4 8 2 3 2 3" xfId="8287" xr:uid="{00000000-0005-0000-0000-0000BD1E0000}"/>
    <cellStyle name="Normal 4 8 2 3 3" xfId="8288" xr:uid="{00000000-0005-0000-0000-0000BE1E0000}"/>
    <cellStyle name="Normal 4 8 2 3 4" xfId="8289" xr:uid="{00000000-0005-0000-0000-0000BF1E0000}"/>
    <cellStyle name="Normal 4 8 2 3 5" xfId="8290" xr:uid="{00000000-0005-0000-0000-0000C01E0000}"/>
    <cellStyle name="Normal 4 8 2 4" xfId="8291" xr:uid="{00000000-0005-0000-0000-0000C11E0000}"/>
    <cellStyle name="Normal 4 8 2 4 2" xfId="8292" xr:uid="{00000000-0005-0000-0000-0000C21E0000}"/>
    <cellStyle name="Normal 4 8 2 4 2 2" xfId="8293" xr:uid="{00000000-0005-0000-0000-0000C31E0000}"/>
    <cellStyle name="Normal 4 8 2 4 2 3" xfId="8294" xr:uid="{00000000-0005-0000-0000-0000C41E0000}"/>
    <cellStyle name="Normal 4 8 2 4 3" xfId="8295" xr:uid="{00000000-0005-0000-0000-0000C51E0000}"/>
    <cellStyle name="Normal 4 8 2 4 4" xfId="8296" xr:uid="{00000000-0005-0000-0000-0000C61E0000}"/>
    <cellStyle name="Normal 4 8 2 4 5" xfId="8297" xr:uid="{00000000-0005-0000-0000-0000C71E0000}"/>
    <cellStyle name="Normal 4 8 2 5" xfId="8298" xr:uid="{00000000-0005-0000-0000-0000C81E0000}"/>
    <cellStyle name="Normal 4 8 2 5 2" xfId="8299" xr:uid="{00000000-0005-0000-0000-0000C91E0000}"/>
    <cellStyle name="Normal 4 8 2 5 3" xfId="8300" xr:uid="{00000000-0005-0000-0000-0000CA1E0000}"/>
    <cellStyle name="Normal 4 8 2 6" xfId="8301" xr:uid="{00000000-0005-0000-0000-0000CB1E0000}"/>
    <cellStyle name="Normal 4 8 2 7" xfId="8302" xr:uid="{00000000-0005-0000-0000-0000CC1E0000}"/>
    <cellStyle name="Normal 4 8 2 8" xfId="8303" xr:uid="{00000000-0005-0000-0000-0000CD1E0000}"/>
    <cellStyle name="Normal 4 8 3" xfId="8304" xr:uid="{00000000-0005-0000-0000-0000CE1E0000}"/>
    <cellStyle name="Normal 4 8 3 2" xfId="8305" xr:uid="{00000000-0005-0000-0000-0000CF1E0000}"/>
    <cellStyle name="Normal 4 8 3 2 2" xfId="8306" xr:uid="{00000000-0005-0000-0000-0000D01E0000}"/>
    <cellStyle name="Normal 4 8 3 2 2 2" xfId="8307" xr:uid="{00000000-0005-0000-0000-0000D11E0000}"/>
    <cellStyle name="Normal 4 8 3 2 2 3" xfId="8308" xr:uid="{00000000-0005-0000-0000-0000D21E0000}"/>
    <cellStyle name="Normal 4 8 3 2 3" xfId="8309" xr:uid="{00000000-0005-0000-0000-0000D31E0000}"/>
    <cellStyle name="Normal 4 8 3 2 4" xfId="8310" xr:uid="{00000000-0005-0000-0000-0000D41E0000}"/>
    <cellStyle name="Normal 4 8 3 2 5" xfId="8311" xr:uid="{00000000-0005-0000-0000-0000D51E0000}"/>
    <cellStyle name="Normal 4 8 3 3" xfId="8312" xr:uid="{00000000-0005-0000-0000-0000D61E0000}"/>
    <cellStyle name="Normal 4 8 3 3 2" xfId="8313" xr:uid="{00000000-0005-0000-0000-0000D71E0000}"/>
    <cellStyle name="Normal 4 8 3 3 2 2" xfId="8314" xr:uid="{00000000-0005-0000-0000-0000D81E0000}"/>
    <cellStyle name="Normal 4 8 3 3 2 3" xfId="8315" xr:uid="{00000000-0005-0000-0000-0000D91E0000}"/>
    <cellStyle name="Normal 4 8 3 3 3" xfId="8316" xr:uid="{00000000-0005-0000-0000-0000DA1E0000}"/>
    <cellStyle name="Normal 4 8 3 3 4" xfId="8317" xr:uid="{00000000-0005-0000-0000-0000DB1E0000}"/>
    <cellStyle name="Normal 4 8 3 3 5" xfId="8318" xr:uid="{00000000-0005-0000-0000-0000DC1E0000}"/>
    <cellStyle name="Normal 4 8 3 4" xfId="8319" xr:uid="{00000000-0005-0000-0000-0000DD1E0000}"/>
    <cellStyle name="Normal 4 8 3 4 2" xfId="8320" xr:uid="{00000000-0005-0000-0000-0000DE1E0000}"/>
    <cellStyle name="Normal 4 8 3 4 3" xfId="8321" xr:uid="{00000000-0005-0000-0000-0000DF1E0000}"/>
    <cellStyle name="Normal 4 8 3 5" xfId="8322" xr:uid="{00000000-0005-0000-0000-0000E01E0000}"/>
    <cellStyle name="Normal 4 8 3 6" xfId="8323" xr:uid="{00000000-0005-0000-0000-0000E11E0000}"/>
    <cellStyle name="Normal 4 8 3 7" xfId="8324" xr:uid="{00000000-0005-0000-0000-0000E21E0000}"/>
    <cellStyle name="Normal 4 8 4" xfId="8325" xr:uid="{00000000-0005-0000-0000-0000E31E0000}"/>
    <cellStyle name="Normal 4 8 4 2" xfId="8326" xr:uid="{00000000-0005-0000-0000-0000E41E0000}"/>
    <cellStyle name="Normal 4 8 4 2 2" xfId="8327" xr:uid="{00000000-0005-0000-0000-0000E51E0000}"/>
    <cellStyle name="Normal 4 8 4 2 3" xfId="8328" xr:uid="{00000000-0005-0000-0000-0000E61E0000}"/>
    <cellStyle name="Normal 4 8 4 3" xfId="8329" xr:uid="{00000000-0005-0000-0000-0000E71E0000}"/>
    <cellStyle name="Normal 4 8 4 4" xfId="8330" xr:uid="{00000000-0005-0000-0000-0000E81E0000}"/>
    <cellStyle name="Normal 4 8 4 5" xfId="8331" xr:uid="{00000000-0005-0000-0000-0000E91E0000}"/>
    <cellStyle name="Normal 4 8 5" xfId="8332" xr:uid="{00000000-0005-0000-0000-0000EA1E0000}"/>
    <cellStyle name="Normal 4 8 5 2" xfId="8333" xr:uid="{00000000-0005-0000-0000-0000EB1E0000}"/>
    <cellStyle name="Normal 4 8 5 2 2" xfId="8334" xr:uid="{00000000-0005-0000-0000-0000EC1E0000}"/>
    <cellStyle name="Normal 4 8 5 2 3" xfId="8335" xr:uid="{00000000-0005-0000-0000-0000ED1E0000}"/>
    <cellStyle name="Normal 4 8 5 3" xfId="8336" xr:uid="{00000000-0005-0000-0000-0000EE1E0000}"/>
    <cellStyle name="Normal 4 8 5 4" xfId="8337" xr:uid="{00000000-0005-0000-0000-0000EF1E0000}"/>
    <cellStyle name="Normal 4 8 5 5" xfId="8338" xr:uid="{00000000-0005-0000-0000-0000F01E0000}"/>
    <cellStyle name="Normal 4 8 6" xfId="8339" xr:uid="{00000000-0005-0000-0000-0000F11E0000}"/>
    <cellStyle name="Normal 4 8 6 2" xfId="8340" xr:uid="{00000000-0005-0000-0000-0000F21E0000}"/>
    <cellStyle name="Normal 4 8 6 3" xfId="8341" xr:uid="{00000000-0005-0000-0000-0000F31E0000}"/>
    <cellStyle name="Normal 4 8 7" xfId="8342" xr:uid="{00000000-0005-0000-0000-0000F41E0000}"/>
    <cellStyle name="Normal 4 8 8" xfId="8343" xr:uid="{00000000-0005-0000-0000-0000F51E0000}"/>
    <cellStyle name="Normal 4 8 9" xfId="8344" xr:uid="{00000000-0005-0000-0000-0000F61E0000}"/>
    <cellStyle name="Normal 4 9" xfId="8345" xr:uid="{00000000-0005-0000-0000-0000F71E0000}"/>
    <cellStyle name="Normal 4 9 2" xfId="8346" xr:uid="{00000000-0005-0000-0000-0000F81E0000}"/>
    <cellStyle name="Normal 4 9 2 2" xfId="8347" xr:uid="{00000000-0005-0000-0000-0000F91E0000}"/>
    <cellStyle name="Normal 4 9 2 2 2" xfId="8348" xr:uid="{00000000-0005-0000-0000-0000FA1E0000}"/>
    <cellStyle name="Normal 4 9 2 2 2 2" xfId="8349" xr:uid="{00000000-0005-0000-0000-0000FB1E0000}"/>
    <cellStyle name="Normal 4 9 2 2 2 2 2" xfId="8350" xr:uid="{00000000-0005-0000-0000-0000FC1E0000}"/>
    <cellStyle name="Normal 4 9 2 2 2 2 3" xfId="8351" xr:uid="{00000000-0005-0000-0000-0000FD1E0000}"/>
    <cellStyle name="Normal 4 9 2 2 2 3" xfId="8352" xr:uid="{00000000-0005-0000-0000-0000FE1E0000}"/>
    <cellStyle name="Normal 4 9 2 2 2 4" xfId="8353" xr:uid="{00000000-0005-0000-0000-0000FF1E0000}"/>
    <cellStyle name="Normal 4 9 2 2 2 5" xfId="8354" xr:uid="{00000000-0005-0000-0000-0000001F0000}"/>
    <cellStyle name="Normal 4 9 2 2 3" xfId="8355" xr:uid="{00000000-0005-0000-0000-0000011F0000}"/>
    <cellStyle name="Normal 4 9 2 2 3 2" xfId="8356" xr:uid="{00000000-0005-0000-0000-0000021F0000}"/>
    <cellStyle name="Normal 4 9 2 2 3 2 2" xfId="8357" xr:uid="{00000000-0005-0000-0000-0000031F0000}"/>
    <cellStyle name="Normal 4 9 2 2 3 2 3" xfId="8358" xr:uid="{00000000-0005-0000-0000-0000041F0000}"/>
    <cellStyle name="Normal 4 9 2 2 3 3" xfId="8359" xr:uid="{00000000-0005-0000-0000-0000051F0000}"/>
    <cellStyle name="Normal 4 9 2 2 3 4" xfId="8360" xr:uid="{00000000-0005-0000-0000-0000061F0000}"/>
    <cellStyle name="Normal 4 9 2 2 3 5" xfId="8361" xr:uid="{00000000-0005-0000-0000-0000071F0000}"/>
    <cellStyle name="Normal 4 9 2 2 4" xfId="8362" xr:uid="{00000000-0005-0000-0000-0000081F0000}"/>
    <cellStyle name="Normal 4 9 2 2 4 2" xfId="8363" xr:uid="{00000000-0005-0000-0000-0000091F0000}"/>
    <cellStyle name="Normal 4 9 2 2 4 3" xfId="8364" xr:uid="{00000000-0005-0000-0000-00000A1F0000}"/>
    <cellStyle name="Normal 4 9 2 2 5" xfId="8365" xr:uid="{00000000-0005-0000-0000-00000B1F0000}"/>
    <cellStyle name="Normal 4 9 2 2 6" xfId="8366" xr:uid="{00000000-0005-0000-0000-00000C1F0000}"/>
    <cellStyle name="Normal 4 9 2 2 7" xfId="8367" xr:uid="{00000000-0005-0000-0000-00000D1F0000}"/>
    <cellStyle name="Normal 4 9 2 3" xfId="8368" xr:uid="{00000000-0005-0000-0000-00000E1F0000}"/>
    <cellStyle name="Normal 4 9 2 3 2" xfId="8369" xr:uid="{00000000-0005-0000-0000-00000F1F0000}"/>
    <cellStyle name="Normal 4 9 2 3 2 2" xfId="8370" xr:uid="{00000000-0005-0000-0000-0000101F0000}"/>
    <cellStyle name="Normal 4 9 2 3 2 3" xfId="8371" xr:uid="{00000000-0005-0000-0000-0000111F0000}"/>
    <cellStyle name="Normal 4 9 2 3 3" xfId="8372" xr:uid="{00000000-0005-0000-0000-0000121F0000}"/>
    <cellStyle name="Normal 4 9 2 3 4" xfId="8373" xr:uid="{00000000-0005-0000-0000-0000131F0000}"/>
    <cellStyle name="Normal 4 9 2 3 5" xfId="8374" xr:uid="{00000000-0005-0000-0000-0000141F0000}"/>
    <cellStyle name="Normal 4 9 2 4" xfId="8375" xr:uid="{00000000-0005-0000-0000-0000151F0000}"/>
    <cellStyle name="Normal 4 9 2 4 2" xfId="8376" xr:uid="{00000000-0005-0000-0000-0000161F0000}"/>
    <cellStyle name="Normal 4 9 2 4 2 2" xfId="8377" xr:uid="{00000000-0005-0000-0000-0000171F0000}"/>
    <cellStyle name="Normal 4 9 2 4 2 3" xfId="8378" xr:uid="{00000000-0005-0000-0000-0000181F0000}"/>
    <cellStyle name="Normal 4 9 2 4 3" xfId="8379" xr:uid="{00000000-0005-0000-0000-0000191F0000}"/>
    <cellStyle name="Normal 4 9 2 4 4" xfId="8380" xr:uid="{00000000-0005-0000-0000-00001A1F0000}"/>
    <cellStyle name="Normal 4 9 2 4 5" xfId="8381" xr:uid="{00000000-0005-0000-0000-00001B1F0000}"/>
    <cellStyle name="Normal 4 9 2 5" xfId="8382" xr:uid="{00000000-0005-0000-0000-00001C1F0000}"/>
    <cellStyle name="Normal 4 9 2 5 2" xfId="8383" xr:uid="{00000000-0005-0000-0000-00001D1F0000}"/>
    <cellStyle name="Normal 4 9 2 5 3" xfId="8384" xr:uid="{00000000-0005-0000-0000-00001E1F0000}"/>
    <cellStyle name="Normal 4 9 2 6" xfId="8385" xr:uid="{00000000-0005-0000-0000-00001F1F0000}"/>
    <cellStyle name="Normal 4 9 2 7" xfId="8386" xr:uid="{00000000-0005-0000-0000-0000201F0000}"/>
    <cellStyle name="Normal 4 9 2 8" xfId="8387" xr:uid="{00000000-0005-0000-0000-0000211F0000}"/>
    <cellStyle name="Normal 4 9 3" xfId="8388" xr:uid="{00000000-0005-0000-0000-0000221F0000}"/>
    <cellStyle name="Normal 4 9 3 2" xfId="8389" xr:uid="{00000000-0005-0000-0000-0000231F0000}"/>
    <cellStyle name="Normal 4 9 3 2 2" xfId="8390" xr:uid="{00000000-0005-0000-0000-0000241F0000}"/>
    <cellStyle name="Normal 4 9 3 2 2 2" xfId="8391" xr:uid="{00000000-0005-0000-0000-0000251F0000}"/>
    <cellStyle name="Normal 4 9 3 2 2 3" xfId="8392" xr:uid="{00000000-0005-0000-0000-0000261F0000}"/>
    <cellStyle name="Normal 4 9 3 2 3" xfId="8393" xr:uid="{00000000-0005-0000-0000-0000271F0000}"/>
    <cellStyle name="Normal 4 9 3 2 4" xfId="8394" xr:uid="{00000000-0005-0000-0000-0000281F0000}"/>
    <cellStyle name="Normal 4 9 3 2 5" xfId="8395" xr:uid="{00000000-0005-0000-0000-0000291F0000}"/>
    <cellStyle name="Normal 4 9 3 3" xfId="8396" xr:uid="{00000000-0005-0000-0000-00002A1F0000}"/>
    <cellStyle name="Normal 4 9 3 3 2" xfId="8397" xr:uid="{00000000-0005-0000-0000-00002B1F0000}"/>
    <cellStyle name="Normal 4 9 3 3 2 2" xfId="8398" xr:uid="{00000000-0005-0000-0000-00002C1F0000}"/>
    <cellStyle name="Normal 4 9 3 3 2 3" xfId="8399" xr:uid="{00000000-0005-0000-0000-00002D1F0000}"/>
    <cellStyle name="Normal 4 9 3 3 3" xfId="8400" xr:uid="{00000000-0005-0000-0000-00002E1F0000}"/>
    <cellStyle name="Normal 4 9 3 3 4" xfId="8401" xr:uid="{00000000-0005-0000-0000-00002F1F0000}"/>
    <cellStyle name="Normal 4 9 3 3 5" xfId="8402" xr:uid="{00000000-0005-0000-0000-0000301F0000}"/>
    <cellStyle name="Normal 4 9 3 4" xfId="8403" xr:uid="{00000000-0005-0000-0000-0000311F0000}"/>
    <cellStyle name="Normal 4 9 3 4 2" xfId="8404" xr:uid="{00000000-0005-0000-0000-0000321F0000}"/>
    <cellStyle name="Normal 4 9 3 4 3" xfId="8405" xr:uid="{00000000-0005-0000-0000-0000331F0000}"/>
    <cellStyle name="Normal 4 9 3 5" xfId="8406" xr:uid="{00000000-0005-0000-0000-0000341F0000}"/>
    <cellStyle name="Normal 4 9 3 6" xfId="8407" xr:uid="{00000000-0005-0000-0000-0000351F0000}"/>
    <cellStyle name="Normal 4 9 3 7" xfId="8408" xr:uid="{00000000-0005-0000-0000-0000361F0000}"/>
    <cellStyle name="Normal 4 9 4" xfId="8409" xr:uid="{00000000-0005-0000-0000-0000371F0000}"/>
    <cellStyle name="Normal 4 9 4 2" xfId="8410" xr:uid="{00000000-0005-0000-0000-0000381F0000}"/>
    <cellStyle name="Normal 4 9 4 2 2" xfId="8411" xr:uid="{00000000-0005-0000-0000-0000391F0000}"/>
    <cellStyle name="Normal 4 9 4 2 3" xfId="8412" xr:uid="{00000000-0005-0000-0000-00003A1F0000}"/>
    <cellStyle name="Normal 4 9 4 3" xfId="8413" xr:uid="{00000000-0005-0000-0000-00003B1F0000}"/>
    <cellStyle name="Normal 4 9 4 4" xfId="8414" xr:uid="{00000000-0005-0000-0000-00003C1F0000}"/>
    <cellStyle name="Normal 4 9 4 5" xfId="8415" xr:uid="{00000000-0005-0000-0000-00003D1F0000}"/>
    <cellStyle name="Normal 4 9 5" xfId="8416" xr:uid="{00000000-0005-0000-0000-00003E1F0000}"/>
    <cellStyle name="Normal 4 9 5 2" xfId="8417" xr:uid="{00000000-0005-0000-0000-00003F1F0000}"/>
    <cellStyle name="Normal 4 9 5 2 2" xfId="8418" xr:uid="{00000000-0005-0000-0000-0000401F0000}"/>
    <cellStyle name="Normal 4 9 5 2 3" xfId="8419" xr:uid="{00000000-0005-0000-0000-0000411F0000}"/>
    <cellStyle name="Normal 4 9 5 3" xfId="8420" xr:uid="{00000000-0005-0000-0000-0000421F0000}"/>
    <cellStyle name="Normal 4 9 5 4" xfId="8421" xr:uid="{00000000-0005-0000-0000-0000431F0000}"/>
    <cellStyle name="Normal 4 9 5 5" xfId="8422" xr:uid="{00000000-0005-0000-0000-0000441F0000}"/>
    <cellStyle name="Normal 4 9 6" xfId="8423" xr:uid="{00000000-0005-0000-0000-0000451F0000}"/>
    <cellStyle name="Normal 4 9 6 2" xfId="8424" xr:uid="{00000000-0005-0000-0000-0000461F0000}"/>
    <cellStyle name="Normal 4 9 6 3" xfId="8425" xr:uid="{00000000-0005-0000-0000-0000471F0000}"/>
    <cellStyle name="Normal 4 9 7" xfId="8426" xr:uid="{00000000-0005-0000-0000-0000481F0000}"/>
    <cellStyle name="Normal 4 9 8" xfId="8427" xr:uid="{00000000-0005-0000-0000-0000491F0000}"/>
    <cellStyle name="Normal 4 9 9" xfId="8428" xr:uid="{00000000-0005-0000-0000-00004A1F0000}"/>
    <cellStyle name="Normal 4_Attach O, GG, Support -New Method 2-14-11" xfId="191" xr:uid="{00000000-0005-0000-0000-00004B1F0000}"/>
    <cellStyle name="Normal 5" xfId="192" xr:uid="{00000000-0005-0000-0000-00004C1F0000}"/>
    <cellStyle name="Normal 5 10" xfId="8429" xr:uid="{00000000-0005-0000-0000-00004D1F0000}"/>
    <cellStyle name="Normal 5 10 2" xfId="8430" xr:uid="{00000000-0005-0000-0000-00004E1F0000}"/>
    <cellStyle name="Normal 5 10 2 2" xfId="8431" xr:uid="{00000000-0005-0000-0000-00004F1F0000}"/>
    <cellStyle name="Normal 5 10 2 3" xfId="8432" xr:uid="{00000000-0005-0000-0000-0000501F0000}"/>
    <cellStyle name="Normal 5 10 3" xfId="8433" xr:uid="{00000000-0005-0000-0000-0000511F0000}"/>
    <cellStyle name="Normal 5 10 4" xfId="8434" xr:uid="{00000000-0005-0000-0000-0000521F0000}"/>
    <cellStyle name="Normal 5 10 5" xfId="8435" xr:uid="{00000000-0005-0000-0000-0000531F0000}"/>
    <cellStyle name="Normal 5 11" xfId="8436" xr:uid="{00000000-0005-0000-0000-0000541F0000}"/>
    <cellStyle name="Normal 5 2" xfId="602" xr:uid="{00000000-0005-0000-0000-0000551F0000}"/>
    <cellStyle name="Normal 5 2 2" xfId="8437" xr:uid="{00000000-0005-0000-0000-0000561F0000}"/>
    <cellStyle name="Normal 5 2 2 2" xfId="8438" xr:uid="{00000000-0005-0000-0000-0000571F0000}"/>
    <cellStyle name="Normal 5 2 2 2 2" xfId="8439" xr:uid="{00000000-0005-0000-0000-0000581F0000}"/>
    <cellStyle name="Normal 5 2 2 2 2 2" xfId="8440" xr:uid="{00000000-0005-0000-0000-0000591F0000}"/>
    <cellStyle name="Normal 5 2 2 2 2 2 2" xfId="8441" xr:uid="{00000000-0005-0000-0000-00005A1F0000}"/>
    <cellStyle name="Normal 5 2 2 2 2 2 2 2" xfId="8442" xr:uid="{00000000-0005-0000-0000-00005B1F0000}"/>
    <cellStyle name="Normal 5 2 2 2 2 2 2 3" xfId="8443" xr:uid="{00000000-0005-0000-0000-00005C1F0000}"/>
    <cellStyle name="Normal 5 2 2 2 2 2 3" xfId="8444" xr:uid="{00000000-0005-0000-0000-00005D1F0000}"/>
    <cellStyle name="Normal 5 2 2 2 2 2 4" xfId="8445" xr:uid="{00000000-0005-0000-0000-00005E1F0000}"/>
    <cellStyle name="Normal 5 2 2 2 2 2 5" xfId="8446" xr:uid="{00000000-0005-0000-0000-00005F1F0000}"/>
    <cellStyle name="Normal 5 2 2 2 2 3" xfId="8447" xr:uid="{00000000-0005-0000-0000-0000601F0000}"/>
    <cellStyle name="Normal 5 2 2 2 2 3 2" xfId="8448" xr:uid="{00000000-0005-0000-0000-0000611F0000}"/>
    <cellStyle name="Normal 5 2 2 2 2 3 2 2" xfId="8449" xr:uid="{00000000-0005-0000-0000-0000621F0000}"/>
    <cellStyle name="Normal 5 2 2 2 2 3 2 3" xfId="8450" xr:uid="{00000000-0005-0000-0000-0000631F0000}"/>
    <cellStyle name="Normal 5 2 2 2 2 3 3" xfId="8451" xr:uid="{00000000-0005-0000-0000-0000641F0000}"/>
    <cellStyle name="Normal 5 2 2 2 2 3 4" xfId="8452" xr:uid="{00000000-0005-0000-0000-0000651F0000}"/>
    <cellStyle name="Normal 5 2 2 2 2 3 5" xfId="8453" xr:uid="{00000000-0005-0000-0000-0000661F0000}"/>
    <cellStyle name="Normal 5 2 2 2 2 4" xfId="8454" xr:uid="{00000000-0005-0000-0000-0000671F0000}"/>
    <cellStyle name="Normal 5 2 2 2 2 4 2" xfId="8455" xr:uid="{00000000-0005-0000-0000-0000681F0000}"/>
    <cellStyle name="Normal 5 2 2 2 2 4 3" xfId="8456" xr:uid="{00000000-0005-0000-0000-0000691F0000}"/>
    <cellStyle name="Normal 5 2 2 2 2 5" xfId="8457" xr:uid="{00000000-0005-0000-0000-00006A1F0000}"/>
    <cellStyle name="Normal 5 2 2 2 2 6" xfId="8458" xr:uid="{00000000-0005-0000-0000-00006B1F0000}"/>
    <cellStyle name="Normal 5 2 2 2 2 7" xfId="8459" xr:uid="{00000000-0005-0000-0000-00006C1F0000}"/>
    <cellStyle name="Normal 5 2 2 2 3" xfId="8460" xr:uid="{00000000-0005-0000-0000-00006D1F0000}"/>
    <cellStyle name="Normal 5 2 2 2 3 2" xfId="8461" xr:uid="{00000000-0005-0000-0000-00006E1F0000}"/>
    <cellStyle name="Normal 5 2 2 2 3 2 2" xfId="8462" xr:uid="{00000000-0005-0000-0000-00006F1F0000}"/>
    <cellStyle name="Normal 5 2 2 2 3 2 3" xfId="8463" xr:uid="{00000000-0005-0000-0000-0000701F0000}"/>
    <cellStyle name="Normal 5 2 2 2 3 3" xfId="8464" xr:uid="{00000000-0005-0000-0000-0000711F0000}"/>
    <cellStyle name="Normal 5 2 2 2 3 4" xfId="8465" xr:uid="{00000000-0005-0000-0000-0000721F0000}"/>
    <cellStyle name="Normal 5 2 2 2 3 5" xfId="8466" xr:uid="{00000000-0005-0000-0000-0000731F0000}"/>
    <cellStyle name="Normal 5 2 2 2 4" xfId="8467" xr:uid="{00000000-0005-0000-0000-0000741F0000}"/>
    <cellStyle name="Normal 5 2 2 2 4 2" xfId="8468" xr:uid="{00000000-0005-0000-0000-0000751F0000}"/>
    <cellStyle name="Normal 5 2 2 2 4 2 2" xfId="8469" xr:uid="{00000000-0005-0000-0000-0000761F0000}"/>
    <cellStyle name="Normal 5 2 2 2 4 2 3" xfId="8470" xr:uid="{00000000-0005-0000-0000-0000771F0000}"/>
    <cellStyle name="Normal 5 2 2 2 4 3" xfId="8471" xr:uid="{00000000-0005-0000-0000-0000781F0000}"/>
    <cellStyle name="Normal 5 2 2 2 4 4" xfId="8472" xr:uid="{00000000-0005-0000-0000-0000791F0000}"/>
    <cellStyle name="Normal 5 2 2 2 4 5" xfId="8473" xr:uid="{00000000-0005-0000-0000-00007A1F0000}"/>
    <cellStyle name="Normal 5 2 2 2 5" xfId="8474" xr:uid="{00000000-0005-0000-0000-00007B1F0000}"/>
    <cellStyle name="Normal 5 2 2 2 5 2" xfId="8475" xr:uid="{00000000-0005-0000-0000-00007C1F0000}"/>
    <cellStyle name="Normal 5 2 2 2 5 3" xfId="8476" xr:uid="{00000000-0005-0000-0000-00007D1F0000}"/>
    <cellStyle name="Normal 5 2 2 2 6" xfId="8477" xr:uid="{00000000-0005-0000-0000-00007E1F0000}"/>
    <cellStyle name="Normal 5 2 2 2 7" xfId="8478" xr:uid="{00000000-0005-0000-0000-00007F1F0000}"/>
    <cellStyle name="Normal 5 2 2 2 8" xfId="8479" xr:uid="{00000000-0005-0000-0000-0000801F0000}"/>
    <cellStyle name="Normal 5 2 2 3" xfId="8480" xr:uid="{00000000-0005-0000-0000-0000811F0000}"/>
    <cellStyle name="Normal 5 2 2 3 2" xfId="8481" xr:uid="{00000000-0005-0000-0000-0000821F0000}"/>
    <cellStyle name="Normal 5 2 2 3 2 2" xfId="8482" xr:uid="{00000000-0005-0000-0000-0000831F0000}"/>
    <cellStyle name="Normal 5 2 2 3 2 2 2" xfId="8483" xr:uid="{00000000-0005-0000-0000-0000841F0000}"/>
    <cellStyle name="Normal 5 2 2 3 2 2 3" xfId="8484" xr:uid="{00000000-0005-0000-0000-0000851F0000}"/>
    <cellStyle name="Normal 5 2 2 3 2 3" xfId="8485" xr:uid="{00000000-0005-0000-0000-0000861F0000}"/>
    <cellStyle name="Normal 5 2 2 3 2 4" xfId="8486" xr:uid="{00000000-0005-0000-0000-0000871F0000}"/>
    <cellStyle name="Normal 5 2 2 3 2 5" xfId="8487" xr:uid="{00000000-0005-0000-0000-0000881F0000}"/>
    <cellStyle name="Normal 5 2 2 3 3" xfId="8488" xr:uid="{00000000-0005-0000-0000-0000891F0000}"/>
    <cellStyle name="Normal 5 2 2 3 3 2" xfId="8489" xr:uid="{00000000-0005-0000-0000-00008A1F0000}"/>
    <cellStyle name="Normal 5 2 2 3 3 2 2" xfId="8490" xr:uid="{00000000-0005-0000-0000-00008B1F0000}"/>
    <cellStyle name="Normal 5 2 2 3 3 2 3" xfId="8491" xr:uid="{00000000-0005-0000-0000-00008C1F0000}"/>
    <cellStyle name="Normal 5 2 2 3 3 3" xfId="8492" xr:uid="{00000000-0005-0000-0000-00008D1F0000}"/>
    <cellStyle name="Normal 5 2 2 3 3 4" xfId="8493" xr:uid="{00000000-0005-0000-0000-00008E1F0000}"/>
    <cellStyle name="Normal 5 2 2 3 3 5" xfId="8494" xr:uid="{00000000-0005-0000-0000-00008F1F0000}"/>
    <cellStyle name="Normal 5 2 2 3 4" xfId="8495" xr:uid="{00000000-0005-0000-0000-0000901F0000}"/>
    <cellStyle name="Normal 5 2 2 3 4 2" xfId="8496" xr:uid="{00000000-0005-0000-0000-0000911F0000}"/>
    <cellStyle name="Normal 5 2 2 3 4 3" xfId="8497" xr:uid="{00000000-0005-0000-0000-0000921F0000}"/>
    <cellStyle name="Normal 5 2 2 3 5" xfId="8498" xr:uid="{00000000-0005-0000-0000-0000931F0000}"/>
    <cellStyle name="Normal 5 2 2 3 6" xfId="8499" xr:uid="{00000000-0005-0000-0000-0000941F0000}"/>
    <cellStyle name="Normal 5 2 2 3 7" xfId="8500" xr:uid="{00000000-0005-0000-0000-0000951F0000}"/>
    <cellStyle name="Normal 5 2 2 4" xfId="8501" xr:uid="{00000000-0005-0000-0000-0000961F0000}"/>
    <cellStyle name="Normal 5 2 2 4 2" xfId="8502" xr:uid="{00000000-0005-0000-0000-0000971F0000}"/>
    <cellStyle name="Normal 5 2 2 4 2 2" xfId="8503" xr:uid="{00000000-0005-0000-0000-0000981F0000}"/>
    <cellStyle name="Normal 5 2 2 4 2 3" xfId="8504" xr:uid="{00000000-0005-0000-0000-0000991F0000}"/>
    <cellStyle name="Normal 5 2 2 4 3" xfId="8505" xr:uid="{00000000-0005-0000-0000-00009A1F0000}"/>
    <cellStyle name="Normal 5 2 2 4 4" xfId="8506" xr:uid="{00000000-0005-0000-0000-00009B1F0000}"/>
    <cellStyle name="Normal 5 2 2 4 5" xfId="8507" xr:uid="{00000000-0005-0000-0000-00009C1F0000}"/>
    <cellStyle name="Normal 5 2 2 5" xfId="8508" xr:uid="{00000000-0005-0000-0000-00009D1F0000}"/>
    <cellStyle name="Normal 5 2 2 5 2" xfId="8509" xr:uid="{00000000-0005-0000-0000-00009E1F0000}"/>
    <cellStyle name="Normal 5 2 2 5 2 2" xfId="8510" xr:uid="{00000000-0005-0000-0000-00009F1F0000}"/>
    <cellStyle name="Normal 5 2 2 5 2 3" xfId="8511" xr:uid="{00000000-0005-0000-0000-0000A01F0000}"/>
    <cellStyle name="Normal 5 2 2 5 3" xfId="8512" xr:uid="{00000000-0005-0000-0000-0000A11F0000}"/>
    <cellStyle name="Normal 5 2 2 5 4" xfId="8513" xr:uid="{00000000-0005-0000-0000-0000A21F0000}"/>
    <cellStyle name="Normal 5 2 2 5 5" xfId="8514" xr:uid="{00000000-0005-0000-0000-0000A31F0000}"/>
    <cellStyle name="Normal 5 2 2 6" xfId="8515" xr:uid="{00000000-0005-0000-0000-0000A41F0000}"/>
    <cellStyle name="Normal 5 2 2 6 2" xfId="8516" xr:uid="{00000000-0005-0000-0000-0000A51F0000}"/>
    <cellStyle name="Normal 5 2 2 6 3" xfId="8517" xr:uid="{00000000-0005-0000-0000-0000A61F0000}"/>
    <cellStyle name="Normal 5 2 2 7" xfId="8518" xr:uid="{00000000-0005-0000-0000-0000A71F0000}"/>
    <cellStyle name="Normal 5 2 2 8" xfId="8519" xr:uid="{00000000-0005-0000-0000-0000A81F0000}"/>
    <cellStyle name="Normal 5 2 2 9" xfId="8520" xr:uid="{00000000-0005-0000-0000-0000A91F0000}"/>
    <cellStyle name="Normal 5 2 3" xfId="8521" xr:uid="{00000000-0005-0000-0000-0000AA1F0000}"/>
    <cellStyle name="Normal 5 2 3 2" xfId="8522" xr:uid="{00000000-0005-0000-0000-0000AB1F0000}"/>
    <cellStyle name="Normal 5 2 3 2 2" xfId="8523" xr:uid="{00000000-0005-0000-0000-0000AC1F0000}"/>
    <cellStyle name="Normal 5 2 3 2 2 2" xfId="8524" xr:uid="{00000000-0005-0000-0000-0000AD1F0000}"/>
    <cellStyle name="Normal 5 2 3 2 2 2 2" xfId="8525" xr:uid="{00000000-0005-0000-0000-0000AE1F0000}"/>
    <cellStyle name="Normal 5 2 3 2 2 2 2 2" xfId="8526" xr:uid="{00000000-0005-0000-0000-0000AF1F0000}"/>
    <cellStyle name="Normal 5 2 3 2 2 2 2 3" xfId="8527" xr:uid="{00000000-0005-0000-0000-0000B01F0000}"/>
    <cellStyle name="Normal 5 2 3 2 2 2 3" xfId="8528" xr:uid="{00000000-0005-0000-0000-0000B11F0000}"/>
    <cellStyle name="Normal 5 2 3 2 2 2 4" xfId="8529" xr:uid="{00000000-0005-0000-0000-0000B21F0000}"/>
    <cellStyle name="Normal 5 2 3 2 2 2 5" xfId="8530" xr:uid="{00000000-0005-0000-0000-0000B31F0000}"/>
    <cellStyle name="Normal 5 2 3 2 2 3" xfId="8531" xr:uid="{00000000-0005-0000-0000-0000B41F0000}"/>
    <cellStyle name="Normal 5 2 3 2 2 3 2" xfId="8532" xr:uid="{00000000-0005-0000-0000-0000B51F0000}"/>
    <cellStyle name="Normal 5 2 3 2 2 3 2 2" xfId="8533" xr:uid="{00000000-0005-0000-0000-0000B61F0000}"/>
    <cellStyle name="Normal 5 2 3 2 2 3 2 3" xfId="8534" xr:uid="{00000000-0005-0000-0000-0000B71F0000}"/>
    <cellStyle name="Normal 5 2 3 2 2 3 3" xfId="8535" xr:uid="{00000000-0005-0000-0000-0000B81F0000}"/>
    <cellStyle name="Normal 5 2 3 2 2 3 4" xfId="8536" xr:uid="{00000000-0005-0000-0000-0000B91F0000}"/>
    <cellStyle name="Normal 5 2 3 2 2 3 5" xfId="8537" xr:uid="{00000000-0005-0000-0000-0000BA1F0000}"/>
    <cellStyle name="Normal 5 2 3 2 2 4" xfId="8538" xr:uid="{00000000-0005-0000-0000-0000BB1F0000}"/>
    <cellStyle name="Normal 5 2 3 2 2 4 2" xfId="8539" xr:uid="{00000000-0005-0000-0000-0000BC1F0000}"/>
    <cellStyle name="Normal 5 2 3 2 2 4 3" xfId="8540" xr:uid="{00000000-0005-0000-0000-0000BD1F0000}"/>
    <cellStyle name="Normal 5 2 3 2 2 5" xfId="8541" xr:uid="{00000000-0005-0000-0000-0000BE1F0000}"/>
    <cellStyle name="Normal 5 2 3 2 2 6" xfId="8542" xr:uid="{00000000-0005-0000-0000-0000BF1F0000}"/>
    <cellStyle name="Normal 5 2 3 2 2 7" xfId="8543" xr:uid="{00000000-0005-0000-0000-0000C01F0000}"/>
    <cellStyle name="Normal 5 2 3 2 3" xfId="8544" xr:uid="{00000000-0005-0000-0000-0000C11F0000}"/>
    <cellStyle name="Normal 5 2 3 2 3 2" xfId="8545" xr:uid="{00000000-0005-0000-0000-0000C21F0000}"/>
    <cellStyle name="Normal 5 2 3 2 3 2 2" xfId="8546" xr:uid="{00000000-0005-0000-0000-0000C31F0000}"/>
    <cellStyle name="Normal 5 2 3 2 3 2 3" xfId="8547" xr:uid="{00000000-0005-0000-0000-0000C41F0000}"/>
    <cellStyle name="Normal 5 2 3 2 3 3" xfId="8548" xr:uid="{00000000-0005-0000-0000-0000C51F0000}"/>
    <cellStyle name="Normal 5 2 3 2 3 4" xfId="8549" xr:uid="{00000000-0005-0000-0000-0000C61F0000}"/>
    <cellStyle name="Normal 5 2 3 2 3 5" xfId="8550" xr:uid="{00000000-0005-0000-0000-0000C71F0000}"/>
    <cellStyle name="Normal 5 2 3 2 4" xfId="8551" xr:uid="{00000000-0005-0000-0000-0000C81F0000}"/>
    <cellStyle name="Normal 5 2 3 2 4 2" xfId="8552" xr:uid="{00000000-0005-0000-0000-0000C91F0000}"/>
    <cellStyle name="Normal 5 2 3 2 4 2 2" xfId="8553" xr:uid="{00000000-0005-0000-0000-0000CA1F0000}"/>
    <cellStyle name="Normal 5 2 3 2 4 2 3" xfId="8554" xr:uid="{00000000-0005-0000-0000-0000CB1F0000}"/>
    <cellStyle name="Normal 5 2 3 2 4 3" xfId="8555" xr:uid="{00000000-0005-0000-0000-0000CC1F0000}"/>
    <cellStyle name="Normal 5 2 3 2 4 4" xfId="8556" xr:uid="{00000000-0005-0000-0000-0000CD1F0000}"/>
    <cellStyle name="Normal 5 2 3 2 4 5" xfId="8557" xr:uid="{00000000-0005-0000-0000-0000CE1F0000}"/>
    <cellStyle name="Normal 5 2 3 2 5" xfId="8558" xr:uid="{00000000-0005-0000-0000-0000CF1F0000}"/>
    <cellStyle name="Normal 5 2 3 2 5 2" xfId="8559" xr:uid="{00000000-0005-0000-0000-0000D01F0000}"/>
    <cellStyle name="Normal 5 2 3 2 5 3" xfId="8560" xr:uid="{00000000-0005-0000-0000-0000D11F0000}"/>
    <cellStyle name="Normal 5 2 3 2 6" xfId="8561" xr:uid="{00000000-0005-0000-0000-0000D21F0000}"/>
    <cellStyle name="Normal 5 2 3 2 7" xfId="8562" xr:uid="{00000000-0005-0000-0000-0000D31F0000}"/>
    <cellStyle name="Normal 5 2 3 2 8" xfId="8563" xr:uid="{00000000-0005-0000-0000-0000D41F0000}"/>
    <cellStyle name="Normal 5 2 3 3" xfId="8564" xr:uid="{00000000-0005-0000-0000-0000D51F0000}"/>
    <cellStyle name="Normal 5 2 3 3 2" xfId="8565" xr:uid="{00000000-0005-0000-0000-0000D61F0000}"/>
    <cellStyle name="Normal 5 2 3 3 2 2" xfId="8566" xr:uid="{00000000-0005-0000-0000-0000D71F0000}"/>
    <cellStyle name="Normal 5 2 3 3 2 2 2" xfId="8567" xr:uid="{00000000-0005-0000-0000-0000D81F0000}"/>
    <cellStyle name="Normal 5 2 3 3 2 2 3" xfId="8568" xr:uid="{00000000-0005-0000-0000-0000D91F0000}"/>
    <cellStyle name="Normal 5 2 3 3 2 3" xfId="8569" xr:uid="{00000000-0005-0000-0000-0000DA1F0000}"/>
    <cellStyle name="Normal 5 2 3 3 2 4" xfId="8570" xr:uid="{00000000-0005-0000-0000-0000DB1F0000}"/>
    <cellStyle name="Normal 5 2 3 3 2 5" xfId="8571" xr:uid="{00000000-0005-0000-0000-0000DC1F0000}"/>
    <cellStyle name="Normal 5 2 3 3 3" xfId="8572" xr:uid="{00000000-0005-0000-0000-0000DD1F0000}"/>
    <cellStyle name="Normal 5 2 3 3 3 2" xfId="8573" xr:uid="{00000000-0005-0000-0000-0000DE1F0000}"/>
    <cellStyle name="Normal 5 2 3 3 3 2 2" xfId="8574" xr:uid="{00000000-0005-0000-0000-0000DF1F0000}"/>
    <cellStyle name="Normal 5 2 3 3 3 2 3" xfId="8575" xr:uid="{00000000-0005-0000-0000-0000E01F0000}"/>
    <cellStyle name="Normal 5 2 3 3 3 3" xfId="8576" xr:uid="{00000000-0005-0000-0000-0000E11F0000}"/>
    <cellStyle name="Normal 5 2 3 3 3 4" xfId="8577" xr:uid="{00000000-0005-0000-0000-0000E21F0000}"/>
    <cellStyle name="Normal 5 2 3 3 3 5" xfId="8578" xr:uid="{00000000-0005-0000-0000-0000E31F0000}"/>
    <cellStyle name="Normal 5 2 3 3 4" xfId="8579" xr:uid="{00000000-0005-0000-0000-0000E41F0000}"/>
    <cellStyle name="Normal 5 2 3 3 4 2" xfId="8580" xr:uid="{00000000-0005-0000-0000-0000E51F0000}"/>
    <cellStyle name="Normal 5 2 3 3 4 3" xfId="8581" xr:uid="{00000000-0005-0000-0000-0000E61F0000}"/>
    <cellStyle name="Normal 5 2 3 3 5" xfId="8582" xr:uid="{00000000-0005-0000-0000-0000E71F0000}"/>
    <cellStyle name="Normal 5 2 3 3 6" xfId="8583" xr:uid="{00000000-0005-0000-0000-0000E81F0000}"/>
    <cellStyle name="Normal 5 2 3 3 7" xfId="8584" xr:uid="{00000000-0005-0000-0000-0000E91F0000}"/>
    <cellStyle name="Normal 5 2 3 4" xfId="8585" xr:uid="{00000000-0005-0000-0000-0000EA1F0000}"/>
    <cellStyle name="Normal 5 2 3 4 2" xfId="8586" xr:uid="{00000000-0005-0000-0000-0000EB1F0000}"/>
    <cellStyle name="Normal 5 2 3 4 2 2" xfId="8587" xr:uid="{00000000-0005-0000-0000-0000EC1F0000}"/>
    <cellStyle name="Normal 5 2 3 4 2 3" xfId="8588" xr:uid="{00000000-0005-0000-0000-0000ED1F0000}"/>
    <cellStyle name="Normal 5 2 3 4 3" xfId="8589" xr:uid="{00000000-0005-0000-0000-0000EE1F0000}"/>
    <cellStyle name="Normal 5 2 3 4 4" xfId="8590" xr:uid="{00000000-0005-0000-0000-0000EF1F0000}"/>
    <cellStyle name="Normal 5 2 3 4 5" xfId="8591" xr:uid="{00000000-0005-0000-0000-0000F01F0000}"/>
    <cellStyle name="Normal 5 2 3 5" xfId="8592" xr:uid="{00000000-0005-0000-0000-0000F11F0000}"/>
    <cellStyle name="Normal 5 2 3 5 2" xfId="8593" xr:uid="{00000000-0005-0000-0000-0000F21F0000}"/>
    <cellStyle name="Normal 5 2 3 5 2 2" xfId="8594" xr:uid="{00000000-0005-0000-0000-0000F31F0000}"/>
    <cellStyle name="Normal 5 2 3 5 2 3" xfId="8595" xr:uid="{00000000-0005-0000-0000-0000F41F0000}"/>
    <cellStyle name="Normal 5 2 3 5 3" xfId="8596" xr:uid="{00000000-0005-0000-0000-0000F51F0000}"/>
    <cellStyle name="Normal 5 2 3 5 4" xfId="8597" xr:uid="{00000000-0005-0000-0000-0000F61F0000}"/>
    <cellStyle name="Normal 5 2 3 5 5" xfId="8598" xr:uid="{00000000-0005-0000-0000-0000F71F0000}"/>
    <cellStyle name="Normal 5 2 3 6" xfId="8599" xr:uid="{00000000-0005-0000-0000-0000F81F0000}"/>
    <cellStyle name="Normal 5 2 3 6 2" xfId="8600" xr:uid="{00000000-0005-0000-0000-0000F91F0000}"/>
    <cellStyle name="Normal 5 2 3 6 3" xfId="8601" xr:uid="{00000000-0005-0000-0000-0000FA1F0000}"/>
    <cellStyle name="Normal 5 2 3 7" xfId="8602" xr:uid="{00000000-0005-0000-0000-0000FB1F0000}"/>
    <cellStyle name="Normal 5 2 3 8" xfId="8603" xr:uid="{00000000-0005-0000-0000-0000FC1F0000}"/>
    <cellStyle name="Normal 5 2 3 9" xfId="8604" xr:uid="{00000000-0005-0000-0000-0000FD1F0000}"/>
    <cellStyle name="Normal 5 2 4" xfId="8605" xr:uid="{00000000-0005-0000-0000-0000FE1F0000}"/>
    <cellStyle name="Normal 5 2 4 2" xfId="8606" xr:uid="{00000000-0005-0000-0000-0000FF1F0000}"/>
    <cellStyle name="Normal 5 2 4 2 2" xfId="8607" xr:uid="{00000000-0005-0000-0000-000000200000}"/>
    <cellStyle name="Normal 5 2 4 2 2 2" xfId="8608" xr:uid="{00000000-0005-0000-0000-000001200000}"/>
    <cellStyle name="Normal 5 2 4 2 2 2 2" xfId="8609" xr:uid="{00000000-0005-0000-0000-000002200000}"/>
    <cellStyle name="Normal 5 2 4 2 2 2 2 2" xfId="8610" xr:uid="{00000000-0005-0000-0000-000003200000}"/>
    <cellStyle name="Normal 5 2 4 2 2 2 2 3" xfId="8611" xr:uid="{00000000-0005-0000-0000-000004200000}"/>
    <cellStyle name="Normal 5 2 4 2 2 2 3" xfId="8612" xr:uid="{00000000-0005-0000-0000-000005200000}"/>
    <cellStyle name="Normal 5 2 4 2 2 2 4" xfId="8613" xr:uid="{00000000-0005-0000-0000-000006200000}"/>
    <cellStyle name="Normal 5 2 4 2 2 2 5" xfId="8614" xr:uid="{00000000-0005-0000-0000-000007200000}"/>
    <cellStyle name="Normal 5 2 4 2 2 3" xfId="8615" xr:uid="{00000000-0005-0000-0000-000008200000}"/>
    <cellStyle name="Normal 5 2 4 2 2 3 2" xfId="8616" xr:uid="{00000000-0005-0000-0000-000009200000}"/>
    <cellStyle name="Normal 5 2 4 2 2 3 2 2" xfId="8617" xr:uid="{00000000-0005-0000-0000-00000A200000}"/>
    <cellStyle name="Normal 5 2 4 2 2 3 2 3" xfId="8618" xr:uid="{00000000-0005-0000-0000-00000B200000}"/>
    <cellStyle name="Normal 5 2 4 2 2 3 3" xfId="8619" xr:uid="{00000000-0005-0000-0000-00000C200000}"/>
    <cellStyle name="Normal 5 2 4 2 2 3 4" xfId="8620" xr:uid="{00000000-0005-0000-0000-00000D200000}"/>
    <cellStyle name="Normal 5 2 4 2 2 3 5" xfId="8621" xr:uid="{00000000-0005-0000-0000-00000E200000}"/>
    <cellStyle name="Normal 5 2 4 2 2 4" xfId="8622" xr:uid="{00000000-0005-0000-0000-00000F200000}"/>
    <cellStyle name="Normal 5 2 4 2 2 4 2" xfId="8623" xr:uid="{00000000-0005-0000-0000-000010200000}"/>
    <cellStyle name="Normal 5 2 4 2 2 4 3" xfId="8624" xr:uid="{00000000-0005-0000-0000-000011200000}"/>
    <cellStyle name="Normal 5 2 4 2 2 5" xfId="8625" xr:uid="{00000000-0005-0000-0000-000012200000}"/>
    <cellStyle name="Normal 5 2 4 2 2 6" xfId="8626" xr:uid="{00000000-0005-0000-0000-000013200000}"/>
    <cellStyle name="Normal 5 2 4 2 2 7" xfId="8627" xr:uid="{00000000-0005-0000-0000-000014200000}"/>
    <cellStyle name="Normal 5 2 4 2 3" xfId="8628" xr:uid="{00000000-0005-0000-0000-000015200000}"/>
    <cellStyle name="Normal 5 2 4 2 3 2" xfId="8629" xr:uid="{00000000-0005-0000-0000-000016200000}"/>
    <cellStyle name="Normal 5 2 4 2 3 2 2" xfId="8630" xr:uid="{00000000-0005-0000-0000-000017200000}"/>
    <cellStyle name="Normal 5 2 4 2 3 2 3" xfId="8631" xr:uid="{00000000-0005-0000-0000-000018200000}"/>
    <cellStyle name="Normal 5 2 4 2 3 3" xfId="8632" xr:uid="{00000000-0005-0000-0000-000019200000}"/>
    <cellStyle name="Normal 5 2 4 2 3 4" xfId="8633" xr:uid="{00000000-0005-0000-0000-00001A200000}"/>
    <cellStyle name="Normal 5 2 4 2 3 5" xfId="8634" xr:uid="{00000000-0005-0000-0000-00001B200000}"/>
    <cellStyle name="Normal 5 2 4 2 4" xfId="8635" xr:uid="{00000000-0005-0000-0000-00001C200000}"/>
    <cellStyle name="Normal 5 2 4 2 4 2" xfId="8636" xr:uid="{00000000-0005-0000-0000-00001D200000}"/>
    <cellStyle name="Normal 5 2 4 2 4 2 2" xfId="8637" xr:uid="{00000000-0005-0000-0000-00001E200000}"/>
    <cellStyle name="Normal 5 2 4 2 4 2 3" xfId="8638" xr:uid="{00000000-0005-0000-0000-00001F200000}"/>
    <cellStyle name="Normal 5 2 4 2 4 3" xfId="8639" xr:uid="{00000000-0005-0000-0000-000020200000}"/>
    <cellStyle name="Normal 5 2 4 2 4 4" xfId="8640" xr:uid="{00000000-0005-0000-0000-000021200000}"/>
    <cellStyle name="Normal 5 2 4 2 4 5" xfId="8641" xr:uid="{00000000-0005-0000-0000-000022200000}"/>
    <cellStyle name="Normal 5 2 4 2 5" xfId="8642" xr:uid="{00000000-0005-0000-0000-000023200000}"/>
    <cellStyle name="Normal 5 2 4 2 5 2" xfId="8643" xr:uid="{00000000-0005-0000-0000-000024200000}"/>
    <cellStyle name="Normal 5 2 4 2 5 3" xfId="8644" xr:uid="{00000000-0005-0000-0000-000025200000}"/>
    <cellStyle name="Normal 5 2 4 2 6" xfId="8645" xr:uid="{00000000-0005-0000-0000-000026200000}"/>
    <cellStyle name="Normal 5 2 4 2 7" xfId="8646" xr:uid="{00000000-0005-0000-0000-000027200000}"/>
    <cellStyle name="Normal 5 2 4 2 8" xfId="8647" xr:uid="{00000000-0005-0000-0000-000028200000}"/>
    <cellStyle name="Normal 5 2 4 3" xfId="8648" xr:uid="{00000000-0005-0000-0000-000029200000}"/>
    <cellStyle name="Normal 5 2 4 3 2" xfId="8649" xr:uid="{00000000-0005-0000-0000-00002A200000}"/>
    <cellStyle name="Normal 5 2 4 3 2 2" xfId="8650" xr:uid="{00000000-0005-0000-0000-00002B200000}"/>
    <cellStyle name="Normal 5 2 4 3 2 2 2" xfId="8651" xr:uid="{00000000-0005-0000-0000-00002C200000}"/>
    <cellStyle name="Normal 5 2 4 3 2 2 3" xfId="8652" xr:uid="{00000000-0005-0000-0000-00002D200000}"/>
    <cellStyle name="Normal 5 2 4 3 2 3" xfId="8653" xr:uid="{00000000-0005-0000-0000-00002E200000}"/>
    <cellStyle name="Normal 5 2 4 3 2 4" xfId="8654" xr:uid="{00000000-0005-0000-0000-00002F200000}"/>
    <cellStyle name="Normal 5 2 4 3 2 5" xfId="8655" xr:uid="{00000000-0005-0000-0000-000030200000}"/>
    <cellStyle name="Normal 5 2 4 3 3" xfId="8656" xr:uid="{00000000-0005-0000-0000-000031200000}"/>
    <cellStyle name="Normal 5 2 4 3 3 2" xfId="8657" xr:uid="{00000000-0005-0000-0000-000032200000}"/>
    <cellStyle name="Normal 5 2 4 3 3 2 2" xfId="8658" xr:uid="{00000000-0005-0000-0000-000033200000}"/>
    <cellStyle name="Normal 5 2 4 3 3 2 3" xfId="8659" xr:uid="{00000000-0005-0000-0000-000034200000}"/>
    <cellStyle name="Normal 5 2 4 3 3 3" xfId="8660" xr:uid="{00000000-0005-0000-0000-000035200000}"/>
    <cellStyle name="Normal 5 2 4 3 3 4" xfId="8661" xr:uid="{00000000-0005-0000-0000-000036200000}"/>
    <cellStyle name="Normal 5 2 4 3 3 5" xfId="8662" xr:uid="{00000000-0005-0000-0000-000037200000}"/>
    <cellStyle name="Normal 5 2 4 3 4" xfId="8663" xr:uid="{00000000-0005-0000-0000-000038200000}"/>
    <cellStyle name="Normal 5 2 4 3 4 2" xfId="8664" xr:uid="{00000000-0005-0000-0000-000039200000}"/>
    <cellStyle name="Normal 5 2 4 3 4 3" xfId="8665" xr:uid="{00000000-0005-0000-0000-00003A200000}"/>
    <cellStyle name="Normal 5 2 4 3 5" xfId="8666" xr:uid="{00000000-0005-0000-0000-00003B200000}"/>
    <cellStyle name="Normal 5 2 4 3 6" xfId="8667" xr:uid="{00000000-0005-0000-0000-00003C200000}"/>
    <cellStyle name="Normal 5 2 4 3 7" xfId="8668" xr:uid="{00000000-0005-0000-0000-00003D200000}"/>
    <cellStyle name="Normal 5 2 4 4" xfId="8669" xr:uid="{00000000-0005-0000-0000-00003E200000}"/>
    <cellStyle name="Normal 5 2 4 4 2" xfId="8670" xr:uid="{00000000-0005-0000-0000-00003F200000}"/>
    <cellStyle name="Normal 5 2 4 4 2 2" xfId="8671" xr:uid="{00000000-0005-0000-0000-000040200000}"/>
    <cellStyle name="Normal 5 2 4 4 2 3" xfId="8672" xr:uid="{00000000-0005-0000-0000-000041200000}"/>
    <cellStyle name="Normal 5 2 4 4 3" xfId="8673" xr:uid="{00000000-0005-0000-0000-000042200000}"/>
    <cellStyle name="Normal 5 2 4 4 4" xfId="8674" xr:uid="{00000000-0005-0000-0000-000043200000}"/>
    <cellStyle name="Normal 5 2 4 4 5" xfId="8675" xr:uid="{00000000-0005-0000-0000-000044200000}"/>
    <cellStyle name="Normal 5 2 4 5" xfId="8676" xr:uid="{00000000-0005-0000-0000-000045200000}"/>
    <cellStyle name="Normal 5 2 4 5 2" xfId="8677" xr:uid="{00000000-0005-0000-0000-000046200000}"/>
    <cellStyle name="Normal 5 2 4 5 2 2" xfId="8678" xr:uid="{00000000-0005-0000-0000-000047200000}"/>
    <cellStyle name="Normal 5 2 4 5 2 3" xfId="8679" xr:uid="{00000000-0005-0000-0000-000048200000}"/>
    <cellStyle name="Normal 5 2 4 5 3" xfId="8680" xr:uid="{00000000-0005-0000-0000-000049200000}"/>
    <cellStyle name="Normal 5 2 4 5 4" xfId="8681" xr:uid="{00000000-0005-0000-0000-00004A200000}"/>
    <cellStyle name="Normal 5 2 4 5 5" xfId="8682" xr:uid="{00000000-0005-0000-0000-00004B200000}"/>
    <cellStyle name="Normal 5 2 4 6" xfId="8683" xr:uid="{00000000-0005-0000-0000-00004C200000}"/>
    <cellStyle name="Normal 5 2 4 6 2" xfId="8684" xr:uid="{00000000-0005-0000-0000-00004D200000}"/>
    <cellStyle name="Normal 5 2 4 6 3" xfId="8685" xr:uid="{00000000-0005-0000-0000-00004E200000}"/>
    <cellStyle name="Normal 5 2 4 7" xfId="8686" xr:uid="{00000000-0005-0000-0000-00004F200000}"/>
    <cellStyle name="Normal 5 2 4 8" xfId="8687" xr:uid="{00000000-0005-0000-0000-000050200000}"/>
    <cellStyle name="Normal 5 2 4 9" xfId="8688" xr:uid="{00000000-0005-0000-0000-000051200000}"/>
    <cellStyle name="Normal 5 2 5" xfId="8689" xr:uid="{00000000-0005-0000-0000-000052200000}"/>
    <cellStyle name="Normal 5 2 5 2" xfId="8690" xr:uid="{00000000-0005-0000-0000-000053200000}"/>
    <cellStyle name="Normal 5 2 5 2 2" xfId="8691" xr:uid="{00000000-0005-0000-0000-000054200000}"/>
    <cellStyle name="Normal 5 2 5 2 2 2" xfId="8692" xr:uid="{00000000-0005-0000-0000-000055200000}"/>
    <cellStyle name="Normal 5 2 5 2 2 2 2" xfId="8693" xr:uid="{00000000-0005-0000-0000-000056200000}"/>
    <cellStyle name="Normal 5 2 5 2 2 2 3" xfId="8694" xr:uid="{00000000-0005-0000-0000-000057200000}"/>
    <cellStyle name="Normal 5 2 5 2 2 3" xfId="8695" xr:uid="{00000000-0005-0000-0000-000058200000}"/>
    <cellStyle name="Normal 5 2 5 2 2 4" xfId="8696" xr:uid="{00000000-0005-0000-0000-000059200000}"/>
    <cellStyle name="Normal 5 2 5 2 2 5" xfId="8697" xr:uid="{00000000-0005-0000-0000-00005A200000}"/>
    <cellStyle name="Normal 5 2 5 2 3" xfId="8698" xr:uid="{00000000-0005-0000-0000-00005B200000}"/>
    <cellStyle name="Normal 5 2 5 2 3 2" xfId="8699" xr:uid="{00000000-0005-0000-0000-00005C200000}"/>
    <cellStyle name="Normal 5 2 5 2 3 2 2" xfId="8700" xr:uid="{00000000-0005-0000-0000-00005D200000}"/>
    <cellStyle name="Normal 5 2 5 2 3 2 3" xfId="8701" xr:uid="{00000000-0005-0000-0000-00005E200000}"/>
    <cellStyle name="Normal 5 2 5 2 3 3" xfId="8702" xr:uid="{00000000-0005-0000-0000-00005F200000}"/>
    <cellStyle name="Normal 5 2 5 2 3 4" xfId="8703" xr:uid="{00000000-0005-0000-0000-000060200000}"/>
    <cellStyle name="Normal 5 2 5 2 3 5" xfId="8704" xr:uid="{00000000-0005-0000-0000-000061200000}"/>
    <cellStyle name="Normal 5 2 5 2 4" xfId="8705" xr:uid="{00000000-0005-0000-0000-000062200000}"/>
    <cellStyle name="Normal 5 2 5 2 4 2" xfId="8706" xr:uid="{00000000-0005-0000-0000-000063200000}"/>
    <cellStyle name="Normal 5 2 5 2 4 3" xfId="8707" xr:uid="{00000000-0005-0000-0000-000064200000}"/>
    <cellStyle name="Normal 5 2 5 2 5" xfId="8708" xr:uid="{00000000-0005-0000-0000-000065200000}"/>
    <cellStyle name="Normal 5 2 5 2 6" xfId="8709" xr:uid="{00000000-0005-0000-0000-000066200000}"/>
    <cellStyle name="Normal 5 2 5 2 7" xfId="8710" xr:uid="{00000000-0005-0000-0000-000067200000}"/>
    <cellStyle name="Normal 5 2 5 3" xfId="8711" xr:uid="{00000000-0005-0000-0000-000068200000}"/>
    <cellStyle name="Normal 5 2 5 3 2" xfId="8712" xr:uid="{00000000-0005-0000-0000-000069200000}"/>
    <cellStyle name="Normal 5 2 5 3 2 2" xfId="8713" xr:uid="{00000000-0005-0000-0000-00006A200000}"/>
    <cellStyle name="Normal 5 2 5 3 2 3" xfId="8714" xr:uid="{00000000-0005-0000-0000-00006B200000}"/>
    <cellStyle name="Normal 5 2 5 3 3" xfId="8715" xr:uid="{00000000-0005-0000-0000-00006C200000}"/>
    <cellStyle name="Normal 5 2 5 3 4" xfId="8716" xr:uid="{00000000-0005-0000-0000-00006D200000}"/>
    <cellStyle name="Normal 5 2 5 3 5" xfId="8717" xr:uid="{00000000-0005-0000-0000-00006E200000}"/>
    <cellStyle name="Normal 5 2 5 4" xfId="8718" xr:uid="{00000000-0005-0000-0000-00006F200000}"/>
    <cellStyle name="Normal 5 2 5 4 2" xfId="8719" xr:uid="{00000000-0005-0000-0000-000070200000}"/>
    <cellStyle name="Normal 5 2 5 4 2 2" xfId="8720" xr:uid="{00000000-0005-0000-0000-000071200000}"/>
    <cellStyle name="Normal 5 2 5 4 2 3" xfId="8721" xr:uid="{00000000-0005-0000-0000-000072200000}"/>
    <cellStyle name="Normal 5 2 5 4 3" xfId="8722" xr:uid="{00000000-0005-0000-0000-000073200000}"/>
    <cellStyle name="Normal 5 2 5 4 4" xfId="8723" xr:uid="{00000000-0005-0000-0000-000074200000}"/>
    <cellStyle name="Normal 5 2 5 4 5" xfId="8724" xr:uid="{00000000-0005-0000-0000-000075200000}"/>
    <cellStyle name="Normal 5 2 5 5" xfId="8725" xr:uid="{00000000-0005-0000-0000-000076200000}"/>
    <cellStyle name="Normal 5 2 5 5 2" xfId="8726" xr:uid="{00000000-0005-0000-0000-000077200000}"/>
    <cellStyle name="Normal 5 2 5 5 3" xfId="8727" xr:uid="{00000000-0005-0000-0000-000078200000}"/>
    <cellStyle name="Normal 5 2 5 6" xfId="8728" xr:uid="{00000000-0005-0000-0000-000079200000}"/>
    <cellStyle name="Normal 5 2 5 7" xfId="8729" xr:uid="{00000000-0005-0000-0000-00007A200000}"/>
    <cellStyle name="Normal 5 2 5 8" xfId="8730" xr:uid="{00000000-0005-0000-0000-00007B200000}"/>
    <cellStyle name="Normal 5 2 6" xfId="8731" xr:uid="{00000000-0005-0000-0000-00007C200000}"/>
    <cellStyle name="Normal 5 2 6 2" xfId="8732" xr:uid="{00000000-0005-0000-0000-00007D200000}"/>
    <cellStyle name="Normal 5 2 6 2 2" xfId="8733" xr:uid="{00000000-0005-0000-0000-00007E200000}"/>
    <cellStyle name="Normal 5 2 6 2 2 2" xfId="8734" xr:uid="{00000000-0005-0000-0000-00007F200000}"/>
    <cellStyle name="Normal 5 2 6 2 2 3" xfId="8735" xr:uid="{00000000-0005-0000-0000-000080200000}"/>
    <cellStyle name="Normal 5 2 6 2 3" xfId="8736" xr:uid="{00000000-0005-0000-0000-000081200000}"/>
    <cellStyle name="Normal 5 2 6 2 4" xfId="8737" xr:uid="{00000000-0005-0000-0000-000082200000}"/>
    <cellStyle name="Normal 5 2 6 2 5" xfId="8738" xr:uid="{00000000-0005-0000-0000-000083200000}"/>
    <cellStyle name="Normal 5 2 6 3" xfId="8739" xr:uid="{00000000-0005-0000-0000-000084200000}"/>
    <cellStyle name="Normal 5 2 6 3 2" xfId="8740" xr:uid="{00000000-0005-0000-0000-000085200000}"/>
    <cellStyle name="Normal 5 2 6 3 2 2" xfId="8741" xr:uid="{00000000-0005-0000-0000-000086200000}"/>
    <cellStyle name="Normal 5 2 6 3 2 3" xfId="8742" xr:uid="{00000000-0005-0000-0000-000087200000}"/>
    <cellStyle name="Normal 5 2 6 3 3" xfId="8743" xr:uid="{00000000-0005-0000-0000-000088200000}"/>
    <cellStyle name="Normal 5 2 6 3 4" xfId="8744" xr:uid="{00000000-0005-0000-0000-000089200000}"/>
    <cellStyle name="Normal 5 2 6 3 5" xfId="8745" xr:uid="{00000000-0005-0000-0000-00008A200000}"/>
    <cellStyle name="Normal 5 2 6 4" xfId="8746" xr:uid="{00000000-0005-0000-0000-00008B200000}"/>
    <cellStyle name="Normal 5 2 6 4 2" xfId="8747" xr:uid="{00000000-0005-0000-0000-00008C200000}"/>
    <cellStyle name="Normal 5 2 6 4 3" xfId="8748" xr:uid="{00000000-0005-0000-0000-00008D200000}"/>
    <cellStyle name="Normal 5 2 6 5" xfId="8749" xr:uid="{00000000-0005-0000-0000-00008E200000}"/>
    <cellStyle name="Normal 5 2 6 6" xfId="8750" xr:uid="{00000000-0005-0000-0000-00008F200000}"/>
    <cellStyle name="Normal 5 2 6 7" xfId="8751" xr:uid="{00000000-0005-0000-0000-000090200000}"/>
    <cellStyle name="Normal 5 2 7" xfId="8752" xr:uid="{00000000-0005-0000-0000-000091200000}"/>
    <cellStyle name="Normal 5 2 7 2" xfId="8753" xr:uid="{00000000-0005-0000-0000-000092200000}"/>
    <cellStyle name="Normal 5 2 7 2 2" xfId="8754" xr:uid="{00000000-0005-0000-0000-000093200000}"/>
    <cellStyle name="Normal 5 2 7 2 2 2" xfId="8755" xr:uid="{00000000-0005-0000-0000-000094200000}"/>
    <cellStyle name="Normal 5 2 7 2 2 3" xfId="8756" xr:uid="{00000000-0005-0000-0000-000095200000}"/>
    <cellStyle name="Normal 5 2 7 2 3" xfId="8757" xr:uid="{00000000-0005-0000-0000-000096200000}"/>
    <cellStyle name="Normal 5 2 7 2 4" xfId="8758" xr:uid="{00000000-0005-0000-0000-000097200000}"/>
    <cellStyle name="Normal 5 2 7 2 5" xfId="8759" xr:uid="{00000000-0005-0000-0000-000098200000}"/>
    <cellStyle name="Normal 5 2 7 3" xfId="8760" xr:uid="{00000000-0005-0000-0000-000099200000}"/>
    <cellStyle name="Normal 5 2 7 3 2" xfId="8761" xr:uid="{00000000-0005-0000-0000-00009A200000}"/>
    <cellStyle name="Normal 5 2 7 3 2 2" xfId="8762" xr:uid="{00000000-0005-0000-0000-00009B200000}"/>
    <cellStyle name="Normal 5 2 7 3 2 3" xfId="8763" xr:uid="{00000000-0005-0000-0000-00009C200000}"/>
    <cellStyle name="Normal 5 2 7 3 3" xfId="8764" xr:uid="{00000000-0005-0000-0000-00009D200000}"/>
    <cellStyle name="Normal 5 2 7 3 4" xfId="8765" xr:uid="{00000000-0005-0000-0000-00009E200000}"/>
    <cellStyle name="Normal 5 2 7 3 5" xfId="8766" xr:uid="{00000000-0005-0000-0000-00009F200000}"/>
    <cellStyle name="Normal 5 2 7 4" xfId="8767" xr:uid="{00000000-0005-0000-0000-0000A0200000}"/>
    <cellStyle name="Normal 5 2 7 4 2" xfId="8768" xr:uid="{00000000-0005-0000-0000-0000A1200000}"/>
    <cellStyle name="Normal 5 2 7 4 3" xfId="8769" xr:uid="{00000000-0005-0000-0000-0000A2200000}"/>
    <cellStyle name="Normal 5 2 7 5" xfId="8770" xr:uid="{00000000-0005-0000-0000-0000A3200000}"/>
    <cellStyle name="Normal 5 2 7 6" xfId="8771" xr:uid="{00000000-0005-0000-0000-0000A4200000}"/>
    <cellStyle name="Normal 5 2 7 7" xfId="8772" xr:uid="{00000000-0005-0000-0000-0000A5200000}"/>
    <cellStyle name="Normal 5 2 8" xfId="8773" xr:uid="{00000000-0005-0000-0000-0000A6200000}"/>
    <cellStyle name="Normal 5 2 8 2" xfId="8774" xr:uid="{00000000-0005-0000-0000-0000A7200000}"/>
    <cellStyle name="Normal 5 2 8 2 2" xfId="8775" xr:uid="{00000000-0005-0000-0000-0000A8200000}"/>
    <cellStyle name="Normal 5 2 8 2 3" xfId="8776" xr:uid="{00000000-0005-0000-0000-0000A9200000}"/>
    <cellStyle name="Normal 5 2 8 3" xfId="8777" xr:uid="{00000000-0005-0000-0000-0000AA200000}"/>
    <cellStyle name="Normal 5 2 8 4" xfId="8778" xr:uid="{00000000-0005-0000-0000-0000AB200000}"/>
    <cellStyle name="Normal 5 2 8 5" xfId="8779" xr:uid="{00000000-0005-0000-0000-0000AC200000}"/>
    <cellStyle name="Normal 5 2 9" xfId="8780" xr:uid="{00000000-0005-0000-0000-0000AD200000}"/>
    <cellStyle name="Normal 5 2 9 2" xfId="8781" xr:uid="{00000000-0005-0000-0000-0000AE200000}"/>
    <cellStyle name="Normal 5 2 9 2 2" xfId="8782" xr:uid="{00000000-0005-0000-0000-0000AF200000}"/>
    <cellStyle name="Normal 5 2 9 2 3" xfId="8783" xr:uid="{00000000-0005-0000-0000-0000B0200000}"/>
    <cellStyle name="Normal 5 2 9 3" xfId="8784" xr:uid="{00000000-0005-0000-0000-0000B1200000}"/>
    <cellStyle name="Normal 5 2 9 4" xfId="8785" xr:uid="{00000000-0005-0000-0000-0000B2200000}"/>
    <cellStyle name="Normal 5 2 9 5" xfId="8786" xr:uid="{00000000-0005-0000-0000-0000B3200000}"/>
    <cellStyle name="Normal 5 28" xfId="8787" xr:uid="{00000000-0005-0000-0000-0000B4200000}"/>
    <cellStyle name="Normal 5 28 2" xfId="8788" xr:uid="{00000000-0005-0000-0000-0000B5200000}"/>
    <cellStyle name="Normal 5 3" xfId="8789" xr:uid="{00000000-0005-0000-0000-0000B6200000}"/>
    <cellStyle name="Normal 5 3 2" xfId="8790" xr:uid="{00000000-0005-0000-0000-0000B7200000}"/>
    <cellStyle name="Normal 5 3 2 2" xfId="8791" xr:uid="{00000000-0005-0000-0000-0000B8200000}"/>
    <cellStyle name="Normal 5 3 2 2 2" xfId="8792" xr:uid="{00000000-0005-0000-0000-0000B9200000}"/>
    <cellStyle name="Normal 5 3 2 2 2 2" xfId="8793" xr:uid="{00000000-0005-0000-0000-0000BA200000}"/>
    <cellStyle name="Normal 5 3 2 2 2 2 2" xfId="8794" xr:uid="{00000000-0005-0000-0000-0000BB200000}"/>
    <cellStyle name="Normal 5 3 2 2 2 2 3" xfId="8795" xr:uid="{00000000-0005-0000-0000-0000BC200000}"/>
    <cellStyle name="Normal 5 3 2 2 2 3" xfId="8796" xr:uid="{00000000-0005-0000-0000-0000BD200000}"/>
    <cellStyle name="Normal 5 3 2 2 2 4" xfId="8797" xr:uid="{00000000-0005-0000-0000-0000BE200000}"/>
    <cellStyle name="Normal 5 3 2 2 2 5" xfId="8798" xr:uid="{00000000-0005-0000-0000-0000BF200000}"/>
    <cellStyle name="Normal 5 3 2 2 3" xfId="8799" xr:uid="{00000000-0005-0000-0000-0000C0200000}"/>
    <cellStyle name="Normal 5 3 2 2 3 2" xfId="8800" xr:uid="{00000000-0005-0000-0000-0000C1200000}"/>
    <cellStyle name="Normal 5 3 2 2 3 2 2" xfId="8801" xr:uid="{00000000-0005-0000-0000-0000C2200000}"/>
    <cellStyle name="Normal 5 3 2 2 3 2 3" xfId="8802" xr:uid="{00000000-0005-0000-0000-0000C3200000}"/>
    <cellStyle name="Normal 5 3 2 2 3 3" xfId="8803" xr:uid="{00000000-0005-0000-0000-0000C4200000}"/>
    <cellStyle name="Normal 5 3 2 2 3 4" xfId="8804" xr:uid="{00000000-0005-0000-0000-0000C5200000}"/>
    <cellStyle name="Normal 5 3 2 2 3 5" xfId="8805" xr:uid="{00000000-0005-0000-0000-0000C6200000}"/>
    <cellStyle name="Normal 5 3 2 2 4" xfId="8806" xr:uid="{00000000-0005-0000-0000-0000C7200000}"/>
    <cellStyle name="Normal 5 3 2 2 4 2" xfId="8807" xr:uid="{00000000-0005-0000-0000-0000C8200000}"/>
    <cellStyle name="Normal 5 3 2 2 4 3" xfId="8808" xr:uid="{00000000-0005-0000-0000-0000C9200000}"/>
    <cellStyle name="Normal 5 3 2 2 5" xfId="8809" xr:uid="{00000000-0005-0000-0000-0000CA200000}"/>
    <cellStyle name="Normal 5 3 2 2 6" xfId="8810" xr:uid="{00000000-0005-0000-0000-0000CB200000}"/>
    <cellStyle name="Normal 5 3 2 2 7" xfId="8811" xr:uid="{00000000-0005-0000-0000-0000CC200000}"/>
    <cellStyle name="Normal 5 3 2 3" xfId="8812" xr:uid="{00000000-0005-0000-0000-0000CD200000}"/>
    <cellStyle name="Normal 5 3 2 3 2" xfId="8813" xr:uid="{00000000-0005-0000-0000-0000CE200000}"/>
    <cellStyle name="Normal 5 3 2 3 2 2" xfId="8814" xr:uid="{00000000-0005-0000-0000-0000CF200000}"/>
    <cellStyle name="Normal 5 3 2 3 2 3" xfId="8815" xr:uid="{00000000-0005-0000-0000-0000D0200000}"/>
    <cellStyle name="Normal 5 3 2 3 3" xfId="8816" xr:uid="{00000000-0005-0000-0000-0000D1200000}"/>
    <cellStyle name="Normal 5 3 2 3 4" xfId="8817" xr:uid="{00000000-0005-0000-0000-0000D2200000}"/>
    <cellStyle name="Normal 5 3 2 3 5" xfId="8818" xr:uid="{00000000-0005-0000-0000-0000D3200000}"/>
    <cellStyle name="Normal 5 3 2 4" xfId="8819" xr:uid="{00000000-0005-0000-0000-0000D4200000}"/>
    <cellStyle name="Normal 5 3 2 4 2" xfId="8820" xr:uid="{00000000-0005-0000-0000-0000D5200000}"/>
    <cellStyle name="Normal 5 3 2 4 2 2" xfId="8821" xr:uid="{00000000-0005-0000-0000-0000D6200000}"/>
    <cellStyle name="Normal 5 3 2 4 2 3" xfId="8822" xr:uid="{00000000-0005-0000-0000-0000D7200000}"/>
    <cellStyle name="Normal 5 3 2 4 3" xfId="8823" xr:uid="{00000000-0005-0000-0000-0000D8200000}"/>
    <cellStyle name="Normal 5 3 2 4 4" xfId="8824" xr:uid="{00000000-0005-0000-0000-0000D9200000}"/>
    <cellStyle name="Normal 5 3 2 4 5" xfId="8825" xr:uid="{00000000-0005-0000-0000-0000DA200000}"/>
    <cellStyle name="Normal 5 3 2 5" xfId="8826" xr:uid="{00000000-0005-0000-0000-0000DB200000}"/>
    <cellStyle name="Normal 5 3 2 5 2" xfId="8827" xr:uid="{00000000-0005-0000-0000-0000DC200000}"/>
    <cellStyle name="Normal 5 3 2 5 3" xfId="8828" xr:uid="{00000000-0005-0000-0000-0000DD200000}"/>
    <cellStyle name="Normal 5 3 2 6" xfId="8829" xr:uid="{00000000-0005-0000-0000-0000DE200000}"/>
    <cellStyle name="Normal 5 3 2 7" xfId="8830" xr:uid="{00000000-0005-0000-0000-0000DF200000}"/>
    <cellStyle name="Normal 5 3 2 8" xfId="8831" xr:uid="{00000000-0005-0000-0000-0000E0200000}"/>
    <cellStyle name="Normal 5 3 3" xfId="8832" xr:uid="{00000000-0005-0000-0000-0000E1200000}"/>
    <cellStyle name="Normal 5 3 3 2" xfId="8833" xr:uid="{00000000-0005-0000-0000-0000E2200000}"/>
    <cellStyle name="Normal 5 3 3 2 2" xfId="8834" xr:uid="{00000000-0005-0000-0000-0000E3200000}"/>
    <cellStyle name="Normal 5 3 3 2 2 2" xfId="8835" xr:uid="{00000000-0005-0000-0000-0000E4200000}"/>
    <cellStyle name="Normal 5 3 3 2 2 3" xfId="8836" xr:uid="{00000000-0005-0000-0000-0000E5200000}"/>
    <cellStyle name="Normal 5 3 3 2 3" xfId="8837" xr:uid="{00000000-0005-0000-0000-0000E6200000}"/>
    <cellStyle name="Normal 5 3 3 2 4" xfId="8838" xr:uid="{00000000-0005-0000-0000-0000E7200000}"/>
    <cellStyle name="Normal 5 3 3 2 5" xfId="8839" xr:uid="{00000000-0005-0000-0000-0000E8200000}"/>
    <cellStyle name="Normal 5 3 3 3" xfId="8840" xr:uid="{00000000-0005-0000-0000-0000E9200000}"/>
    <cellStyle name="Normal 5 3 3 3 2" xfId="8841" xr:uid="{00000000-0005-0000-0000-0000EA200000}"/>
    <cellStyle name="Normal 5 3 3 3 2 2" xfId="8842" xr:uid="{00000000-0005-0000-0000-0000EB200000}"/>
    <cellStyle name="Normal 5 3 3 3 2 3" xfId="8843" xr:uid="{00000000-0005-0000-0000-0000EC200000}"/>
    <cellStyle name="Normal 5 3 3 3 3" xfId="8844" xr:uid="{00000000-0005-0000-0000-0000ED200000}"/>
    <cellStyle name="Normal 5 3 3 3 4" xfId="8845" xr:uid="{00000000-0005-0000-0000-0000EE200000}"/>
    <cellStyle name="Normal 5 3 3 3 5" xfId="8846" xr:uid="{00000000-0005-0000-0000-0000EF200000}"/>
    <cellStyle name="Normal 5 3 3 4" xfId="8847" xr:uid="{00000000-0005-0000-0000-0000F0200000}"/>
    <cellStyle name="Normal 5 3 3 4 2" xfId="8848" xr:uid="{00000000-0005-0000-0000-0000F1200000}"/>
    <cellStyle name="Normal 5 3 3 4 3" xfId="8849" xr:uid="{00000000-0005-0000-0000-0000F2200000}"/>
    <cellStyle name="Normal 5 3 3 5" xfId="8850" xr:uid="{00000000-0005-0000-0000-0000F3200000}"/>
    <cellStyle name="Normal 5 3 3 6" xfId="8851" xr:uid="{00000000-0005-0000-0000-0000F4200000}"/>
    <cellStyle name="Normal 5 3 3 7" xfId="8852" xr:uid="{00000000-0005-0000-0000-0000F5200000}"/>
    <cellStyle name="Normal 5 3 4" xfId="8853" xr:uid="{00000000-0005-0000-0000-0000F6200000}"/>
    <cellStyle name="Normal 5 3 4 2" xfId="8854" xr:uid="{00000000-0005-0000-0000-0000F7200000}"/>
    <cellStyle name="Normal 5 3 4 2 2" xfId="8855" xr:uid="{00000000-0005-0000-0000-0000F8200000}"/>
    <cellStyle name="Normal 5 3 4 2 3" xfId="8856" xr:uid="{00000000-0005-0000-0000-0000F9200000}"/>
    <cellStyle name="Normal 5 3 4 3" xfId="8857" xr:uid="{00000000-0005-0000-0000-0000FA200000}"/>
    <cellStyle name="Normal 5 3 4 4" xfId="8858" xr:uid="{00000000-0005-0000-0000-0000FB200000}"/>
    <cellStyle name="Normal 5 3 4 5" xfId="8859" xr:uid="{00000000-0005-0000-0000-0000FC200000}"/>
    <cellStyle name="Normal 5 3 5" xfId="8860" xr:uid="{00000000-0005-0000-0000-0000FD200000}"/>
    <cellStyle name="Normal 5 3 5 2" xfId="8861" xr:uid="{00000000-0005-0000-0000-0000FE200000}"/>
    <cellStyle name="Normal 5 3 5 2 2" xfId="8862" xr:uid="{00000000-0005-0000-0000-0000FF200000}"/>
    <cellStyle name="Normal 5 3 5 2 3" xfId="8863" xr:uid="{00000000-0005-0000-0000-000000210000}"/>
    <cellStyle name="Normal 5 3 5 3" xfId="8864" xr:uid="{00000000-0005-0000-0000-000001210000}"/>
    <cellStyle name="Normal 5 3 5 4" xfId="8865" xr:uid="{00000000-0005-0000-0000-000002210000}"/>
    <cellStyle name="Normal 5 3 5 5" xfId="8866" xr:uid="{00000000-0005-0000-0000-000003210000}"/>
    <cellStyle name="Normal 5 3 6" xfId="8867" xr:uid="{00000000-0005-0000-0000-000004210000}"/>
    <cellStyle name="Normal 5 3 6 2" xfId="8868" xr:uid="{00000000-0005-0000-0000-000005210000}"/>
    <cellStyle name="Normal 5 3 6 3" xfId="8869" xr:uid="{00000000-0005-0000-0000-000006210000}"/>
    <cellStyle name="Normal 5 3 7" xfId="8870" xr:uid="{00000000-0005-0000-0000-000007210000}"/>
    <cellStyle name="Normal 5 3 8" xfId="8871" xr:uid="{00000000-0005-0000-0000-000008210000}"/>
    <cellStyle name="Normal 5 3 9" xfId="8872" xr:uid="{00000000-0005-0000-0000-000009210000}"/>
    <cellStyle name="Normal 5 4" xfId="8873" xr:uid="{00000000-0005-0000-0000-00000A210000}"/>
    <cellStyle name="Normal 5 4 2" xfId="8874" xr:uid="{00000000-0005-0000-0000-00000B210000}"/>
    <cellStyle name="Normal 5 4 2 2" xfId="8875" xr:uid="{00000000-0005-0000-0000-00000C210000}"/>
    <cellStyle name="Normal 5 4 2 2 2" xfId="8876" xr:uid="{00000000-0005-0000-0000-00000D210000}"/>
    <cellStyle name="Normal 5 4 2 2 2 2" xfId="8877" xr:uid="{00000000-0005-0000-0000-00000E210000}"/>
    <cellStyle name="Normal 5 4 2 2 2 2 2" xfId="8878" xr:uid="{00000000-0005-0000-0000-00000F210000}"/>
    <cellStyle name="Normal 5 4 2 2 2 2 3" xfId="8879" xr:uid="{00000000-0005-0000-0000-000010210000}"/>
    <cellStyle name="Normal 5 4 2 2 2 3" xfId="8880" xr:uid="{00000000-0005-0000-0000-000011210000}"/>
    <cellStyle name="Normal 5 4 2 2 2 4" xfId="8881" xr:uid="{00000000-0005-0000-0000-000012210000}"/>
    <cellStyle name="Normal 5 4 2 2 2 5" xfId="8882" xr:uid="{00000000-0005-0000-0000-000013210000}"/>
    <cellStyle name="Normal 5 4 2 2 3" xfId="8883" xr:uid="{00000000-0005-0000-0000-000014210000}"/>
    <cellStyle name="Normal 5 4 2 2 3 2" xfId="8884" xr:uid="{00000000-0005-0000-0000-000015210000}"/>
    <cellStyle name="Normal 5 4 2 2 3 2 2" xfId="8885" xr:uid="{00000000-0005-0000-0000-000016210000}"/>
    <cellStyle name="Normal 5 4 2 2 3 2 3" xfId="8886" xr:uid="{00000000-0005-0000-0000-000017210000}"/>
    <cellStyle name="Normal 5 4 2 2 3 3" xfId="8887" xr:uid="{00000000-0005-0000-0000-000018210000}"/>
    <cellStyle name="Normal 5 4 2 2 3 4" xfId="8888" xr:uid="{00000000-0005-0000-0000-000019210000}"/>
    <cellStyle name="Normal 5 4 2 2 3 5" xfId="8889" xr:uid="{00000000-0005-0000-0000-00001A210000}"/>
    <cellStyle name="Normal 5 4 2 2 4" xfId="8890" xr:uid="{00000000-0005-0000-0000-00001B210000}"/>
    <cellStyle name="Normal 5 4 2 2 4 2" xfId="8891" xr:uid="{00000000-0005-0000-0000-00001C210000}"/>
    <cellStyle name="Normal 5 4 2 2 4 3" xfId="8892" xr:uid="{00000000-0005-0000-0000-00001D210000}"/>
    <cellStyle name="Normal 5 4 2 2 5" xfId="8893" xr:uid="{00000000-0005-0000-0000-00001E210000}"/>
    <cellStyle name="Normal 5 4 2 2 6" xfId="8894" xr:uid="{00000000-0005-0000-0000-00001F210000}"/>
    <cellStyle name="Normal 5 4 2 2 7" xfId="8895" xr:uid="{00000000-0005-0000-0000-000020210000}"/>
    <cellStyle name="Normal 5 4 2 3" xfId="8896" xr:uid="{00000000-0005-0000-0000-000021210000}"/>
    <cellStyle name="Normal 5 4 2 3 2" xfId="8897" xr:uid="{00000000-0005-0000-0000-000022210000}"/>
    <cellStyle name="Normal 5 4 2 3 2 2" xfId="8898" xr:uid="{00000000-0005-0000-0000-000023210000}"/>
    <cellStyle name="Normal 5 4 2 3 2 3" xfId="8899" xr:uid="{00000000-0005-0000-0000-000024210000}"/>
    <cellStyle name="Normal 5 4 2 3 3" xfId="8900" xr:uid="{00000000-0005-0000-0000-000025210000}"/>
    <cellStyle name="Normal 5 4 2 3 4" xfId="8901" xr:uid="{00000000-0005-0000-0000-000026210000}"/>
    <cellStyle name="Normal 5 4 2 3 5" xfId="8902" xr:uid="{00000000-0005-0000-0000-000027210000}"/>
    <cellStyle name="Normal 5 4 2 4" xfId="8903" xr:uid="{00000000-0005-0000-0000-000028210000}"/>
    <cellStyle name="Normal 5 4 2 4 2" xfId="8904" xr:uid="{00000000-0005-0000-0000-000029210000}"/>
    <cellStyle name="Normal 5 4 2 4 2 2" xfId="8905" xr:uid="{00000000-0005-0000-0000-00002A210000}"/>
    <cellStyle name="Normal 5 4 2 4 2 3" xfId="8906" xr:uid="{00000000-0005-0000-0000-00002B210000}"/>
    <cellStyle name="Normal 5 4 2 4 3" xfId="8907" xr:uid="{00000000-0005-0000-0000-00002C210000}"/>
    <cellStyle name="Normal 5 4 2 4 4" xfId="8908" xr:uid="{00000000-0005-0000-0000-00002D210000}"/>
    <cellStyle name="Normal 5 4 2 4 5" xfId="8909" xr:uid="{00000000-0005-0000-0000-00002E210000}"/>
    <cellStyle name="Normal 5 4 2 5" xfId="8910" xr:uid="{00000000-0005-0000-0000-00002F210000}"/>
    <cellStyle name="Normal 5 4 2 5 2" xfId="8911" xr:uid="{00000000-0005-0000-0000-000030210000}"/>
    <cellStyle name="Normal 5 4 2 5 3" xfId="8912" xr:uid="{00000000-0005-0000-0000-000031210000}"/>
    <cellStyle name="Normal 5 4 2 6" xfId="8913" xr:uid="{00000000-0005-0000-0000-000032210000}"/>
    <cellStyle name="Normal 5 4 2 7" xfId="8914" xr:uid="{00000000-0005-0000-0000-000033210000}"/>
    <cellStyle name="Normal 5 4 2 8" xfId="8915" xr:uid="{00000000-0005-0000-0000-000034210000}"/>
    <cellStyle name="Normal 5 4 3" xfId="8916" xr:uid="{00000000-0005-0000-0000-000035210000}"/>
    <cellStyle name="Normal 5 4 3 2" xfId="8917" xr:uid="{00000000-0005-0000-0000-000036210000}"/>
    <cellStyle name="Normal 5 4 3 2 2" xfId="8918" xr:uid="{00000000-0005-0000-0000-000037210000}"/>
    <cellStyle name="Normal 5 4 3 2 2 2" xfId="8919" xr:uid="{00000000-0005-0000-0000-000038210000}"/>
    <cellStyle name="Normal 5 4 3 2 2 3" xfId="8920" xr:uid="{00000000-0005-0000-0000-000039210000}"/>
    <cellStyle name="Normal 5 4 3 2 3" xfId="8921" xr:uid="{00000000-0005-0000-0000-00003A210000}"/>
    <cellStyle name="Normal 5 4 3 2 4" xfId="8922" xr:uid="{00000000-0005-0000-0000-00003B210000}"/>
    <cellStyle name="Normal 5 4 3 2 5" xfId="8923" xr:uid="{00000000-0005-0000-0000-00003C210000}"/>
    <cellStyle name="Normal 5 4 3 3" xfId="8924" xr:uid="{00000000-0005-0000-0000-00003D210000}"/>
    <cellStyle name="Normal 5 4 3 3 2" xfId="8925" xr:uid="{00000000-0005-0000-0000-00003E210000}"/>
    <cellStyle name="Normal 5 4 3 3 2 2" xfId="8926" xr:uid="{00000000-0005-0000-0000-00003F210000}"/>
    <cellStyle name="Normal 5 4 3 3 2 3" xfId="8927" xr:uid="{00000000-0005-0000-0000-000040210000}"/>
    <cellStyle name="Normal 5 4 3 3 3" xfId="8928" xr:uid="{00000000-0005-0000-0000-000041210000}"/>
    <cellStyle name="Normal 5 4 3 3 4" xfId="8929" xr:uid="{00000000-0005-0000-0000-000042210000}"/>
    <cellStyle name="Normal 5 4 3 3 5" xfId="8930" xr:uid="{00000000-0005-0000-0000-000043210000}"/>
    <cellStyle name="Normal 5 4 3 4" xfId="8931" xr:uid="{00000000-0005-0000-0000-000044210000}"/>
    <cellStyle name="Normal 5 4 3 4 2" xfId="8932" xr:uid="{00000000-0005-0000-0000-000045210000}"/>
    <cellStyle name="Normal 5 4 3 4 3" xfId="8933" xr:uid="{00000000-0005-0000-0000-000046210000}"/>
    <cellStyle name="Normal 5 4 3 5" xfId="8934" xr:uid="{00000000-0005-0000-0000-000047210000}"/>
    <cellStyle name="Normal 5 4 3 6" xfId="8935" xr:uid="{00000000-0005-0000-0000-000048210000}"/>
    <cellStyle name="Normal 5 4 3 7" xfId="8936" xr:uid="{00000000-0005-0000-0000-000049210000}"/>
    <cellStyle name="Normal 5 4 4" xfId="8937" xr:uid="{00000000-0005-0000-0000-00004A210000}"/>
    <cellStyle name="Normal 5 4 4 2" xfId="8938" xr:uid="{00000000-0005-0000-0000-00004B210000}"/>
    <cellStyle name="Normal 5 4 4 2 2" xfId="8939" xr:uid="{00000000-0005-0000-0000-00004C210000}"/>
    <cellStyle name="Normal 5 4 4 2 3" xfId="8940" xr:uid="{00000000-0005-0000-0000-00004D210000}"/>
    <cellStyle name="Normal 5 4 4 3" xfId="8941" xr:uid="{00000000-0005-0000-0000-00004E210000}"/>
    <cellStyle name="Normal 5 4 4 4" xfId="8942" xr:uid="{00000000-0005-0000-0000-00004F210000}"/>
    <cellStyle name="Normal 5 4 4 5" xfId="8943" xr:uid="{00000000-0005-0000-0000-000050210000}"/>
    <cellStyle name="Normal 5 4 5" xfId="8944" xr:uid="{00000000-0005-0000-0000-000051210000}"/>
    <cellStyle name="Normal 5 4 5 2" xfId="8945" xr:uid="{00000000-0005-0000-0000-000052210000}"/>
    <cellStyle name="Normal 5 4 5 2 2" xfId="8946" xr:uid="{00000000-0005-0000-0000-000053210000}"/>
    <cellStyle name="Normal 5 4 5 2 3" xfId="8947" xr:uid="{00000000-0005-0000-0000-000054210000}"/>
    <cellStyle name="Normal 5 4 5 3" xfId="8948" xr:uid="{00000000-0005-0000-0000-000055210000}"/>
    <cellStyle name="Normal 5 4 5 4" xfId="8949" xr:uid="{00000000-0005-0000-0000-000056210000}"/>
    <cellStyle name="Normal 5 4 5 5" xfId="8950" xr:uid="{00000000-0005-0000-0000-000057210000}"/>
    <cellStyle name="Normal 5 4 6" xfId="8951" xr:uid="{00000000-0005-0000-0000-000058210000}"/>
    <cellStyle name="Normal 5 4 6 2" xfId="8952" xr:uid="{00000000-0005-0000-0000-000059210000}"/>
    <cellStyle name="Normal 5 4 6 3" xfId="8953" xr:uid="{00000000-0005-0000-0000-00005A210000}"/>
    <cellStyle name="Normal 5 4 7" xfId="8954" xr:uid="{00000000-0005-0000-0000-00005B210000}"/>
    <cellStyle name="Normal 5 4 8" xfId="8955" xr:uid="{00000000-0005-0000-0000-00005C210000}"/>
    <cellStyle name="Normal 5 4 9" xfId="8956" xr:uid="{00000000-0005-0000-0000-00005D210000}"/>
    <cellStyle name="Normal 5 5" xfId="8957" xr:uid="{00000000-0005-0000-0000-00005E210000}"/>
    <cellStyle name="Normal 5 5 2" xfId="8958" xr:uid="{00000000-0005-0000-0000-00005F210000}"/>
    <cellStyle name="Normal 5 5 2 2" xfId="8959" xr:uid="{00000000-0005-0000-0000-000060210000}"/>
    <cellStyle name="Normal 5 5 2 2 2" xfId="8960" xr:uid="{00000000-0005-0000-0000-000061210000}"/>
    <cellStyle name="Normal 5 5 2 2 2 2" xfId="8961" xr:uid="{00000000-0005-0000-0000-000062210000}"/>
    <cellStyle name="Normal 5 5 2 2 2 2 2" xfId="8962" xr:uid="{00000000-0005-0000-0000-000063210000}"/>
    <cellStyle name="Normal 5 5 2 2 2 2 3" xfId="8963" xr:uid="{00000000-0005-0000-0000-000064210000}"/>
    <cellStyle name="Normal 5 5 2 2 2 3" xfId="8964" xr:uid="{00000000-0005-0000-0000-000065210000}"/>
    <cellStyle name="Normal 5 5 2 2 2 4" xfId="8965" xr:uid="{00000000-0005-0000-0000-000066210000}"/>
    <cellStyle name="Normal 5 5 2 2 2 5" xfId="8966" xr:uid="{00000000-0005-0000-0000-000067210000}"/>
    <cellStyle name="Normal 5 5 2 2 3" xfId="8967" xr:uid="{00000000-0005-0000-0000-000068210000}"/>
    <cellStyle name="Normal 5 5 2 2 3 2" xfId="8968" xr:uid="{00000000-0005-0000-0000-000069210000}"/>
    <cellStyle name="Normal 5 5 2 2 3 2 2" xfId="8969" xr:uid="{00000000-0005-0000-0000-00006A210000}"/>
    <cellStyle name="Normal 5 5 2 2 3 2 3" xfId="8970" xr:uid="{00000000-0005-0000-0000-00006B210000}"/>
    <cellStyle name="Normal 5 5 2 2 3 3" xfId="8971" xr:uid="{00000000-0005-0000-0000-00006C210000}"/>
    <cellStyle name="Normal 5 5 2 2 3 4" xfId="8972" xr:uid="{00000000-0005-0000-0000-00006D210000}"/>
    <cellStyle name="Normal 5 5 2 2 3 5" xfId="8973" xr:uid="{00000000-0005-0000-0000-00006E210000}"/>
    <cellStyle name="Normal 5 5 2 2 4" xfId="8974" xr:uid="{00000000-0005-0000-0000-00006F210000}"/>
    <cellStyle name="Normal 5 5 2 2 4 2" xfId="8975" xr:uid="{00000000-0005-0000-0000-000070210000}"/>
    <cellStyle name="Normal 5 5 2 2 4 3" xfId="8976" xr:uid="{00000000-0005-0000-0000-000071210000}"/>
    <cellStyle name="Normal 5 5 2 2 5" xfId="8977" xr:uid="{00000000-0005-0000-0000-000072210000}"/>
    <cellStyle name="Normal 5 5 2 2 6" xfId="8978" xr:uid="{00000000-0005-0000-0000-000073210000}"/>
    <cellStyle name="Normal 5 5 2 2 7" xfId="8979" xr:uid="{00000000-0005-0000-0000-000074210000}"/>
    <cellStyle name="Normal 5 5 2 3" xfId="8980" xr:uid="{00000000-0005-0000-0000-000075210000}"/>
    <cellStyle name="Normal 5 5 2 3 2" xfId="8981" xr:uid="{00000000-0005-0000-0000-000076210000}"/>
    <cellStyle name="Normal 5 5 2 3 2 2" xfId="8982" xr:uid="{00000000-0005-0000-0000-000077210000}"/>
    <cellStyle name="Normal 5 5 2 3 2 3" xfId="8983" xr:uid="{00000000-0005-0000-0000-000078210000}"/>
    <cellStyle name="Normal 5 5 2 3 3" xfId="8984" xr:uid="{00000000-0005-0000-0000-000079210000}"/>
    <cellStyle name="Normal 5 5 2 3 4" xfId="8985" xr:uid="{00000000-0005-0000-0000-00007A210000}"/>
    <cellStyle name="Normal 5 5 2 3 5" xfId="8986" xr:uid="{00000000-0005-0000-0000-00007B210000}"/>
    <cellStyle name="Normal 5 5 2 4" xfId="8987" xr:uid="{00000000-0005-0000-0000-00007C210000}"/>
    <cellStyle name="Normal 5 5 2 4 2" xfId="8988" xr:uid="{00000000-0005-0000-0000-00007D210000}"/>
    <cellStyle name="Normal 5 5 2 4 2 2" xfId="8989" xr:uid="{00000000-0005-0000-0000-00007E210000}"/>
    <cellStyle name="Normal 5 5 2 4 2 3" xfId="8990" xr:uid="{00000000-0005-0000-0000-00007F210000}"/>
    <cellStyle name="Normal 5 5 2 4 3" xfId="8991" xr:uid="{00000000-0005-0000-0000-000080210000}"/>
    <cellStyle name="Normal 5 5 2 4 4" xfId="8992" xr:uid="{00000000-0005-0000-0000-000081210000}"/>
    <cellStyle name="Normal 5 5 2 4 5" xfId="8993" xr:uid="{00000000-0005-0000-0000-000082210000}"/>
    <cellStyle name="Normal 5 5 2 5" xfId="8994" xr:uid="{00000000-0005-0000-0000-000083210000}"/>
    <cellStyle name="Normal 5 5 2 5 2" xfId="8995" xr:uid="{00000000-0005-0000-0000-000084210000}"/>
    <cellStyle name="Normal 5 5 2 5 3" xfId="8996" xr:uid="{00000000-0005-0000-0000-000085210000}"/>
    <cellStyle name="Normal 5 5 2 6" xfId="8997" xr:uid="{00000000-0005-0000-0000-000086210000}"/>
    <cellStyle name="Normal 5 5 2 7" xfId="8998" xr:uid="{00000000-0005-0000-0000-000087210000}"/>
    <cellStyle name="Normal 5 5 2 8" xfId="8999" xr:uid="{00000000-0005-0000-0000-000088210000}"/>
    <cellStyle name="Normal 5 5 3" xfId="9000" xr:uid="{00000000-0005-0000-0000-000089210000}"/>
    <cellStyle name="Normal 5 5 3 2" xfId="9001" xr:uid="{00000000-0005-0000-0000-00008A210000}"/>
    <cellStyle name="Normal 5 5 3 2 2" xfId="9002" xr:uid="{00000000-0005-0000-0000-00008B210000}"/>
    <cellStyle name="Normal 5 5 3 2 2 2" xfId="9003" xr:uid="{00000000-0005-0000-0000-00008C210000}"/>
    <cellStyle name="Normal 5 5 3 2 2 3" xfId="9004" xr:uid="{00000000-0005-0000-0000-00008D210000}"/>
    <cellStyle name="Normal 5 5 3 2 3" xfId="9005" xr:uid="{00000000-0005-0000-0000-00008E210000}"/>
    <cellStyle name="Normal 5 5 3 2 4" xfId="9006" xr:uid="{00000000-0005-0000-0000-00008F210000}"/>
    <cellStyle name="Normal 5 5 3 2 5" xfId="9007" xr:uid="{00000000-0005-0000-0000-000090210000}"/>
    <cellStyle name="Normal 5 5 3 3" xfId="9008" xr:uid="{00000000-0005-0000-0000-000091210000}"/>
    <cellStyle name="Normal 5 5 3 3 2" xfId="9009" xr:uid="{00000000-0005-0000-0000-000092210000}"/>
    <cellStyle name="Normal 5 5 3 3 2 2" xfId="9010" xr:uid="{00000000-0005-0000-0000-000093210000}"/>
    <cellStyle name="Normal 5 5 3 3 2 3" xfId="9011" xr:uid="{00000000-0005-0000-0000-000094210000}"/>
    <cellStyle name="Normal 5 5 3 3 3" xfId="9012" xr:uid="{00000000-0005-0000-0000-000095210000}"/>
    <cellStyle name="Normal 5 5 3 3 4" xfId="9013" xr:uid="{00000000-0005-0000-0000-000096210000}"/>
    <cellStyle name="Normal 5 5 3 3 5" xfId="9014" xr:uid="{00000000-0005-0000-0000-000097210000}"/>
    <cellStyle name="Normal 5 5 3 4" xfId="9015" xr:uid="{00000000-0005-0000-0000-000098210000}"/>
    <cellStyle name="Normal 5 5 3 4 2" xfId="9016" xr:uid="{00000000-0005-0000-0000-000099210000}"/>
    <cellStyle name="Normal 5 5 3 4 3" xfId="9017" xr:uid="{00000000-0005-0000-0000-00009A210000}"/>
    <cellStyle name="Normal 5 5 3 5" xfId="9018" xr:uid="{00000000-0005-0000-0000-00009B210000}"/>
    <cellStyle name="Normal 5 5 3 6" xfId="9019" xr:uid="{00000000-0005-0000-0000-00009C210000}"/>
    <cellStyle name="Normal 5 5 3 7" xfId="9020" xr:uid="{00000000-0005-0000-0000-00009D210000}"/>
    <cellStyle name="Normal 5 5 4" xfId="9021" xr:uid="{00000000-0005-0000-0000-00009E210000}"/>
    <cellStyle name="Normal 5 5 4 2" xfId="9022" xr:uid="{00000000-0005-0000-0000-00009F210000}"/>
    <cellStyle name="Normal 5 5 4 2 2" xfId="9023" xr:uid="{00000000-0005-0000-0000-0000A0210000}"/>
    <cellStyle name="Normal 5 5 4 2 3" xfId="9024" xr:uid="{00000000-0005-0000-0000-0000A1210000}"/>
    <cellStyle name="Normal 5 5 4 3" xfId="9025" xr:uid="{00000000-0005-0000-0000-0000A2210000}"/>
    <cellStyle name="Normal 5 5 4 4" xfId="9026" xr:uid="{00000000-0005-0000-0000-0000A3210000}"/>
    <cellStyle name="Normal 5 5 4 5" xfId="9027" xr:uid="{00000000-0005-0000-0000-0000A4210000}"/>
    <cellStyle name="Normal 5 5 5" xfId="9028" xr:uid="{00000000-0005-0000-0000-0000A5210000}"/>
    <cellStyle name="Normal 5 5 5 2" xfId="9029" xr:uid="{00000000-0005-0000-0000-0000A6210000}"/>
    <cellStyle name="Normal 5 5 5 2 2" xfId="9030" xr:uid="{00000000-0005-0000-0000-0000A7210000}"/>
    <cellStyle name="Normal 5 5 5 2 3" xfId="9031" xr:uid="{00000000-0005-0000-0000-0000A8210000}"/>
    <cellStyle name="Normal 5 5 5 3" xfId="9032" xr:uid="{00000000-0005-0000-0000-0000A9210000}"/>
    <cellStyle name="Normal 5 5 5 4" xfId="9033" xr:uid="{00000000-0005-0000-0000-0000AA210000}"/>
    <cellStyle name="Normal 5 5 5 5" xfId="9034" xr:uid="{00000000-0005-0000-0000-0000AB210000}"/>
    <cellStyle name="Normal 5 5 6" xfId="9035" xr:uid="{00000000-0005-0000-0000-0000AC210000}"/>
    <cellStyle name="Normal 5 5 6 2" xfId="9036" xr:uid="{00000000-0005-0000-0000-0000AD210000}"/>
    <cellStyle name="Normal 5 5 6 3" xfId="9037" xr:uid="{00000000-0005-0000-0000-0000AE210000}"/>
    <cellStyle name="Normal 5 5 7" xfId="9038" xr:uid="{00000000-0005-0000-0000-0000AF210000}"/>
    <cellStyle name="Normal 5 5 8" xfId="9039" xr:uid="{00000000-0005-0000-0000-0000B0210000}"/>
    <cellStyle name="Normal 5 5 9" xfId="9040" xr:uid="{00000000-0005-0000-0000-0000B1210000}"/>
    <cellStyle name="Normal 5 6" xfId="9041" xr:uid="{00000000-0005-0000-0000-0000B2210000}"/>
    <cellStyle name="Normal 5 6 2" xfId="9042" xr:uid="{00000000-0005-0000-0000-0000B3210000}"/>
    <cellStyle name="Normal 5 6 2 2" xfId="9043" xr:uid="{00000000-0005-0000-0000-0000B4210000}"/>
    <cellStyle name="Normal 5 6 2 2 2" xfId="9044" xr:uid="{00000000-0005-0000-0000-0000B5210000}"/>
    <cellStyle name="Normal 5 6 2 2 2 2" xfId="9045" xr:uid="{00000000-0005-0000-0000-0000B6210000}"/>
    <cellStyle name="Normal 5 6 2 2 2 3" xfId="9046" xr:uid="{00000000-0005-0000-0000-0000B7210000}"/>
    <cellStyle name="Normal 5 6 2 2 3" xfId="9047" xr:uid="{00000000-0005-0000-0000-0000B8210000}"/>
    <cellStyle name="Normal 5 6 2 2 4" xfId="9048" xr:uid="{00000000-0005-0000-0000-0000B9210000}"/>
    <cellStyle name="Normal 5 6 2 2 5" xfId="9049" xr:uid="{00000000-0005-0000-0000-0000BA210000}"/>
    <cellStyle name="Normal 5 6 2 3" xfId="9050" xr:uid="{00000000-0005-0000-0000-0000BB210000}"/>
    <cellStyle name="Normal 5 6 2 3 2" xfId="9051" xr:uid="{00000000-0005-0000-0000-0000BC210000}"/>
    <cellStyle name="Normal 5 6 2 3 2 2" xfId="9052" xr:uid="{00000000-0005-0000-0000-0000BD210000}"/>
    <cellStyle name="Normal 5 6 2 3 2 3" xfId="9053" xr:uid="{00000000-0005-0000-0000-0000BE210000}"/>
    <cellStyle name="Normal 5 6 2 3 3" xfId="9054" xr:uid="{00000000-0005-0000-0000-0000BF210000}"/>
    <cellStyle name="Normal 5 6 2 3 4" xfId="9055" xr:uid="{00000000-0005-0000-0000-0000C0210000}"/>
    <cellStyle name="Normal 5 6 2 3 5" xfId="9056" xr:uid="{00000000-0005-0000-0000-0000C1210000}"/>
    <cellStyle name="Normal 5 6 2 4" xfId="9057" xr:uid="{00000000-0005-0000-0000-0000C2210000}"/>
    <cellStyle name="Normal 5 6 2 4 2" xfId="9058" xr:uid="{00000000-0005-0000-0000-0000C3210000}"/>
    <cellStyle name="Normal 5 6 2 4 3" xfId="9059" xr:uid="{00000000-0005-0000-0000-0000C4210000}"/>
    <cellStyle name="Normal 5 6 2 5" xfId="9060" xr:uid="{00000000-0005-0000-0000-0000C5210000}"/>
    <cellStyle name="Normal 5 6 2 6" xfId="9061" xr:uid="{00000000-0005-0000-0000-0000C6210000}"/>
    <cellStyle name="Normal 5 6 2 7" xfId="9062" xr:uid="{00000000-0005-0000-0000-0000C7210000}"/>
    <cellStyle name="Normal 5 6 3" xfId="9063" xr:uid="{00000000-0005-0000-0000-0000C8210000}"/>
    <cellStyle name="Normal 5 6 3 2" xfId="9064" xr:uid="{00000000-0005-0000-0000-0000C9210000}"/>
    <cellStyle name="Normal 5 6 3 2 2" xfId="9065" xr:uid="{00000000-0005-0000-0000-0000CA210000}"/>
    <cellStyle name="Normal 5 6 3 2 3" xfId="9066" xr:uid="{00000000-0005-0000-0000-0000CB210000}"/>
    <cellStyle name="Normal 5 6 3 3" xfId="9067" xr:uid="{00000000-0005-0000-0000-0000CC210000}"/>
    <cellStyle name="Normal 5 6 3 4" xfId="9068" xr:uid="{00000000-0005-0000-0000-0000CD210000}"/>
    <cellStyle name="Normal 5 6 3 5" xfId="9069" xr:uid="{00000000-0005-0000-0000-0000CE210000}"/>
    <cellStyle name="Normal 5 6 4" xfId="9070" xr:uid="{00000000-0005-0000-0000-0000CF210000}"/>
    <cellStyle name="Normal 5 6 4 2" xfId="9071" xr:uid="{00000000-0005-0000-0000-0000D0210000}"/>
    <cellStyle name="Normal 5 6 4 2 2" xfId="9072" xr:uid="{00000000-0005-0000-0000-0000D1210000}"/>
    <cellStyle name="Normal 5 6 4 2 3" xfId="9073" xr:uid="{00000000-0005-0000-0000-0000D2210000}"/>
    <cellStyle name="Normal 5 6 4 3" xfId="9074" xr:uid="{00000000-0005-0000-0000-0000D3210000}"/>
    <cellStyle name="Normal 5 6 4 4" xfId="9075" xr:uid="{00000000-0005-0000-0000-0000D4210000}"/>
    <cellStyle name="Normal 5 6 4 5" xfId="9076" xr:uid="{00000000-0005-0000-0000-0000D5210000}"/>
    <cellStyle name="Normal 5 6 5" xfId="9077" xr:uid="{00000000-0005-0000-0000-0000D6210000}"/>
    <cellStyle name="Normal 5 6 5 2" xfId="9078" xr:uid="{00000000-0005-0000-0000-0000D7210000}"/>
    <cellStyle name="Normal 5 6 5 3" xfId="9079" xr:uid="{00000000-0005-0000-0000-0000D8210000}"/>
    <cellStyle name="Normal 5 6 6" xfId="9080" xr:uid="{00000000-0005-0000-0000-0000D9210000}"/>
    <cellStyle name="Normal 5 6 7" xfId="9081" xr:uid="{00000000-0005-0000-0000-0000DA210000}"/>
    <cellStyle name="Normal 5 6 8" xfId="9082" xr:uid="{00000000-0005-0000-0000-0000DB210000}"/>
    <cellStyle name="Normal 5 7" xfId="9083" xr:uid="{00000000-0005-0000-0000-0000DC210000}"/>
    <cellStyle name="Normal 5 7 2" xfId="9084" xr:uid="{00000000-0005-0000-0000-0000DD210000}"/>
    <cellStyle name="Normal 5 7 2 2" xfId="9085" xr:uid="{00000000-0005-0000-0000-0000DE210000}"/>
    <cellStyle name="Normal 5 7 2 2 2" xfId="9086" xr:uid="{00000000-0005-0000-0000-0000DF210000}"/>
    <cellStyle name="Normal 5 7 2 2 3" xfId="9087" xr:uid="{00000000-0005-0000-0000-0000E0210000}"/>
    <cellStyle name="Normal 5 7 2 3" xfId="9088" xr:uid="{00000000-0005-0000-0000-0000E1210000}"/>
    <cellStyle name="Normal 5 7 2 4" xfId="9089" xr:uid="{00000000-0005-0000-0000-0000E2210000}"/>
    <cellStyle name="Normal 5 7 2 5" xfId="9090" xr:uid="{00000000-0005-0000-0000-0000E3210000}"/>
    <cellStyle name="Normal 5 7 3" xfId="9091" xr:uid="{00000000-0005-0000-0000-0000E4210000}"/>
    <cellStyle name="Normal 5 7 3 2" xfId="9092" xr:uid="{00000000-0005-0000-0000-0000E5210000}"/>
    <cellStyle name="Normal 5 7 3 2 2" xfId="9093" xr:uid="{00000000-0005-0000-0000-0000E6210000}"/>
    <cellStyle name="Normal 5 7 3 2 3" xfId="9094" xr:uid="{00000000-0005-0000-0000-0000E7210000}"/>
    <cellStyle name="Normal 5 7 3 3" xfId="9095" xr:uid="{00000000-0005-0000-0000-0000E8210000}"/>
    <cellStyle name="Normal 5 7 3 4" xfId="9096" xr:uid="{00000000-0005-0000-0000-0000E9210000}"/>
    <cellStyle name="Normal 5 7 3 5" xfId="9097" xr:uid="{00000000-0005-0000-0000-0000EA210000}"/>
    <cellStyle name="Normal 5 8" xfId="9098" xr:uid="{00000000-0005-0000-0000-0000EB210000}"/>
    <cellStyle name="Normal 5 8 2" xfId="9099" xr:uid="{00000000-0005-0000-0000-0000EC210000}"/>
    <cellStyle name="Normal 5 8 2 2" xfId="9100" xr:uid="{00000000-0005-0000-0000-0000ED210000}"/>
    <cellStyle name="Normal 5 8 2 2 2" xfId="9101" xr:uid="{00000000-0005-0000-0000-0000EE210000}"/>
    <cellStyle name="Normal 5 8 2 2 3" xfId="9102" xr:uid="{00000000-0005-0000-0000-0000EF210000}"/>
    <cellStyle name="Normal 5 8 2 3" xfId="9103" xr:uid="{00000000-0005-0000-0000-0000F0210000}"/>
    <cellStyle name="Normal 5 8 2 4" xfId="9104" xr:uid="{00000000-0005-0000-0000-0000F1210000}"/>
    <cellStyle name="Normal 5 8 2 5" xfId="9105" xr:uid="{00000000-0005-0000-0000-0000F2210000}"/>
    <cellStyle name="Normal 5 8 3" xfId="9106" xr:uid="{00000000-0005-0000-0000-0000F3210000}"/>
    <cellStyle name="Normal 5 8 3 2" xfId="9107" xr:uid="{00000000-0005-0000-0000-0000F4210000}"/>
    <cellStyle name="Normal 5 8 3 2 2" xfId="9108" xr:uid="{00000000-0005-0000-0000-0000F5210000}"/>
    <cellStyle name="Normal 5 8 3 2 3" xfId="9109" xr:uid="{00000000-0005-0000-0000-0000F6210000}"/>
    <cellStyle name="Normal 5 8 3 3" xfId="9110" xr:uid="{00000000-0005-0000-0000-0000F7210000}"/>
    <cellStyle name="Normal 5 8 3 4" xfId="9111" xr:uid="{00000000-0005-0000-0000-0000F8210000}"/>
    <cellStyle name="Normal 5 8 3 5" xfId="9112" xr:uid="{00000000-0005-0000-0000-0000F9210000}"/>
    <cellStyle name="Normal 5 8 4" xfId="9113" xr:uid="{00000000-0005-0000-0000-0000FA210000}"/>
    <cellStyle name="Normal 5 8 4 2" xfId="9114" xr:uid="{00000000-0005-0000-0000-0000FB210000}"/>
    <cellStyle name="Normal 5 8 4 3" xfId="9115" xr:uid="{00000000-0005-0000-0000-0000FC210000}"/>
    <cellStyle name="Normal 5 8 5" xfId="9116" xr:uid="{00000000-0005-0000-0000-0000FD210000}"/>
    <cellStyle name="Normal 5 8 6" xfId="9117" xr:uid="{00000000-0005-0000-0000-0000FE210000}"/>
    <cellStyle name="Normal 5 8 7" xfId="9118" xr:uid="{00000000-0005-0000-0000-0000FF210000}"/>
    <cellStyle name="Normal 5 9" xfId="9119" xr:uid="{00000000-0005-0000-0000-000000220000}"/>
    <cellStyle name="Normal 5 9 2" xfId="9120" xr:uid="{00000000-0005-0000-0000-000001220000}"/>
    <cellStyle name="Normal 5 9 2 2" xfId="9121" xr:uid="{00000000-0005-0000-0000-000002220000}"/>
    <cellStyle name="Normal 5 9 2 3" xfId="9122" xr:uid="{00000000-0005-0000-0000-000003220000}"/>
    <cellStyle name="Normal 5 9 3" xfId="9123" xr:uid="{00000000-0005-0000-0000-000004220000}"/>
    <cellStyle name="Normal 5 9 4" xfId="9124" xr:uid="{00000000-0005-0000-0000-000005220000}"/>
    <cellStyle name="Normal 5 9 5" xfId="9125" xr:uid="{00000000-0005-0000-0000-000006220000}"/>
    <cellStyle name="Normal 53" xfId="9126" xr:uid="{00000000-0005-0000-0000-000007220000}"/>
    <cellStyle name="Normal 53 2" xfId="9127" xr:uid="{00000000-0005-0000-0000-000008220000}"/>
    <cellStyle name="Normal 6" xfId="193" xr:uid="{00000000-0005-0000-0000-000009220000}"/>
    <cellStyle name="Normal 6 10" xfId="773" xr:uid="{00000000-0005-0000-0000-00000A220000}"/>
    <cellStyle name="Normal 6 10 2" xfId="989" xr:uid="{00000000-0005-0000-0000-00000B220000}"/>
    <cellStyle name="Normal 6 10 2 2" xfId="9746" xr:uid="{00000000-0005-0000-0000-00000C220000}"/>
    <cellStyle name="Normal 6 10 3" xfId="9530" xr:uid="{00000000-0005-0000-0000-00000D220000}"/>
    <cellStyle name="Normal 6 11" xfId="845" xr:uid="{00000000-0005-0000-0000-00000E220000}"/>
    <cellStyle name="Normal 6 11 2" xfId="9602" xr:uid="{00000000-0005-0000-0000-00000F220000}"/>
    <cellStyle name="Normal 6 12" xfId="9384" xr:uid="{00000000-0005-0000-0000-000010220000}"/>
    <cellStyle name="Normal 6 2" xfId="194" xr:uid="{00000000-0005-0000-0000-000011220000}"/>
    <cellStyle name="Normal 6 2 10" xfId="9385" xr:uid="{00000000-0005-0000-0000-000012220000}"/>
    <cellStyle name="Normal 6 2 2" xfId="195" xr:uid="{00000000-0005-0000-0000-000013220000}"/>
    <cellStyle name="Normal 6 2 2 2" xfId="196" xr:uid="{00000000-0005-0000-0000-000014220000}"/>
    <cellStyle name="Normal 6 2 2 2 2" xfId="371" xr:uid="{00000000-0005-0000-0000-000015220000}"/>
    <cellStyle name="Normal 6 2 2 2 2 2" xfId="705" xr:uid="{00000000-0005-0000-0000-000016220000}"/>
    <cellStyle name="Normal 6 2 2 2 2 2 2" xfId="933" xr:uid="{00000000-0005-0000-0000-000017220000}"/>
    <cellStyle name="Normal 6 2 2 2 2 2 2 2" xfId="9690" xr:uid="{00000000-0005-0000-0000-000018220000}"/>
    <cellStyle name="Normal 6 2 2 2 2 2 3" xfId="9474" xr:uid="{00000000-0005-0000-0000-000019220000}"/>
    <cellStyle name="Normal 6 2 2 2 2 3" xfId="789" xr:uid="{00000000-0005-0000-0000-00001A220000}"/>
    <cellStyle name="Normal 6 2 2 2 2 3 2" xfId="1005" xr:uid="{00000000-0005-0000-0000-00001B220000}"/>
    <cellStyle name="Normal 6 2 2 2 2 3 2 2" xfId="9762" xr:uid="{00000000-0005-0000-0000-00001C220000}"/>
    <cellStyle name="Normal 6 2 2 2 2 3 3" xfId="9546" xr:uid="{00000000-0005-0000-0000-00001D220000}"/>
    <cellStyle name="Normal 6 2 2 2 2 4" xfId="861" xr:uid="{00000000-0005-0000-0000-00001E220000}"/>
    <cellStyle name="Normal 6 2 2 2 2 4 2" xfId="9618" xr:uid="{00000000-0005-0000-0000-00001F220000}"/>
    <cellStyle name="Normal 6 2 2 2 2 5" xfId="9402" xr:uid="{00000000-0005-0000-0000-000020220000}"/>
    <cellStyle name="Normal 6 2 2 2 3" xfId="413" xr:uid="{00000000-0005-0000-0000-000021220000}"/>
    <cellStyle name="Normal 6 2 2 2 3 2" xfId="718" xr:uid="{00000000-0005-0000-0000-000022220000}"/>
    <cellStyle name="Normal 6 2 2 2 3 2 2" xfId="946" xr:uid="{00000000-0005-0000-0000-000023220000}"/>
    <cellStyle name="Normal 6 2 2 2 3 2 2 2" xfId="9703" xr:uid="{00000000-0005-0000-0000-000024220000}"/>
    <cellStyle name="Normal 6 2 2 2 3 2 3" xfId="9487" xr:uid="{00000000-0005-0000-0000-000025220000}"/>
    <cellStyle name="Normal 6 2 2 2 3 3" xfId="802" xr:uid="{00000000-0005-0000-0000-000026220000}"/>
    <cellStyle name="Normal 6 2 2 2 3 3 2" xfId="1018" xr:uid="{00000000-0005-0000-0000-000027220000}"/>
    <cellStyle name="Normal 6 2 2 2 3 3 2 2" xfId="9775" xr:uid="{00000000-0005-0000-0000-000028220000}"/>
    <cellStyle name="Normal 6 2 2 2 3 3 3" xfId="9559" xr:uid="{00000000-0005-0000-0000-000029220000}"/>
    <cellStyle name="Normal 6 2 2 2 3 4" xfId="874" xr:uid="{00000000-0005-0000-0000-00002A220000}"/>
    <cellStyle name="Normal 6 2 2 2 3 4 2" xfId="9631" xr:uid="{00000000-0005-0000-0000-00002B220000}"/>
    <cellStyle name="Normal 6 2 2 2 3 5" xfId="9415" xr:uid="{00000000-0005-0000-0000-00002C220000}"/>
    <cellStyle name="Normal 6 2 2 2 4" xfId="652" xr:uid="{00000000-0005-0000-0000-00002D220000}"/>
    <cellStyle name="Normal 6 2 2 2 4 2" xfId="757" xr:uid="{00000000-0005-0000-0000-00002E220000}"/>
    <cellStyle name="Normal 6 2 2 2 4 2 2" xfId="973" xr:uid="{00000000-0005-0000-0000-00002F220000}"/>
    <cellStyle name="Normal 6 2 2 2 4 2 2 2" xfId="9730" xr:uid="{00000000-0005-0000-0000-000030220000}"/>
    <cellStyle name="Normal 6 2 2 2 4 2 3" xfId="9514" xr:uid="{00000000-0005-0000-0000-000031220000}"/>
    <cellStyle name="Normal 6 2 2 2 4 3" xfId="829" xr:uid="{00000000-0005-0000-0000-000032220000}"/>
    <cellStyle name="Normal 6 2 2 2 4 3 2" xfId="1045" xr:uid="{00000000-0005-0000-0000-000033220000}"/>
    <cellStyle name="Normal 6 2 2 2 4 3 2 2" xfId="9802" xr:uid="{00000000-0005-0000-0000-000034220000}"/>
    <cellStyle name="Normal 6 2 2 2 4 3 3" xfId="9586" xr:uid="{00000000-0005-0000-0000-000035220000}"/>
    <cellStyle name="Normal 6 2 2 2 4 4" xfId="901" xr:uid="{00000000-0005-0000-0000-000036220000}"/>
    <cellStyle name="Normal 6 2 2 2 4 4 2" xfId="9658" xr:uid="{00000000-0005-0000-0000-000037220000}"/>
    <cellStyle name="Normal 6 2 2 2 4 5" xfId="9442" xr:uid="{00000000-0005-0000-0000-000038220000}"/>
    <cellStyle name="Normal 6 2 2 2 5" xfId="691" xr:uid="{00000000-0005-0000-0000-000039220000}"/>
    <cellStyle name="Normal 6 2 2 2 5 2" xfId="920" xr:uid="{00000000-0005-0000-0000-00003A220000}"/>
    <cellStyle name="Normal 6 2 2 2 5 2 2" xfId="9677" xr:uid="{00000000-0005-0000-0000-00003B220000}"/>
    <cellStyle name="Normal 6 2 2 2 5 3" xfId="9461" xr:uid="{00000000-0005-0000-0000-00003C220000}"/>
    <cellStyle name="Normal 6 2 2 2 6" xfId="776" xr:uid="{00000000-0005-0000-0000-00003D220000}"/>
    <cellStyle name="Normal 6 2 2 2 6 2" xfId="992" xr:uid="{00000000-0005-0000-0000-00003E220000}"/>
    <cellStyle name="Normal 6 2 2 2 6 2 2" xfId="9749" xr:uid="{00000000-0005-0000-0000-00003F220000}"/>
    <cellStyle name="Normal 6 2 2 2 6 3" xfId="9533" xr:uid="{00000000-0005-0000-0000-000040220000}"/>
    <cellStyle name="Normal 6 2 2 2 7" xfId="848" xr:uid="{00000000-0005-0000-0000-000041220000}"/>
    <cellStyle name="Normal 6 2 2 2 7 2" xfId="9605" xr:uid="{00000000-0005-0000-0000-000042220000}"/>
    <cellStyle name="Normal 6 2 2 2 8" xfId="9387" xr:uid="{00000000-0005-0000-0000-000043220000}"/>
    <cellStyle name="Normal 6 2 2 3" xfId="370" xr:uid="{00000000-0005-0000-0000-000044220000}"/>
    <cellStyle name="Normal 6 2 2 3 2" xfId="704" xr:uid="{00000000-0005-0000-0000-000045220000}"/>
    <cellStyle name="Normal 6 2 2 3 2 2" xfId="932" xr:uid="{00000000-0005-0000-0000-000046220000}"/>
    <cellStyle name="Normal 6 2 2 3 2 2 2" xfId="9689" xr:uid="{00000000-0005-0000-0000-000047220000}"/>
    <cellStyle name="Normal 6 2 2 3 2 3" xfId="9473" xr:uid="{00000000-0005-0000-0000-000048220000}"/>
    <cellStyle name="Normal 6 2 2 3 3" xfId="788" xr:uid="{00000000-0005-0000-0000-000049220000}"/>
    <cellStyle name="Normal 6 2 2 3 3 2" xfId="1004" xr:uid="{00000000-0005-0000-0000-00004A220000}"/>
    <cellStyle name="Normal 6 2 2 3 3 2 2" xfId="9761" xr:uid="{00000000-0005-0000-0000-00004B220000}"/>
    <cellStyle name="Normal 6 2 2 3 3 3" xfId="9545" xr:uid="{00000000-0005-0000-0000-00004C220000}"/>
    <cellStyle name="Normal 6 2 2 3 4" xfId="860" xr:uid="{00000000-0005-0000-0000-00004D220000}"/>
    <cellStyle name="Normal 6 2 2 3 4 2" xfId="9617" xr:uid="{00000000-0005-0000-0000-00004E220000}"/>
    <cellStyle name="Normal 6 2 2 3 5" xfId="9401" xr:uid="{00000000-0005-0000-0000-00004F220000}"/>
    <cellStyle name="Normal 6 2 2 4" xfId="412" xr:uid="{00000000-0005-0000-0000-000050220000}"/>
    <cellStyle name="Normal 6 2 2 4 2" xfId="717" xr:uid="{00000000-0005-0000-0000-000051220000}"/>
    <cellStyle name="Normal 6 2 2 4 2 2" xfId="945" xr:uid="{00000000-0005-0000-0000-000052220000}"/>
    <cellStyle name="Normal 6 2 2 4 2 2 2" xfId="9702" xr:uid="{00000000-0005-0000-0000-000053220000}"/>
    <cellStyle name="Normal 6 2 2 4 2 3" xfId="9486" xr:uid="{00000000-0005-0000-0000-000054220000}"/>
    <cellStyle name="Normal 6 2 2 4 3" xfId="801" xr:uid="{00000000-0005-0000-0000-000055220000}"/>
    <cellStyle name="Normal 6 2 2 4 3 2" xfId="1017" xr:uid="{00000000-0005-0000-0000-000056220000}"/>
    <cellStyle name="Normal 6 2 2 4 3 2 2" xfId="9774" xr:uid="{00000000-0005-0000-0000-000057220000}"/>
    <cellStyle name="Normal 6 2 2 4 3 3" xfId="9558" xr:uid="{00000000-0005-0000-0000-000058220000}"/>
    <cellStyle name="Normal 6 2 2 4 4" xfId="873" xr:uid="{00000000-0005-0000-0000-000059220000}"/>
    <cellStyle name="Normal 6 2 2 4 4 2" xfId="9630" xr:uid="{00000000-0005-0000-0000-00005A220000}"/>
    <cellStyle name="Normal 6 2 2 4 5" xfId="9414" xr:uid="{00000000-0005-0000-0000-00005B220000}"/>
    <cellStyle name="Normal 6 2 2 5" xfId="651" xr:uid="{00000000-0005-0000-0000-00005C220000}"/>
    <cellStyle name="Normal 6 2 2 5 2" xfId="756" xr:uid="{00000000-0005-0000-0000-00005D220000}"/>
    <cellStyle name="Normal 6 2 2 5 2 2" xfId="972" xr:uid="{00000000-0005-0000-0000-00005E220000}"/>
    <cellStyle name="Normal 6 2 2 5 2 2 2" xfId="9729" xr:uid="{00000000-0005-0000-0000-00005F220000}"/>
    <cellStyle name="Normal 6 2 2 5 2 3" xfId="9513" xr:uid="{00000000-0005-0000-0000-000060220000}"/>
    <cellStyle name="Normal 6 2 2 5 3" xfId="828" xr:uid="{00000000-0005-0000-0000-000061220000}"/>
    <cellStyle name="Normal 6 2 2 5 3 2" xfId="1044" xr:uid="{00000000-0005-0000-0000-000062220000}"/>
    <cellStyle name="Normal 6 2 2 5 3 2 2" xfId="9801" xr:uid="{00000000-0005-0000-0000-000063220000}"/>
    <cellStyle name="Normal 6 2 2 5 3 3" xfId="9585" xr:uid="{00000000-0005-0000-0000-000064220000}"/>
    <cellStyle name="Normal 6 2 2 5 4" xfId="900" xr:uid="{00000000-0005-0000-0000-000065220000}"/>
    <cellStyle name="Normal 6 2 2 5 4 2" xfId="9657" xr:uid="{00000000-0005-0000-0000-000066220000}"/>
    <cellStyle name="Normal 6 2 2 5 5" xfId="9441" xr:uid="{00000000-0005-0000-0000-000067220000}"/>
    <cellStyle name="Normal 6 2 2 6" xfId="690" xr:uid="{00000000-0005-0000-0000-000068220000}"/>
    <cellStyle name="Normal 6 2 2 6 2" xfId="919" xr:uid="{00000000-0005-0000-0000-000069220000}"/>
    <cellStyle name="Normal 6 2 2 6 2 2" xfId="9676" xr:uid="{00000000-0005-0000-0000-00006A220000}"/>
    <cellStyle name="Normal 6 2 2 6 3" xfId="9460" xr:uid="{00000000-0005-0000-0000-00006B220000}"/>
    <cellStyle name="Normal 6 2 2 7" xfId="775" xr:uid="{00000000-0005-0000-0000-00006C220000}"/>
    <cellStyle name="Normal 6 2 2 7 2" xfId="991" xr:uid="{00000000-0005-0000-0000-00006D220000}"/>
    <cellStyle name="Normal 6 2 2 7 2 2" xfId="9748" xr:uid="{00000000-0005-0000-0000-00006E220000}"/>
    <cellStyle name="Normal 6 2 2 7 3" xfId="9532" xr:uid="{00000000-0005-0000-0000-00006F220000}"/>
    <cellStyle name="Normal 6 2 2 8" xfId="847" xr:uid="{00000000-0005-0000-0000-000070220000}"/>
    <cellStyle name="Normal 6 2 2 8 2" xfId="9604" xr:uid="{00000000-0005-0000-0000-000071220000}"/>
    <cellStyle name="Normal 6 2 2 9" xfId="9386" xr:uid="{00000000-0005-0000-0000-000072220000}"/>
    <cellStyle name="Normal 6 2 3" xfId="197" xr:uid="{00000000-0005-0000-0000-000073220000}"/>
    <cellStyle name="Normal 6 2 3 2" xfId="372" xr:uid="{00000000-0005-0000-0000-000074220000}"/>
    <cellStyle name="Normal 6 2 3 2 2" xfId="706" xr:uid="{00000000-0005-0000-0000-000075220000}"/>
    <cellStyle name="Normal 6 2 3 2 2 2" xfId="934" xr:uid="{00000000-0005-0000-0000-000076220000}"/>
    <cellStyle name="Normal 6 2 3 2 2 2 2" xfId="9691" xr:uid="{00000000-0005-0000-0000-000077220000}"/>
    <cellStyle name="Normal 6 2 3 2 2 3" xfId="9475" xr:uid="{00000000-0005-0000-0000-000078220000}"/>
    <cellStyle name="Normal 6 2 3 2 3" xfId="790" xr:uid="{00000000-0005-0000-0000-000079220000}"/>
    <cellStyle name="Normal 6 2 3 2 3 2" xfId="1006" xr:uid="{00000000-0005-0000-0000-00007A220000}"/>
    <cellStyle name="Normal 6 2 3 2 3 2 2" xfId="9763" xr:uid="{00000000-0005-0000-0000-00007B220000}"/>
    <cellStyle name="Normal 6 2 3 2 3 3" xfId="9547" xr:uid="{00000000-0005-0000-0000-00007C220000}"/>
    <cellStyle name="Normal 6 2 3 2 4" xfId="862" xr:uid="{00000000-0005-0000-0000-00007D220000}"/>
    <cellStyle name="Normal 6 2 3 2 4 2" xfId="9619" xr:uid="{00000000-0005-0000-0000-00007E220000}"/>
    <cellStyle name="Normal 6 2 3 2 5" xfId="9403" xr:uid="{00000000-0005-0000-0000-00007F220000}"/>
    <cellStyle name="Normal 6 2 3 3" xfId="414" xr:uid="{00000000-0005-0000-0000-000080220000}"/>
    <cellStyle name="Normal 6 2 3 3 2" xfId="719" xr:uid="{00000000-0005-0000-0000-000081220000}"/>
    <cellStyle name="Normal 6 2 3 3 2 2" xfId="947" xr:uid="{00000000-0005-0000-0000-000082220000}"/>
    <cellStyle name="Normal 6 2 3 3 2 2 2" xfId="9704" xr:uid="{00000000-0005-0000-0000-000083220000}"/>
    <cellStyle name="Normal 6 2 3 3 2 3" xfId="9488" xr:uid="{00000000-0005-0000-0000-000084220000}"/>
    <cellStyle name="Normal 6 2 3 3 3" xfId="803" xr:uid="{00000000-0005-0000-0000-000085220000}"/>
    <cellStyle name="Normal 6 2 3 3 3 2" xfId="1019" xr:uid="{00000000-0005-0000-0000-000086220000}"/>
    <cellStyle name="Normal 6 2 3 3 3 2 2" xfId="9776" xr:uid="{00000000-0005-0000-0000-000087220000}"/>
    <cellStyle name="Normal 6 2 3 3 3 3" xfId="9560" xr:uid="{00000000-0005-0000-0000-000088220000}"/>
    <cellStyle name="Normal 6 2 3 3 4" xfId="875" xr:uid="{00000000-0005-0000-0000-000089220000}"/>
    <cellStyle name="Normal 6 2 3 3 4 2" xfId="9632" xr:uid="{00000000-0005-0000-0000-00008A220000}"/>
    <cellStyle name="Normal 6 2 3 3 5" xfId="9416" xr:uid="{00000000-0005-0000-0000-00008B220000}"/>
    <cellStyle name="Normal 6 2 3 4" xfId="653" xr:uid="{00000000-0005-0000-0000-00008C220000}"/>
    <cellStyle name="Normal 6 2 3 4 2" xfId="758" xr:uid="{00000000-0005-0000-0000-00008D220000}"/>
    <cellStyle name="Normal 6 2 3 4 2 2" xfId="974" xr:uid="{00000000-0005-0000-0000-00008E220000}"/>
    <cellStyle name="Normal 6 2 3 4 2 2 2" xfId="9731" xr:uid="{00000000-0005-0000-0000-00008F220000}"/>
    <cellStyle name="Normal 6 2 3 4 2 3" xfId="9515" xr:uid="{00000000-0005-0000-0000-000090220000}"/>
    <cellStyle name="Normal 6 2 3 4 3" xfId="830" xr:uid="{00000000-0005-0000-0000-000091220000}"/>
    <cellStyle name="Normal 6 2 3 4 3 2" xfId="1046" xr:uid="{00000000-0005-0000-0000-000092220000}"/>
    <cellStyle name="Normal 6 2 3 4 3 2 2" xfId="9803" xr:uid="{00000000-0005-0000-0000-000093220000}"/>
    <cellStyle name="Normal 6 2 3 4 3 3" xfId="9587" xr:uid="{00000000-0005-0000-0000-000094220000}"/>
    <cellStyle name="Normal 6 2 3 4 4" xfId="902" xr:uid="{00000000-0005-0000-0000-000095220000}"/>
    <cellStyle name="Normal 6 2 3 4 4 2" xfId="9659" xr:uid="{00000000-0005-0000-0000-000096220000}"/>
    <cellStyle name="Normal 6 2 3 4 5" xfId="9443" xr:uid="{00000000-0005-0000-0000-000097220000}"/>
    <cellStyle name="Normal 6 2 3 5" xfId="692" xr:uid="{00000000-0005-0000-0000-000098220000}"/>
    <cellStyle name="Normal 6 2 3 5 2" xfId="921" xr:uid="{00000000-0005-0000-0000-000099220000}"/>
    <cellStyle name="Normal 6 2 3 5 2 2" xfId="9678" xr:uid="{00000000-0005-0000-0000-00009A220000}"/>
    <cellStyle name="Normal 6 2 3 5 3" xfId="9462" xr:uid="{00000000-0005-0000-0000-00009B220000}"/>
    <cellStyle name="Normal 6 2 3 6" xfId="777" xr:uid="{00000000-0005-0000-0000-00009C220000}"/>
    <cellStyle name="Normal 6 2 3 6 2" xfId="993" xr:uid="{00000000-0005-0000-0000-00009D220000}"/>
    <cellStyle name="Normal 6 2 3 6 2 2" xfId="9750" xr:uid="{00000000-0005-0000-0000-00009E220000}"/>
    <cellStyle name="Normal 6 2 3 6 3" xfId="9534" xr:uid="{00000000-0005-0000-0000-00009F220000}"/>
    <cellStyle name="Normal 6 2 3 7" xfId="849" xr:uid="{00000000-0005-0000-0000-0000A0220000}"/>
    <cellStyle name="Normal 6 2 3 7 2" xfId="9606" xr:uid="{00000000-0005-0000-0000-0000A1220000}"/>
    <cellStyle name="Normal 6 2 3 8" xfId="9388" xr:uid="{00000000-0005-0000-0000-0000A2220000}"/>
    <cellStyle name="Normal 6 2 4" xfId="369" xr:uid="{00000000-0005-0000-0000-0000A3220000}"/>
    <cellStyle name="Normal 6 2 4 2" xfId="703" xr:uid="{00000000-0005-0000-0000-0000A4220000}"/>
    <cellStyle name="Normal 6 2 4 2 2" xfId="931" xr:uid="{00000000-0005-0000-0000-0000A5220000}"/>
    <cellStyle name="Normal 6 2 4 2 2 2" xfId="9688" xr:uid="{00000000-0005-0000-0000-0000A6220000}"/>
    <cellStyle name="Normal 6 2 4 2 3" xfId="9472" xr:uid="{00000000-0005-0000-0000-0000A7220000}"/>
    <cellStyle name="Normal 6 2 4 3" xfId="787" xr:uid="{00000000-0005-0000-0000-0000A8220000}"/>
    <cellStyle name="Normal 6 2 4 3 2" xfId="1003" xr:uid="{00000000-0005-0000-0000-0000A9220000}"/>
    <cellStyle name="Normal 6 2 4 3 2 2" xfId="9760" xr:uid="{00000000-0005-0000-0000-0000AA220000}"/>
    <cellStyle name="Normal 6 2 4 3 3" xfId="9544" xr:uid="{00000000-0005-0000-0000-0000AB220000}"/>
    <cellStyle name="Normal 6 2 4 4" xfId="859" xr:uid="{00000000-0005-0000-0000-0000AC220000}"/>
    <cellStyle name="Normal 6 2 4 4 2" xfId="9616" xr:uid="{00000000-0005-0000-0000-0000AD220000}"/>
    <cellStyle name="Normal 6 2 4 5" xfId="9400" xr:uid="{00000000-0005-0000-0000-0000AE220000}"/>
    <cellStyle name="Normal 6 2 5" xfId="411" xr:uid="{00000000-0005-0000-0000-0000AF220000}"/>
    <cellStyle name="Normal 6 2 5 2" xfId="716" xr:uid="{00000000-0005-0000-0000-0000B0220000}"/>
    <cellStyle name="Normal 6 2 5 2 2" xfId="944" xr:uid="{00000000-0005-0000-0000-0000B1220000}"/>
    <cellStyle name="Normal 6 2 5 2 2 2" xfId="9701" xr:uid="{00000000-0005-0000-0000-0000B2220000}"/>
    <cellStyle name="Normal 6 2 5 2 3" xfId="9485" xr:uid="{00000000-0005-0000-0000-0000B3220000}"/>
    <cellStyle name="Normal 6 2 5 3" xfId="800" xr:uid="{00000000-0005-0000-0000-0000B4220000}"/>
    <cellStyle name="Normal 6 2 5 3 2" xfId="1016" xr:uid="{00000000-0005-0000-0000-0000B5220000}"/>
    <cellStyle name="Normal 6 2 5 3 2 2" xfId="9773" xr:uid="{00000000-0005-0000-0000-0000B6220000}"/>
    <cellStyle name="Normal 6 2 5 3 3" xfId="9557" xr:uid="{00000000-0005-0000-0000-0000B7220000}"/>
    <cellStyle name="Normal 6 2 5 4" xfId="872" xr:uid="{00000000-0005-0000-0000-0000B8220000}"/>
    <cellStyle name="Normal 6 2 5 4 2" xfId="9629" xr:uid="{00000000-0005-0000-0000-0000B9220000}"/>
    <cellStyle name="Normal 6 2 5 5" xfId="9413" xr:uid="{00000000-0005-0000-0000-0000BA220000}"/>
    <cellStyle name="Normal 6 2 6" xfId="650" xr:uid="{00000000-0005-0000-0000-0000BB220000}"/>
    <cellStyle name="Normal 6 2 6 2" xfId="755" xr:uid="{00000000-0005-0000-0000-0000BC220000}"/>
    <cellStyle name="Normal 6 2 6 2 2" xfId="971" xr:uid="{00000000-0005-0000-0000-0000BD220000}"/>
    <cellStyle name="Normal 6 2 6 2 2 2" xfId="9728" xr:uid="{00000000-0005-0000-0000-0000BE220000}"/>
    <cellStyle name="Normal 6 2 6 2 3" xfId="9512" xr:uid="{00000000-0005-0000-0000-0000BF220000}"/>
    <cellStyle name="Normal 6 2 6 3" xfId="827" xr:uid="{00000000-0005-0000-0000-0000C0220000}"/>
    <cellStyle name="Normal 6 2 6 3 2" xfId="1043" xr:uid="{00000000-0005-0000-0000-0000C1220000}"/>
    <cellStyle name="Normal 6 2 6 3 2 2" xfId="9800" xr:uid="{00000000-0005-0000-0000-0000C2220000}"/>
    <cellStyle name="Normal 6 2 6 3 3" xfId="9584" xr:uid="{00000000-0005-0000-0000-0000C3220000}"/>
    <cellStyle name="Normal 6 2 6 4" xfId="899" xr:uid="{00000000-0005-0000-0000-0000C4220000}"/>
    <cellStyle name="Normal 6 2 6 4 2" xfId="9656" xr:uid="{00000000-0005-0000-0000-0000C5220000}"/>
    <cellStyle name="Normal 6 2 6 5" xfId="9440" xr:uid="{00000000-0005-0000-0000-0000C6220000}"/>
    <cellStyle name="Normal 6 2 7" xfId="689" xr:uid="{00000000-0005-0000-0000-0000C7220000}"/>
    <cellStyle name="Normal 6 2 7 2" xfId="918" xr:uid="{00000000-0005-0000-0000-0000C8220000}"/>
    <cellStyle name="Normal 6 2 7 2 2" xfId="9675" xr:uid="{00000000-0005-0000-0000-0000C9220000}"/>
    <cellStyle name="Normal 6 2 7 3" xfId="9459" xr:uid="{00000000-0005-0000-0000-0000CA220000}"/>
    <cellStyle name="Normal 6 2 8" xfId="774" xr:uid="{00000000-0005-0000-0000-0000CB220000}"/>
    <cellStyle name="Normal 6 2 8 2" xfId="990" xr:uid="{00000000-0005-0000-0000-0000CC220000}"/>
    <cellStyle name="Normal 6 2 8 2 2" xfId="9747" xr:uid="{00000000-0005-0000-0000-0000CD220000}"/>
    <cellStyle name="Normal 6 2 8 3" xfId="9531" xr:uid="{00000000-0005-0000-0000-0000CE220000}"/>
    <cellStyle name="Normal 6 2 9" xfId="846" xr:uid="{00000000-0005-0000-0000-0000CF220000}"/>
    <cellStyle name="Normal 6 2 9 2" xfId="9603" xr:uid="{00000000-0005-0000-0000-0000D0220000}"/>
    <cellStyle name="Normal 6 3" xfId="198" xr:uid="{00000000-0005-0000-0000-0000D1220000}"/>
    <cellStyle name="Normal 6 3 2" xfId="199" xr:uid="{00000000-0005-0000-0000-0000D2220000}"/>
    <cellStyle name="Normal 6 3 2 2" xfId="374" xr:uid="{00000000-0005-0000-0000-0000D3220000}"/>
    <cellStyle name="Normal 6 3 2 2 2" xfId="708" xr:uid="{00000000-0005-0000-0000-0000D4220000}"/>
    <cellStyle name="Normal 6 3 2 2 2 2" xfId="936" xr:uid="{00000000-0005-0000-0000-0000D5220000}"/>
    <cellStyle name="Normal 6 3 2 2 2 2 2" xfId="9693" xr:uid="{00000000-0005-0000-0000-0000D6220000}"/>
    <cellStyle name="Normal 6 3 2 2 2 3" xfId="9477" xr:uid="{00000000-0005-0000-0000-0000D7220000}"/>
    <cellStyle name="Normal 6 3 2 2 3" xfId="792" xr:uid="{00000000-0005-0000-0000-0000D8220000}"/>
    <cellStyle name="Normal 6 3 2 2 3 2" xfId="1008" xr:uid="{00000000-0005-0000-0000-0000D9220000}"/>
    <cellStyle name="Normal 6 3 2 2 3 2 2" xfId="9765" xr:uid="{00000000-0005-0000-0000-0000DA220000}"/>
    <cellStyle name="Normal 6 3 2 2 3 3" xfId="9549" xr:uid="{00000000-0005-0000-0000-0000DB220000}"/>
    <cellStyle name="Normal 6 3 2 2 4" xfId="864" xr:uid="{00000000-0005-0000-0000-0000DC220000}"/>
    <cellStyle name="Normal 6 3 2 2 4 2" xfId="9621" xr:uid="{00000000-0005-0000-0000-0000DD220000}"/>
    <cellStyle name="Normal 6 3 2 2 5" xfId="9405" xr:uid="{00000000-0005-0000-0000-0000DE220000}"/>
    <cellStyle name="Normal 6 3 2 3" xfId="416" xr:uid="{00000000-0005-0000-0000-0000DF220000}"/>
    <cellStyle name="Normal 6 3 2 3 2" xfId="721" xr:uid="{00000000-0005-0000-0000-0000E0220000}"/>
    <cellStyle name="Normal 6 3 2 3 2 2" xfId="949" xr:uid="{00000000-0005-0000-0000-0000E1220000}"/>
    <cellStyle name="Normal 6 3 2 3 2 2 2" xfId="9706" xr:uid="{00000000-0005-0000-0000-0000E2220000}"/>
    <cellStyle name="Normal 6 3 2 3 2 3" xfId="9490" xr:uid="{00000000-0005-0000-0000-0000E3220000}"/>
    <cellStyle name="Normal 6 3 2 3 3" xfId="805" xr:uid="{00000000-0005-0000-0000-0000E4220000}"/>
    <cellStyle name="Normal 6 3 2 3 3 2" xfId="1021" xr:uid="{00000000-0005-0000-0000-0000E5220000}"/>
    <cellStyle name="Normal 6 3 2 3 3 2 2" xfId="9778" xr:uid="{00000000-0005-0000-0000-0000E6220000}"/>
    <cellStyle name="Normal 6 3 2 3 3 3" xfId="9562" xr:uid="{00000000-0005-0000-0000-0000E7220000}"/>
    <cellStyle name="Normal 6 3 2 3 4" xfId="877" xr:uid="{00000000-0005-0000-0000-0000E8220000}"/>
    <cellStyle name="Normal 6 3 2 3 4 2" xfId="9634" xr:uid="{00000000-0005-0000-0000-0000E9220000}"/>
    <cellStyle name="Normal 6 3 2 3 5" xfId="9418" xr:uid="{00000000-0005-0000-0000-0000EA220000}"/>
    <cellStyle name="Normal 6 3 2 4" xfId="655" xr:uid="{00000000-0005-0000-0000-0000EB220000}"/>
    <cellStyle name="Normal 6 3 2 4 2" xfId="760" xr:uid="{00000000-0005-0000-0000-0000EC220000}"/>
    <cellStyle name="Normal 6 3 2 4 2 2" xfId="976" xr:uid="{00000000-0005-0000-0000-0000ED220000}"/>
    <cellStyle name="Normal 6 3 2 4 2 2 2" xfId="9733" xr:uid="{00000000-0005-0000-0000-0000EE220000}"/>
    <cellStyle name="Normal 6 3 2 4 2 3" xfId="9517" xr:uid="{00000000-0005-0000-0000-0000EF220000}"/>
    <cellStyle name="Normal 6 3 2 4 3" xfId="832" xr:uid="{00000000-0005-0000-0000-0000F0220000}"/>
    <cellStyle name="Normal 6 3 2 4 3 2" xfId="1048" xr:uid="{00000000-0005-0000-0000-0000F1220000}"/>
    <cellStyle name="Normal 6 3 2 4 3 2 2" xfId="9805" xr:uid="{00000000-0005-0000-0000-0000F2220000}"/>
    <cellStyle name="Normal 6 3 2 4 3 3" xfId="9589" xr:uid="{00000000-0005-0000-0000-0000F3220000}"/>
    <cellStyle name="Normal 6 3 2 4 4" xfId="904" xr:uid="{00000000-0005-0000-0000-0000F4220000}"/>
    <cellStyle name="Normal 6 3 2 4 4 2" xfId="9661" xr:uid="{00000000-0005-0000-0000-0000F5220000}"/>
    <cellStyle name="Normal 6 3 2 4 5" xfId="9445" xr:uid="{00000000-0005-0000-0000-0000F6220000}"/>
    <cellStyle name="Normal 6 3 2 5" xfId="694" xr:uid="{00000000-0005-0000-0000-0000F7220000}"/>
    <cellStyle name="Normal 6 3 2 5 2" xfId="923" xr:uid="{00000000-0005-0000-0000-0000F8220000}"/>
    <cellStyle name="Normal 6 3 2 5 2 2" xfId="9680" xr:uid="{00000000-0005-0000-0000-0000F9220000}"/>
    <cellStyle name="Normal 6 3 2 5 3" xfId="9464" xr:uid="{00000000-0005-0000-0000-0000FA220000}"/>
    <cellStyle name="Normal 6 3 2 6" xfId="779" xr:uid="{00000000-0005-0000-0000-0000FB220000}"/>
    <cellStyle name="Normal 6 3 2 6 2" xfId="995" xr:uid="{00000000-0005-0000-0000-0000FC220000}"/>
    <cellStyle name="Normal 6 3 2 6 2 2" xfId="9752" xr:uid="{00000000-0005-0000-0000-0000FD220000}"/>
    <cellStyle name="Normal 6 3 2 6 3" xfId="9536" xr:uid="{00000000-0005-0000-0000-0000FE220000}"/>
    <cellStyle name="Normal 6 3 2 7" xfId="851" xr:uid="{00000000-0005-0000-0000-0000FF220000}"/>
    <cellStyle name="Normal 6 3 2 7 2" xfId="9608" xr:uid="{00000000-0005-0000-0000-000000230000}"/>
    <cellStyle name="Normal 6 3 2 8" xfId="9390" xr:uid="{00000000-0005-0000-0000-000001230000}"/>
    <cellStyle name="Normal 6 3 3" xfId="373" xr:uid="{00000000-0005-0000-0000-000002230000}"/>
    <cellStyle name="Normal 6 3 3 2" xfId="707" xr:uid="{00000000-0005-0000-0000-000003230000}"/>
    <cellStyle name="Normal 6 3 3 2 2" xfId="935" xr:uid="{00000000-0005-0000-0000-000004230000}"/>
    <cellStyle name="Normal 6 3 3 2 2 2" xfId="9692" xr:uid="{00000000-0005-0000-0000-000005230000}"/>
    <cellStyle name="Normal 6 3 3 2 3" xfId="9476" xr:uid="{00000000-0005-0000-0000-000006230000}"/>
    <cellStyle name="Normal 6 3 3 3" xfId="791" xr:uid="{00000000-0005-0000-0000-000007230000}"/>
    <cellStyle name="Normal 6 3 3 3 2" xfId="1007" xr:uid="{00000000-0005-0000-0000-000008230000}"/>
    <cellStyle name="Normal 6 3 3 3 2 2" xfId="9764" xr:uid="{00000000-0005-0000-0000-000009230000}"/>
    <cellStyle name="Normal 6 3 3 3 3" xfId="9548" xr:uid="{00000000-0005-0000-0000-00000A230000}"/>
    <cellStyle name="Normal 6 3 3 4" xfId="863" xr:uid="{00000000-0005-0000-0000-00000B230000}"/>
    <cellStyle name="Normal 6 3 3 4 2" xfId="9620" xr:uid="{00000000-0005-0000-0000-00000C230000}"/>
    <cellStyle name="Normal 6 3 3 5" xfId="9404" xr:uid="{00000000-0005-0000-0000-00000D230000}"/>
    <cellStyle name="Normal 6 3 4" xfId="415" xr:uid="{00000000-0005-0000-0000-00000E230000}"/>
    <cellStyle name="Normal 6 3 4 2" xfId="720" xr:uid="{00000000-0005-0000-0000-00000F230000}"/>
    <cellStyle name="Normal 6 3 4 2 2" xfId="948" xr:uid="{00000000-0005-0000-0000-000010230000}"/>
    <cellStyle name="Normal 6 3 4 2 2 2" xfId="9705" xr:uid="{00000000-0005-0000-0000-000011230000}"/>
    <cellStyle name="Normal 6 3 4 2 3" xfId="9489" xr:uid="{00000000-0005-0000-0000-000012230000}"/>
    <cellStyle name="Normal 6 3 4 3" xfId="804" xr:uid="{00000000-0005-0000-0000-000013230000}"/>
    <cellStyle name="Normal 6 3 4 3 2" xfId="1020" xr:uid="{00000000-0005-0000-0000-000014230000}"/>
    <cellStyle name="Normal 6 3 4 3 2 2" xfId="9777" xr:uid="{00000000-0005-0000-0000-000015230000}"/>
    <cellStyle name="Normal 6 3 4 3 3" xfId="9561" xr:uid="{00000000-0005-0000-0000-000016230000}"/>
    <cellStyle name="Normal 6 3 4 4" xfId="876" xr:uid="{00000000-0005-0000-0000-000017230000}"/>
    <cellStyle name="Normal 6 3 4 4 2" xfId="9633" xr:uid="{00000000-0005-0000-0000-000018230000}"/>
    <cellStyle name="Normal 6 3 4 5" xfId="9417" xr:uid="{00000000-0005-0000-0000-000019230000}"/>
    <cellStyle name="Normal 6 3 5" xfId="654" xr:uid="{00000000-0005-0000-0000-00001A230000}"/>
    <cellStyle name="Normal 6 3 5 2" xfId="759" xr:uid="{00000000-0005-0000-0000-00001B230000}"/>
    <cellStyle name="Normal 6 3 5 2 2" xfId="975" xr:uid="{00000000-0005-0000-0000-00001C230000}"/>
    <cellStyle name="Normal 6 3 5 2 2 2" xfId="9732" xr:uid="{00000000-0005-0000-0000-00001D230000}"/>
    <cellStyle name="Normal 6 3 5 2 3" xfId="9516" xr:uid="{00000000-0005-0000-0000-00001E230000}"/>
    <cellStyle name="Normal 6 3 5 3" xfId="831" xr:uid="{00000000-0005-0000-0000-00001F230000}"/>
    <cellStyle name="Normal 6 3 5 3 2" xfId="1047" xr:uid="{00000000-0005-0000-0000-000020230000}"/>
    <cellStyle name="Normal 6 3 5 3 2 2" xfId="9804" xr:uid="{00000000-0005-0000-0000-000021230000}"/>
    <cellStyle name="Normal 6 3 5 3 3" xfId="9588" xr:uid="{00000000-0005-0000-0000-000022230000}"/>
    <cellStyle name="Normal 6 3 5 4" xfId="903" xr:uid="{00000000-0005-0000-0000-000023230000}"/>
    <cellStyle name="Normal 6 3 5 4 2" xfId="9660" xr:uid="{00000000-0005-0000-0000-000024230000}"/>
    <cellStyle name="Normal 6 3 5 5" xfId="9444" xr:uid="{00000000-0005-0000-0000-000025230000}"/>
    <cellStyle name="Normal 6 3 6" xfId="693" xr:uid="{00000000-0005-0000-0000-000026230000}"/>
    <cellStyle name="Normal 6 3 6 2" xfId="922" xr:uid="{00000000-0005-0000-0000-000027230000}"/>
    <cellStyle name="Normal 6 3 6 2 2" xfId="9679" xr:uid="{00000000-0005-0000-0000-000028230000}"/>
    <cellStyle name="Normal 6 3 6 3" xfId="9463" xr:uid="{00000000-0005-0000-0000-000029230000}"/>
    <cellStyle name="Normal 6 3 7" xfId="778" xr:uid="{00000000-0005-0000-0000-00002A230000}"/>
    <cellStyle name="Normal 6 3 7 2" xfId="994" xr:uid="{00000000-0005-0000-0000-00002B230000}"/>
    <cellStyle name="Normal 6 3 7 2 2" xfId="9751" xr:uid="{00000000-0005-0000-0000-00002C230000}"/>
    <cellStyle name="Normal 6 3 7 3" xfId="9535" xr:uid="{00000000-0005-0000-0000-00002D230000}"/>
    <cellStyle name="Normal 6 3 8" xfId="850" xr:uid="{00000000-0005-0000-0000-00002E230000}"/>
    <cellStyle name="Normal 6 3 8 2" xfId="9607" xr:uid="{00000000-0005-0000-0000-00002F230000}"/>
    <cellStyle name="Normal 6 3 9" xfId="9389" xr:uid="{00000000-0005-0000-0000-000030230000}"/>
    <cellStyle name="Normal 6 4" xfId="200" xr:uid="{00000000-0005-0000-0000-000031230000}"/>
    <cellStyle name="Normal 6 4 2" xfId="375" xr:uid="{00000000-0005-0000-0000-000032230000}"/>
    <cellStyle name="Normal 6 4 2 2" xfId="709" xr:uid="{00000000-0005-0000-0000-000033230000}"/>
    <cellStyle name="Normal 6 4 2 2 2" xfId="937" xr:uid="{00000000-0005-0000-0000-000034230000}"/>
    <cellStyle name="Normal 6 4 2 2 2 2" xfId="9694" xr:uid="{00000000-0005-0000-0000-000035230000}"/>
    <cellStyle name="Normal 6 4 2 2 3" xfId="9478" xr:uid="{00000000-0005-0000-0000-000036230000}"/>
    <cellStyle name="Normal 6 4 2 3" xfId="793" xr:uid="{00000000-0005-0000-0000-000037230000}"/>
    <cellStyle name="Normal 6 4 2 3 2" xfId="1009" xr:uid="{00000000-0005-0000-0000-000038230000}"/>
    <cellStyle name="Normal 6 4 2 3 2 2" xfId="9766" xr:uid="{00000000-0005-0000-0000-000039230000}"/>
    <cellStyle name="Normal 6 4 2 3 3" xfId="9550" xr:uid="{00000000-0005-0000-0000-00003A230000}"/>
    <cellStyle name="Normal 6 4 2 4" xfId="865" xr:uid="{00000000-0005-0000-0000-00003B230000}"/>
    <cellStyle name="Normal 6 4 2 4 2" xfId="9622" xr:uid="{00000000-0005-0000-0000-00003C230000}"/>
    <cellStyle name="Normal 6 4 2 5" xfId="9406" xr:uid="{00000000-0005-0000-0000-00003D230000}"/>
    <cellStyle name="Normal 6 4 3" xfId="417" xr:uid="{00000000-0005-0000-0000-00003E230000}"/>
    <cellStyle name="Normal 6 4 3 2" xfId="722" xr:uid="{00000000-0005-0000-0000-00003F230000}"/>
    <cellStyle name="Normal 6 4 3 2 2" xfId="950" xr:uid="{00000000-0005-0000-0000-000040230000}"/>
    <cellStyle name="Normal 6 4 3 2 2 2" xfId="9707" xr:uid="{00000000-0005-0000-0000-000041230000}"/>
    <cellStyle name="Normal 6 4 3 2 3" xfId="9491" xr:uid="{00000000-0005-0000-0000-000042230000}"/>
    <cellStyle name="Normal 6 4 3 3" xfId="806" xr:uid="{00000000-0005-0000-0000-000043230000}"/>
    <cellStyle name="Normal 6 4 3 3 2" xfId="1022" xr:uid="{00000000-0005-0000-0000-000044230000}"/>
    <cellStyle name="Normal 6 4 3 3 2 2" xfId="9779" xr:uid="{00000000-0005-0000-0000-000045230000}"/>
    <cellStyle name="Normal 6 4 3 3 3" xfId="9563" xr:uid="{00000000-0005-0000-0000-000046230000}"/>
    <cellStyle name="Normal 6 4 3 4" xfId="878" xr:uid="{00000000-0005-0000-0000-000047230000}"/>
    <cellStyle name="Normal 6 4 3 4 2" xfId="9635" xr:uid="{00000000-0005-0000-0000-000048230000}"/>
    <cellStyle name="Normal 6 4 3 5" xfId="9419" xr:uid="{00000000-0005-0000-0000-000049230000}"/>
    <cellStyle name="Normal 6 4 4" xfId="656" xr:uid="{00000000-0005-0000-0000-00004A230000}"/>
    <cellStyle name="Normal 6 4 4 2" xfId="761" xr:uid="{00000000-0005-0000-0000-00004B230000}"/>
    <cellStyle name="Normal 6 4 4 2 2" xfId="977" xr:uid="{00000000-0005-0000-0000-00004C230000}"/>
    <cellStyle name="Normal 6 4 4 2 2 2" xfId="9734" xr:uid="{00000000-0005-0000-0000-00004D230000}"/>
    <cellStyle name="Normal 6 4 4 2 3" xfId="9518" xr:uid="{00000000-0005-0000-0000-00004E230000}"/>
    <cellStyle name="Normal 6 4 4 3" xfId="833" xr:uid="{00000000-0005-0000-0000-00004F230000}"/>
    <cellStyle name="Normal 6 4 4 3 2" xfId="1049" xr:uid="{00000000-0005-0000-0000-000050230000}"/>
    <cellStyle name="Normal 6 4 4 3 2 2" xfId="9806" xr:uid="{00000000-0005-0000-0000-000051230000}"/>
    <cellStyle name="Normal 6 4 4 3 3" xfId="9590" xr:uid="{00000000-0005-0000-0000-000052230000}"/>
    <cellStyle name="Normal 6 4 4 4" xfId="905" xr:uid="{00000000-0005-0000-0000-000053230000}"/>
    <cellStyle name="Normal 6 4 4 4 2" xfId="9662" xr:uid="{00000000-0005-0000-0000-000054230000}"/>
    <cellStyle name="Normal 6 4 4 5" xfId="9446" xr:uid="{00000000-0005-0000-0000-000055230000}"/>
    <cellStyle name="Normal 6 4 5" xfId="695" xr:uid="{00000000-0005-0000-0000-000056230000}"/>
    <cellStyle name="Normal 6 4 5 2" xfId="924" xr:uid="{00000000-0005-0000-0000-000057230000}"/>
    <cellStyle name="Normal 6 4 5 2 2" xfId="9681" xr:uid="{00000000-0005-0000-0000-000058230000}"/>
    <cellStyle name="Normal 6 4 5 3" xfId="9465" xr:uid="{00000000-0005-0000-0000-000059230000}"/>
    <cellStyle name="Normal 6 4 6" xfId="780" xr:uid="{00000000-0005-0000-0000-00005A230000}"/>
    <cellStyle name="Normal 6 4 6 2" xfId="996" xr:uid="{00000000-0005-0000-0000-00005B230000}"/>
    <cellStyle name="Normal 6 4 6 2 2" xfId="9753" xr:uid="{00000000-0005-0000-0000-00005C230000}"/>
    <cellStyle name="Normal 6 4 6 3" xfId="9537" xr:uid="{00000000-0005-0000-0000-00005D230000}"/>
    <cellStyle name="Normal 6 4 7" xfId="852" xr:uid="{00000000-0005-0000-0000-00005E230000}"/>
    <cellStyle name="Normal 6 4 7 2" xfId="9609" xr:uid="{00000000-0005-0000-0000-00005F230000}"/>
    <cellStyle name="Normal 6 4 8" xfId="9391" xr:uid="{00000000-0005-0000-0000-000060230000}"/>
    <cellStyle name="Normal 6 5" xfId="368" xr:uid="{00000000-0005-0000-0000-000061230000}"/>
    <cellStyle name="Normal 6 5 2" xfId="702" xr:uid="{00000000-0005-0000-0000-000062230000}"/>
    <cellStyle name="Normal 6 5 2 2" xfId="930" xr:uid="{00000000-0005-0000-0000-000063230000}"/>
    <cellStyle name="Normal 6 5 2 2 2" xfId="9687" xr:uid="{00000000-0005-0000-0000-000064230000}"/>
    <cellStyle name="Normal 6 5 2 3" xfId="9471" xr:uid="{00000000-0005-0000-0000-000065230000}"/>
    <cellStyle name="Normal 6 5 3" xfId="786" xr:uid="{00000000-0005-0000-0000-000066230000}"/>
    <cellStyle name="Normal 6 5 3 2" xfId="1002" xr:uid="{00000000-0005-0000-0000-000067230000}"/>
    <cellStyle name="Normal 6 5 3 2 2" xfId="9759" xr:uid="{00000000-0005-0000-0000-000068230000}"/>
    <cellStyle name="Normal 6 5 3 3" xfId="9543" xr:uid="{00000000-0005-0000-0000-000069230000}"/>
    <cellStyle name="Normal 6 5 4" xfId="858" xr:uid="{00000000-0005-0000-0000-00006A230000}"/>
    <cellStyle name="Normal 6 5 4 2" xfId="9615" xr:uid="{00000000-0005-0000-0000-00006B230000}"/>
    <cellStyle name="Normal 6 5 5" xfId="9399" xr:uid="{00000000-0005-0000-0000-00006C230000}"/>
    <cellStyle name="Normal 6 6" xfId="410" xr:uid="{00000000-0005-0000-0000-00006D230000}"/>
    <cellStyle name="Normal 6 6 2" xfId="715" xr:uid="{00000000-0005-0000-0000-00006E230000}"/>
    <cellStyle name="Normal 6 6 2 2" xfId="943" xr:uid="{00000000-0005-0000-0000-00006F230000}"/>
    <cellStyle name="Normal 6 6 2 2 2" xfId="9700" xr:uid="{00000000-0005-0000-0000-000070230000}"/>
    <cellStyle name="Normal 6 6 2 3" xfId="9484" xr:uid="{00000000-0005-0000-0000-000071230000}"/>
    <cellStyle name="Normal 6 6 3" xfId="799" xr:uid="{00000000-0005-0000-0000-000072230000}"/>
    <cellStyle name="Normal 6 6 3 2" xfId="1015" xr:uid="{00000000-0005-0000-0000-000073230000}"/>
    <cellStyle name="Normal 6 6 3 2 2" xfId="9772" xr:uid="{00000000-0005-0000-0000-000074230000}"/>
    <cellStyle name="Normal 6 6 3 3" xfId="9556" xr:uid="{00000000-0005-0000-0000-000075230000}"/>
    <cellStyle name="Normal 6 6 4" xfId="871" xr:uid="{00000000-0005-0000-0000-000076230000}"/>
    <cellStyle name="Normal 6 6 4 2" xfId="9628" xr:uid="{00000000-0005-0000-0000-000077230000}"/>
    <cellStyle name="Normal 6 6 5" xfId="9412" xr:uid="{00000000-0005-0000-0000-000078230000}"/>
    <cellStyle name="Normal 6 7" xfId="622" xr:uid="{00000000-0005-0000-0000-000079230000}"/>
    <cellStyle name="Normal 6 8" xfId="649" xr:uid="{00000000-0005-0000-0000-00007A230000}"/>
    <cellStyle name="Normal 6 8 2" xfId="754" xr:uid="{00000000-0005-0000-0000-00007B230000}"/>
    <cellStyle name="Normal 6 8 2 2" xfId="970" xr:uid="{00000000-0005-0000-0000-00007C230000}"/>
    <cellStyle name="Normal 6 8 2 2 2" xfId="9727" xr:uid="{00000000-0005-0000-0000-00007D230000}"/>
    <cellStyle name="Normal 6 8 2 3" xfId="9511" xr:uid="{00000000-0005-0000-0000-00007E230000}"/>
    <cellStyle name="Normal 6 8 3" xfId="826" xr:uid="{00000000-0005-0000-0000-00007F230000}"/>
    <cellStyle name="Normal 6 8 3 2" xfId="1042" xr:uid="{00000000-0005-0000-0000-000080230000}"/>
    <cellStyle name="Normal 6 8 3 2 2" xfId="9799" xr:uid="{00000000-0005-0000-0000-000081230000}"/>
    <cellStyle name="Normal 6 8 3 3" xfId="9583" xr:uid="{00000000-0005-0000-0000-000082230000}"/>
    <cellStyle name="Normal 6 8 4" xfId="898" xr:uid="{00000000-0005-0000-0000-000083230000}"/>
    <cellStyle name="Normal 6 8 4 2" xfId="9655" xr:uid="{00000000-0005-0000-0000-000084230000}"/>
    <cellStyle name="Normal 6 8 5" xfId="9439" xr:uid="{00000000-0005-0000-0000-000085230000}"/>
    <cellStyle name="Normal 6 9" xfId="688" xr:uid="{00000000-0005-0000-0000-000086230000}"/>
    <cellStyle name="Normal 6 9 2" xfId="917" xr:uid="{00000000-0005-0000-0000-000087230000}"/>
    <cellStyle name="Normal 6 9 2 2" xfId="9674" xr:uid="{00000000-0005-0000-0000-000088230000}"/>
    <cellStyle name="Normal 6 9 3" xfId="9458" xr:uid="{00000000-0005-0000-0000-000089230000}"/>
    <cellStyle name="Normal 69 3 2" xfId="9822" xr:uid="{6F101892-6B4B-4010-8709-8387CCEE16B4}"/>
    <cellStyle name="Normal 7" xfId="201" xr:uid="{00000000-0005-0000-0000-00008A230000}"/>
    <cellStyle name="Normal 7 2" xfId="444" xr:uid="{00000000-0005-0000-0000-00008B230000}"/>
    <cellStyle name="Normal 7 2 2" xfId="9128" xr:uid="{00000000-0005-0000-0000-00008C230000}"/>
    <cellStyle name="Normal 7 2 2 2" xfId="9129" xr:uid="{00000000-0005-0000-0000-00008D230000}"/>
    <cellStyle name="Normal 7 2 2 2 2" xfId="9130" xr:uid="{00000000-0005-0000-0000-00008E230000}"/>
    <cellStyle name="Normal 7 2 2 2 3" xfId="9131" xr:uid="{00000000-0005-0000-0000-00008F230000}"/>
    <cellStyle name="Normal 7 2 2 3" xfId="9132" xr:uid="{00000000-0005-0000-0000-000090230000}"/>
    <cellStyle name="Normal 7 2 2 4" xfId="9133" xr:uid="{00000000-0005-0000-0000-000091230000}"/>
    <cellStyle name="Normal 7 2 2 5" xfId="9134" xr:uid="{00000000-0005-0000-0000-000092230000}"/>
    <cellStyle name="Normal 7 3" xfId="9135" xr:uid="{00000000-0005-0000-0000-000093230000}"/>
    <cellStyle name="Normal 7 3 2" xfId="9136" xr:uid="{00000000-0005-0000-0000-000094230000}"/>
    <cellStyle name="Normal 7 3 2 2" xfId="9137" xr:uid="{00000000-0005-0000-0000-000095230000}"/>
    <cellStyle name="Normal 7 3 2 3" xfId="9138" xr:uid="{00000000-0005-0000-0000-000096230000}"/>
    <cellStyle name="Normal 7 3 3" xfId="9139" xr:uid="{00000000-0005-0000-0000-000097230000}"/>
    <cellStyle name="Normal 7 3 4" xfId="9140" xr:uid="{00000000-0005-0000-0000-000098230000}"/>
    <cellStyle name="Normal 7 3 5" xfId="9141" xr:uid="{00000000-0005-0000-0000-000099230000}"/>
    <cellStyle name="Normal 7 4" xfId="9142" xr:uid="{00000000-0005-0000-0000-00009A230000}"/>
    <cellStyle name="Normal 8" xfId="202" xr:uid="{00000000-0005-0000-0000-00009B230000}"/>
    <cellStyle name="Normal 8 10" xfId="443" xr:uid="{00000000-0005-0000-0000-00009C230000}"/>
    <cellStyle name="Normal 8 10 2" xfId="442" xr:uid="{00000000-0005-0000-0000-00009D230000}"/>
    <cellStyle name="Normal 8 11" xfId="441" xr:uid="{00000000-0005-0000-0000-00009E230000}"/>
    <cellStyle name="Normal 8 12" xfId="440" xr:uid="{00000000-0005-0000-0000-00009F230000}"/>
    <cellStyle name="Normal 8 13" xfId="657" xr:uid="{00000000-0005-0000-0000-0000A0230000}"/>
    <cellStyle name="Normal 8 13 2" xfId="762" xr:uid="{00000000-0005-0000-0000-0000A1230000}"/>
    <cellStyle name="Normal 8 13 2 2" xfId="978" xr:uid="{00000000-0005-0000-0000-0000A2230000}"/>
    <cellStyle name="Normal 8 13 2 2 2" xfId="9735" xr:uid="{00000000-0005-0000-0000-0000A3230000}"/>
    <cellStyle name="Normal 8 13 2 3" xfId="9519" xr:uid="{00000000-0005-0000-0000-0000A4230000}"/>
    <cellStyle name="Normal 8 13 3" xfId="834" xr:uid="{00000000-0005-0000-0000-0000A5230000}"/>
    <cellStyle name="Normal 8 13 3 2" xfId="1050" xr:uid="{00000000-0005-0000-0000-0000A6230000}"/>
    <cellStyle name="Normal 8 13 3 2 2" xfId="9807" xr:uid="{00000000-0005-0000-0000-0000A7230000}"/>
    <cellStyle name="Normal 8 13 3 3" xfId="9591" xr:uid="{00000000-0005-0000-0000-0000A8230000}"/>
    <cellStyle name="Normal 8 13 4" xfId="906" xr:uid="{00000000-0005-0000-0000-0000A9230000}"/>
    <cellStyle name="Normal 8 13 4 2" xfId="9663" xr:uid="{00000000-0005-0000-0000-0000AA230000}"/>
    <cellStyle name="Normal 8 13 5" xfId="9447" xr:uid="{00000000-0005-0000-0000-0000AB230000}"/>
    <cellStyle name="Normal 8 14" xfId="696" xr:uid="{00000000-0005-0000-0000-0000AC230000}"/>
    <cellStyle name="Normal 8 14 2" xfId="925" xr:uid="{00000000-0005-0000-0000-0000AD230000}"/>
    <cellStyle name="Normal 8 14 2 2" xfId="9682" xr:uid="{00000000-0005-0000-0000-0000AE230000}"/>
    <cellStyle name="Normal 8 14 3" xfId="9466" xr:uid="{00000000-0005-0000-0000-0000AF230000}"/>
    <cellStyle name="Normal 8 15" xfId="781" xr:uid="{00000000-0005-0000-0000-0000B0230000}"/>
    <cellStyle name="Normal 8 15 2" xfId="997" xr:uid="{00000000-0005-0000-0000-0000B1230000}"/>
    <cellStyle name="Normal 8 15 2 2" xfId="9754" xr:uid="{00000000-0005-0000-0000-0000B2230000}"/>
    <cellStyle name="Normal 8 15 3" xfId="9538" xr:uid="{00000000-0005-0000-0000-0000B3230000}"/>
    <cellStyle name="Normal 8 16" xfId="853" xr:uid="{00000000-0005-0000-0000-0000B4230000}"/>
    <cellStyle name="Normal 8 16 2" xfId="9610" xr:uid="{00000000-0005-0000-0000-0000B5230000}"/>
    <cellStyle name="Normal 8 17" xfId="9392" xr:uid="{00000000-0005-0000-0000-0000B6230000}"/>
    <cellStyle name="Normal 8 2" xfId="203" xr:uid="{00000000-0005-0000-0000-0000B7230000}"/>
    <cellStyle name="Normal 8 2 10" xfId="854" xr:uid="{00000000-0005-0000-0000-0000B8230000}"/>
    <cellStyle name="Normal 8 2 10 2" xfId="9611" xr:uid="{00000000-0005-0000-0000-0000B9230000}"/>
    <cellStyle name="Normal 8 2 11" xfId="9393" xr:uid="{00000000-0005-0000-0000-0000BA230000}"/>
    <cellStyle name="Normal 8 2 2" xfId="377" xr:uid="{00000000-0005-0000-0000-0000BB230000}"/>
    <cellStyle name="Normal 8 2 2 2" xfId="439" xr:uid="{00000000-0005-0000-0000-0000BC230000}"/>
    <cellStyle name="Normal 8 2 2 3" xfId="711" xr:uid="{00000000-0005-0000-0000-0000BD230000}"/>
    <cellStyle name="Normal 8 2 2 3 2" xfId="939" xr:uid="{00000000-0005-0000-0000-0000BE230000}"/>
    <cellStyle name="Normal 8 2 2 3 2 2" xfId="9696" xr:uid="{00000000-0005-0000-0000-0000BF230000}"/>
    <cellStyle name="Normal 8 2 2 3 3" xfId="9480" xr:uid="{00000000-0005-0000-0000-0000C0230000}"/>
    <cellStyle name="Normal 8 2 2 4" xfId="795" xr:uid="{00000000-0005-0000-0000-0000C1230000}"/>
    <cellStyle name="Normal 8 2 2 4 2" xfId="1011" xr:uid="{00000000-0005-0000-0000-0000C2230000}"/>
    <cellStyle name="Normal 8 2 2 4 2 2" xfId="9768" xr:uid="{00000000-0005-0000-0000-0000C3230000}"/>
    <cellStyle name="Normal 8 2 2 4 3" xfId="9552" xr:uid="{00000000-0005-0000-0000-0000C4230000}"/>
    <cellStyle name="Normal 8 2 2 5" xfId="867" xr:uid="{00000000-0005-0000-0000-0000C5230000}"/>
    <cellStyle name="Normal 8 2 2 5 2" xfId="9624" xr:uid="{00000000-0005-0000-0000-0000C6230000}"/>
    <cellStyle name="Normal 8 2 2 6" xfId="9408" xr:uid="{00000000-0005-0000-0000-0000C7230000}"/>
    <cellStyle name="Normal 8 2 3" xfId="420" xr:uid="{00000000-0005-0000-0000-0000C8230000}"/>
    <cellStyle name="Normal 8 2 3 2" xfId="438" xr:uid="{00000000-0005-0000-0000-0000C9230000}"/>
    <cellStyle name="Normal 8 2 3 3" xfId="724" xr:uid="{00000000-0005-0000-0000-0000CA230000}"/>
    <cellStyle name="Normal 8 2 3 3 2" xfId="952" xr:uid="{00000000-0005-0000-0000-0000CB230000}"/>
    <cellStyle name="Normal 8 2 3 3 2 2" xfId="9709" xr:uid="{00000000-0005-0000-0000-0000CC230000}"/>
    <cellStyle name="Normal 8 2 3 3 3" xfId="9493" xr:uid="{00000000-0005-0000-0000-0000CD230000}"/>
    <cellStyle name="Normal 8 2 3 4" xfId="808" xr:uid="{00000000-0005-0000-0000-0000CE230000}"/>
    <cellStyle name="Normal 8 2 3 4 2" xfId="1024" xr:uid="{00000000-0005-0000-0000-0000CF230000}"/>
    <cellStyle name="Normal 8 2 3 4 2 2" xfId="9781" xr:uid="{00000000-0005-0000-0000-0000D0230000}"/>
    <cellStyle name="Normal 8 2 3 4 3" xfId="9565" xr:uid="{00000000-0005-0000-0000-0000D1230000}"/>
    <cellStyle name="Normal 8 2 3 5" xfId="880" xr:uid="{00000000-0005-0000-0000-0000D2230000}"/>
    <cellStyle name="Normal 8 2 3 5 2" xfId="9637" xr:uid="{00000000-0005-0000-0000-0000D3230000}"/>
    <cellStyle name="Normal 8 2 3 6" xfId="9421" xr:uid="{00000000-0005-0000-0000-0000D4230000}"/>
    <cellStyle name="Normal 8 2 4" xfId="437" xr:uid="{00000000-0005-0000-0000-0000D5230000}"/>
    <cellStyle name="Normal 8 2 4 2" xfId="436" xr:uid="{00000000-0005-0000-0000-0000D6230000}"/>
    <cellStyle name="Normal 8 2 5" xfId="435" xr:uid="{00000000-0005-0000-0000-0000D7230000}"/>
    <cellStyle name="Normal 8 2 6" xfId="434" xr:uid="{00000000-0005-0000-0000-0000D8230000}"/>
    <cellStyle name="Normal 8 2 7" xfId="658" xr:uid="{00000000-0005-0000-0000-0000D9230000}"/>
    <cellStyle name="Normal 8 2 7 2" xfId="763" xr:uid="{00000000-0005-0000-0000-0000DA230000}"/>
    <cellStyle name="Normal 8 2 7 2 2" xfId="979" xr:uid="{00000000-0005-0000-0000-0000DB230000}"/>
    <cellStyle name="Normal 8 2 7 2 2 2" xfId="9736" xr:uid="{00000000-0005-0000-0000-0000DC230000}"/>
    <cellStyle name="Normal 8 2 7 2 3" xfId="9520" xr:uid="{00000000-0005-0000-0000-0000DD230000}"/>
    <cellStyle name="Normal 8 2 7 3" xfId="835" xr:uid="{00000000-0005-0000-0000-0000DE230000}"/>
    <cellStyle name="Normal 8 2 7 3 2" xfId="1051" xr:uid="{00000000-0005-0000-0000-0000DF230000}"/>
    <cellStyle name="Normal 8 2 7 3 2 2" xfId="9808" xr:uid="{00000000-0005-0000-0000-0000E0230000}"/>
    <cellStyle name="Normal 8 2 7 3 3" xfId="9592" xr:uid="{00000000-0005-0000-0000-0000E1230000}"/>
    <cellStyle name="Normal 8 2 7 4" xfId="907" xr:uid="{00000000-0005-0000-0000-0000E2230000}"/>
    <cellStyle name="Normal 8 2 7 4 2" xfId="9664" xr:uid="{00000000-0005-0000-0000-0000E3230000}"/>
    <cellStyle name="Normal 8 2 7 5" xfId="9448" xr:uid="{00000000-0005-0000-0000-0000E4230000}"/>
    <cellStyle name="Normal 8 2 8" xfId="697" xr:uid="{00000000-0005-0000-0000-0000E5230000}"/>
    <cellStyle name="Normal 8 2 8 2" xfId="926" xr:uid="{00000000-0005-0000-0000-0000E6230000}"/>
    <cellStyle name="Normal 8 2 8 2 2" xfId="9683" xr:uid="{00000000-0005-0000-0000-0000E7230000}"/>
    <cellStyle name="Normal 8 2 8 3" xfId="9467" xr:uid="{00000000-0005-0000-0000-0000E8230000}"/>
    <cellStyle name="Normal 8 2 9" xfId="782" xr:uid="{00000000-0005-0000-0000-0000E9230000}"/>
    <cellStyle name="Normal 8 2 9 2" xfId="998" xr:uid="{00000000-0005-0000-0000-0000EA230000}"/>
    <cellStyle name="Normal 8 2 9 2 2" xfId="9755" xr:uid="{00000000-0005-0000-0000-0000EB230000}"/>
    <cellStyle name="Normal 8 2 9 3" xfId="9539" xr:uid="{00000000-0005-0000-0000-0000EC230000}"/>
    <cellStyle name="Normal 8 3" xfId="376" xr:uid="{00000000-0005-0000-0000-0000ED230000}"/>
    <cellStyle name="Normal 8 3 10" xfId="9407" xr:uid="{00000000-0005-0000-0000-0000EE230000}"/>
    <cellStyle name="Normal 8 3 2" xfId="433" xr:uid="{00000000-0005-0000-0000-0000EF230000}"/>
    <cellStyle name="Normal 8 3 2 2" xfId="432" xr:uid="{00000000-0005-0000-0000-0000F0230000}"/>
    <cellStyle name="Normal 8 3 3" xfId="431" xr:uid="{00000000-0005-0000-0000-0000F1230000}"/>
    <cellStyle name="Normal 8 3 3 2" xfId="430" xr:uid="{00000000-0005-0000-0000-0000F2230000}"/>
    <cellStyle name="Normal 8 3 4" xfId="429" xr:uid="{00000000-0005-0000-0000-0000F3230000}"/>
    <cellStyle name="Normal 8 3 4 2" xfId="428" xr:uid="{00000000-0005-0000-0000-0000F4230000}"/>
    <cellStyle name="Normal 8 3 5" xfId="427" xr:uid="{00000000-0005-0000-0000-0000F5230000}"/>
    <cellStyle name="Normal 8 3 6" xfId="426" xr:uid="{00000000-0005-0000-0000-0000F6230000}"/>
    <cellStyle name="Normal 8 3 7" xfId="710" xr:uid="{00000000-0005-0000-0000-0000F7230000}"/>
    <cellStyle name="Normal 8 3 7 2" xfId="938" xr:uid="{00000000-0005-0000-0000-0000F8230000}"/>
    <cellStyle name="Normal 8 3 7 2 2" xfId="9695" xr:uid="{00000000-0005-0000-0000-0000F9230000}"/>
    <cellStyle name="Normal 8 3 7 3" xfId="9479" xr:uid="{00000000-0005-0000-0000-0000FA230000}"/>
    <cellStyle name="Normal 8 3 8" xfId="794" xr:uid="{00000000-0005-0000-0000-0000FB230000}"/>
    <cellStyle name="Normal 8 3 8 2" xfId="1010" xr:uid="{00000000-0005-0000-0000-0000FC230000}"/>
    <cellStyle name="Normal 8 3 8 2 2" xfId="9767" xr:uid="{00000000-0005-0000-0000-0000FD230000}"/>
    <cellStyle name="Normal 8 3 8 3" xfId="9551" xr:uid="{00000000-0005-0000-0000-0000FE230000}"/>
    <cellStyle name="Normal 8 3 9" xfId="866" xr:uid="{00000000-0005-0000-0000-0000FF230000}"/>
    <cellStyle name="Normal 8 3 9 2" xfId="9623" xr:uid="{00000000-0005-0000-0000-000000240000}"/>
    <cellStyle name="Normal 8 4" xfId="419" xr:uid="{00000000-0005-0000-0000-000001240000}"/>
    <cellStyle name="Normal 8 4 10" xfId="9420" xr:uid="{00000000-0005-0000-0000-000002240000}"/>
    <cellStyle name="Normal 8 4 2" xfId="425" xr:uid="{00000000-0005-0000-0000-000003240000}"/>
    <cellStyle name="Normal 8 4 2 2" xfId="424" xr:uid="{00000000-0005-0000-0000-000004240000}"/>
    <cellStyle name="Normal 8 4 3" xfId="423" xr:uid="{00000000-0005-0000-0000-000005240000}"/>
    <cellStyle name="Normal 8 4 3 2" xfId="418" xr:uid="{00000000-0005-0000-0000-000006240000}"/>
    <cellStyle name="Normal 8 4 4" xfId="409" xr:uid="{00000000-0005-0000-0000-000007240000}"/>
    <cellStyle name="Normal 8 4 4 2" xfId="408" xr:uid="{00000000-0005-0000-0000-000008240000}"/>
    <cellStyle name="Normal 8 4 5" xfId="407" xr:uid="{00000000-0005-0000-0000-000009240000}"/>
    <cellStyle name="Normal 8 4 6" xfId="406" xr:uid="{00000000-0005-0000-0000-00000A240000}"/>
    <cellStyle name="Normal 8 4 7" xfId="723" xr:uid="{00000000-0005-0000-0000-00000B240000}"/>
    <cellStyle name="Normal 8 4 7 2" xfId="951" xr:uid="{00000000-0005-0000-0000-00000C240000}"/>
    <cellStyle name="Normal 8 4 7 2 2" xfId="9708" xr:uid="{00000000-0005-0000-0000-00000D240000}"/>
    <cellStyle name="Normal 8 4 7 3" xfId="9492" xr:uid="{00000000-0005-0000-0000-00000E240000}"/>
    <cellStyle name="Normal 8 4 8" xfId="807" xr:uid="{00000000-0005-0000-0000-00000F240000}"/>
    <cellStyle name="Normal 8 4 8 2" xfId="1023" xr:uid="{00000000-0005-0000-0000-000010240000}"/>
    <cellStyle name="Normal 8 4 8 2 2" xfId="9780" xr:uid="{00000000-0005-0000-0000-000011240000}"/>
    <cellStyle name="Normal 8 4 8 3" xfId="9564" xr:uid="{00000000-0005-0000-0000-000012240000}"/>
    <cellStyle name="Normal 8 4 9" xfId="879" xr:uid="{00000000-0005-0000-0000-000013240000}"/>
    <cellStyle name="Normal 8 4 9 2" xfId="9636" xr:uid="{00000000-0005-0000-0000-000014240000}"/>
    <cellStyle name="Normal 8 5" xfId="405" xr:uid="{00000000-0005-0000-0000-000015240000}"/>
    <cellStyle name="Normal 8 5 2" xfId="404" xr:uid="{00000000-0005-0000-0000-000016240000}"/>
    <cellStyle name="Normal 8 5 2 2" xfId="403" xr:uid="{00000000-0005-0000-0000-000017240000}"/>
    <cellStyle name="Normal 8 5 3" xfId="402" xr:uid="{00000000-0005-0000-0000-000018240000}"/>
    <cellStyle name="Normal 8 5 3 2" xfId="401" xr:uid="{00000000-0005-0000-0000-000019240000}"/>
    <cellStyle name="Normal 8 5 4" xfId="400" xr:uid="{00000000-0005-0000-0000-00001A240000}"/>
    <cellStyle name="Normal 8 5 5" xfId="398" xr:uid="{00000000-0005-0000-0000-00001B240000}"/>
    <cellStyle name="Normal 8 6" xfId="380" xr:uid="{00000000-0005-0000-0000-00001C240000}"/>
    <cellStyle name="Normal 8 6 2" xfId="397" xr:uid="{00000000-0005-0000-0000-00001D240000}"/>
    <cellStyle name="Normal 8 6 2 2" xfId="396" xr:uid="{00000000-0005-0000-0000-00001E240000}"/>
    <cellStyle name="Normal 8 6 3" xfId="395" xr:uid="{00000000-0005-0000-0000-00001F240000}"/>
    <cellStyle name="Normal 8 6 3 2" xfId="394" xr:uid="{00000000-0005-0000-0000-000020240000}"/>
    <cellStyle name="Normal 8 6 4" xfId="393" xr:uid="{00000000-0005-0000-0000-000021240000}"/>
    <cellStyle name="Normal 8 6 5" xfId="392" xr:uid="{00000000-0005-0000-0000-000022240000}"/>
    <cellStyle name="Normal 8 7" xfId="391" xr:uid="{00000000-0005-0000-0000-000023240000}"/>
    <cellStyle name="Normal 8 7 2" xfId="390" xr:uid="{00000000-0005-0000-0000-000024240000}"/>
    <cellStyle name="Normal 8 7 2 2" xfId="389" xr:uid="{00000000-0005-0000-0000-000025240000}"/>
    <cellStyle name="Normal 8 7 3" xfId="388" xr:uid="{00000000-0005-0000-0000-000026240000}"/>
    <cellStyle name="Normal 8 7 3 2" xfId="387" xr:uid="{00000000-0005-0000-0000-000027240000}"/>
    <cellStyle name="Normal 8 7 4" xfId="386" xr:uid="{00000000-0005-0000-0000-000028240000}"/>
    <cellStyle name="Normal 8 7 5" xfId="385" xr:uid="{00000000-0005-0000-0000-000029240000}"/>
    <cellStyle name="Normal 8 8" xfId="384" xr:uid="{00000000-0005-0000-0000-00002A240000}"/>
    <cellStyle name="Normal 8 8 2" xfId="383" xr:uid="{00000000-0005-0000-0000-00002B240000}"/>
    <cellStyle name="Normal 8 9" xfId="382" xr:uid="{00000000-0005-0000-0000-00002C240000}"/>
    <cellStyle name="Normal 8 9 2" xfId="381" xr:uid="{00000000-0005-0000-0000-00002D240000}"/>
    <cellStyle name="Normal 9" xfId="204" xr:uid="{00000000-0005-0000-0000-00002E240000}"/>
    <cellStyle name="Normal 9 10" xfId="783" xr:uid="{00000000-0005-0000-0000-00002F240000}"/>
    <cellStyle name="Normal 9 10 2" xfId="999" xr:uid="{00000000-0005-0000-0000-000030240000}"/>
    <cellStyle name="Normal 9 10 2 2" xfId="9756" xr:uid="{00000000-0005-0000-0000-000031240000}"/>
    <cellStyle name="Normal 9 10 3" xfId="9540" xr:uid="{00000000-0005-0000-0000-000032240000}"/>
    <cellStyle name="Normal 9 11" xfId="855" xr:uid="{00000000-0005-0000-0000-000033240000}"/>
    <cellStyle name="Normal 9 11 2" xfId="9612" xr:uid="{00000000-0005-0000-0000-000034240000}"/>
    <cellStyle name="Normal 9 12" xfId="9394" xr:uid="{00000000-0005-0000-0000-000035240000}"/>
    <cellStyle name="Normal 9 2" xfId="205" xr:uid="{00000000-0005-0000-0000-000036240000}"/>
    <cellStyle name="Normal 9 2 2" xfId="379" xr:uid="{00000000-0005-0000-0000-000037240000}"/>
    <cellStyle name="Normal 9 2 2 2" xfId="713" xr:uid="{00000000-0005-0000-0000-000038240000}"/>
    <cellStyle name="Normal 9 2 2 2 2" xfId="941" xr:uid="{00000000-0005-0000-0000-000039240000}"/>
    <cellStyle name="Normal 9 2 2 2 2 2" xfId="9698" xr:uid="{00000000-0005-0000-0000-00003A240000}"/>
    <cellStyle name="Normal 9 2 2 2 3" xfId="9482" xr:uid="{00000000-0005-0000-0000-00003B240000}"/>
    <cellStyle name="Normal 9 2 2 3" xfId="797" xr:uid="{00000000-0005-0000-0000-00003C240000}"/>
    <cellStyle name="Normal 9 2 2 3 2" xfId="1013" xr:uid="{00000000-0005-0000-0000-00003D240000}"/>
    <cellStyle name="Normal 9 2 2 3 2 2" xfId="9770" xr:uid="{00000000-0005-0000-0000-00003E240000}"/>
    <cellStyle name="Normal 9 2 2 3 3" xfId="9554" xr:uid="{00000000-0005-0000-0000-00003F240000}"/>
    <cellStyle name="Normal 9 2 2 4" xfId="869" xr:uid="{00000000-0005-0000-0000-000040240000}"/>
    <cellStyle name="Normal 9 2 2 4 2" xfId="9626" xr:uid="{00000000-0005-0000-0000-000041240000}"/>
    <cellStyle name="Normal 9 2 2 5" xfId="9410" xr:uid="{00000000-0005-0000-0000-000042240000}"/>
    <cellStyle name="Normal 9 2 3" xfId="422" xr:uid="{00000000-0005-0000-0000-000043240000}"/>
    <cellStyle name="Normal 9 2 3 2" xfId="726" xr:uid="{00000000-0005-0000-0000-000044240000}"/>
    <cellStyle name="Normal 9 2 3 2 2" xfId="954" xr:uid="{00000000-0005-0000-0000-000045240000}"/>
    <cellStyle name="Normal 9 2 3 2 2 2" xfId="9711" xr:uid="{00000000-0005-0000-0000-000046240000}"/>
    <cellStyle name="Normal 9 2 3 2 3" xfId="9495" xr:uid="{00000000-0005-0000-0000-000047240000}"/>
    <cellStyle name="Normal 9 2 3 3" xfId="810" xr:uid="{00000000-0005-0000-0000-000048240000}"/>
    <cellStyle name="Normal 9 2 3 3 2" xfId="1026" xr:uid="{00000000-0005-0000-0000-000049240000}"/>
    <cellStyle name="Normal 9 2 3 3 2 2" xfId="9783" xr:uid="{00000000-0005-0000-0000-00004A240000}"/>
    <cellStyle name="Normal 9 2 3 3 3" xfId="9567" xr:uid="{00000000-0005-0000-0000-00004B240000}"/>
    <cellStyle name="Normal 9 2 3 4" xfId="882" xr:uid="{00000000-0005-0000-0000-00004C240000}"/>
    <cellStyle name="Normal 9 2 3 4 2" xfId="9639" xr:uid="{00000000-0005-0000-0000-00004D240000}"/>
    <cellStyle name="Normal 9 2 3 5" xfId="9423" xr:uid="{00000000-0005-0000-0000-00004E240000}"/>
    <cellStyle name="Normal 9 2 4" xfId="660" xr:uid="{00000000-0005-0000-0000-00004F240000}"/>
    <cellStyle name="Normal 9 2 4 2" xfId="765" xr:uid="{00000000-0005-0000-0000-000050240000}"/>
    <cellStyle name="Normal 9 2 4 2 2" xfId="981" xr:uid="{00000000-0005-0000-0000-000051240000}"/>
    <cellStyle name="Normal 9 2 4 2 2 2" xfId="9738" xr:uid="{00000000-0005-0000-0000-000052240000}"/>
    <cellStyle name="Normal 9 2 4 2 3" xfId="9522" xr:uid="{00000000-0005-0000-0000-000053240000}"/>
    <cellStyle name="Normal 9 2 4 3" xfId="837" xr:uid="{00000000-0005-0000-0000-000054240000}"/>
    <cellStyle name="Normal 9 2 4 3 2" xfId="1053" xr:uid="{00000000-0005-0000-0000-000055240000}"/>
    <cellStyle name="Normal 9 2 4 3 2 2" xfId="9810" xr:uid="{00000000-0005-0000-0000-000056240000}"/>
    <cellStyle name="Normal 9 2 4 3 3" xfId="9594" xr:uid="{00000000-0005-0000-0000-000057240000}"/>
    <cellStyle name="Normal 9 2 4 4" xfId="909" xr:uid="{00000000-0005-0000-0000-000058240000}"/>
    <cellStyle name="Normal 9 2 4 4 2" xfId="9666" xr:uid="{00000000-0005-0000-0000-000059240000}"/>
    <cellStyle name="Normal 9 2 4 5" xfId="9450" xr:uid="{00000000-0005-0000-0000-00005A240000}"/>
    <cellStyle name="Normal 9 2 5" xfId="699" xr:uid="{00000000-0005-0000-0000-00005B240000}"/>
    <cellStyle name="Normal 9 2 5 2" xfId="928" xr:uid="{00000000-0005-0000-0000-00005C240000}"/>
    <cellStyle name="Normal 9 2 5 2 2" xfId="9685" xr:uid="{00000000-0005-0000-0000-00005D240000}"/>
    <cellStyle name="Normal 9 2 5 3" xfId="9469" xr:uid="{00000000-0005-0000-0000-00005E240000}"/>
    <cellStyle name="Normal 9 2 6" xfId="784" xr:uid="{00000000-0005-0000-0000-00005F240000}"/>
    <cellStyle name="Normal 9 2 6 2" xfId="1000" xr:uid="{00000000-0005-0000-0000-000060240000}"/>
    <cellStyle name="Normal 9 2 6 2 2" xfId="9757" xr:uid="{00000000-0005-0000-0000-000061240000}"/>
    <cellStyle name="Normal 9 2 6 3" xfId="9541" xr:uid="{00000000-0005-0000-0000-000062240000}"/>
    <cellStyle name="Normal 9 2 7" xfId="856" xr:uid="{00000000-0005-0000-0000-000063240000}"/>
    <cellStyle name="Normal 9 2 7 2" xfId="9613" xr:uid="{00000000-0005-0000-0000-000064240000}"/>
    <cellStyle name="Normal 9 2 8" xfId="9395" xr:uid="{00000000-0005-0000-0000-000065240000}"/>
    <cellStyle name="Normal 9 3" xfId="378" xr:uid="{00000000-0005-0000-0000-000066240000}"/>
    <cellStyle name="Normal 9 3 2" xfId="712" xr:uid="{00000000-0005-0000-0000-000067240000}"/>
    <cellStyle name="Normal 9 3 2 2" xfId="940" xr:uid="{00000000-0005-0000-0000-000068240000}"/>
    <cellStyle name="Normal 9 3 2 2 2" xfId="9697" xr:uid="{00000000-0005-0000-0000-000069240000}"/>
    <cellStyle name="Normal 9 3 2 3" xfId="9481" xr:uid="{00000000-0005-0000-0000-00006A240000}"/>
    <cellStyle name="Normal 9 3 3" xfId="796" xr:uid="{00000000-0005-0000-0000-00006B240000}"/>
    <cellStyle name="Normal 9 3 3 2" xfId="1012" xr:uid="{00000000-0005-0000-0000-00006C240000}"/>
    <cellStyle name="Normal 9 3 3 2 2" xfId="9769" xr:uid="{00000000-0005-0000-0000-00006D240000}"/>
    <cellStyle name="Normal 9 3 3 3" xfId="9553" xr:uid="{00000000-0005-0000-0000-00006E240000}"/>
    <cellStyle name="Normal 9 3 4" xfId="868" xr:uid="{00000000-0005-0000-0000-00006F240000}"/>
    <cellStyle name="Normal 9 3 4 2" xfId="9625" xr:uid="{00000000-0005-0000-0000-000070240000}"/>
    <cellStyle name="Normal 9 3 5" xfId="9409" xr:uid="{00000000-0005-0000-0000-000071240000}"/>
    <cellStyle name="Normal 9 4" xfId="421" xr:uid="{00000000-0005-0000-0000-000072240000}"/>
    <cellStyle name="Normal 9 4 2" xfId="725" xr:uid="{00000000-0005-0000-0000-000073240000}"/>
    <cellStyle name="Normal 9 4 2 2" xfId="953" xr:uid="{00000000-0005-0000-0000-000074240000}"/>
    <cellStyle name="Normal 9 4 2 2 2" xfId="9710" xr:uid="{00000000-0005-0000-0000-000075240000}"/>
    <cellStyle name="Normal 9 4 2 3" xfId="9494" xr:uid="{00000000-0005-0000-0000-000076240000}"/>
    <cellStyle name="Normal 9 4 3" xfId="809" xr:uid="{00000000-0005-0000-0000-000077240000}"/>
    <cellStyle name="Normal 9 4 3 2" xfId="1025" xr:uid="{00000000-0005-0000-0000-000078240000}"/>
    <cellStyle name="Normal 9 4 3 2 2" xfId="9782" xr:uid="{00000000-0005-0000-0000-000079240000}"/>
    <cellStyle name="Normal 9 4 3 3" xfId="9566" xr:uid="{00000000-0005-0000-0000-00007A240000}"/>
    <cellStyle name="Normal 9 4 4" xfId="881" xr:uid="{00000000-0005-0000-0000-00007B240000}"/>
    <cellStyle name="Normal 9 4 4 2" xfId="9638" xr:uid="{00000000-0005-0000-0000-00007C240000}"/>
    <cellStyle name="Normal 9 4 5" xfId="9422" xr:uid="{00000000-0005-0000-0000-00007D240000}"/>
    <cellStyle name="Normal 9 5" xfId="624" xr:uid="{00000000-0005-0000-0000-00007E240000}"/>
    <cellStyle name="Normal 9 5 2" xfId="734" xr:uid="{00000000-0005-0000-0000-00007F240000}"/>
    <cellStyle name="Normal 9 5 2 2" xfId="962" xr:uid="{00000000-0005-0000-0000-000080240000}"/>
    <cellStyle name="Normal 9 5 2 2 2" xfId="9719" xr:uid="{00000000-0005-0000-0000-000081240000}"/>
    <cellStyle name="Normal 9 5 2 3" xfId="9503" xr:uid="{00000000-0005-0000-0000-000082240000}"/>
    <cellStyle name="Normal 9 5 3" xfId="818" xr:uid="{00000000-0005-0000-0000-000083240000}"/>
    <cellStyle name="Normal 9 5 3 2" xfId="1034" xr:uid="{00000000-0005-0000-0000-000084240000}"/>
    <cellStyle name="Normal 9 5 3 2 2" xfId="9791" xr:uid="{00000000-0005-0000-0000-000085240000}"/>
    <cellStyle name="Normal 9 5 3 3" xfId="9575" xr:uid="{00000000-0005-0000-0000-000086240000}"/>
    <cellStyle name="Normal 9 5 4" xfId="890" xr:uid="{00000000-0005-0000-0000-000087240000}"/>
    <cellStyle name="Normal 9 5 4 2" xfId="9647" xr:uid="{00000000-0005-0000-0000-000088240000}"/>
    <cellStyle name="Normal 9 5 5" xfId="9431" xr:uid="{00000000-0005-0000-0000-000089240000}"/>
    <cellStyle name="Normal 9 6" xfId="632" xr:uid="{00000000-0005-0000-0000-00008A240000}"/>
    <cellStyle name="Normal 9 6 2" xfId="740" xr:uid="{00000000-0005-0000-0000-00008B240000}"/>
    <cellStyle name="Normal 9 6 2 2" xfId="968" xr:uid="{00000000-0005-0000-0000-00008C240000}"/>
    <cellStyle name="Normal 9 6 2 2 2" xfId="9725" xr:uid="{00000000-0005-0000-0000-00008D240000}"/>
    <cellStyle name="Normal 9 6 2 3" xfId="9509" xr:uid="{00000000-0005-0000-0000-00008E240000}"/>
    <cellStyle name="Normal 9 6 3" xfId="824" xr:uid="{00000000-0005-0000-0000-00008F240000}"/>
    <cellStyle name="Normal 9 6 3 2" xfId="1040" xr:uid="{00000000-0005-0000-0000-000090240000}"/>
    <cellStyle name="Normal 9 6 3 2 2" xfId="9797" xr:uid="{00000000-0005-0000-0000-000091240000}"/>
    <cellStyle name="Normal 9 6 3 3" xfId="9581" xr:uid="{00000000-0005-0000-0000-000092240000}"/>
    <cellStyle name="Normal 9 6 4" xfId="896" xr:uid="{00000000-0005-0000-0000-000093240000}"/>
    <cellStyle name="Normal 9 6 4 2" xfId="9653" xr:uid="{00000000-0005-0000-0000-000094240000}"/>
    <cellStyle name="Normal 9 6 5" xfId="9437" xr:uid="{00000000-0005-0000-0000-000095240000}"/>
    <cellStyle name="Normal 9 7" xfId="659" xr:uid="{00000000-0005-0000-0000-000096240000}"/>
    <cellStyle name="Normal 9 7 2" xfId="764" xr:uid="{00000000-0005-0000-0000-000097240000}"/>
    <cellStyle name="Normal 9 7 2 2" xfId="980" xr:uid="{00000000-0005-0000-0000-000098240000}"/>
    <cellStyle name="Normal 9 7 2 2 2" xfId="9737" xr:uid="{00000000-0005-0000-0000-000099240000}"/>
    <cellStyle name="Normal 9 7 2 3" xfId="9521" xr:uid="{00000000-0005-0000-0000-00009A240000}"/>
    <cellStyle name="Normal 9 7 3" xfId="836" xr:uid="{00000000-0005-0000-0000-00009B240000}"/>
    <cellStyle name="Normal 9 7 3 2" xfId="1052" xr:uid="{00000000-0005-0000-0000-00009C240000}"/>
    <cellStyle name="Normal 9 7 3 2 2" xfId="9809" xr:uid="{00000000-0005-0000-0000-00009D240000}"/>
    <cellStyle name="Normal 9 7 3 3" xfId="9593" xr:uid="{00000000-0005-0000-0000-00009E240000}"/>
    <cellStyle name="Normal 9 7 4" xfId="908" xr:uid="{00000000-0005-0000-0000-00009F240000}"/>
    <cellStyle name="Normal 9 7 4 2" xfId="9665" xr:uid="{00000000-0005-0000-0000-0000A0240000}"/>
    <cellStyle name="Normal 9 7 5" xfId="9449" xr:uid="{00000000-0005-0000-0000-0000A1240000}"/>
    <cellStyle name="Normal 9 8" xfId="677" xr:uid="{00000000-0005-0000-0000-0000A2240000}"/>
    <cellStyle name="Normal 9 8 2" xfId="771" xr:uid="{00000000-0005-0000-0000-0000A3240000}"/>
    <cellStyle name="Normal 9 8 2 2" xfId="987" xr:uid="{00000000-0005-0000-0000-0000A4240000}"/>
    <cellStyle name="Normal 9 8 2 2 2" xfId="9744" xr:uid="{00000000-0005-0000-0000-0000A5240000}"/>
    <cellStyle name="Normal 9 8 2 3" xfId="9528" xr:uid="{00000000-0005-0000-0000-0000A6240000}"/>
    <cellStyle name="Normal 9 8 3" xfId="843" xr:uid="{00000000-0005-0000-0000-0000A7240000}"/>
    <cellStyle name="Normal 9 8 3 2" xfId="1059" xr:uid="{00000000-0005-0000-0000-0000A8240000}"/>
    <cellStyle name="Normal 9 8 3 2 2" xfId="9816" xr:uid="{00000000-0005-0000-0000-0000A9240000}"/>
    <cellStyle name="Normal 9 8 3 3" xfId="9600" xr:uid="{00000000-0005-0000-0000-0000AA240000}"/>
    <cellStyle name="Normal 9 8 4" xfId="915" xr:uid="{00000000-0005-0000-0000-0000AB240000}"/>
    <cellStyle name="Normal 9 8 4 2" xfId="9672" xr:uid="{00000000-0005-0000-0000-0000AC240000}"/>
    <cellStyle name="Normal 9 8 5" xfId="9456" xr:uid="{00000000-0005-0000-0000-0000AD240000}"/>
    <cellStyle name="Normal 9 9" xfId="698" xr:uid="{00000000-0005-0000-0000-0000AE240000}"/>
    <cellStyle name="Normal 9 9 2" xfId="927" xr:uid="{00000000-0005-0000-0000-0000AF240000}"/>
    <cellStyle name="Normal 9 9 2 2" xfId="9684" xr:uid="{00000000-0005-0000-0000-0000B0240000}"/>
    <cellStyle name="Normal 9 9 3" xfId="9468" xr:uid="{00000000-0005-0000-0000-0000B1240000}"/>
    <cellStyle name="Normal_21 Exh B" xfId="206" xr:uid="{00000000-0005-0000-0000-0000B2240000}"/>
    <cellStyle name="Normal_ADITAnalysisID090805" xfId="9821" xr:uid="{478570C2-7C5B-4233-B7D5-B389A35CEEC9}"/>
    <cellStyle name="Normal_ATC Projected 2008 Monthly Plant Balances for Attachment O 2 (2)" xfId="207" xr:uid="{00000000-0005-0000-0000-0000B3240000}"/>
    <cellStyle name="Normal_Attachment GG Example 8 26 09" xfId="208" xr:uid="{00000000-0005-0000-0000-0000B4240000}"/>
    <cellStyle name="Normal_Attachment GG Template ER11-28 11-18-10" xfId="209" xr:uid="{00000000-0005-0000-0000-0000B5240000}"/>
    <cellStyle name="Normal_Attachment Os for 2002 True-up" xfId="210" xr:uid="{00000000-0005-0000-0000-0000B6240000}"/>
    <cellStyle name="Normal_FERC Functional M&amp;S All Cos" xfId="554" xr:uid="{00000000-0005-0000-0000-0000B7240000}"/>
    <cellStyle name="Normal_Schedule O Info for Mike" xfId="211" xr:uid="{00000000-0005-0000-0000-0000B8240000}"/>
    <cellStyle name="Normal_Support 2003 PSI Peak Demand excluding Joint Owners 2" xfId="555" xr:uid="{00000000-0005-0000-0000-0000B9240000}"/>
    <cellStyle name="Note 2" xfId="604" xr:uid="{00000000-0005-0000-0000-0000BA240000}"/>
    <cellStyle name="Note 2 2" xfId="9143" xr:uid="{00000000-0005-0000-0000-0000BB240000}"/>
    <cellStyle name="Note 3" xfId="9144" xr:uid="{00000000-0005-0000-0000-0000BC240000}"/>
    <cellStyle name="Note 4" xfId="9145" xr:uid="{00000000-0005-0000-0000-0000BD240000}"/>
    <cellStyle name="Note 5" xfId="9146" xr:uid="{00000000-0005-0000-0000-0000BE240000}"/>
    <cellStyle name="Note 5 2" xfId="9147" xr:uid="{00000000-0005-0000-0000-0000BF240000}"/>
    <cellStyle name="Note 5 2 2" xfId="9148" xr:uid="{00000000-0005-0000-0000-0000C0240000}"/>
    <cellStyle name="Note 5 2 3" xfId="9149" xr:uid="{00000000-0005-0000-0000-0000C1240000}"/>
    <cellStyle name="Note 5 3" xfId="9150" xr:uid="{00000000-0005-0000-0000-0000C2240000}"/>
    <cellStyle name="Note 5 4" xfId="9151" xr:uid="{00000000-0005-0000-0000-0000C3240000}"/>
    <cellStyle name="Note 5 5" xfId="9152" xr:uid="{00000000-0005-0000-0000-0000C4240000}"/>
    <cellStyle name="Note 6" xfId="9153" xr:uid="{00000000-0005-0000-0000-0000C5240000}"/>
    <cellStyle name="Note 7" xfId="9154" xr:uid="{00000000-0005-0000-0000-0000C6240000}"/>
    <cellStyle name="Note 8" xfId="9155" xr:uid="{00000000-0005-0000-0000-0000C7240000}"/>
    <cellStyle name="Note 9" xfId="9156" xr:uid="{00000000-0005-0000-0000-0000C8240000}"/>
    <cellStyle name="Output 2" xfId="605" xr:uid="{00000000-0005-0000-0000-0000C9240000}"/>
    <cellStyle name="Output 2 2" xfId="9157" xr:uid="{00000000-0005-0000-0000-0000CA240000}"/>
    <cellStyle name="Output 3" xfId="9158" xr:uid="{00000000-0005-0000-0000-0000CB240000}"/>
    <cellStyle name="Output 4" xfId="9159" xr:uid="{00000000-0005-0000-0000-0000CC240000}"/>
    <cellStyle name="Output 5" xfId="9160" xr:uid="{00000000-0005-0000-0000-0000CD240000}"/>
    <cellStyle name="Output 6" xfId="9161" xr:uid="{00000000-0005-0000-0000-0000CE240000}"/>
    <cellStyle name="Output 7" xfId="9162" xr:uid="{00000000-0005-0000-0000-0000CF240000}"/>
    <cellStyle name="Output 8" xfId="9163" xr:uid="{00000000-0005-0000-0000-0000D0240000}"/>
    <cellStyle name="Output 9" xfId="9164" xr:uid="{00000000-0005-0000-0000-0000D1240000}"/>
    <cellStyle name="Output1_Back" xfId="212" xr:uid="{00000000-0005-0000-0000-0000D2240000}"/>
    <cellStyle name="p" xfId="213" xr:uid="{00000000-0005-0000-0000-0000D3240000}"/>
    <cellStyle name="p_2010 Attachment O  GG_082709" xfId="214" xr:uid="{00000000-0005-0000-0000-0000D4240000}"/>
    <cellStyle name="p_2010 Attachment O Template Supporting Work Papers_ITC Midwest" xfId="215" xr:uid="{00000000-0005-0000-0000-0000D5240000}"/>
    <cellStyle name="p_2010 Attachment O Template Supporting Work Papers_ITCTransmission" xfId="216" xr:uid="{00000000-0005-0000-0000-0000D6240000}"/>
    <cellStyle name="p_2010 Attachment O Template Supporting Work Papers_METC" xfId="217" xr:uid="{00000000-0005-0000-0000-0000D7240000}"/>
    <cellStyle name="p_2Mod11" xfId="218" xr:uid="{00000000-0005-0000-0000-0000D8240000}"/>
    <cellStyle name="p_aavidmod11.xls Chart 1" xfId="219" xr:uid="{00000000-0005-0000-0000-0000D9240000}"/>
    <cellStyle name="p_aavidmod11.xls Chart 2" xfId="220" xr:uid="{00000000-0005-0000-0000-0000DA240000}"/>
    <cellStyle name="p_Attachment O &amp; GG" xfId="221" xr:uid="{00000000-0005-0000-0000-0000DB240000}"/>
    <cellStyle name="p_charts for capm" xfId="222" xr:uid="{00000000-0005-0000-0000-0000DC240000}"/>
    <cellStyle name="p_DCF" xfId="223" xr:uid="{00000000-0005-0000-0000-0000DD240000}"/>
    <cellStyle name="p_DCF_2Mod11" xfId="224" xr:uid="{00000000-0005-0000-0000-0000DE240000}"/>
    <cellStyle name="p_DCF_aavidmod11.xls Chart 1" xfId="225" xr:uid="{00000000-0005-0000-0000-0000DF240000}"/>
    <cellStyle name="p_DCF_aavidmod11.xls Chart 2" xfId="226" xr:uid="{00000000-0005-0000-0000-0000E0240000}"/>
    <cellStyle name="p_DCF_charts for capm" xfId="227" xr:uid="{00000000-0005-0000-0000-0000E1240000}"/>
    <cellStyle name="p_DCF_DCF5" xfId="228" xr:uid="{00000000-0005-0000-0000-0000E2240000}"/>
    <cellStyle name="p_DCF_Template2" xfId="229" xr:uid="{00000000-0005-0000-0000-0000E3240000}"/>
    <cellStyle name="p_DCF_Template2_1" xfId="230" xr:uid="{00000000-0005-0000-0000-0000E4240000}"/>
    <cellStyle name="p_DCF_VERA" xfId="231" xr:uid="{00000000-0005-0000-0000-0000E5240000}"/>
    <cellStyle name="p_DCF_VERA_1" xfId="232" xr:uid="{00000000-0005-0000-0000-0000E6240000}"/>
    <cellStyle name="p_DCF_VERA_1_Template2" xfId="233" xr:uid="{00000000-0005-0000-0000-0000E7240000}"/>
    <cellStyle name="p_DCF_VERA_aavidmod11.xls Chart 2" xfId="234" xr:uid="{00000000-0005-0000-0000-0000E8240000}"/>
    <cellStyle name="p_DCF_VERA_Model02" xfId="235" xr:uid="{00000000-0005-0000-0000-0000E9240000}"/>
    <cellStyle name="p_DCF_VERA_Template2" xfId="236" xr:uid="{00000000-0005-0000-0000-0000EA240000}"/>
    <cellStyle name="p_DCF_VERA_VERA" xfId="237" xr:uid="{00000000-0005-0000-0000-0000EB240000}"/>
    <cellStyle name="p_DCF_VERA_VERA_1" xfId="238" xr:uid="{00000000-0005-0000-0000-0000EC240000}"/>
    <cellStyle name="p_DCF_VERA_VERA_2" xfId="239" xr:uid="{00000000-0005-0000-0000-0000ED240000}"/>
    <cellStyle name="p_DCF_VERA_VERA_Template2" xfId="240" xr:uid="{00000000-0005-0000-0000-0000EE240000}"/>
    <cellStyle name="p_DCF5" xfId="241" xr:uid="{00000000-0005-0000-0000-0000EF240000}"/>
    <cellStyle name="p_ITC Great Plains Formula 1-12-09a" xfId="242" xr:uid="{00000000-0005-0000-0000-0000F0240000}"/>
    <cellStyle name="p_ITCM 2010 Template" xfId="243" xr:uid="{00000000-0005-0000-0000-0000F1240000}"/>
    <cellStyle name="p_ITCMW 2009 Rate" xfId="244" xr:uid="{00000000-0005-0000-0000-0000F2240000}"/>
    <cellStyle name="p_ITCMW 2010 Rate_083109" xfId="245" xr:uid="{00000000-0005-0000-0000-0000F3240000}"/>
    <cellStyle name="p_ITCOP 2010 Rate_083109" xfId="246" xr:uid="{00000000-0005-0000-0000-0000F4240000}"/>
    <cellStyle name="p_ITCT 2009 Rate" xfId="247" xr:uid="{00000000-0005-0000-0000-0000F5240000}"/>
    <cellStyle name="p_ITCT New 2010 Attachment O &amp; GG_111209NL" xfId="248" xr:uid="{00000000-0005-0000-0000-0000F6240000}"/>
    <cellStyle name="p_METC 2010 Rate_083109" xfId="249" xr:uid="{00000000-0005-0000-0000-0000F7240000}"/>
    <cellStyle name="p_Template2" xfId="250" xr:uid="{00000000-0005-0000-0000-0000F8240000}"/>
    <cellStyle name="p_Template2_1" xfId="251" xr:uid="{00000000-0005-0000-0000-0000F9240000}"/>
    <cellStyle name="p_VERA" xfId="252" xr:uid="{00000000-0005-0000-0000-0000FA240000}"/>
    <cellStyle name="p_VERA_1" xfId="253" xr:uid="{00000000-0005-0000-0000-0000FB240000}"/>
    <cellStyle name="p_VERA_1_Template2" xfId="254" xr:uid="{00000000-0005-0000-0000-0000FC240000}"/>
    <cellStyle name="p_VERA_aavidmod11.xls Chart 2" xfId="255" xr:uid="{00000000-0005-0000-0000-0000FD240000}"/>
    <cellStyle name="p_VERA_Model02" xfId="256" xr:uid="{00000000-0005-0000-0000-0000FE240000}"/>
    <cellStyle name="p_VERA_Template2" xfId="257" xr:uid="{00000000-0005-0000-0000-0000FF240000}"/>
    <cellStyle name="p_VERA_VERA" xfId="258" xr:uid="{00000000-0005-0000-0000-000000250000}"/>
    <cellStyle name="p_VERA_VERA_1" xfId="259" xr:uid="{00000000-0005-0000-0000-000001250000}"/>
    <cellStyle name="p_VERA_VERA_2" xfId="260" xr:uid="{00000000-0005-0000-0000-000002250000}"/>
    <cellStyle name="p_VERA_VERA_Template2" xfId="261" xr:uid="{00000000-0005-0000-0000-000003250000}"/>
    <cellStyle name="p1" xfId="262" xr:uid="{00000000-0005-0000-0000-000004250000}"/>
    <cellStyle name="p2" xfId="263" xr:uid="{00000000-0005-0000-0000-000005250000}"/>
    <cellStyle name="p3" xfId="264" xr:uid="{00000000-0005-0000-0000-000006250000}"/>
    <cellStyle name="Percent" xfId="265" builtinId="5"/>
    <cellStyle name="Percent %" xfId="266" xr:uid="{00000000-0005-0000-0000-000008250000}"/>
    <cellStyle name="Percent % Long Underline" xfId="267" xr:uid="{00000000-0005-0000-0000-000009250000}"/>
    <cellStyle name="Percent (0)" xfId="268" xr:uid="{00000000-0005-0000-0000-00000A250000}"/>
    <cellStyle name="Percent [0]" xfId="269" xr:uid="{00000000-0005-0000-0000-00000B250000}"/>
    <cellStyle name="Percent [1]" xfId="270" xr:uid="{00000000-0005-0000-0000-00000C250000}"/>
    <cellStyle name="Percent [2]" xfId="271" xr:uid="{00000000-0005-0000-0000-00000D250000}"/>
    <cellStyle name="Percent [3]" xfId="272" xr:uid="{00000000-0005-0000-0000-00000E250000}"/>
    <cellStyle name="Percent 0.0%" xfId="273" xr:uid="{00000000-0005-0000-0000-00000F250000}"/>
    <cellStyle name="Percent 0.0% Long Underline" xfId="274" xr:uid="{00000000-0005-0000-0000-000010250000}"/>
    <cellStyle name="Percent 0.00%" xfId="275" xr:uid="{00000000-0005-0000-0000-000011250000}"/>
    <cellStyle name="Percent 0.00% Long Underline" xfId="276" xr:uid="{00000000-0005-0000-0000-000012250000}"/>
    <cellStyle name="Percent 0.000%" xfId="277" xr:uid="{00000000-0005-0000-0000-000013250000}"/>
    <cellStyle name="Percent 0.000% Long Underline" xfId="278" xr:uid="{00000000-0005-0000-0000-000014250000}"/>
    <cellStyle name="Percent 0.0000%" xfId="279" xr:uid="{00000000-0005-0000-0000-000015250000}"/>
    <cellStyle name="Percent 0.0000% Long Underline" xfId="280" xr:uid="{00000000-0005-0000-0000-000016250000}"/>
    <cellStyle name="Percent 10" xfId="633" xr:uid="{00000000-0005-0000-0000-000017250000}"/>
    <cellStyle name="Percent 10 2" xfId="9825" xr:uid="{A3509766-9266-4F8D-810B-5A56816CF359}"/>
    <cellStyle name="Percent 11" xfId="645" xr:uid="{00000000-0005-0000-0000-000018250000}"/>
    <cellStyle name="Percent 11 2" xfId="750" xr:uid="{00000000-0005-0000-0000-000019250000}"/>
    <cellStyle name="Percent 12" xfId="635" xr:uid="{00000000-0005-0000-0000-00001A250000}"/>
    <cellStyle name="Percent 12 2" xfId="742" xr:uid="{00000000-0005-0000-0000-00001B250000}"/>
    <cellStyle name="Percent 13" xfId="682" xr:uid="{00000000-0005-0000-0000-00001C250000}"/>
    <cellStyle name="Percent 14" xfId="661" xr:uid="{00000000-0005-0000-0000-00001D250000}"/>
    <cellStyle name="Percent 15" xfId="683" xr:uid="{00000000-0005-0000-0000-00001E250000}"/>
    <cellStyle name="Percent 16" xfId="666" xr:uid="{00000000-0005-0000-0000-00001F250000}"/>
    <cellStyle name="Percent 17" xfId="684" xr:uid="{00000000-0005-0000-0000-000020250000}"/>
    <cellStyle name="Percent 18" xfId="665" xr:uid="{00000000-0005-0000-0000-000021250000}"/>
    <cellStyle name="Percent 19" xfId="685" xr:uid="{00000000-0005-0000-0000-000022250000}"/>
    <cellStyle name="Percent 2" xfId="281" xr:uid="{00000000-0005-0000-0000-000023250000}"/>
    <cellStyle name="Percent 2 2" xfId="282" xr:uid="{00000000-0005-0000-0000-000024250000}"/>
    <cellStyle name="Percent 2 2 2" xfId="9827" xr:uid="{96FD8C82-7813-4053-812E-8A10DCD4842D}"/>
    <cellStyle name="Percent 2 3" xfId="9165" xr:uid="{00000000-0005-0000-0000-000025250000}"/>
    <cellStyle name="Percent 20" xfId="663" xr:uid="{00000000-0005-0000-0000-000026250000}"/>
    <cellStyle name="Percent 21" xfId="686" xr:uid="{00000000-0005-0000-0000-000027250000}"/>
    <cellStyle name="Percent 22" xfId="662" xr:uid="{00000000-0005-0000-0000-000028250000}"/>
    <cellStyle name="Percent 3" xfId="283" xr:uid="{00000000-0005-0000-0000-000029250000}"/>
    <cellStyle name="Percent 3 2" xfId="284" xr:uid="{00000000-0005-0000-0000-00002A250000}"/>
    <cellStyle name="Percent 3 3" xfId="606" xr:uid="{00000000-0005-0000-0000-00002B250000}"/>
    <cellStyle name="Percent 3 4" xfId="607" xr:uid="{00000000-0005-0000-0000-00002C250000}"/>
    <cellStyle name="Percent 3 5" xfId="646" xr:uid="{00000000-0005-0000-0000-00002D250000}"/>
    <cellStyle name="Percent 3 5 2" xfId="751" xr:uid="{00000000-0005-0000-0000-00002E250000}"/>
    <cellStyle name="Percent 4" xfId="285" xr:uid="{00000000-0005-0000-0000-00002F250000}"/>
    <cellStyle name="Percent 4 2" xfId="608" xr:uid="{00000000-0005-0000-0000-000030250000}"/>
    <cellStyle name="Percent 5" xfId="286" xr:uid="{00000000-0005-0000-0000-000031250000}"/>
    <cellStyle name="Percent 6" xfId="287" xr:uid="{00000000-0005-0000-0000-000032250000}"/>
    <cellStyle name="Percent 7" xfId="288" xr:uid="{00000000-0005-0000-0000-000033250000}"/>
    <cellStyle name="Percent 7 2" xfId="9166" xr:uid="{00000000-0005-0000-0000-000034250000}"/>
    <cellStyle name="Percent 7 2 2" xfId="9167" xr:uid="{00000000-0005-0000-0000-000035250000}"/>
    <cellStyle name="Percent 7 2 3" xfId="9168" xr:uid="{00000000-0005-0000-0000-000036250000}"/>
    <cellStyle name="Percent 7 3" xfId="9169" xr:uid="{00000000-0005-0000-0000-000037250000}"/>
    <cellStyle name="Percent 7 4" xfId="9170" xr:uid="{00000000-0005-0000-0000-000038250000}"/>
    <cellStyle name="Percent 7 5" xfId="9171" xr:uid="{00000000-0005-0000-0000-000039250000}"/>
    <cellStyle name="Percent 70" xfId="9824" xr:uid="{9246A44E-0892-4782-871C-4458A8F1E791}"/>
    <cellStyle name="Percent 8" xfId="625" xr:uid="{00000000-0005-0000-0000-00003A250000}"/>
    <cellStyle name="Percent 9" xfId="584" xr:uid="{00000000-0005-0000-0000-00003B250000}"/>
    <cellStyle name="Percent Input" xfId="289" xr:uid="{00000000-0005-0000-0000-00003C250000}"/>
    <cellStyle name="Percent0" xfId="290" xr:uid="{00000000-0005-0000-0000-00003D250000}"/>
    <cellStyle name="Percent1" xfId="291" xr:uid="{00000000-0005-0000-0000-00003E250000}"/>
    <cellStyle name="Percent2" xfId="292" xr:uid="{00000000-0005-0000-0000-00003F250000}"/>
    <cellStyle name="PSChar" xfId="293" xr:uid="{00000000-0005-0000-0000-000040250000}"/>
    <cellStyle name="PSChar 10" xfId="9172" xr:uid="{00000000-0005-0000-0000-000041250000}"/>
    <cellStyle name="PSChar 10 2" xfId="9173" xr:uid="{00000000-0005-0000-0000-000042250000}"/>
    <cellStyle name="PSChar 11" xfId="9174" xr:uid="{00000000-0005-0000-0000-000043250000}"/>
    <cellStyle name="PSChar 11 2" xfId="9175" xr:uid="{00000000-0005-0000-0000-000044250000}"/>
    <cellStyle name="PSChar 12" xfId="9176" xr:uid="{00000000-0005-0000-0000-000045250000}"/>
    <cellStyle name="PSChar 12 2" xfId="9177" xr:uid="{00000000-0005-0000-0000-000046250000}"/>
    <cellStyle name="PSChar 13" xfId="9178" xr:uid="{00000000-0005-0000-0000-000047250000}"/>
    <cellStyle name="PSChar 14" xfId="9179" xr:uid="{00000000-0005-0000-0000-000048250000}"/>
    <cellStyle name="PSChar 14 2" xfId="9180" xr:uid="{00000000-0005-0000-0000-000049250000}"/>
    <cellStyle name="PSChar 15" xfId="9181" xr:uid="{00000000-0005-0000-0000-00004A250000}"/>
    <cellStyle name="PSChar 16" xfId="9182" xr:uid="{00000000-0005-0000-0000-00004B250000}"/>
    <cellStyle name="PSChar 16 2" xfId="9183" xr:uid="{00000000-0005-0000-0000-00004C250000}"/>
    <cellStyle name="PSChar 2" xfId="9184" xr:uid="{00000000-0005-0000-0000-00004D250000}"/>
    <cellStyle name="PSChar 2 2" xfId="9185" xr:uid="{00000000-0005-0000-0000-00004E250000}"/>
    <cellStyle name="PSChar 3" xfId="9186" xr:uid="{00000000-0005-0000-0000-00004F250000}"/>
    <cellStyle name="PSChar 3 2" xfId="9187" xr:uid="{00000000-0005-0000-0000-000050250000}"/>
    <cellStyle name="PSChar 4" xfId="9188" xr:uid="{00000000-0005-0000-0000-000051250000}"/>
    <cellStyle name="PSChar 4 2" xfId="9189" xr:uid="{00000000-0005-0000-0000-000052250000}"/>
    <cellStyle name="PSChar 5" xfId="9190" xr:uid="{00000000-0005-0000-0000-000053250000}"/>
    <cellStyle name="PSChar 5 2" xfId="9191" xr:uid="{00000000-0005-0000-0000-000054250000}"/>
    <cellStyle name="PSChar 6" xfId="9192" xr:uid="{00000000-0005-0000-0000-000055250000}"/>
    <cellStyle name="PSChar 6 2" xfId="9193" xr:uid="{00000000-0005-0000-0000-000056250000}"/>
    <cellStyle name="PSChar 7" xfId="9194" xr:uid="{00000000-0005-0000-0000-000057250000}"/>
    <cellStyle name="PSChar 7 2" xfId="9195" xr:uid="{00000000-0005-0000-0000-000058250000}"/>
    <cellStyle name="PSChar 8" xfId="9196" xr:uid="{00000000-0005-0000-0000-000059250000}"/>
    <cellStyle name="PSChar 8 2" xfId="9197" xr:uid="{00000000-0005-0000-0000-00005A250000}"/>
    <cellStyle name="PSChar 9" xfId="9198" xr:uid="{00000000-0005-0000-0000-00005B250000}"/>
    <cellStyle name="PSChar 9 2" xfId="9199" xr:uid="{00000000-0005-0000-0000-00005C250000}"/>
    <cellStyle name="PSChar 9 2 2" xfId="9200" xr:uid="{00000000-0005-0000-0000-00005D250000}"/>
    <cellStyle name="PSChar 9 3" xfId="9201" xr:uid="{00000000-0005-0000-0000-00005E250000}"/>
    <cellStyle name="PSDate" xfId="294" xr:uid="{00000000-0005-0000-0000-00005F250000}"/>
    <cellStyle name="PSDate 10" xfId="9202" xr:uid="{00000000-0005-0000-0000-000060250000}"/>
    <cellStyle name="PSDate 10 2" xfId="9203" xr:uid="{00000000-0005-0000-0000-000061250000}"/>
    <cellStyle name="PSDate 11" xfId="9204" xr:uid="{00000000-0005-0000-0000-000062250000}"/>
    <cellStyle name="PSDate 11 2" xfId="9205" xr:uid="{00000000-0005-0000-0000-000063250000}"/>
    <cellStyle name="PSDate 12" xfId="9206" xr:uid="{00000000-0005-0000-0000-000064250000}"/>
    <cellStyle name="PSDate 12 2" xfId="9207" xr:uid="{00000000-0005-0000-0000-000065250000}"/>
    <cellStyle name="PSDate 13" xfId="9208" xr:uid="{00000000-0005-0000-0000-000066250000}"/>
    <cellStyle name="PSDate 14" xfId="9209" xr:uid="{00000000-0005-0000-0000-000067250000}"/>
    <cellStyle name="PSDate 14 2" xfId="9210" xr:uid="{00000000-0005-0000-0000-000068250000}"/>
    <cellStyle name="PSDate 15" xfId="9211" xr:uid="{00000000-0005-0000-0000-000069250000}"/>
    <cellStyle name="PSDate 16" xfId="9212" xr:uid="{00000000-0005-0000-0000-00006A250000}"/>
    <cellStyle name="PSDate 16 2" xfId="9213" xr:uid="{00000000-0005-0000-0000-00006B250000}"/>
    <cellStyle name="PSDate 2" xfId="9214" xr:uid="{00000000-0005-0000-0000-00006C250000}"/>
    <cellStyle name="PSDate 2 2" xfId="9215" xr:uid="{00000000-0005-0000-0000-00006D250000}"/>
    <cellStyle name="PSDate 3" xfId="9216" xr:uid="{00000000-0005-0000-0000-00006E250000}"/>
    <cellStyle name="PSDate 3 2" xfId="9217" xr:uid="{00000000-0005-0000-0000-00006F250000}"/>
    <cellStyle name="PSDate 4" xfId="9218" xr:uid="{00000000-0005-0000-0000-000070250000}"/>
    <cellStyle name="PSDate 4 2" xfId="9219" xr:uid="{00000000-0005-0000-0000-000071250000}"/>
    <cellStyle name="PSDate 5" xfId="9220" xr:uid="{00000000-0005-0000-0000-000072250000}"/>
    <cellStyle name="PSDate 5 2" xfId="9221" xr:uid="{00000000-0005-0000-0000-000073250000}"/>
    <cellStyle name="PSDate 6" xfId="9222" xr:uid="{00000000-0005-0000-0000-000074250000}"/>
    <cellStyle name="PSDate 6 2" xfId="9223" xr:uid="{00000000-0005-0000-0000-000075250000}"/>
    <cellStyle name="PSDate 7" xfId="9224" xr:uid="{00000000-0005-0000-0000-000076250000}"/>
    <cellStyle name="PSDate 7 2" xfId="9225" xr:uid="{00000000-0005-0000-0000-000077250000}"/>
    <cellStyle name="PSDate 8" xfId="9226" xr:uid="{00000000-0005-0000-0000-000078250000}"/>
    <cellStyle name="PSDate 8 2" xfId="9227" xr:uid="{00000000-0005-0000-0000-000079250000}"/>
    <cellStyle name="PSDate 9" xfId="9228" xr:uid="{00000000-0005-0000-0000-00007A250000}"/>
    <cellStyle name="PSDate 9 2" xfId="9229" xr:uid="{00000000-0005-0000-0000-00007B250000}"/>
    <cellStyle name="PSDate 9 2 2" xfId="9230" xr:uid="{00000000-0005-0000-0000-00007C250000}"/>
    <cellStyle name="PSDate 9 3" xfId="9231" xr:uid="{00000000-0005-0000-0000-00007D250000}"/>
    <cellStyle name="PSDec" xfId="295" xr:uid="{00000000-0005-0000-0000-00007E250000}"/>
    <cellStyle name="PSDec 10" xfId="9232" xr:uid="{00000000-0005-0000-0000-00007F250000}"/>
    <cellStyle name="PSDec 10 2" xfId="9233" xr:uid="{00000000-0005-0000-0000-000080250000}"/>
    <cellStyle name="PSDec 11" xfId="9234" xr:uid="{00000000-0005-0000-0000-000081250000}"/>
    <cellStyle name="PSDec 11 2" xfId="9235" xr:uid="{00000000-0005-0000-0000-000082250000}"/>
    <cellStyle name="PSDec 12" xfId="9236" xr:uid="{00000000-0005-0000-0000-000083250000}"/>
    <cellStyle name="PSDec 12 2" xfId="9237" xr:uid="{00000000-0005-0000-0000-000084250000}"/>
    <cellStyle name="PSDec 13" xfId="9238" xr:uid="{00000000-0005-0000-0000-000085250000}"/>
    <cellStyle name="PSDec 14" xfId="9239" xr:uid="{00000000-0005-0000-0000-000086250000}"/>
    <cellStyle name="PSDec 14 2" xfId="9240" xr:uid="{00000000-0005-0000-0000-000087250000}"/>
    <cellStyle name="PSDec 15" xfId="9241" xr:uid="{00000000-0005-0000-0000-000088250000}"/>
    <cellStyle name="PSDec 16" xfId="9242" xr:uid="{00000000-0005-0000-0000-000089250000}"/>
    <cellStyle name="PSDec 16 2" xfId="9243" xr:uid="{00000000-0005-0000-0000-00008A250000}"/>
    <cellStyle name="PSDec 2" xfId="9244" xr:uid="{00000000-0005-0000-0000-00008B250000}"/>
    <cellStyle name="PSDec 2 2" xfId="9245" xr:uid="{00000000-0005-0000-0000-00008C250000}"/>
    <cellStyle name="PSDec 3" xfId="9246" xr:uid="{00000000-0005-0000-0000-00008D250000}"/>
    <cellStyle name="PSDec 3 2" xfId="9247" xr:uid="{00000000-0005-0000-0000-00008E250000}"/>
    <cellStyle name="PSDec 4" xfId="9248" xr:uid="{00000000-0005-0000-0000-00008F250000}"/>
    <cellStyle name="PSDec 4 2" xfId="9249" xr:uid="{00000000-0005-0000-0000-000090250000}"/>
    <cellStyle name="PSDec 5" xfId="9250" xr:uid="{00000000-0005-0000-0000-000091250000}"/>
    <cellStyle name="PSDec 5 2" xfId="9251" xr:uid="{00000000-0005-0000-0000-000092250000}"/>
    <cellStyle name="PSDec 6" xfId="9252" xr:uid="{00000000-0005-0000-0000-000093250000}"/>
    <cellStyle name="PSDec 6 2" xfId="9253" xr:uid="{00000000-0005-0000-0000-000094250000}"/>
    <cellStyle name="PSDec 7" xfId="9254" xr:uid="{00000000-0005-0000-0000-000095250000}"/>
    <cellStyle name="PSDec 7 2" xfId="9255" xr:uid="{00000000-0005-0000-0000-000096250000}"/>
    <cellStyle name="PSDec 8" xfId="9256" xr:uid="{00000000-0005-0000-0000-000097250000}"/>
    <cellStyle name="PSDec 8 2" xfId="9257" xr:uid="{00000000-0005-0000-0000-000098250000}"/>
    <cellStyle name="PSDec 9" xfId="9258" xr:uid="{00000000-0005-0000-0000-000099250000}"/>
    <cellStyle name="PSDec 9 2" xfId="9259" xr:uid="{00000000-0005-0000-0000-00009A250000}"/>
    <cellStyle name="PSDec 9 2 2" xfId="9260" xr:uid="{00000000-0005-0000-0000-00009B250000}"/>
    <cellStyle name="PSDec 9 3" xfId="9261" xr:uid="{00000000-0005-0000-0000-00009C250000}"/>
    <cellStyle name="PSdesc" xfId="296" xr:uid="{00000000-0005-0000-0000-00009D250000}"/>
    <cellStyle name="PSHeading" xfId="297" xr:uid="{00000000-0005-0000-0000-00009E250000}"/>
    <cellStyle name="PSHeading 10" xfId="9262" xr:uid="{00000000-0005-0000-0000-00009F250000}"/>
    <cellStyle name="PSHeading 10 2" xfId="9263" xr:uid="{00000000-0005-0000-0000-0000A0250000}"/>
    <cellStyle name="PSHeading 11" xfId="9264" xr:uid="{00000000-0005-0000-0000-0000A1250000}"/>
    <cellStyle name="PSHeading 11 2" xfId="9265" xr:uid="{00000000-0005-0000-0000-0000A2250000}"/>
    <cellStyle name="PSHeading 11 2 2" xfId="9266" xr:uid="{00000000-0005-0000-0000-0000A3250000}"/>
    <cellStyle name="PSHeading 11 3" xfId="9267" xr:uid="{00000000-0005-0000-0000-0000A4250000}"/>
    <cellStyle name="PSHeading 12" xfId="9268" xr:uid="{00000000-0005-0000-0000-0000A5250000}"/>
    <cellStyle name="PSHeading 12 2" xfId="9269" xr:uid="{00000000-0005-0000-0000-0000A6250000}"/>
    <cellStyle name="PSHeading 13" xfId="9270" xr:uid="{00000000-0005-0000-0000-0000A7250000}"/>
    <cellStyle name="PSHeading 13 2" xfId="9271" xr:uid="{00000000-0005-0000-0000-0000A8250000}"/>
    <cellStyle name="PSHeading 14" xfId="9272" xr:uid="{00000000-0005-0000-0000-0000A9250000}"/>
    <cellStyle name="PSHeading 14 2" xfId="9273" xr:uid="{00000000-0005-0000-0000-0000AA250000}"/>
    <cellStyle name="PSHeading 15" xfId="9274" xr:uid="{00000000-0005-0000-0000-0000AB250000}"/>
    <cellStyle name="PSHeading 16" xfId="9275" xr:uid="{00000000-0005-0000-0000-0000AC250000}"/>
    <cellStyle name="PSHeading 16 2" xfId="9276" xr:uid="{00000000-0005-0000-0000-0000AD250000}"/>
    <cellStyle name="PSHeading 17" xfId="9277" xr:uid="{00000000-0005-0000-0000-0000AE250000}"/>
    <cellStyle name="PSHeading 18" xfId="9278" xr:uid="{00000000-0005-0000-0000-0000AF250000}"/>
    <cellStyle name="PSHeading 19" xfId="9279" xr:uid="{00000000-0005-0000-0000-0000B0250000}"/>
    <cellStyle name="PSHeading 19 2" xfId="9280" xr:uid="{00000000-0005-0000-0000-0000B1250000}"/>
    <cellStyle name="PSHeading 19 3" xfId="9281" xr:uid="{00000000-0005-0000-0000-0000B2250000}"/>
    <cellStyle name="PSHeading 2" xfId="9282" xr:uid="{00000000-0005-0000-0000-0000B3250000}"/>
    <cellStyle name="PSHeading 2 2" xfId="9283" xr:uid="{00000000-0005-0000-0000-0000B4250000}"/>
    <cellStyle name="PSHeading 20" xfId="9284" xr:uid="{00000000-0005-0000-0000-0000B5250000}"/>
    <cellStyle name="PSHeading 20 2" xfId="9285" xr:uid="{00000000-0005-0000-0000-0000B6250000}"/>
    <cellStyle name="PSHeading 21" xfId="9396" xr:uid="{00000000-0005-0000-0000-0000B7250000}"/>
    <cellStyle name="PSHeading 3" xfId="9286" xr:uid="{00000000-0005-0000-0000-0000B8250000}"/>
    <cellStyle name="PSHeading 3 2" xfId="9287" xr:uid="{00000000-0005-0000-0000-0000B9250000}"/>
    <cellStyle name="PSHeading 4" xfId="9288" xr:uid="{00000000-0005-0000-0000-0000BA250000}"/>
    <cellStyle name="PSHeading 4 2" xfId="9289" xr:uid="{00000000-0005-0000-0000-0000BB250000}"/>
    <cellStyle name="PSHeading 5" xfId="9290" xr:uid="{00000000-0005-0000-0000-0000BC250000}"/>
    <cellStyle name="PSHeading 5 2" xfId="9291" xr:uid="{00000000-0005-0000-0000-0000BD250000}"/>
    <cellStyle name="PSHeading 6" xfId="9292" xr:uid="{00000000-0005-0000-0000-0000BE250000}"/>
    <cellStyle name="PSHeading 6 2" xfId="9293" xr:uid="{00000000-0005-0000-0000-0000BF250000}"/>
    <cellStyle name="PSHeading 7" xfId="9294" xr:uid="{00000000-0005-0000-0000-0000C0250000}"/>
    <cellStyle name="PSHeading 7 2" xfId="9295" xr:uid="{00000000-0005-0000-0000-0000C1250000}"/>
    <cellStyle name="PSHeading 8" xfId="9296" xr:uid="{00000000-0005-0000-0000-0000C2250000}"/>
    <cellStyle name="PSHeading 8 2" xfId="9297" xr:uid="{00000000-0005-0000-0000-0000C3250000}"/>
    <cellStyle name="PSHeading 9" xfId="9298" xr:uid="{00000000-0005-0000-0000-0000C4250000}"/>
    <cellStyle name="PSHeading_July prelim tb" xfId="9299" xr:uid="{00000000-0005-0000-0000-0000C5250000}"/>
    <cellStyle name="PSInt" xfId="298" xr:uid="{00000000-0005-0000-0000-0000C6250000}"/>
    <cellStyle name="PSInt 10" xfId="9300" xr:uid="{00000000-0005-0000-0000-0000C7250000}"/>
    <cellStyle name="PSInt 10 2" xfId="9301" xr:uid="{00000000-0005-0000-0000-0000C8250000}"/>
    <cellStyle name="PSInt 11" xfId="9302" xr:uid="{00000000-0005-0000-0000-0000C9250000}"/>
    <cellStyle name="PSInt 11 2" xfId="9303" xr:uid="{00000000-0005-0000-0000-0000CA250000}"/>
    <cellStyle name="PSInt 12" xfId="9304" xr:uid="{00000000-0005-0000-0000-0000CB250000}"/>
    <cellStyle name="PSInt 12 2" xfId="9305" xr:uid="{00000000-0005-0000-0000-0000CC250000}"/>
    <cellStyle name="PSInt 13" xfId="9306" xr:uid="{00000000-0005-0000-0000-0000CD250000}"/>
    <cellStyle name="PSInt 14" xfId="9307" xr:uid="{00000000-0005-0000-0000-0000CE250000}"/>
    <cellStyle name="PSInt 14 2" xfId="9308" xr:uid="{00000000-0005-0000-0000-0000CF250000}"/>
    <cellStyle name="PSInt 15" xfId="9309" xr:uid="{00000000-0005-0000-0000-0000D0250000}"/>
    <cellStyle name="PSInt 16" xfId="9310" xr:uid="{00000000-0005-0000-0000-0000D1250000}"/>
    <cellStyle name="PSInt 16 2" xfId="9311" xr:uid="{00000000-0005-0000-0000-0000D2250000}"/>
    <cellStyle name="PSInt 2" xfId="9312" xr:uid="{00000000-0005-0000-0000-0000D3250000}"/>
    <cellStyle name="PSInt 2 2" xfId="9313" xr:uid="{00000000-0005-0000-0000-0000D4250000}"/>
    <cellStyle name="PSInt 3" xfId="9314" xr:uid="{00000000-0005-0000-0000-0000D5250000}"/>
    <cellStyle name="PSInt 3 2" xfId="9315" xr:uid="{00000000-0005-0000-0000-0000D6250000}"/>
    <cellStyle name="PSInt 4" xfId="9316" xr:uid="{00000000-0005-0000-0000-0000D7250000}"/>
    <cellStyle name="PSInt 4 2" xfId="9317" xr:uid="{00000000-0005-0000-0000-0000D8250000}"/>
    <cellStyle name="PSInt 5" xfId="9318" xr:uid="{00000000-0005-0000-0000-0000D9250000}"/>
    <cellStyle name="PSInt 5 2" xfId="9319" xr:uid="{00000000-0005-0000-0000-0000DA250000}"/>
    <cellStyle name="PSInt 6" xfId="9320" xr:uid="{00000000-0005-0000-0000-0000DB250000}"/>
    <cellStyle name="PSInt 6 2" xfId="9321" xr:uid="{00000000-0005-0000-0000-0000DC250000}"/>
    <cellStyle name="PSInt 7" xfId="9322" xr:uid="{00000000-0005-0000-0000-0000DD250000}"/>
    <cellStyle name="PSInt 7 2" xfId="9323" xr:uid="{00000000-0005-0000-0000-0000DE250000}"/>
    <cellStyle name="PSInt 8" xfId="9324" xr:uid="{00000000-0005-0000-0000-0000DF250000}"/>
    <cellStyle name="PSInt 8 2" xfId="9325" xr:uid="{00000000-0005-0000-0000-0000E0250000}"/>
    <cellStyle name="PSInt 9" xfId="9326" xr:uid="{00000000-0005-0000-0000-0000E1250000}"/>
    <cellStyle name="PSInt 9 2" xfId="9327" xr:uid="{00000000-0005-0000-0000-0000E2250000}"/>
    <cellStyle name="PSInt 9 2 2" xfId="9328" xr:uid="{00000000-0005-0000-0000-0000E3250000}"/>
    <cellStyle name="PSInt 9 3" xfId="9329" xr:uid="{00000000-0005-0000-0000-0000E4250000}"/>
    <cellStyle name="PSSpacer" xfId="299" xr:uid="{00000000-0005-0000-0000-0000E5250000}"/>
    <cellStyle name="PSSpacer 10" xfId="9330" xr:uid="{00000000-0005-0000-0000-0000E6250000}"/>
    <cellStyle name="PSSpacer 10 2" xfId="9331" xr:uid="{00000000-0005-0000-0000-0000E7250000}"/>
    <cellStyle name="PSSpacer 11" xfId="9332" xr:uid="{00000000-0005-0000-0000-0000E8250000}"/>
    <cellStyle name="PSSpacer 11 2" xfId="9333" xr:uid="{00000000-0005-0000-0000-0000E9250000}"/>
    <cellStyle name="PSSpacer 12" xfId="9334" xr:uid="{00000000-0005-0000-0000-0000EA250000}"/>
    <cellStyle name="PSSpacer 13" xfId="9335" xr:uid="{00000000-0005-0000-0000-0000EB250000}"/>
    <cellStyle name="PSSpacer 13 2" xfId="9336" xr:uid="{00000000-0005-0000-0000-0000EC250000}"/>
    <cellStyle name="PSSpacer 14" xfId="9337" xr:uid="{00000000-0005-0000-0000-0000ED250000}"/>
    <cellStyle name="PSSpacer 15" xfId="9338" xr:uid="{00000000-0005-0000-0000-0000EE250000}"/>
    <cellStyle name="PSSpacer 15 2" xfId="9339" xr:uid="{00000000-0005-0000-0000-0000EF250000}"/>
    <cellStyle name="PSSpacer 2" xfId="9340" xr:uid="{00000000-0005-0000-0000-0000F0250000}"/>
    <cellStyle name="PSSpacer 2 2" xfId="9341" xr:uid="{00000000-0005-0000-0000-0000F1250000}"/>
    <cellStyle name="PSSpacer 3" xfId="9342" xr:uid="{00000000-0005-0000-0000-0000F2250000}"/>
    <cellStyle name="PSSpacer 3 2" xfId="9343" xr:uid="{00000000-0005-0000-0000-0000F3250000}"/>
    <cellStyle name="PSSpacer 4" xfId="9344" xr:uid="{00000000-0005-0000-0000-0000F4250000}"/>
    <cellStyle name="PSSpacer 4 2" xfId="9345" xr:uid="{00000000-0005-0000-0000-0000F5250000}"/>
    <cellStyle name="PSSpacer 5" xfId="9346" xr:uid="{00000000-0005-0000-0000-0000F6250000}"/>
    <cellStyle name="PSSpacer 5 2" xfId="9347" xr:uid="{00000000-0005-0000-0000-0000F7250000}"/>
    <cellStyle name="PSSpacer 6" xfId="9348" xr:uid="{00000000-0005-0000-0000-0000F8250000}"/>
    <cellStyle name="PSSpacer 6 2" xfId="9349" xr:uid="{00000000-0005-0000-0000-0000F9250000}"/>
    <cellStyle name="PSSpacer 7" xfId="9350" xr:uid="{00000000-0005-0000-0000-0000FA250000}"/>
    <cellStyle name="PSSpacer 7 2" xfId="9351" xr:uid="{00000000-0005-0000-0000-0000FB250000}"/>
    <cellStyle name="PSSpacer 8" xfId="9352" xr:uid="{00000000-0005-0000-0000-0000FC250000}"/>
    <cellStyle name="PSSpacer 8 2" xfId="9353" xr:uid="{00000000-0005-0000-0000-0000FD250000}"/>
    <cellStyle name="PSSpacer 8 2 2" xfId="9354" xr:uid="{00000000-0005-0000-0000-0000FE250000}"/>
    <cellStyle name="PSSpacer 8 3" xfId="9355" xr:uid="{00000000-0005-0000-0000-0000FF250000}"/>
    <cellStyle name="PSSpacer 9" xfId="9356" xr:uid="{00000000-0005-0000-0000-000000260000}"/>
    <cellStyle name="PSSpacer 9 2" xfId="9357" xr:uid="{00000000-0005-0000-0000-000001260000}"/>
    <cellStyle name="PStest" xfId="300" xr:uid="{00000000-0005-0000-0000-000002260000}"/>
    <cellStyle name="R00A" xfId="301" xr:uid="{00000000-0005-0000-0000-000003260000}"/>
    <cellStyle name="R00B" xfId="302" xr:uid="{00000000-0005-0000-0000-000004260000}"/>
    <cellStyle name="R00L" xfId="303" xr:uid="{00000000-0005-0000-0000-000005260000}"/>
    <cellStyle name="R01A" xfId="304" xr:uid="{00000000-0005-0000-0000-000006260000}"/>
    <cellStyle name="R01B" xfId="305" xr:uid="{00000000-0005-0000-0000-000007260000}"/>
    <cellStyle name="R01H" xfId="306" xr:uid="{00000000-0005-0000-0000-000008260000}"/>
    <cellStyle name="R01L" xfId="307" xr:uid="{00000000-0005-0000-0000-000009260000}"/>
    <cellStyle name="R02A" xfId="308" xr:uid="{00000000-0005-0000-0000-00000A260000}"/>
    <cellStyle name="R02B" xfId="309" xr:uid="{00000000-0005-0000-0000-00000B260000}"/>
    <cellStyle name="R02H" xfId="310" xr:uid="{00000000-0005-0000-0000-00000C260000}"/>
    <cellStyle name="R02L" xfId="311" xr:uid="{00000000-0005-0000-0000-00000D260000}"/>
    <cellStyle name="R03A" xfId="312" xr:uid="{00000000-0005-0000-0000-00000E260000}"/>
    <cellStyle name="R03B" xfId="313" xr:uid="{00000000-0005-0000-0000-00000F260000}"/>
    <cellStyle name="R03H" xfId="314" xr:uid="{00000000-0005-0000-0000-000010260000}"/>
    <cellStyle name="R03L" xfId="315" xr:uid="{00000000-0005-0000-0000-000011260000}"/>
    <cellStyle name="R04A" xfId="316" xr:uid="{00000000-0005-0000-0000-000012260000}"/>
    <cellStyle name="R04B" xfId="317" xr:uid="{00000000-0005-0000-0000-000013260000}"/>
    <cellStyle name="R04H" xfId="318" xr:uid="{00000000-0005-0000-0000-000014260000}"/>
    <cellStyle name="R04L" xfId="319" xr:uid="{00000000-0005-0000-0000-000015260000}"/>
    <cellStyle name="R05A" xfId="320" xr:uid="{00000000-0005-0000-0000-000016260000}"/>
    <cellStyle name="R05B" xfId="321" xr:uid="{00000000-0005-0000-0000-000017260000}"/>
    <cellStyle name="R05H" xfId="322" xr:uid="{00000000-0005-0000-0000-000018260000}"/>
    <cellStyle name="R05L" xfId="323" xr:uid="{00000000-0005-0000-0000-000019260000}"/>
    <cellStyle name="R05L 2" xfId="324" xr:uid="{00000000-0005-0000-0000-00001A260000}"/>
    <cellStyle name="R06A" xfId="325" xr:uid="{00000000-0005-0000-0000-00001B260000}"/>
    <cellStyle name="R06B" xfId="326" xr:uid="{00000000-0005-0000-0000-00001C260000}"/>
    <cellStyle name="R06H" xfId="327" xr:uid="{00000000-0005-0000-0000-00001D260000}"/>
    <cellStyle name="R06L" xfId="328" xr:uid="{00000000-0005-0000-0000-00001E260000}"/>
    <cellStyle name="R07A" xfId="329" xr:uid="{00000000-0005-0000-0000-00001F260000}"/>
    <cellStyle name="R07B" xfId="330" xr:uid="{00000000-0005-0000-0000-000020260000}"/>
    <cellStyle name="R07H" xfId="331" xr:uid="{00000000-0005-0000-0000-000021260000}"/>
    <cellStyle name="R07L" xfId="332" xr:uid="{00000000-0005-0000-0000-000022260000}"/>
    <cellStyle name="rborder" xfId="333" xr:uid="{00000000-0005-0000-0000-000023260000}"/>
    <cellStyle name="red" xfId="334" xr:uid="{00000000-0005-0000-0000-000024260000}"/>
    <cellStyle name="s_HardInc " xfId="335" xr:uid="{00000000-0005-0000-0000-000025260000}"/>
    <cellStyle name="s_HardInc _ITC Great Plains Formula 1-12-09a" xfId="336" xr:uid="{00000000-0005-0000-0000-000026260000}"/>
    <cellStyle name="scenario" xfId="337" xr:uid="{00000000-0005-0000-0000-000027260000}"/>
    <cellStyle name="scenario 2" xfId="9397" xr:uid="{00000000-0005-0000-0000-000028260000}"/>
    <cellStyle name="SECTION" xfId="338" xr:uid="{00000000-0005-0000-0000-000029260000}"/>
    <cellStyle name="Sheetmult" xfId="339" xr:uid="{00000000-0005-0000-0000-00002A260000}"/>
    <cellStyle name="Shtmultx" xfId="340" xr:uid="{00000000-0005-0000-0000-00002B260000}"/>
    <cellStyle name="Style 1" xfId="341" xr:uid="{00000000-0005-0000-0000-00002C260000}"/>
    <cellStyle name="STYLE1" xfId="342" xr:uid="{00000000-0005-0000-0000-00002D260000}"/>
    <cellStyle name="STYLE2" xfId="343" xr:uid="{00000000-0005-0000-0000-00002E260000}"/>
    <cellStyle name="System Defined" xfId="344" xr:uid="{00000000-0005-0000-0000-00002F260000}"/>
    <cellStyle name="TableHeading" xfId="345" xr:uid="{00000000-0005-0000-0000-000030260000}"/>
    <cellStyle name="tb" xfId="346" xr:uid="{00000000-0005-0000-0000-000031260000}"/>
    <cellStyle name="Tickmark" xfId="347" xr:uid="{00000000-0005-0000-0000-000032260000}"/>
    <cellStyle name="Title 2" xfId="613" xr:uid="{00000000-0005-0000-0000-000033260000}"/>
    <cellStyle name="Title 3" xfId="9358" xr:uid="{00000000-0005-0000-0000-000034260000}"/>
    <cellStyle name="Title 4" xfId="9359" xr:uid="{00000000-0005-0000-0000-000035260000}"/>
    <cellStyle name="Title 5" xfId="9360" xr:uid="{00000000-0005-0000-0000-000036260000}"/>
    <cellStyle name="Title 6" xfId="9361" xr:uid="{00000000-0005-0000-0000-000037260000}"/>
    <cellStyle name="Title 7" xfId="9362" xr:uid="{00000000-0005-0000-0000-000038260000}"/>
    <cellStyle name="Title 8" xfId="9363" xr:uid="{00000000-0005-0000-0000-000039260000}"/>
    <cellStyle name="Title1" xfId="348" xr:uid="{00000000-0005-0000-0000-00003A260000}"/>
    <cellStyle name="top" xfId="349" xr:uid="{00000000-0005-0000-0000-00003B260000}"/>
    <cellStyle name="Total" xfId="350" builtinId="25" customBuiltin="1"/>
    <cellStyle name="Total 2" xfId="9364" xr:uid="{00000000-0005-0000-0000-00003D260000}"/>
    <cellStyle name="Total 2 2" xfId="9365" xr:uid="{00000000-0005-0000-0000-00003E260000}"/>
    <cellStyle name="Total 3" xfId="9366" xr:uid="{00000000-0005-0000-0000-00003F260000}"/>
    <cellStyle name="Total 4" xfId="9367" xr:uid="{00000000-0005-0000-0000-000040260000}"/>
    <cellStyle name="Total 5" xfId="9368" xr:uid="{00000000-0005-0000-0000-000041260000}"/>
    <cellStyle name="Total 6" xfId="9369" xr:uid="{00000000-0005-0000-0000-000042260000}"/>
    <cellStyle name="Total 7" xfId="9370" xr:uid="{00000000-0005-0000-0000-000043260000}"/>
    <cellStyle name="Total 8" xfId="9371" xr:uid="{00000000-0005-0000-0000-000044260000}"/>
    <cellStyle name="w" xfId="351" xr:uid="{00000000-0005-0000-0000-000045260000}"/>
    <cellStyle name="Warning Text 2" xfId="614" xr:uid="{00000000-0005-0000-0000-000046260000}"/>
    <cellStyle name="Warning Text 2 2" xfId="9372" xr:uid="{00000000-0005-0000-0000-000047260000}"/>
    <cellStyle name="Warning Text 3" xfId="9373" xr:uid="{00000000-0005-0000-0000-000048260000}"/>
    <cellStyle name="Warning Text 4" xfId="9374" xr:uid="{00000000-0005-0000-0000-000049260000}"/>
    <cellStyle name="Warning Text 5" xfId="9375" xr:uid="{00000000-0005-0000-0000-00004A260000}"/>
    <cellStyle name="Warning Text 6" xfId="9376" xr:uid="{00000000-0005-0000-0000-00004B260000}"/>
    <cellStyle name="Warning Text 7" xfId="9377" xr:uid="{00000000-0005-0000-0000-00004C260000}"/>
    <cellStyle name="Warning Text 8" xfId="9378" xr:uid="{00000000-0005-0000-0000-00004D260000}"/>
    <cellStyle name="Warning Text 9" xfId="9379" xr:uid="{00000000-0005-0000-0000-00004E260000}"/>
    <cellStyle name="XComma" xfId="352" xr:uid="{00000000-0005-0000-0000-00004F260000}"/>
    <cellStyle name="XComma 0.0" xfId="353" xr:uid="{00000000-0005-0000-0000-000050260000}"/>
    <cellStyle name="XComma 0.00" xfId="354" xr:uid="{00000000-0005-0000-0000-000051260000}"/>
    <cellStyle name="XComma 0.000" xfId="355" xr:uid="{00000000-0005-0000-0000-000052260000}"/>
    <cellStyle name="XCurrency" xfId="356" xr:uid="{00000000-0005-0000-0000-000053260000}"/>
    <cellStyle name="XCurrency 0.0" xfId="357" xr:uid="{00000000-0005-0000-0000-000054260000}"/>
    <cellStyle name="XCurrency 0.00" xfId="358" xr:uid="{00000000-0005-0000-0000-000055260000}"/>
    <cellStyle name="XCurrency 0.000" xfId="359" xr:uid="{00000000-0005-0000-0000-000056260000}"/>
    <cellStyle name="yra" xfId="360" xr:uid="{00000000-0005-0000-0000-000057260000}"/>
    <cellStyle name="yrActual" xfId="361" xr:uid="{00000000-0005-0000-0000-000058260000}"/>
    <cellStyle name="yre" xfId="362" xr:uid="{00000000-0005-0000-0000-000059260000}"/>
    <cellStyle name="yrExpect" xfId="363" xr:uid="{00000000-0005-0000-0000-00005A260000}"/>
  </cellStyles>
  <dxfs count="0"/>
  <tableStyles count="0" defaultTableStyle="TableStyleMedium2" defaultPivotStyle="PivotStyleLight16"/>
  <colors>
    <mruColors>
      <color rgb="FFFFFF99"/>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 Id="rId30" Type="http://schemas.openxmlformats.org/officeDocument/2006/relationships/customXml" Target="../customXml/item5.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250"/>
  <sheetViews>
    <sheetView tabSelected="1" view="pageBreakPreview" zoomScale="85" zoomScaleNormal="80" zoomScaleSheetLayoutView="85" workbookViewId="0">
      <selection activeCell="C38" sqref="C38"/>
    </sheetView>
  </sheetViews>
  <sheetFormatPr defaultColWidth="8.88671875" defaultRowHeight="12.75"/>
  <cols>
    <col min="1" max="1" width="6.6640625" style="12" customWidth="1"/>
    <col min="2" max="2" width="45.6640625" style="12" customWidth="1"/>
    <col min="3" max="3" width="35.21875" style="12" customWidth="1"/>
    <col min="4" max="4" width="21.21875" style="12" customWidth="1"/>
    <col min="5" max="5" width="6.6640625" style="12" customWidth="1"/>
    <col min="6" max="6" width="53" style="12" customWidth="1"/>
    <col min="7" max="7" width="9.44140625" style="12" customWidth="1"/>
    <col min="8" max="8" width="4.88671875" style="12" customWidth="1"/>
    <col min="9" max="9" width="13.5546875" style="12" customWidth="1"/>
    <col min="10" max="10" width="5.6640625" style="12" customWidth="1"/>
    <col min="11" max="11" width="14.44140625" style="12" bestFit="1" customWidth="1"/>
    <col min="12" max="12" width="14.6640625" style="12" bestFit="1" customWidth="1"/>
    <col min="13" max="16384" width="8.88671875" style="12"/>
  </cols>
  <sheetData>
    <row r="1" spans="1:12">
      <c r="A1" s="36"/>
      <c r="B1" s="36"/>
      <c r="C1" s="36"/>
      <c r="D1" s="36"/>
      <c r="E1" s="36"/>
      <c r="F1" s="36"/>
      <c r="G1" s="36"/>
      <c r="H1" s="36"/>
      <c r="I1" s="36"/>
      <c r="J1" s="79" t="s">
        <v>443</v>
      </c>
    </row>
    <row r="2" spans="1:12">
      <c r="A2" s="36"/>
      <c r="B2" s="36"/>
      <c r="C2" s="36"/>
      <c r="D2" s="36"/>
      <c r="E2" s="36"/>
      <c r="F2" s="36"/>
      <c r="G2" s="36"/>
      <c r="H2" s="36"/>
      <c r="I2" s="36"/>
      <c r="J2" s="36"/>
    </row>
    <row r="3" spans="1:12">
      <c r="A3" s="29"/>
      <c r="B3" s="23" t="s">
        <v>1</v>
      </c>
      <c r="C3" s="139"/>
      <c r="D3" s="80" t="s">
        <v>942</v>
      </c>
      <c r="E3" s="23"/>
      <c r="F3" s="23"/>
      <c r="G3" s="23"/>
      <c r="H3" s="23"/>
      <c r="I3" s="81"/>
      <c r="J3" s="17" t="s">
        <v>1034</v>
      </c>
    </row>
    <row r="4" spans="1:12">
      <c r="A4" s="29"/>
      <c r="C4" s="24"/>
      <c r="D4" s="27" t="s">
        <v>92</v>
      </c>
      <c r="E4" s="24"/>
      <c r="F4" s="24"/>
      <c r="G4" s="24"/>
      <c r="H4" s="23"/>
      <c r="I4" s="23"/>
      <c r="J4" s="26"/>
    </row>
    <row r="5" spans="1:12" ht="13.5">
      <c r="A5" s="29"/>
      <c r="B5" s="82"/>
      <c r="C5" s="26"/>
      <c r="D5" s="149" t="s">
        <v>945</v>
      </c>
      <c r="E5" s="26"/>
      <c r="F5" s="26"/>
      <c r="G5" s="26"/>
      <c r="H5" s="26"/>
      <c r="I5" s="26"/>
      <c r="J5" s="26"/>
    </row>
    <row r="6" spans="1:12" ht="13.5">
      <c r="B6" s="82"/>
      <c r="J6" s="83"/>
    </row>
    <row r="7" spans="1:12">
      <c r="A7" s="80"/>
      <c r="C7" s="26"/>
      <c r="D7" s="84"/>
      <c r="E7" s="26"/>
      <c r="F7" s="26"/>
      <c r="G7" s="26"/>
      <c r="H7" s="26"/>
      <c r="I7" s="26"/>
      <c r="J7" s="26"/>
    </row>
    <row r="8" spans="1:12">
      <c r="A8" s="80"/>
      <c r="B8" s="85" t="s">
        <v>3</v>
      </c>
      <c r="C8" s="85" t="s">
        <v>4</v>
      </c>
      <c r="D8" s="85" t="s">
        <v>5</v>
      </c>
      <c r="E8" s="24" t="s">
        <v>2</v>
      </c>
      <c r="F8" s="24"/>
      <c r="G8" s="84" t="s">
        <v>6</v>
      </c>
      <c r="H8" s="24"/>
      <c r="I8" s="84" t="s">
        <v>7</v>
      </c>
      <c r="J8" s="26"/>
    </row>
    <row r="9" spans="1:12">
      <c r="A9" s="80" t="s">
        <v>8</v>
      </c>
      <c r="B9" s="26"/>
      <c r="C9" s="26"/>
      <c r="D9" s="83"/>
      <c r="E9" s="26"/>
      <c r="F9" s="26"/>
      <c r="G9" s="26"/>
      <c r="H9" s="26"/>
      <c r="I9" s="80" t="s">
        <v>9</v>
      </c>
      <c r="J9" s="26"/>
    </row>
    <row r="10" spans="1:12" ht="13.5" thickBot="1">
      <c r="A10" s="28" t="s">
        <v>10</v>
      </c>
      <c r="B10" s="26"/>
      <c r="C10" s="99" t="s">
        <v>187</v>
      </c>
      <c r="D10" s="26"/>
      <c r="E10" s="26"/>
      <c r="F10" s="26"/>
      <c r="G10" s="26"/>
      <c r="H10" s="26"/>
      <c r="I10" s="28" t="s">
        <v>11</v>
      </c>
      <c r="J10" s="26"/>
    </row>
    <row r="11" spans="1:12" ht="13.15" customHeight="1">
      <c r="A11" s="80">
        <v>1</v>
      </c>
      <c r="B11" s="26" t="s">
        <v>911</v>
      </c>
      <c r="C11" s="26" t="s">
        <v>910</v>
      </c>
      <c r="D11" s="24"/>
      <c r="E11" s="26"/>
      <c r="F11" s="26"/>
      <c r="G11" s="26"/>
      <c r="H11" s="26"/>
      <c r="I11" s="86">
        <f>+I167</f>
        <v>3140097.6878687935</v>
      </c>
      <c r="J11" s="101"/>
      <c r="K11" s="101"/>
      <c r="L11" s="101"/>
    </row>
    <row r="12" spans="1:12">
      <c r="A12" s="80"/>
      <c r="B12" s="26"/>
      <c r="C12" s="26"/>
      <c r="D12" s="26"/>
      <c r="E12" s="26"/>
      <c r="F12" s="26"/>
      <c r="G12" s="26"/>
      <c r="H12" s="26"/>
      <c r="I12" s="24"/>
      <c r="J12" s="101"/>
      <c r="K12" s="101"/>
      <c r="L12" s="101"/>
    </row>
    <row r="13" spans="1:12" ht="13.5" thickBot="1">
      <c r="A13" s="80" t="s">
        <v>2</v>
      </c>
      <c r="B13" s="26" t="s">
        <v>12</v>
      </c>
      <c r="C13" s="24" t="s">
        <v>355</v>
      </c>
      <c r="D13" s="28" t="s">
        <v>13</v>
      </c>
      <c r="E13" s="24"/>
      <c r="F13" s="87" t="s">
        <v>14</v>
      </c>
      <c r="G13" s="87"/>
      <c r="H13" s="26"/>
      <c r="I13" s="24"/>
      <c r="J13" s="26"/>
    </row>
    <row r="14" spans="1:12">
      <c r="A14" s="80">
        <f>+A11+1</f>
        <v>2</v>
      </c>
      <c r="B14" s="26" t="s">
        <v>97</v>
      </c>
      <c r="C14" s="24" t="str">
        <f>"(page 4, line "&amp;A209&amp;")"</f>
        <v>(page 4, line 18)</v>
      </c>
      <c r="D14" s="111">
        <f>I209</f>
        <v>0</v>
      </c>
      <c r="E14" s="24"/>
      <c r="F14" s="24" t="s">
        <v>977</v>
      </c>
      <c r="G14" s="116">
        <f>$I$185</f>
        <v>1</v>
      </c>
      <c r="H14" s="34"/>
      <c r="I14" s="14">
        <f>+G14*D14</f>
        <v>0</v>
      </c>
      <c r="J14" s="26"/>
    </row>
    <row r="15" spans="1:12" ht="13.5" thickBot="1">
      <c r="A15" s="80">
        <f>+A14+1</f>
        <v>3</v>
      </c>
      <c r="B15" s="26" t="s">
        <v>533</v>
      </c>
      <c r="C15" s="24" t="str">
        <f>"(page 4, line "&amp;A211&amp;")"</f>
        <v>(page 4, line 19)</v>
      </c>
      <c r="D15" s="111">
        <f>+I211</f>
        <v>0</v>
      </c>
      <c r="E15" s="24"/>
      <c r="F15" s="24" t="s">
        <v>15</v>
      </c>
      <c r="G15" s="116">
        <f>$I$185</f>
        <v>1</v>
      </c>
      <c r="H15" s="34"/>
      <c r="I15" s="14">
        <f>+G15*D15</f>
        <v>0</v>
      </c>
      <c r="J15" s="26"/>
    </row>
    <row r="16" spans="1:12">
      <c r="A16" s="80">
        <f>A15+1</f>
        <v>4</v>
      </c>
      <c r="B16" s="26" t="s">
        <v>202</v>
      </c>
      <c r="C16" s="24" t="str">
        <f>"( Sum of line "&amp;A14&amp;" - line "&amp;A15&amp;")"</f>
        <v>( Sum of line 2 - line 3)</v>
      </c>
      <c r="D16" s="288">
        <f>SUM(D14:D15)</f>
        <v>0</v>
      </c>
      <c r="E16" s="24"/>
      <c r="F16" s="24"/>
      <c r="G16" s="35"/>
      <c r="H16" s="34"/>
      <c r="I16" s="288">
        <f>SUM(I14:I15)</f>
        <v>0</v>
      </c>
      <c r="J16" s="26"/>
    </row>
    <row r="17" spans="1:12">
      <c r="A17" s="80"/>
      <c r="B17" s="29"/>
      <c r="C17" s="26"/>
      <c r="D17" s="279" t="s">
        <v>2</v>
      </c>
      <c r="E17" s="26"/>
      <c r="F17" s="26"/>
      <c r="G17" s="89"/>
      <c r="H17" s="26"/>
      <c r="I17" s="29"/>
      <c r="J17" s="26"/>
    </row>
    <row r="18" spans="1:12">
      <c r="A18" s="80">
        <f>+A16+1</f>
        <v>5</v>
      </c>
      <c r="B18" s="24" t="s">
        <v>498</v>
      </c>
      <c r="C18" s="88" t="s">
        <v>297</v>
      </c>
      <c r="D18" s="111">
        <f>+'8-Corrections'!F30</f>
        <v>0</v>
      </c>
      <c r="E18" s="24"/>
      <c r="F18" s="24" t="s">
        <v>978</v>
      </c>
      <c r="G18" s="116">
        <v>1</v>
      </c>
      <c r="H18" s="24"/>
      <c r="I18" s="14">
        <f>+G18*D18</f>
        <v>0</v>
      </c>
      <c r="J18" s="26"/>
    </row>
    <row r="19" spans="1:12" ht="13.15" customHeight="1">
      <c r="A19" s="90">
        <f>+A18+1</f>
        <v>6</v>
      </c>
      <c r="B19" s="91" t="s">
        <v>93</v>
      </c>
      <c r="C19" s="205" t="str">
        <f>"Attachment 3, line "&amp;'3-Project True-up'!A29&amp;", Col. G+H"</f>
        <v>Attachment 3, line 9, Col. G+H</v>
      </c>
      <c r="D19" s="111">
        <f>'3-Project True-up'!I29+'3-Project True-up'!J29</f>
        <v>0</v>
      </c>
      <c r="E19" s="91"/>
      <c r="F19" s="91" t="s">
        <v>72</v>
      </c>
      <c r="G19" s="116">
        <v>1</v>
      </c>
      <c r="H19" s="91"/>
      <c r="I19" s="14">
        <f>+G19*D19</f>
        <v>0</v>
      </c>
      <c r="J19" s="101"/>
      <c r="K19" s="101"/>
      <c r="L19" s="101"/>
    </row>
    <row r="20" spans="1:12">
      <c r="A20" s="90"/>
      <c r="B20" s="91"/>
      <c r="C20" s="205"/>
      <c r="D20" s="280"/>
      <c r="E20" s="91"/>
      <c r="F20" s="91"/>
      <c r="G20" s="91"/>
      <c r="H20" s="91"/>
      <c r="I20" s="92"/>
      <c r="J20" s="26"/>
    </row>
    <row r="21" spans="1:12" ht="13.9" customHeight="1" thickBot="1">
      <c r="A21" s="90">
        <f>+A19+1</f>
        <v>7</v>
      </c>
      <c r="B21" s="91" t="s">
        <v>300</v>
      </c>
      <c r="C21" s="24" t="str">
        <f>"( Line "&amp;A11&amp;" less line "&amp;A16&amp;" plus lines "&amp;A18&amp;","&amp;A19&amp;")"</f>
        <v>( Line 1 less line 4 plus lines 5,6)</v>
      </c>
      <c r="D21" s="91"/>
      <c r="E21" s="92"/>
      <c r="F21" s="92"/>
      <c r="G21" s="92"/>
      <c r="H21" s="92"/>
      <c r="I21" s="595">
        <f>+I11-I16+I18+I19</f>
        <v>3140097.6878687935</v>
      </c>
      <c r="J21" s="101"/>
      <c r="K21" s="101"/>
      <c r="L21" s="101"/>
    </row>
    <row r="22" spans="1:12" ht="13.5" thickTop="1">
      <c r="A22" s="80"/>
      <c r="B22" s="24"/>
      <c r="C22" s="26"/>
      <c r="D22" s="26"/>
      <c r="E22" s="26"/>
      <c r="F22" s="29"/>
      <c r="G22" s="23"/>
      <c r="H22" s="26"/>
      <c r="I22" s="24"/>
      <c r="J22" s="101"/>
      <c r="K22" s="101"/>
      <c r="L22" s="101"/>
    </row>
    <row r="23" spans="1:12">
      <c r="A23" s="80"/>
      <c r="B23" s="91"/>
      <c r="C23" s="205"/>
      <c r="D23" s="111"/>
      <c r="E23" s="26"/>
      <c r="F23" s="29"/>
      <c r="G23" s="23"/>
      <c r="H23" s="26"/>
      <c r="I23" s="24"/>
      <c r="J23" s="26"/>
    </row>
    <row r="24" spans="1:12" s="596" customFormat="1" ht="15"/>
    <row r="25" spans="1:12" s="596" customFormat="1" ht="15"/>
    <row r="26" spans="1:12" s="596" customFormat="1" ht="15"/>
    <row r="27" spans="1:12" s="596" customFormat="1" ht="15"/>
    <row r="28" spans="1:12" s="596" customFormat="1" ht="15"/>
    <row r="29" spans="1:12" s="596" customFormat="1" ht="15"/>
    <row r="30" spans="1:12" s="596" customFormat="1" ht="15.75" customHeight="1"/>
    <row r="31" spans="1:12" s="596" customFormat="1" ht="15"/>
    <row r="32" spans="1:12" s="596" customFormat="1" ht="15"/>
    <row r="33" s="596" customFormat="1" ht="15"/>
    <row r="34" s="596" customFormat="1" ht="15"/>
    <row r="35" s="596" customFormat="1" ht="15"/>
    <row r="36" s="596" customFormat="1" ht="15"/>
    <row r="37" s="596" customFormat="1" ht="15"/>
    <row r="38" s="596" customFormat="1" ht="15"/>
    <row r="39" s="596" customFormat="1" ht="15"/>
    <row r="40" s="596" customFormat="1" ht="15"/>
    <row r="41" s="596" customFormat="1" ht="15"/>
    <row r="42" s="596" customFormat="1" ht="15"/>
    <row r="43" s="596" customFormat="1" ht="15"/>
    <row r="44" s="596" customFormat="1" ht="15"/>
    <row r="45" s="596" customFormat="1" ht="15"/>
    <row r="46" s="596" customFormat="1" ht="15"/>
    <row r="47" s="596" customFormat="1" ht="15"/>
    <row r="48" s="596" customFormat="1" ht="15"/>
    <row r="49" spans="1:13">
      <c r="A49" s="80"/>
      <c r="B49" s="26"/>
      <c r="C49" s="26"/>
      <c r="D49" s="93"/>
      <c r="E49" s="93"/>
      <c r="F49" s="93"/>
      <c r="G49" s="93"/>
      <c r="H49" s="93"/>
      <c r="I49" s="93"/>
      <c r="J49" s="26"/>
    </row>
    <row r="50" spans="1:13">
      <c r="A50" s="80"/>
      <c r="B50" s="26"/>
      <c r="C50" s="26"/>
      <c r="D50" s="93"/>
      <c r="E50" s="93"/>
      <c r="F50" s="93"/>
      <c r="G50" s="93"/>
      <c r="H50" s="93"/>
      <c r="I50" s="93"/>
      <c r="J50" s="26"/>
    </row>
    <row r="51" spans="1:13">
      <c r="A51" s="29"/>
      <c r="B51" s="26"/>
      <c r="C51" s="26"/>
      <c r="D51" s="26"/>
      <c r="E51" s="26"/>
      <c r="F51" s="26"/>
      <c r="G51" s="26"/>
      <c r="H51" s="26"/>
      <c r="I51" s="94"/>
      <c r="J51" s="95" t="s">
        <v>442</v>
      </c>
    </row>
    <row r="52" spans="1:13">
      <c r="A52" s="29"/>
      <c r="B52" s="26"/>
      <c r="C52" s="26"/>
      <c r="D52" s="26"/>
      <c r="E52" s="26"/>
      <c r="F52" s="26"/>
      <c r="G52" s="26"/>
      <c r="H52" s="26"/>
      <c r="I52" s="26"/>
      <c r="J52" s="26"/>
    </row>
    <row r="53" spans="1:13">
      <c r="A53" s="29"/>
      <c r="B53" s="26" t="s">
        <v>1</v>
      </c>
      <c r="C53" s="26"/>
      <c r="D53" s="80" t="str">
        <f>+D3</f>
        <v>Rate Formula Template - Attachment H-39A</v>
      </c>
      <c r="E53" s="26"/>
      <c r="F53" s="26"/>
      <c r="G53" s="26"/>
      <c r="H53" s="26"/>
      <c r="I53" s="36"/>
      <c r="J53" s="95" t="str">
        <f>J3</f>
        <v>For  the 12 months ended 12/31/26</v>
      </c>
    </row>
    <row r="54" spans="1:13">
      <c r="A54" s="29"/>
      <c r="B54" s="96"/>
      <c r="C54" s="24"/>
      <c r="D54" s="27" t="s">
        <v>92</v>
      </c>
      <c r="E54" s="24"/>
      <c r="F54" s="24"/>
      <c r="G54" s="24"/>
      <c r="H54" s="24"/>
      <c r="I54" s="24"/>
      <c r="J54" s="24"/>
    </row>
    <row r="55" spans="1:13">
      <c r="A55" s="29"/>
      <c r="B55" s="26"/>
      <c r="C55" s="24"/>
      <c r="D55" s="27" t="str">
        <f>+D5</f>
        <v>Valley Link Transmission West Virginia, LLC</v>
      </c>
      <c r="E55" s="24"/>
      <c r="F55" s="24"/>
      <c r="G55" s="24" t="s">
        <v>2</v>
      </c>
      <c r="H55" s="24"/>
      <c r="I55" s="24"/>
      <c r="J55" s="24"/>
    </row>
    <row r="56" spans="1:13">
      <c r="A56" s="964"/>
      <c r="B56" s="964"/>
      <c r="C56" s="964"/>
      <c r="D56" s="964"/>
      <c r="E56" s="964"/>
      <c r="F56" s="964"/>
      <c r="G56" s="964"/>
      <c r="H56" s="964"/>
      <c r="I56" s="964"/>
      <c r="J56" s="964"/>
    </row>
    <row r="57" spans="1:13">
      <c r="A57" s="29"/>
      <c r="B57" s="85" t="s">
        <v>3</v>
      </c>
      <c r="C57" s="85" t="s">
        <v>4</v>
      </c>
      <c r="D57" s="85" t="s">
        <v>5</v>
      </c>
      <c r="E57" s="24" t="s">
        <v>2</v>
      </c>
      <c r="F57" s="24"/>
      <c r="G57" s="84" t="s">
        <v>6</v>
      </c>
      <c r="H57" s="24"/>
      <c r="I57" s="84" t="s">
        <v>7</v>
      </c>
      <c r="J57" s="85"/>
    </row>
    <row r="58" spans="1:13">
      <c r="A58" s="29"/>
      <c r="B58" s="26"/>
      <c r="C58" s="97"/>
      <c r="D58" s="24"/>
      <c r="E58" s="24"/>
      <c r="F58" s="24"/>
      <c r="G58" s="80"/>
      <c r="H58" s="24"/>
      <c r="I58" s="98" t="s">
        <v>16</v>
      </c>
      <c r="J58" s="85"/>
    </row>
    <row r="59" spans="1:13">
      <c r="A59" s="80" t="s">
        <v>8</v>
      </c>
      <c r="B59" s="26"/>
      <c r="C59" s="99" t="s">
        <v>187</v>
      </c>
      <c r="D59" s="98" t="s">
        <v>18</v>
      </c>
      <c r="E59" s="100"/>
      <c r="F59" s="98" t="s">
        <v>19</v>
      </c>
      <c r="G59" s="29"/>
      <c r="H59" s="100"/>
      <c r="I59" s="80" t="s">
        <v>20</v>
      </c>
      <c r="J59" s="85"/>
    </row>
    <row r="60" spans="1:13" ht="13.5" thickBot="1">
      <c r="A60" s="28" t="s">
        <v>10</v>
      </c>
      <c r="B60" s="101" t="s">
        <v>899</v>
      </c>
      <c r="C60" s="24" t="s">
        <v>909</v>
      </c>
      <c r="D60" s="24"/>
      <c r="E60" s="24"/>
      <c r="F60" s="24"/>
      <c r="G60" s="24"/>
      <c r="H60" s="24"/>
      <c r="I60" s="24"/>
      <c r="J60" s="24"/>
      <c r="L60" s="570"/>
      <c r="M60" s="570"/>
    </row>
    <row r="61" spans="1:13">
      <c r="A61" s="80"/>
      <c r="B61" s="26" t="s">
        <v>370</v>
      </c>
      <c r="C61" s="24" t="s">
        <v>900</v>
      </c>
      <c r="D61" s="24"/>
      <c r="E61" s="24"/>
      <c r="F61" s="24"/>
      <c r="G61" s="24"/>
      <c r="H61" s="24"/>
      <c r="I61" s="24"/>
      <c r="J61" s="24"/>
      <c r="L61" s="570"/>
      <c r="M61" s="570"/>
    </row>
    <row r="62" spans="1:13" ht="13.15" customHeight="1">
      <c r="A62" s="80">
        <v>1</v>
      </c>
      <c r="B62" s="26" t="s">
        <v>227</v>
      </c>
      <c r="C62" s="34" t="s">
        <v>229</v>
      </c>
      <c r="D62" s="111">
        <f>'4- Rate Base'!C23</f>
        <v>0</v>
      </c>
      <c r="E62" s="24"/>
      <c r="F62" s="24" t="s">
        <v>979</v>
      </c>
      <c r="G62" s="117">
        <v>0</v>
      </c>
      <c r="H62" s="24"/>
      <c r="I62" s="14">
        <f>+G62*D62</f>
        <v>0</v>
      </c>
      <c r="J62" s="24"/>
      <c r="K62" s="570"/>
      <c r="L62" s="570"/>
      <c r="M62" s="570"/>
    </row>
    <row r="63" spans="1:13">
      <c r="A63" s="80">
        <f>+A62+1</f>
        <v>2</v>
      </c>
      <c r="B63" s="26" t="s">
        <v>22</v>
      </c>
      <c r="C63" s="34" t="s">
        <v>230</v>
      </c>
      <c r="D63" s="111">
        <f>'4- Rate Base'!D23</f>
        <v>0</v>
      </c>
      <c r="E63" s="24"/>
      <c r="F63" s="24" t="s">
        <v>15</v>
      </c>
      <c r="G63" s="116">
        <f>$I$185</f>
        <v>1</v>
      </c>
      <c r="H63" s="34"/>
      <c r="I63" s="14">
        <f>+G63*D63</f>
        <v>0</v>
      </c>
      <c r="J63" s="24"/>
      <c r="K63" s="570"/>
      <c r="L63" s="570"/>
      <c r="M63" s="570"/>
    </row>
    <row r="64" spans="1:13">
      <c r="A64" s="80">
        <f t="shared" ref="A64:A100" si="0">+A63+1</f>
        <v>3</v>
      </c>
      <c r="B64" s="26" t="s">
        <v>228</v>
      </c>
      <c r="C64" s="34" t="s">
        <v>856</v>
      </c>
      <c r="D64" s="111">
        <f>'4- Rate Base'!E23</f>
        <v>0</v>
      </c>
      <c r="E64" s="24"/>
      <c r="F64" s="24" t="s">
        <v>21</v>
      </c>
      <c r="G64" s="117">
        <v>0</v>
      </c>
      <c r="H64" s="34"/>
      <c r="I64" s="14">
        <f>+G64*D64</f>
        <v>0</v>
      </c>
      <c r="J64" s="24"/>
      <c r="K64" s="570"/>
      <c r="L64" s="570"/>
      <c r="M64" s="570"/>
    </row>
    <row r="65" spans="1:13" ht="13.5" thickBot="1">
      <c r="A65" s="80">
        <f t="shared" si="0"/>
        <v>4</v>
      </c>
      <c r="B65" s="26" t="s">
        <v>83</v>
      </c>
      <c r="C65" s="34" t="s">
        <v>857</v>
      </c>
      <c r="D65" s="104">
        <f>'4- Rate Base'!F23</f>
        <v>0</v>
      </c>
      <c r="E65" s="24"/>
      <c r="F65" s="24" t="s">
        <v>980</v>
      </c>
      <c r="G65" s="116">
        <f>$I$193</f>
        <v>1</v>
      </c>
      <c r="H65" s="34"/>
      <c r="I65" s="104">
        <f>+G65*D65</f>
        <v>0</v>
      </c>
      <c r="J65" s="24"/>
      <c r="K65" s="570"/>
      <c r="L65" s="570"/>
      <c r="M65" s="570"/>
    </row>
    <row r="66" spans="1:13">
      <c r="A66" s="80">
        <f t="shared" si="0"/>
        <v>5</v>
      </c>
      <c r="B66" s="23" t="s">
        <v>198</v>
      </c>
      <c r="C66" s="24" t="s">
        <v>357</v>
      </c>
      <c r="D66" s="14">
        <f>SUM(D62:D65)</f>
        <v>0</v>
      </c>
      <c r="E66" s="24"/>
      <c r="F66" s="24" t="s">
        <v>981</v>
      </c>
      <c r="G66" s="210">
        <f>IF(I66&gt;0,I66/D66,1)</f>
        <v>1</v>
      </c>
      <c r="H66" s="34"/>
      <c r="I66" s="14">
        <f>SUM(I62:I65)</f>
        <v>0</v>
      </c>
      <c r="J66" s="106"/>
      <c r="K66" s="570"/>
      <c r="L66" s="570"/>
      <c r="M66" s="570"/>
    </row>
    <row r="67" spans="1:13">
      <c r="A67" s="80"/>
      <c r="B67" s="26"/>
      <c r="C67" s="24"/>
      <c r="D67" s="14"/>
      <c r="E67" s="24"/>
      <c r="F67" s="24"/>
      <c r="G67" s="211"/>
      <c r="H67" s="24"/>
      <c r="I67" s="14"/>
      <c r="J67" s="106"/>
      <c r="K67" s="569"/>
      <c r="L67" s="570"/>
      <c r="M67" s="570"/>
    </row>
    <row r="68" spans="1:13">
      <c r="A68" s="80">
        <f>+A66+1</f>
        <v>6</v>
      </c>
      <c r="B68" s="26" t="s">
        <v>369</v>
      </c>
      <c r="C68" s="24" t="s">
        <v>900</v>
      </c>
      <c r="D68" s="14"/>
      <c r="E68" s="24"/>
      <c r="F68" s="24"/>
      <c r="G68" s="116"/>
      <c r="H68" s="24"/>
      <c r="I68" s="14"/>
      <c r="J68" s="24"/>
      <c r="K68" s="569"/>
      <c r="L68" s="570"/>
      <c r="M68" s="570"/>
    </row>
    <row r="69" spans="1:13" ht="13.15" customHeight="1">
      <c r="A69" s="80">
        <f t="shared" si="0"/>
        <v>7</v>
      </c>
      <c r="B69" s="26" t="s">
        <v>227</v>
      </c>
      <c r="C69" s="24" t="s">
        <v>858</v>
      </c>
      <c r="D69" s="111">
        <f>'4- Rate Base'!K23</f>
        <v>0</v>
      </c>
      <c r="E69" s="24"/>
      <c r="F69" s="24" t="s">
        <v>21</v>
      </c>
      <c r="G69" s="116">
        <v>0</v>
      </c>
      <c r="H69" s="24"/>
      <c r="I69" s="14">
        <f>+G69*D69</f>
        <v>0</v>
      </c>
      <c r="J69" s="24"/>
      <c r="K69" s="570"/>
      <c r="L69" s="570"/>
      <c r="M69" s="570"/>
    </row>
    <row r="70" spans="1:13">
      <c r="A70" s="80">
        <f t="shared" si="0"/>
        <v>8</v>
      </c>
      <c r="B70" s="26" t="s">
        <v>22</v>
      </c>
      <c r="C70" s="24" t="s">
        <v>859</v>
      </c>
      <c r="D70" s="111">
        <f>'4- Rate Base'!L23</f>
        <v>0</v>
      </c>
      <c r="E70" s="24"/>
      <c r="F70" s="24" t="s">
        <v>15</v>
      </c>
      <c r="G70" s="116">
        <f>$I$185</f>
        <v>1</v>
      </c>
      <c r="H70" s="34"/>
      <c r="I70" s="14">
        <f>+G70*D70</f>
        <v>0</v>
      </c>
      <c r="J70" s="24"/>
      <c r="K70" s="570"/>
      <c r="L70" s="570"/>
      <c r="M70" s="570"/>
    </row>
    <row r="71" spans="1:13">
      <c r="A71" s="80">
        <f t="shared" si="0"/>
        <v>9</v>
      </c>
      <c r="B71" s="26" t="s">
        <v>228</v>
      </c>
      <c r="C71" s="24" t="s">
        <v>860</v>
      </c>
      <c r="D71" s="111">
        <f>'4- Rate Base'!M23</f>
        <v>0</v>
      </c>
      <c r="E71" s="24"/>
      <c r="F71" s="24" t="s">
        <v>21</v>
      </c>
      <c r="G71" s="116">
        <f>+G64</f>
        <v>0</v>
      </c>
      <c r="H71" s="34"/>
      <c r="I71" s="111">
        <f>+G71*D71</f>
        <v>0</v>
      </c>
      <c r="J71" s="24"/>
      <c r="K71" s="570"/>
      <c r="L71" s="570"/>
      <c r="M71" s="570"/>
    </row>
    <row r="72" spans="1:13" ht="13.5" thickBot="1">
      <c r="A72" s="80">
        <f t="shared" si="0"/>
        <v>10</v>
      </c>
      <c r="B72" s="26" t="s">
        <v>83</v>
      </c>
      <c r="C72" s="24" t="s">
        <v>861</v>
      </c>
      <c r="D72" s="104">
        <f>'4- Rate Base'!N23</f>
        <v>0</v>
      </c>
      <c r="E72" s="24"/>
      <c r="F72" s="24" t="s">
        <v>23</v>
      </c>
      <c r="G72" s="116">
        <f>$I$193</f>
        <v>1</v>
      </c>
      <c r="H72" s="34"/>
      <c r="I72" s="104">
        <f>+G72*D72</f>
        <v>0</v>
      </c>
      <c r="J72" s="24"/>
      <c r="K72" s="570"/>
      <c r="L72" s="570"/>
      <c r="M72" s="569"/>
    </row>
    <row r="73" spans="1:13">
      <c r="A73" s="80">
        <f t="shared" si="0"/>
        <v>11</v>
      </c>
      <c r="B73" s="26" t="s">
        <v>199</v>
      </c>
      <c r="C73" s="24" t="s">
        <v>212</v>
      </c>
      <c r="D73" s="14">
        <f>SUM(D69:D72)</f>
        <v>0</v>
      </c>
      <c r="E73" s="24"/>
      <c r="F73" s="24"/>
      <c r="G73" s="22"/>
      <c r="H73" s="34"/>
      <c r="I73" s="14">
        <f>SUM(I69:I72)</f>
        <v>0</v>
      </c>
      <c r="J73" s="24"/>
      <c r="K73" s="570"/>
      <c r="L73" s="570"/>
    </row>
    <row r="74" spans="1:13">
      <c r="A74" s="80"/>
      <c r="B74" s="29"/>
      <c r="C74" s="24" t="s">
        <v>2</v>
      </c>
      <c r="D74" s="14"/>
      <c r="E74" s="24"/>
      <c r="F74" s="24"/>
      <c r="G74" s="105"/>
      <c r="H74" s="24"/>
      <c r="I74" s="14"/>
      <c r="J74" s="106"/>
    </row>
    <row r="75" spans="1:13">
      <c r="A75" s="80">
        <f>+A73+1</f>
        <v>12</v>
      </c>
      <c r="B75" s="26" t="s">
        <v>24</v>
      </c>
      <c r="C75" s="24"/>
      <c r="D75" s="14"/>
      <c r="E75" s="24"/>
      <c r="F75" s="24"/>
      <c r="G75" s="22"/>
      <c r="H75" s="24"/>
      <c r="I75" s="14"/>
      <c r="J75" s="24"/>
    </row>
    <row r="76" spans="1:13">
      <c r="A76" s="80">
        <f t="shared" si="0"/>
        <v>13</v>
      </c>
      <c r="B76" s="26" t="s">
        <v>227</v>
      </c>
      <c r="C76" s="24" t="str">
        <f>"(line "&amp;A62&amp;" - line "&amp;A69&amp;")"</f>
        <v>(line 1 - line 7)</v>
      </c>
      <c r="D76" s="14">
        <f>D62-D69</f>
        <v>0</v>
      </c>
      <c r="E76" s="34"/>
      <c r="F76" s="34"/>
      <c r="G76" s="105"/>
      <c r="H76" s="34"/>
      <c r="I76" s="14">
        <f>I62-I69</f>
        <v>0</v>
      </c>
      <c r="J76" s="106"/>
    </row>
    <row r="77" spans="1:13">
      <c r="A77" s="80">
        <f t="shared" si="0"/>
        <v>14</v>
      </c>
      <c r="B77" s="26" t="s">
        <v>22</v>
      </c>
      <c r="C77" s="24" t="str">
        <f>"(line "&amp;A63&amp;" - line "&amp;A70&amp;")"</f>
        <v>(line 2 - line 8)</v>
      </c>
      <c r="D77" s="14">
        <f>D63-D70</f>
        <v>0</v>
      </c>
      <c r="E77" s="34"/>
      <c r="F77" s="34"/>
      <c r="G77" s="22"/>
      <c r="H77" s="34"/>
      <c r="I77" s="14">
        <f>I63-I70</f>
        <v>0</v>
      </c>
      <c r="J77" s="106"/>
    </row>
    <row r="78" spans="1:13">
      <c r="A78" s="80">
        <f t="shared" si="0"/>
        <v>15</v>
      </c>
      <c r="B78" s="26" t="s">
        <v>228</v>
      </c>
      <c r="C78" s="24" t="str">
        <f>"(line "&amp;A64&amp;" - line "&amp;A71&amp;")"</f>
        <v>(line 3 - line 9)</v>
      </c>
      <c r="D78" s="14">
        <f>D64-D71</f>
        <v>0</v>
      </c>
      <c r="E78" s="34"/>
      <c r="F78" s="34"/>
      <c r="G78" s="105"/>
      <c r="H78" s="34"/>
      <c r="I78" s="111">
        <f>I64-I71</f>
        <v>0</v>
      </c>
      <c r="J78" s="106"/>
    </row>
    <row r="79" spans="1:13" ht="13.5" thickBot="1">
      <c r="A79" s="80">
        <f t="shared" si="0"/>
        <v>16</v>
      </c>
      <c r="B79" s="26" t="s">
        <v>83</v>
      </c>
      <c r="C79" s="24" t="str">
        <f>"(line "&amp;A65&amp;" - line "&amp;A72&amp;")"</f>
        <v>(line 4 - line 10)</v>
      </c>
      <c r="D79" s="104">
        <f>D65-D72</f>
        <v>0</v>
      </c>
      <c r="E79" s="34"/>
      <c r="F79" s="34"/>
      <c r="G79" s="105"/>
      <c r="H79" s="34"/>
      <c r="I79" s="104">
        <f>I65-I72</f>
        <v>0</v>
      </c>
      <c r="J79" s="106"/>
    </row>
    <row r="80" spans="1:13">
      <c r="A80" s="80">
        <f t="shared" si="0"/>
        <v>17</v>
      </c>
      <c r="B80" s="26" t="s">
        <v>201</v>
      </c>
      <c r="C80" s="24" t="str">
        <f>"( Sum of line "&amp;A76&amp;" through line "&amp;A79&amp;")"</f>
        <v>( Sum of line 13 through line 16)</v>
      </c>
      <c r="D80" s="14">
        <f>SUM(D76:D79)</f>
        <v>0</v>
      </c>
      <c r="E80" s="34"/>
      <c r="F80" s="34" t="s">
        <v>982</v>
      </c>
      <c r="G80" s="210">
        <f>IF(I80&gt;0,I80/D80,1)</f>
        <v>1</v>
      </c>
      <c r="H80" s="34"/>
      <c r="I80" s="14">
        <f>SUM(I76:I79)</f>
        <v>0</v>
      </c>
      <c r="J80" s="24"/>
    </row>
    <row r="81" spans="1:19">
      <c r="A81" s="80"/>
      <c r="B81" s="29"/>
      <c r="C81" s="24"/>
      <c r="D81" s="14"/>
      <c r="E81" s="24"/>
      <c r="F81" s="29"/>
      <c r="G81" s="289"/>
      <c r="H81" s="24"/>
      <c r="I81" s="14"/>
      <c r="J81" s="106"/>
    </row>
    <row r="82" spans="1:19" ht="15" customHeight="1">
      <c r="A82" s="80">
        <f>+A80+1</f>
        <v>18</v>
      </c>
      <c r="B82" s="23" t="s">
        <v>235</v>
      </c>
      <c r="C82" s="24"/>
      <c r="D82" s="14"/>
      <c r="E82" s="24"/>
      <c r="F82" s="24"/>
      <c r="G82" s="289"/>
      <c r="H82" s="24"/>
      <c r="I82" s="14"/>
      <c r="J82" s="24"/>
      <c r="K82" s="570"/>
      <c r="L82" s="570"/>
      <c r="M82" s="570"/>
    </row>
    <row r="83" spans="1:19">
      <c r="A83" s="80">
        <f>+A82+1</f>
        <v>19</v>
      </c>
      <c r="B83" s="26" t="s">
        <v>562</v>
      </c>
      <c r="C83" s="24" t="s">
        <v>983</v>
      </c>
      <c r="D83" s="39">
        <f>-'4- Rate Base'!C42</f>
        <v>0</v>
      </c>
      <c r="E83" s="24"/>
      <c r="F83" s="24" t="s">
        <v>21</v>
      </c>
      <c r="G83" s="455">
        <v>0</v>
      </c>
      <c r="H83" s="34"/>
      <c r="I83" s="14">
        <f>D83*G83</f>
        <v>0</v>
      </c>
      <c r="J83" s="106"/>
      <c r="K83" s="570"/>
      <c r="L83" s="570"/>
      <c r="M83" s="570"/>
    </row>
    <row r="84" spans="1:19" ht="13.15" customHeight="1">
      <c r="A84" s="80">
        <f t="shared" ref="A84:A87" si="1">+A83+1</f>
        <v>20</v>
      </c>
      <c r="B84" s="26" t="s">
        <v>563</v>
      </c>
      <c r="C84" s="24" t="s">
        <v>984</v>
      </c>
      <c r="D84" s="39">
        <f>-'4- Rate Base'!D42</f>
        <v>0</v>
      </c>
      <c r="E84" s="24"/>
      <c r="F84" s="24" t="s">
        <v>72</v>
      </c>
      <c r="G84" s="116">
        <f>G80</f>
        <v>1</v>
      </c>
      <c r="H84" s="34"/>
      <c r="I84" s="14">
        <f>D84*G84</f>
        <v>0</v>
      </c>
      <c r="J84" s="106"/>
      <c r="K84" s="570"/>
      <c r="L84" s="570"/>
      <c r="M84" s="570"/>
    </row>
    <row r="85" spans="1:19">
      <c r="A85" s="80">
        <f t="shared" si="1"/>
        <v>21</v>
      </c>
      <c r="B85" s="26" t="s">
        <v>564</v>
      </c>
      <c r="C85" s="24" t="s">
        <v>985</v>
      </c>
      <c r="D85" s="39">
        <f>-'4- Rate Base'!E42</f>
        <v>0</v>
      </c>
      <c r="E85" s="24"/>
      <c r="F85" s="24" t="s">
        <v>72</v>
      </c>
      <c r="G85" s="116">
        <f>G84</f>
        <v>1</v>
      </c>
      <c r="H85" s="34"/>
      <c r="I85" s="14">
        <f>D85*G85</f>
        <v>0</v>
      </c>
      <c r="J85" s="106"/>
      <c r="K85" s="570"/>
      <c r="L85" s="570"/>
      <c r="M85" s="570"/>
    </row>
    <row r="86" spans="1:19">
      <c r="A86" s="80">
        <f t="shared" si="1"/>
        <v>22</v>
      </c>
      <c r="B86" s="26" t="s">
        <v>565</v>
      </c>
      <c r="C86" s="24" t="s">
        <v>986</v>
      </c>
      <c r="D86" s="39">
        <f>+'4- Rate Base'!F42</f>
        <v>0</v>
      </c>
      <c r="E86" s="24"/>
      <c r="F86" s="24" t="s">
        <v>72</v>
      </c>
      <c r="G86" s="116">
        <f>G85</f>
        <v>1</v>
      </c>
      <c r="H86" s="34"/>
      <c r="I86" s="14">
        <f>D86*G86</f>
        <v>0</v>
      </c>
      <c r="J86" s="106"/>
      <c r="K86" s="570"/>
      <c r="L86" s="570"/>
      <c r="M86" s="570"/>
    </row>
    <row r="87" spans="1:19">
      <c r="A87" s="80">
        <f t="shared" si="1"/>
        <v>23</v>
      </c>
      <c r="B87" s="29" t="s">
        <v>84</v>
      </c>
      <c r="C87" s="29" t="s">
        <v>987</v>
      </c>
      <c r="D87" s="39">
        <f>-'4- Rate Base'!G42</f>
        <v>0</v>
      </c>
      <c r="E87" s="24"/>
      <c r="F87" s="24" t="s">
        <v>72</v>
      </c>
      <c r="G87" s="116">
        <f>+$G$80</f>
        <v>1</v>
      </c>
      <c r="H87" s="34"/>
      <c r="I87" s="14">
        <f>D87*G87</f>
        <v>0</v>
      </c>
      <c r="J87" s="106"/>
    </row>
    <row r="88" spans="1:19">
      <c r="A88" s="80">
        <f t="shared" si="0"/>
        <v>24</v>
      </c>
      <c r="B88" s="29" t="s">
        <v>293</v>
      </c>
      <c r="C88" s="29" t="s">
        <v>418</v>
      </c>
      <c r="D88" s="39">
        <f>+'4- Rate Base'!K73</f>
        <v>0</v>
      </c>
      <c r="E88" s="24"/>
      <c r="F88" s="24" t="s">
        <v>72</v>
      </c>
      <c r="G88" s="117">
        <f>G89</f>
        <v>1</v>
      </c>
      <c r="H88" s="34"/>
      <c r="I88" s="14">
        <f t="shared" ref="I88:I91" si="2">D88*G88</f>
        <v>0</v>
      </c>
      <c r="J88" s="106"/>
    </row>
    <row r="89" spans="1:19">
      <c r="A89" s="80">
        <f t="shared" si="0"/>
        <v>25</v>
      </c>
      <c r="B89" s="91" t="s">
        <v>82</v>
      </c>
      <c r="C89" s="92" t="s">
        <v>988</v>
      </c>
      <c r="D89" s="39">
        <f>'4- Rate Base'!G23</f>
        <v>18249727.324184652</v>
      </c>
      <c r="E89" s="92"/>
      <c r="F89" s="92" t="str">
        <f>+F90</f>
        <v>DA</v>
      </c>
      <c r="G89" s="118">
        <v>1</v>
      </c>
      <c r="H89" s="92"/>
      <c r="I89" s="14">
        <f t="shared" si="2"/>
        <v>18249727.324184652</v>
      </c>
      <c r="J89" s="106"/>
      <c r="K89" s="570"/>
      <c r="L89" s="570"/>
      <c r="M89" s="570"/>
    </row>
    <row r="90" spans="1:19" ht="13.15" customHeight="1">
      <c r="A90" s="80">
        <f t="shared" si="0"/>
        <v>26</v>
      </c>
      <c r="B90" s="91" t="s">
        <v>95</v>
      </c>
      <c r="C90" s="92" t="s">
        <v>893</v>
      </c>
      <c r="D90" s="39">
        <f>'10 - Reg Asset '!H21</f>
        <v>0</v>
      </c>
      <c r="E90" s="92"/>
      <c r="F90" s="92" t="str">
        <f>+F91</f>
        <v>DA</v>
      </c>
      <c r="G90" s="118">
        <v>1</v>
      </c>
      <c r="H90" s="92"/>
      <c r="I90" s="14">
        <f t="shared" si="2"/>
        <v>0</v>
      </c>
      <c r="J90" s="106"/>
      <c r="K90" s="572"/>
      <c r="L90" s="572"/>
      <c r="M90" s="572"/>
      <c r="N90" s="572"/>
      <c r="O90" s="572"/>
      <c r="P90" s="572"/>
      <c r="Q90" s="572"/>
      <c r="R90" s="572"/>
      <c r="S90" s="572"/>
    </row>
    <row r="91" spans="1:19" ht="13.5" thickBot="1">
      <c r="A91" s="80">
        <f t="shared" si="0"/>
        <v>27</v>
      </c>
      <c r="B91" s="91" t="s">
        <v>96</v>
      </c>
      <c r="C91" s="92" t="s">
        <v>895</v>
      </c>
      <c r="D91" s="119">
        <f>'11 - Abandoned Plant'!H20</f>
        <v>0</v>
      </c>
      <c r="E91" s="92"/>
      <c r="F91" s="92" t="s">
        <v>72</v>
      </c>
      <c r="G91" s="209">
        <v>1</v>
      </c>
      <c r="H91" s="92"/>
      <c r="I91" s="119">
        <f t="shared" si="2"/>
        <v>0</v>
      </c>
      <c r="J91" s="106"/>
      <c r="K91" s="572"/>
      <c r="L91" s="572"/>
      <c r="M91" s="572"/>
      <c r="N91" s="572"/>
      <c r="O91" s="572"/>
      <c r="P91" s="572"/>
      <c r="Q91" s="572"/>
      <c r="R91" s="572"/>
      <c r="S91" s="572"/>
    </row>
    <row r="92" spans="1:19">
      <c r="A92" s="80">
        <f t="shared" si="0"/>
        <v>28</v>
      </c>
      <c r="B92" s="26" t="s">
        <v>200</v>
      </c>
      <c r="C92" s="24" t="str">
        <f>"( Sum of line "&amp;A83&amp;" - line "&amp;A91&amp;")"</f>
        <v>( Sum of line 19 - line 27)</v>
      </c>
      <c r="D92" s="14">
        <f>SUM(D83:D91)</f>
        <v>18249727.324184652</v>
      </c>
      <c r="E92" s="24"/>
      <c r="F92" s="24"/>
      <c r="G92" s="290"/>
      <c r="H92" s="34"/>
      <c r="I92" s="14">
        <f>SUM(I83:I91)</f>
        <v>18249727.324184652</v>
      </c>
      <c r="J92" s="24"/>
    </row>
    <row r="93" spans="1:19">
      <c r="A93" s="80"/>
      <c r="B93" s="29"/>
      <c r="C93" s="24"/>
      <c r="D93" s="14"/>
      <c r="E93" s="24"/>
      <c r="F93" s="24"/>
      <c r="G93" s="209"/>
      <c r="H93" s="24"/>
      <c r="I93" s="14"/>
      <c r="J93" s="106"/>
    </row>
    <row r="94" spans="1:19">
      <c r="A94" s="80">
        <f>+A92+1</f>
        <v>29</v>
      </c>
      <c r="B94" s="23" t="s">
        <v>468</v>
      </c>
      <c r="C94" s="110" t="s">
        <v>989</v>
      </c>
      <c r="D94" s="111">
        <f>+'4- Rate Base'!H23</f>
        <v>0</v>
      </c>
      <c r="E94" s="24"/>
      <c r="F94" s="24" t="s">
        <v>15</v>
      </c>
      <c r="G94" s="116">
        <f>$I$185</f>
        <v>1</v>
      </c>
      <c r="H94" s="34"/>
      <c r="I94" s="14">
        <f>+G94*D94</f>
        <v>0</v>
      </c>
      <c r="J94" s="24"/>
    </row>
    <row r="95" spans="1:19">
      <c r="A95" s="80"/>
      <c r="B95" s="26"/>
      <c r="C95" s="24"/>
      <c r="D95" s="14"/>
      <c r="E95" s="24"/>
      <c r="F95" s="24"/>
      <c r="G95" s="209"/>
      <c r="H95" s="34"/>
      <c r="I95" s="14"/>
      <c r="J95" s="24"/>
    </row>
    <row r="96" spans="1:19">
      <c r="A96" s="80">
        <f>+A94+1</f>
        <v>30</v>
      </c>
      <c r="B96" s="26" t="s">
        <v>368</v>
      </c>
      <c r="C96" s="24" t="s">
        <v>219</v>
      </c>
      <c r="D96" s="14"/>
      <c r="E96" s="24"/>
      <c r="F96" s="24"/>
      <c r="G96" s="209"/>
      <c r="H96" s="34"/>
      <c r="I96" s="14"/>
      <c r="J96" s="24"/>
    </row>
    <row r="97" spans="1:15" ht="25.15" customHeight="1">
      <c r="A97" s="80">
        <f t="shared" si="0"/>
        <v>31</v>
      </c>
      <c r="B97" s="26" t="s">
        <v>440</v>
      </c>
      <c r="C97" s="597" t="str">
        <f>"1/8*(Page 3, Line "&amp;A130&amp;" minus Page 3, Lines "&amp;A125&amp;" &amp; "&amp;A127&amp;"  minus Page 2, Line "&amp;A98&amp;")"</f>
        <v>1/8*(Page 3, Line 15 minus Page 3, Lines 10 &amp; 12  minus Page 2, Line 32)</v>
      </c>
      <c r="D97" s="961">
        <f>(D130-D127-D125-D98)/8</f>
        <v>133067.26156608324</v>
      </c>
      <c r="E97" s="24"/>
      <c r="F97" s="24"/>
      <c r="G97" s="209"/>
      <c r="H97" s="34"/>
      <c r="I97" s="111">
        <f>(I130-I127-I125-I98)/8</f>
        <v>133067.26156608324</v>
      </c>
      <c r="J97" s="106"/>
      <c r="K97" s="570"/>
      <c r="L97" s="570"/>
      <c r="M97" s="570"/>
      <c r="N97" s="570"/>
      <c r="O97" s="570"/>
    </row>
    <row r="98" spans="1:15" ht="13.15" customHeight="1">
      <c r="A98" s="80">
        <f t="shared" si="0"/>
        <v>32</v>
      </c>
      <c r="B98" s="26" t="s">
        <v>919</v>
      </c>
      <c r="C98" s="29" t="s">
        <v>674</v>
      </c>
      <c r="D98" s="102">
        <v>0</v>
      </c>
      <c r="E98" s="24"/>
      <c r="F98" s="24"/>
      <c r="G98" s="209"/>
      <c r="H98" s="34"/>
      <c r="I98" s="111">
        <f>D98</f>
        <v>0</v>
      </c>
      <c r="J98" s="106"/>
      <c r="K98" s="570"/>
      <c r="L98" s="570"/>
      <c r="M98" s="570"/>
      <c r="N98" s="570"/>
      <c r="O98" s="570"/>
    </row>
    <row r="99" spans="1:15">
      <c r="A99" s="80">
        <f t="shared" si="0"/>
        <v>33</v>
      </c>
      <c r="B99" s="26" t="s">
        <v>155</v>
      </c>
      <c r="C99" s="110" t="s">
        <v>361</v>
      </c>
      <c r="D99" s="111">
        <f>+'4- Rate Base'!I23</f>
        <v>0</v>
      </c>
      <c r="E99" s="24"/>
      <c r="F99" s="24" t="s">
        <v>15</v>
      </c>
      <c r="G99" s="116">
        <f>$I$185</f>
        <v>1</v>
      </c>
      <c r="H99" s="34"/>
      <c r="I99" s="14">
        <f>+G99*D99</f>
        <v>0</v>
      </c>
      <c r="J99" s="106"/>
      <c r="K99" s="570"/>
      <c r="L99" s="570"/>
      <c r="M99" s="570"/>
      <c r="N99" s="570"/>
      <c r="O99" s="570"/>
    </row>
    <row r="100" spans="1:15" ht="13.5" thickBot="1">
      <c r="A100" s="80">
        <f t="shared" si="0"/>
        <v>34</v>
      </c>
      <c r="B100" s="26" t="s">
        <v>85</v>
      </c>
      <c r="C100" s="34" t="s">
        <v>236</v>
      </c>
      <c r="D100" s="119">
        <f>+'4- Rate Base'!J23</f>
        <v>0</v>
      </c>
      <c r="E100" s="24"/>
      <c r="F100" s="24" t="s">
        <v>26</v>
      </c>
      <c r="G100" s="209">
        <f>+$G$66</f>
        <v>1</v>
      </c>
      <c r="H100" s="34"/>
      <c r="I100" s="104">
        <f>+G100*D100</f>
        <v>0</v>
      </c>
      <c r="J100" s="106"/>
      <c r="K100" s="570"/>
      <c r="L100" s="570"/>
      <c r="M100" s="570"/>
      <c r="N100" s="570"/>
      <c r="O100" s="570"/>
    </row>
    <row r="101" spans="1:15">
      <c r="A101" s="80">
        <f>+A100+1</f>
        <v>35</v>
      </c>
      <c r="B101" s="26" t="s">
        <v>203</v>
      </c>
      <c r="C101" s="24" t="str">
        <f>"( Sum of line "&amp;A97&amp;", "&amp;A99&amp;", "&amp;A100&amp;")"</f>
        <v>( Sum of line 31, 33, 34)</v>
      </c>
      <c r="D101" s="14">
        <f>D97+D99+D100</f>
        <v>133067.26156608324</v>
      </c>
      <c r="E101" s="26"/>
      <c r="F101" s="26"/>
      <c r="G101" s="109"/>
      <c r="H101" s="36"/>
      <c r="I101" s="14">
        <f>I97+I99+I100</f>
        <v>133067.26156608324</v>
      </c>
      <c r="J101" s="26"/>
      <c r="K101" s="570"/>
      <c r="L101" s="570"/>
      <c r="M101" s="570"/>
      <c r="N101" s="570"/>
      <c r="O101" s="570"/>
    </row>
    <row r="102" spans="1:15" ht="13.5" thickBot="1">
      <c r="A102" s="80"/>
      <c r="B102" s="29"/>
      <c r="C102" s="24"/>
      <c r="D102" s="104"/>
      <c r="E102" s="24"/>
      <c r="F102" s="24"/>
      <c r="G102" s="24"/>
      <c r="H102" s="24"/>
      <c r="I102" s="104"/>
      <c r="J102" s="24"/>
    </row>
    <row r="103" spans="1:15" ht="13.5" thickBot="1">
      <c r="A103" s="80">
        <f>+A101+1</f>
        <v>36</v>
      </c>
      <c r="B103" s="26" t="s">
        <v>204</v>
      </c>
      <c r="C103" s="24" t="str">
        <f>"( Sum of line "&amp;A80&amp;", "&amp;A92&amp;", "&amp;A94&amp;", "&amp;A101&amp;")"</f>
        <v>( Sum of line 17, 28, 29, 35)</v>
      </c>
      <c r="D103" s="112">
        <f>+D101+D94+D92+D80</f>
        <v>18382794.585750736</v>
      </c>
      <c r="E103" s="34"/>
      <c r="F103" s="34"/>
      <c r="G103" s="113"/>
      <c r="H103" s="34"/>
      <c r="I103" s="112">
        <f>+I101+I94+I92+I80</f>
        <v>18382794.585750736</v>
      </c>
      <c r="J103" s="106"/>
    </row>
    <row r="104" spans="1:15" ht="13.5" thickTop="1">
      <c r="A104" s="80"/>
      <c r="B104" s="26"/>
      <c r="C104" s="24"/>
      <c r="D104" s="34"/>
      <c r="E104" s="34"/>
      <c r="F104" s="34"/>
      <c r="G104" s="113"/>
      <c r="H104" s="34"/>
      <c r="I104" s="34"/>
      <c r="J104" s="106"/>
    </row>
    <row r="105" spans="1:15">
      <c r="A105" s="80"/>
      <c r="B105" s="26"/>
      <c r="C105" s="24"/>
      <c r="D105" s="34"/>
      <c r="E105" s="34"/>
      <c r="F105" s="34"/>
      <c r="G105" s="113"/>
      <c r="H105" s="34"/>
      <c r="I105" s="34"/>
      <c r="J105" s="106"/>
    </row>
    <row r="106" spans="1:15">
      <c r="A106" s="80"/>
      <c r="B106" s="26"/>
      <c r="C106" s="24"/>
      <c r="D106" s="24"/>
      <c r="E106" s="24"/>
      <c r="F106" s="24"/>
      <c r="G106" s="24"/>
      <c r="H106" s="24"/>
      <c r="I106" s="24"/>
      <c r="J106" s="114" t="s">
        <v>441</v>
      </c>
    </row>
    <row r="107" spans="1:15">
      <c r="A107" s="80"/>
      <c r="B107" s="26"/>
      <c r="C107" s="24"/>
      <c r="D107" s="24"/>
      <c r="E107" s="24"/>
      <c r="F107" s="24"/>
      <c r="G107" s="24"/>
      <c r="H107" s="24"/>
      <c r="I107" s="24"/>
      <c r="J107" s="114"/>
    </row>
    <row r="108" spans="1:15">
      <c r="A108" s="80"/>
      <c r="B108" s="26" t="s">
        <v>1</v>
      </c>
      <c r="C108" s="24"/>
      <c r="D108" s="80" t="str">
        <f>+D3</f>
        <v>Rate Formula Template - Attachment H-39A</v>
      </c>
      <c r="E108" s="24"/>
      <c r="F108" s="24"/>
      <c r="G108" s="24"/>
      <c r="H108" s="24"/>
      <c r="I108" s="36"/>
      <c r="J108" s="114" t="str">
        <f>J3</f>
        <v>For  the 12 months ended 12/31/26</v>
      </c>
    </row>
    <row r="109" spans="1:15">
      <c r="A109" s="80"/>
      <c r="B109" s="26"/>
      <c r="C109" s="24"/>
      <c r="D109" s="27" t="s">
        <v>92</v>
      </c>
      <c r="E109" s="24"/>
      <c r="F109" s="24"/>
      <c r="G109" s="24"/>
      <c r="H109" s="24"/>
      <c r="I109" s="24"/>
      <c r="J109" s="24"/>
    </row>
    <row r="110" spans="1:15">
      <c r="A110" s="80"/>
      <c r="B110" s="29"/>
      <c r="C110" s="24"/>
      <c r="D110" s="27" t="str">
        <f>+D55</f>
        <v>Valley Link Transmission West Virginia, LLC</v>
      </c>
      <c r="E110" s="24"/>
      <c r="F110" s="24"/>
      <c r="G110" s="24"/>
      <c r="H110" s="24"/>
      <c r="I110" s="24"/>
      <c r="J110" s="24"/>
    </row>
    <row r="111" spans="1:15">
      <c r="A111" s="965"/>
      <c r="B111" s="965"/>
      <c r="C111" s="965"/>
      <c r="D111" s="965"/>
      <c r="E111" s="965"/>
      <c r="F111" s="965"/>
      <c r="G111" s="965"/>
      <c r="H111" s="965"/>
      <c r="I111" s="965"/>
      <c r="J111" s="965"/>
    </row>
    <row r="112" spans="1:15">
      <c r="A112" s="80"/>
      <c r="B112" s="85" t="s">
        <v>3</v>
      </c>
      <c r="C112" s="85" t="s">
        <v>4</v>
      </c>
      <c r="D112" s="85" t="s">
        <v>5</v>
      </c>
      <c r="E112" s="24" t="s">
        <v>2</v>
      </c>
      <c r="F112" s="24"/>
      <c r="G112" s="84" t="s">
        <v>6</v>
      </c>
      <c r="H112" s="24"/>
      <c r="I112" s="84" t="s">
        <v>7</v>
      </c>
      <c r="J112" s="24"/>
    </row>
    <row r="113" spans="1:18">
      <c r="A113" s="80" t="s">
        <v>8</v>
      </c>
      <c r="B113" s="26"/>
      <c r="C113" s="97"/>
      <c r="D113" s="24"/>
      <c r="E113" s="24"/>
      <c r="F113" s="24"/>
      <c r="G113" s="80"/>
      <c r="H113" s="24"/>
      <c r="I113" s="98" t="s">
        <v>16</v>
      </c>
      <c r="J113" s="98"/>
    </row>
    <row r="114" spans="1:18" ht="13.5" thickBot="1">
      <c r="A114" s="28" t="s">
        <v>10</v>
      </c>
      <c r="B114" s="26"/>
      <c r="C114" s="99" t="s">
        <v>187</v>
      </c>
      <c r="D114" s="98" t="s">
        <v>18</v>
      </c>
      <c r="E114" s="100"/>
      <c r="F114" s="98" t="s">
        <v>19</v>
      </c>
      <c r="G114" s="29"/>
      <c r="H114" s="100"/>
      <c r="I114" s="80" t="s">
        <v>20</v>
      </c>
      <c r="J114" s="98"/>
    </row>
    <row r="115" spans="1:18">
      <c r="A115" s="80"/>
      <c r="B115" s="26" t="s">
        <v>0</v>
      </c>
      <c r="C115" s="24"/>
      <c r="D115" s="24"/>
      <c r="E115" s="24"/>
      <c r="F115" s="24"/>
      <c r="G115" s="24"/>
      <c r="H115" s="24"/>
      <c r="I115" s="24"/>
      <c r="J115" s="24"/>
    </row>
    <row r="116" spans="1:18">
      <c r="A116" s="80">
        <v>1</v>
      </c>
      <c r="B116" s="26" t="s">
        <v>27</v>
      </c>
      <c r="C116" s="24" t="s">
        <v>317</v>
      </c>
      <c r="D116" s="589">
        <v>625765.96375</v>
      </c>
      <c r="E116" s="24"/>
      <c r="F116" s="24" t="s">
        <v>15</v>
      </c>
      <c r="G116" s="116">
        <f>$I$185</f>
        <v>1</v>
      </c>
      <c r="H116" s="34"/>
      <c r="I116" s="14">
        <f>+G116*D116</f>
        <v>625765.96375</v>
      </c>
      <c r="J116" s="24"/>
      <c r="K116" s="570"/>
      <c r="L116" s="570"/>
      <c r="M116" s="570"/>
    </row>
    <row r="117" spans="1:18">
      <c r="A117" s="90">
        <f>+A116+1</f>
        <v>2</v>
      </c>
      <c r="B117" s="91" t="s">
        <v>89</v>
      </c>
      <c r="C117" s="24" t="s">
        <v>318</v>
      </c>
      <c r="D117" s="589">
        <v>0</v>
      </c>
      <c r="E117" s="92"/>
      <c r="F117" s="92" t="str">
        <f>+F116</f>
        <v>TP</v>
      </c>
      <c r="G117" s="116">
        <f>$I$185</f>
        <v>1</v>
      </c>
      <c r="H117" s="92"/>
      <c r="I117" s="111">
        <f>+G117*D117</f>
        <v>0</v>
      </c>
      <c r="J117" s="24"/>
      <c r="K117" s="570"/>
      <c r="L117" s="570"/>
      <c r="M117" s="570"/>
    </row>
    <row r="118" spans="1:18">
      <c r="A118" s="90">
        <f t="shared" ref="A118:A162" si="3">+A117+1</f>
        <v>3</v>
      </c>
      <c r="B118" s="26" t="s">
        <v>28</v>
      </c>
      <c r="C118" s="24" t="s">
        <v>319</v>
      </c>
      <c r="D118" s="589">
        <v>0</v>
      </c>
      <c r="E118" s="24"/>
      <c r="F118" s="24" t="str">
        <f>+F117</f>
        <v>TP</v>
      </c>
      <c r="G118" s="116">
        <f>$I$185</f>
        <v>1</v>
      </c>
      <c r="H118" s="34"/>
      <c r="I118" s="14">
        <f t="shared" ref="I118:I123" si="4">+G118*D118</f>
        <v>0</v>
      </c>
      <c r="J118" s="24"/>
      <c r="K118" s="570"/>
      <c r="L118" s="570"/>
      <c r="M118" s="570"/>
    </row>
    <row r="119" spans="1:18">
      <c r="A119" s="90">
        <f t="shared" si="3"/>
        <v>4</v>
      </c>
      <c r="B119" s="26" t="s">
        <v>901</v>
      </c>
      <c r="C119" s="24" t="s">
        <v>990</v>
      </c>
      <c r="D119" s="589">
        <v>438772.12877866603</v>
      </c>
      <c r="E119" s="24"/>
      <c r="F119" s="24" t="s">
        <v>23</v>
      </c>
      <c r="G119" s="116">
        <f>$I$193</f>
        <v>1</v>
      </c>
      <c r="H119" s="34"/>
      <c r="I119" s="14">
        <f>+G119*D119</f>
        <v>438772.12877866603</v>
      </c>
      <c r="J119" s="24" t="s">
        <v>2</v>
      </c>
      <c r="K119" s="570"/>
      <c r="L119" s="570"/>
      <c r="M119" s="570"/>
    </row>
    <row r="120" spans="1:18" ht="13.15" customHeight="1">
      <c r="A120" s="90">
        <f t="shared" si="3"/>
        <v>5</v>
      </c>
      <c r="B120" s="26" t="s">
        <v>99</v>
      </c>
      <c r="C120" s="24" t="s">
        <v>991</v>
      </c>
      <c r="D120" s="589">
        <v>0</v>
      </c>
      <c r="E120" s="24"/>
      <c r="F120" s="24" t="s">
        <v>23</v>
      </c>
      <c r="G120" s="116">
        <f>$I$193</f>
        <v>1</v>
      </c>
      <c r="H120" s="34"/>
      <c r="I120" s="14">
        <f t="shared" si="4"/>
        <v>0</v>
      </c>
    </row>
    <row r="121" spans="1:18" ht="13.15" customHeight="1">
      <c r="A121" s="90">
        <f>+A120+1</f>
        <v>6</v>
      </c>
      <c r="B121" s="26" t="s">
        <v>387</v>
      </c>
      <c r="C121" s="24" t="s">
        <v>379</v>
      </c>
      <c r="D121" s="589">
        <v>0</v>
      </c>
      <c r="E121" s="24"/>
      <c r="F121" s="24" t="s">
        <v>23</v>
      </c>
      <c r="G121" s="116">
        <f>$I$193</f>
        <v>1</v>
      </c>
      <c r="H121" s="34"/>
      <c r="I121" s="14">
        <f>+G121*D121</f>
        <v>0</v>
      </c>
      <c r="J121" s="24"/>
      <c r="K121" s="570"/>
      <c r="L121" s="570"/>
      <c r="M121" s="570"/>
      <c r="N121" s="570"/>
      <c r="O121" s="570"/>
      <c r="P121" s="570"/>
      <c r="Q121" s="570"/>
      <c r="R121" s="570"/>
    </row>
    <row r="122" spans="1:18">
      <c r="A122" s="90">
        <f t="shared" si="3"/>
        <v>7</v>
      </c>
      <c r="B122" s="26" t="s">
        <v>386</v>
      </c>
      <c r="C122" s="24" t="s">
        <v>379</v>
      </c>
      <c r="D122" s="589">
        <v>0</v>
      </c>
      <c r="E122" s="24"/>
      <c r="F122" s="24" t="s">
        <v>23</v>
      </c>
      <c r="G122" s="116">
        <f>$I$193</f>
        <v>1</v>
      </c>
      <c r="H122" s="34"/>
      <c r="I122" s="14">
        <f>+G122*D122</f>
        <v>0</v>
      </c>
      <c r="J122" s="24"/>
      <c r="K122" s="570"/>
      <c r="L122" s="570"/>
      <c r="M122" s="570"/>
      <c r="N122" s="570"/>
      <c r="O122" s="570"/>
      <c r="P122" s="570"/>
      <c r="Q122" s="570"/>
      <c r="R122" s="570"/>
    </row>
    <row r="123" spans="1:18" ht="13.15" customHeight="1">
      <c r="A123" s="90">
        <f t="shared" si="3"/>
        <v>8</v>
      </c>
      <c r="B123" s="26" t="s">
        <v>195</v>
      </c>
      <c r="C123" s="24" t="s">
        <v>902</v>
      </c>
      <c r="D123" s="589">
        <v>0</v>
      </c>
      <c r="E123" s="24"/>
      <c r="F123" s="115" t="s">
        <v>15</v>
      </c>
      <c r="G123" s="116">
        <f>$I$185</f>
        <v>1</v>
      </c>
      <c r="H123" s="34"/>
      <c r="I123" s="14">
        <f t="shared" si="4"/>
        <v>0</v>
      </c>
      <c r="J123" s="24"/>
      <c r="K123" s="570"/>
      <c r="L123" s="570"/>
      <c r="M123" s="570"/>
      <c r="N123" s="570"/>
      <c r="O123" s="570"/>
      <c r="P123" s="570"/>
      <c r="Q123" s="570"/>
      <c r="R123" s="570"/>
    </row>
    <row r="124" spans="1:18">
      <c r="A124" s="90">
        <f t="shared" si="3"/>
        <v>9</v>
      </c>
      <c r="B124" s="26" t="s">
        <v>389</v>
      </c>
      <c r="C124" s="24" t="s">
        <v>903</v>
      </c>
      <c r="D124" s="589">
        <v>0</v>
      </c>
      <c r="E124" s="24"/>
      <c r="F124" s="24" t="str">
        <f>+F127</f>
        <v>DA</v>
      </c>
      <c r="G124" s="117">
        <v>1</v>
      </c>
      <c r="H124" s="34"/>
      <c r="I124" s="39">
        <f>+G124*D124</f>
        <v>0</v>
      </c>
      <c r="J124" s="24"/>
      <c r="K124" s="570"/>
      <c r="L124" s="570"/>
      <c r="M124" s="570"/>
      <c r="N124" s="570"/>
      <c r="O124" s="570"/>
      <c r="P124" s="570"/>
      <c r="Q124" s="570"/>
      <c r="R124" s="570"/>
    </row>
    <row r="125" spans="1:18">
      <c r="A125" s="90">
        <v>10</v>
      </c>
      <c r="B125" s="26" t="s">
        <v>863</v>
      </c>
      <c r="C125" s="24" t="s">
        <v>892</v>
      </c>
      <c r="D125" s="39">
        <f>'10 - Reg Asset '!F21</f>
        <v>0</v>
      </c>
      <c r="E125" s="24"/>
      <c r="F125" s="24" t="s">
        <v>72</v>
      </c>
      <c r="G125" s="117">
        <v>1</v>
      </c>
      <c r="H125" s="34"/>
      <c r="I125" s="39">
        <f>+G125*D125</f>
        <v>0</v>
      </c>
      <c r="J125" s="24"/>
      <c r="K125" s="583"/>
      <c r="L125" s="583"/>
      <c r="M125" s="583"/>
      <c r="N125" s="583"/>
      <c r="O125" s="583"/>
      <c r="P125" s="583"/>
      <c r="Q125" s="570"/>
      <c r="R125" s="570"/>
    </row>
    <row r="126" spans="1:18">
      <c r="A126" s="90">
        <f>+A125+1</f>
        <v>11</v>
      </c>
      <c r="B126" s="91" t="s">
        <v>90</v>
      </c>
      <c r="C126" s="92"/>
      <c r="D126" s="39"/>
      <c r="E126" s="92"/>
      <c r="F126" s="92"/>
      <c r="G126" s="117"/>
      <c r="H126" s="92"/>
      <c r="I126" s="39"/>
      <c r="J126" s="24"/>
      <c r="K126" s="570"/>
      <c r="L126" s="570"/>
      <c r="M126" s="570"/>
    </row>
    <row r="127" spans="1:18" ht="13.15" customHeight="1">
      <c r="A127" s="90">
        <f t="shared" si="3"/>
        <v>12</v>
      </c>
      <c r="B127" s="91" t="s">
        <v>364</v>
      </c>
      <c r="C127" s="92" t="s">
        <v>98</v>
      </c>
      <c r="D127" s="589">
        <v>0</v>
      </c>
      <c r="E127" s="92"/>
      <c r="F127" s="92" t="s">
        <v>72</v>
      </c>
      <c r="G127" s="118">
        <v>1</v>
      </c>
      <c r="H127" s="92"/>
      <c r="I127" s="39">
        <f>+G127*D127</f>
        <v>0</v>
      </c>
      <c r="J127" s="24"/>
      <c r="K127" s="570"/>
      <c r="L127" s="570"/>
      <c r="M127" s="570"/>
      <c r="N127" s="570"/>
      <c r="O127" s="570"/>
      <c r="P127" s="570"/>
      <c r="Q127" s="570"/>
      <c r="R127" s="570"/>
    </row>
    <row r="128" spans="1:18">
      <c r="A128" s="90">
        <f t="shared" si="3"/>
        <v>13</v>
      </c>
      <c r="B128" s="91" t="s">
        <v>388</v>
      </c>
      <c r="C128" s="24" t="s">
        <v>504</v>
      </c>
      <c r="D128" s="589">
        <v>0</v>
      </c>
      <c r="E128" s="92"/>
      <c r="F128" s="92" t="s">
        <v>15</v>
      </c>
      <c r="G128" s="116">
        <f>$I$185</f>
        <v>1</v>
      </c>
      <c r="H128" s="92"/>
      <c r="I128" s="39">
        <f>+G128*D128</f>
        <v>0</v>
      </c>
      <c r="J128" s="24"/>
      <c r="K128" s="570"/>
      <c r="L128" s="570"/>
      <c r="M128" s="570"/>
      <c r="N128" s="570"/>
      <c r="O128" s="570"/>
      <c r="P128" s="570"/>
      <c r="Q128" s="570"/>
      <c r="R128" s="570"/>
    </row>
    <row r="129" spans="1:18" ht="13.5" thickBot="1">
      <c r="A129" s="90">
        <f t="shared" si="3"/>
        <v>14</v>
      </c>
      <c r="B129" s="91" t="s">
        <v>91</v>
      </c>
      <c r="C129" s="92" t="str">
        <f>"( Sum of line "&amp;A127&amp;" - line "&amp;A128&amp;") Ties to 321.97b"</f>
        <v>( Sum of line 12 - line 13) Ties to 321.97b</v>
      </c>
      <c r="D129" s="119">
        <f>SUM(D127:D128)</f>
        <v>0</v>
      </c>
      <c r="E129" s="92"/>
      <c r="F129" s="92"/>
      <c r="G129" s="118"/>
      <c r="H129" s="92"/>
      <c r="I129" s="119">
        <f>SUM(I127:I128)</f>
        <v>0</v>
      </c>
      <c r="J129" s="24"/>
      <c r="K129" s="570"/>
      <c r="L129" s="570"/>
      <c r="M129" s="570"/>
      <c r="N129" s="570"/>
      <c r="O129" s="570"/>
      <c r="P129" s="570"/>
      <c r="Q129" s="570"/>
      <c r="R129" s="570"/>
    </row>
    <row r="130" spans="1:18" ht="25.5">
      <c r="A130" s="90">
        <f t="shared" si="3"/>
        <v>15</v>
      </c>
      <c r="B130" s="120" t="s">
        <v>205</v>
      </c>
      <c r="C130" s="598" t="str">
        <f>"( Sum of line "&amp;A116&amp;", "&amp;A119&amp;", "&amp;A123&amp;", "&amp;A124&amp;", "&amp;A125&amp;", "&amp;A129&amp;") less ( sum of line "&amp;A117&amp;", "&amp;A118&amp;", "&amp;A120&amp;", "&amp;A121&amp;", "&amp;A122&amp;")"</f>
        <v>( Sum of line 1, 4, 8, 9, 10, 14) less ( sum of line 2, 3, 5, 6, 7)</v>
      </c>
      <c r="D130" s="14">
        <f>+D116-D117-D118+D119-D120-D121-D122+D123+D124+D129+D125</f>
        <v>1064538.0925286659</v>
      </c>
      <c r="E130" s="14"/>
      <c r="F130" s="14"/>
      <c r="G130" s="14"/>
      <c r="H130" s="14"/>
      <c r="I130" s="14">
        <f>+I116-I117-I118+I119-I120-I121-I122+I123+I124+I129+I125</f>
        <v>1064538.0925286659</v>
      </c>
      <c r="J130" s="24"/>
      <c r="K130" s="570"/>
      <c r="L130" s="570"/>
      <c r="M130" s="570"/>
      <c r="N130" s="570"/>
      <c r="O130" s="570"/>
      <c r="P130" s="570"/>
      <c r="Q130" s="570"/>
      <c r="R130" s="570"/>
    </row>
    <row r="131" spans="1:18">
      <c r="A131" s="90"/>
      <c r="B131" s="29"/>
      <c r="C131" s="24"/>
      <c r="D131" s="14"/>
      <c r="E131" s="14"/>
      <c r="F131" s="14"/>
      <c r="G131" s="14"/>
      <c r="H131" s="14"/>
      <c r="I131" s="14"/>
      <c r="J131" s="24"/>
      <c r="K131" s="570"/>
      <c r="L131" s="570"/>
      <c r="M131" s="570"/>
      <c r="N131" s="570"/>
      <c r="O131" s="570"/>
      <c r="P131" s="570"/>
      <c r="Q131" s="570"/>
      <c r="R131" s="570"/>
    </row>
    <row r="132" spans="1:18">
      <c r="A132" s="90">
        <f>+A130+1</f>
        <v>16</v>
      </c>
      <c r="B132" s="26" t="s">
        <v>367</v>
      </c>
      <c r="C132" s="24" t="s">
        <v>900</v>
      </c>
      <c r="D132" s="14"/>
      <c r="E132" s="14"/>
      <c r="F132" s="14"/>
      <c r="G132" s="14"/>
      <c r="H132" s="14"/>
      <c r="I132" s="14"/>
      <c r="J132" s="24"/>
    </row>
    <row r="133" spans="1:18" ht="15">
      <c r="A133" s="90">
        <f t="shared" si="3"/>
        <v>17</v>
      </c>
      <c r="B133" s="26" t="s">
        <v>27</v>
      </c>
      <c r="C133" s="110" t="s">
        <v>320</v>
      </c>
      <c r="D133" s="589">
        <v>0</v>
      </c>
      <c r="E133"/>
      <c r="F133" s="14" t="s">
        <v>15</v>
      </c>
      <c r="G133" s="116">
        <f>$I$185</f>
        <v>1</v>
      </c>
      <c r="H133" s="14"/>
      <c r="I133" s="14">
        <f>+G133*D133</f>
        <v>0</v>
      </c>
      <c r="J133" s="106"/>
    </row>
    <row r="134" spans="1:18" ht="15">
      <c r="A134" s="90">
        <f t="shared" si="3"/>
        <v>18</v>
      </c>
      <c r="B134" s="121" t="s">
        <v>83</v>
      </c>
      <c r="C134" s="110" t="s">
        <v>321</v>
      </c>
      <c r="D134" s="589">
        <v>0</v>
      </c>
      <c r="E134"/>
      <c r="F134" s="14" t="s">
        <v>23</v>
      </c>
      <c r="G134" s="116">
        <f>$I$193</f>
        <v>1</v>
      </c>
      <c r="H134" s="14"/>
      <c r="I134" s="14">
        <f>+G134*D134</f>
        <v>0</v>
      </c>
      <c r="J134" s="106"/>
    </row>
    <row r="135" spans="1:18" ht="13.5" thickBot="1">
      <c r="A135" s="90">
        <f t="shared" si="3"/>
        <v>19</v>
      </c>
      <c r="B135" s="91" t="s">
        <v>86</v>
      </c>
      <c r="C135" s="24" t="s">
        <v>894</v>
      </c>
      <c r="D135" s="119">
        <f>'11 - Abandoned Plant'!F20</f>
        <v>0</v>
      </c>
      <c r="E135" s="14"/>
      <c r="F135" s="14" t="s">
        <v>72</v>
      </c>
      <c r="G135" s="116">
        <v>1</v>
      </c>
      <c r="H135" s="14"/>
      <c r="I135" s="104">
        <f>+G135*D135</f>
        <v>0</v>
      </c>
      <c r="J135" s="106"/>
    </row>
    <row r="136" spans="1:18">
      <c r="A136" s="90">
        <f t="shared" si="3"/>
        <v>20</v>
      </c>
      <c r="B136" s="26" t="s">
        <v>196</v>
      </c>
      <c r="C136" s="24" t="str">
        <f>"( Sum of line "&amp;A133&amp;" - line "&amp;A135&amp;")"</f>
        <v>( Sum of line 17 - line 19)</v>
      </c>
      <c r="D136" s="14">
        <f>SUM(D133:D135)</f>
        <v>0</v>
      </c>
      <c r="E136" s="14"/>
      <c r="F136" s="14"/>
      <c r="G136" s="116"/>
      <c r="H136" s="14"/>
      <c r="I136" s="14">
        <f>SUM(I133:I135)</f>
        <v>0</v>
      </c>
      <c r="J136" s="24"/>
    </row>
    <row r="137" spans="1:18">
      <c r="A137" s="90"/>
      <c r="B137" s="26"/>
      <c r="C137" s="24"/>
      <c r="D137" s="14"/>
      <c r="E137" s="14"/>
      <c r="F137" s="14"/>
      <c r="G137" s="116"/>
      <c r="H137" s="14"/>
      <c r="I137" s="14"/>
      <c r="J137" s="24"/>
    </row>
    <row r="138" spans="1:18">
      <c r="A138" s="90">
        <f>+A136+1</f>
        <v>21</v>
      </c>
      <c r="B138" s="26" t="s">
        <v>905</v>
      </c>
      <c r="C138" s="29" t="s">
        <v>904</v>
      </c>
      <c r="D138" s="14"/>
      <c r="E138" s="14"/>
      <c r="F138" s="14"/>
      <c r="G138" s="116"/>
      <c r="H138" s="14"/>
      <c r="I138" s="14"/>
      <c r="J138" s="24"/>
    </row>
    <row r="139" spans="1:18">
      <c r="A139" s="90">
        <f t="shared" si="3"/>
        <v>22</v>
      </c>
      <c r="B139" s="26" t="s">
        <v>29</v>
      </c>
      <c r="C139" s="29"/>
      <c r="D139" s="14"/>
      <c r="E139" s="14"/>
      <c r="F139" s="14"/>
      <c r="G139" s="116"/>
      <c r="H139" s="14"/>
      <c r="I139" s="14"/>
      <c r="J139" s="106"/>
    </row>
    <row r="140" spans="1:18">
      <c r="A140" s="90">
        <f t="shared" si="3"/>
        <v>23</v>
      </c>
      <c r="B140" s="26" t="s">
        <v>30</v>
      </c>
      <c r="C140" s="110" t="s">
        <v>505</v>
      </c>
      <c r="D140" s="107">
        <v>0</v>
      </c>
      <c r="E140" s="14"/>
      <c r="F140" s="14" t="s">
        <v>23</v>
      </c>
      <c r="G140" s="116">
        <f>$I$193</f>
        <v>1</v>
      </c>
      <c r="H140" s="14"/>
      <c r="I140" s="14">
        <f>+G140*D140</f>
        <v>0</v>
      </c>
    </row>
    <row r="141" spans="1:18">
      <c r="A141" s="90">
        <f t="shared" si="3"/>
        <v>24</v>
      </c>
      <c r="B141" s="26" t="s">
        <v>31</v>
      </c>
      <c r="C141" s="110" t="s">
        <v>505</v>
      </c>
      <c r="D141" s="107">
        <v>0</v>
      </c>
      <c r="E141" s="14"/>
      <c r="F141" s="14" t="s">
        <v>23</v>
      </c>
      <c r="G141" s="116">
        <f>$I$193</f>
        <v>1</v>
      </c>
      <c r="H141" s="14"/>
      <c r="I141" s="14">
        <f>+G141*D141</f>
        <v>0</v>
      </c>
    </row>
    <row r="142" spans="1:18">
      <c r="A142" s="90">
        <f t="shared" si="3"/>
        <v>25</v>
      </c>
      <c r="B142" s="26" t="s">
        <v>32</v>
      </c>
      <c r="C142" s="110" t="s">
        <v>2</v>
      </c>
      <c r="D142" s="111"/>
      <c r="E142" s="14"/>
      <c r="F142" s="14"/>
      <c r="G142" s="116"/>
      <c r="H142" s="14"/>
      <c r="I142" s="14"/>
    </row>
    <row r="143" spans="1:18" ht="15">
      <c r="A143" s="90">
        <f t="shared" si="3"/>
        <v>26</v>
      </c>
      <c r="B143" s="26" t="s">
        <v>33</v>
      </c>
      <c r="C143" s="110" t="s">
        <v>505</v>
      </c>
      <c r="D143" s="107">
        <v>0</v>
      </c>
      <c r="E143"/>
      <c r="F143" s="14" t="s">
        <v>26</v>
      </c>
      <c r="G143" s="209">
        <f>+$G$66</f>
        <v>1</v>
      </c>
      <c r="H143" s="14"/>
      <c r="I143" s="14">
        <f>+G143*D143</f>
        <v>0</v>
      </c>
    </row>
    <row r="144" spans="1:18">
      <c r="A144" s="90">
        <f t="shared" si="3"/>
        <v>27</v>
      </c>
      <c r="B144" s="26" t="s">
        <v>34</v>
      </c>
      <c r="C144" s="110" t="s">
        <v>505</v>
      </c>
      <c r="D144" s="107">
        <v>0</v>
      </c>
      <c r="E144" s="14"/>
      <c r="F144" s="111" t="s">
        <v>21</v>
      </c>
      <c r="G144" s="128" t="s">
        <v>21</v>
      </c>
      <c r="H144" s="14"/>
      <c r="I144" s="111">
        <v>0</v>
      </c>
      <c r="K144" s="572"/>
      <c r="L144" s="572"/>
      <c r="M144" s="572"/>
      <c r="N144" s="572"/>
      <c r="O144" s="572"/>
    </row>
    <row r="145" spans="1:18">
      <c r="A145" s="90">
        <f t="shared" si="3"/>
        <v>28</v>
      </c>
      <c r="B145" s="26" t="s">
        <v>35</v>
      </c>
      <c r="C145" s="110" t="s">
        <v>505</v>
      </c>
      <c r="D145" s="107">
        <v>0</v>
      </c>
      <c r="E145" s="14"/>
      <c r="F145" s="14" t="s">
        <v>26</v>
      </c>
      <c r="G145" s="209">
        <f>+$G$66</f>
        <v>1</v>
      </c>
      <c r="H145" s="14"/>
      <c r="I145" s="14">
        <f>+G145*D145</f>
        <v>0</v>
      </c>
    </row>
    <row r="146" spans="1:18" ht="13.5" thickBot="1">
      <c r="A146" s="90">
        <f t="shared" si="3"/>
        <v>29</v>
      </c>
      <c r="B146" s="26" t="s">
        <v>36</v>
      </c>
      <c r="C146" s="110" t="s">
        <v>505</v>
      </c>
      <c r="D146" s="107">
        <v>0</v>
      </c>
      <c r="E146" s="14"/>
      <c r="F146" s="14" t="s">
        <v>26</v>
      </c>
      <c r="G146" s="209">
        <f>+$G$66</f>
        <v>1</v>
      </c>
      <c r="H146" s="14"/>
      <c r="I146" s="104">
        <f>+G146*D146</f>
        <v>0</v>
      </c>
    </row>
    <row r="147" spans="1:18" ht="13.5" thickTop="1">
      <c r="A147" s="90">
        <f t="shared" si="3"/>
        <v>30</v>
      </c>
      <c r="B147" s="26" t="s">
        <v>197</v>
      </c>
      <c r="C147" s="24" t="str">
        <f>"( Sum of line "&amp;A140&amp;" - line "&amp;A146&amp;")"</f>
        <v>( Sum of line 23 - line 29)</v>
      </c>
      <c r="D147" s="220">
        <f>SUM(D140:D146)</f>
        <v>0</v>
      </c>
      <c r="E147" s="14"/>
      <c r="F147" s="14"/>
      <c r="G147" s="14"/>
      <c r="H147" s="14"/>
      <c r="I147" s="14">
        <f>SUM(I140:I146)</f>
        <v>0</v>
      </c>
      <c r="J147" s="24"/>
    </row>
    <row r="148" spans="1:18">
      <c r="A148" s="90"/>
      <c r="B148" s="26"/>
      <c r="C148" s="24"/>
      <c r="D148" s="24"/>
      <c r="E148" s="24"/>
      <c r="F148" s="24"/>
      <c r="G148" s="89"/>
      <c r="H148" s="24"/>
      <c r="I148" s="24"/>
      <c r="J148" s="24"/>
    </row>
    <row r="149" spans="1:18">
      <c r="A149" s="90">
        <f>+A147+1</f>
        <v>31</v>
      </c>
      <c r="B149" s="26" t="s">
        <v>907</v>
      </c>
      <c r="C149" s="24" t="s">
        <v>906</v>
      </c>
      <c r="D149" s="24"/>
      <c r="E149" s="24"/>
      <c r="F149" s="29"/>
      <c r="G149" s="30"/>
      <c r="H149" s="24"/>
      <c r="I149" s="29"/>
      <c r="J149" s="29"/>
    </row>
    <row r="150" spans="1:18">
      <c r="A150" s="90">
        <f t="shared" si="3"/>
        <v>32</v>
      </c>
      <c r="B150" s="31" t="s">
        <v>220</v>
      </c>
      <c r="C150" s="24"/>
      <c r="D150" s="225">
        <f>IF(D236&gt;0,1-(((1-D237)*(1-D236))/(1-D237*D236*D238))*(1-D239),0)</f>
        <v>0.26134999999999997</v>
      </c>
      <c r="E150" s="24"/>
      <c r="F150" s="29"/>
      <c r="G150" s="30"/>
      <c r="H150" s="24"/>
      <c r="I150" s="29"/>
      <c r="J150" s="29"/>
    </row>
    <row r="151" spans="1:18">
      <c r="A151" s="90">
        <f t="shared" si="3"/>
        <v>33</v>
      </c>
      <c r="B151" s="29" t="s">
        <v>38</v>
      </c>
      <c r="C151" s="24" t="str">
        <f>"WCLTD = Page 4, Line "&amp;A202&amp;", R = Page 4, Line "&amp;A205</f>
        <v>WCLTD = Page 4, Line 13, R = Page 4, Line 16</v>
      </c>
      <c r="D151" s="225">
        <f>IF(I202&gt;0,(D150/(1-D150))*(1-I202/I205),0)</f>
        <v>0.27282561050722737</v>
      </c>
      <c r="E151" s="24"/>
      <c r="F151" s="29"/>
      <c r="G151" s="30"/>
      <c r="H151" s="24"/>
      <c r="I151" s="29"/>
      <c r="J151" s="29"/>
    </row>
    <row r="152" spans="1:18">
      <c r="A152" s="90">
        <f t="shared" si="3"/>
        <v>34</v>
      </c>
      <c r="B152" s="26" t="s">
        <v>218</v>
      </c>
      <c r="C152" s="24"/>
      <c r="D152" s="24"/>
      <c r="E152" s="24"/>
      <c r="F152" s="29"/>
      <c r="G152" s="30"/>
      <c r="H152" s="24"/>
      <c r="I152" s="29"/>
      <c r="J152" s="29"/>
    </row>
    <row r="153" spans="1:18">
      <c r="A153" s="90">
        <f t="shared" si="3"/>
        <v>35</v>
      </c>
      <c r="B153" s="26"/>
      <c r="D153" s="24"/>
      <c r="E153" s="24"/>
      <c r="F153" s="29"/>
      <c r="G153" s="30"/>
      <c r="H153" s="24"/>
      <c r="I153" s="29"/>
      <c r="J153" s="29"/>
    </row>
    <row r="154" spans="1:18">
      <c r="A154" s="90">
        <f>+A153+1</f>
        <v>36</v>
      </c>
      <c r="B154" s="31" t="str">
        <f>"      1 / (1 - T)  =  (from line "&amp;A150&amp;")"</f>
        <v xml:space="preserve">      1 / (1 - T)  =  (from line 32)</v>
      </c>
      <c r="C154" s="24" t="str">
        <f>"1 / (1 - T), T from Line "&amp;A150&amp;""</f>
        <v>1 / (1 - T), T from Line 32</v>
      </c>
      <c r="D154" s="225">
        <f>IF(D150=0,0,1/(1-D150))</f>
        <v>1.3538211602247343</v>
      </c>
      <c r="E154" s="24"/>
      <c r="F154" s="29"/>
      <c r="G154" s="30"/>
      <c r="H154" s="24"/>
      <c r="I154" s="14"/>
      <c r="J154" s="29"/>
    </row>
    <row r="155" spans="1:18">
      <c r="A155" s="90">
        <f t="shared" si="3"/>
        <v>37</v>
      </c>
      <c r="B155" s="26" t="s">
        <v>214</v>
      </c>
      <c r="C155" s="24" t="s">
        <v>322</v>
      </c>
      <c r="D155" s="589">
        <v>0</v>
      </c>
      <c r="E155" s="24"/>
      <c r="F155" s="29"/>
      <c r="G155" s="30"/>
      <c r="H155" s="24"/>
      <c r="I155" s="14"/>
      <c r="J155" s="29"/>
    </row>
    <row r="156" spans="1:18" ht="13.15" customHeight="1">
      <c r="A156" s="90">
        <f t="shared" si="3"/>
        <v>38</v>
      </c>
      <c r="B156" s="26" t="s">
        <v>992</v>
      </c>
      <c r="C156" s="24" t="s">
        <v>993</v>
      </c>
      <c r="D156" s="107">
        <v>0</v>
      </c>
      <c r="E156" s="24"/>
      <c r="F156" s="29"/>
      <c r="G156" s="32"/>
      <c r="H156" s="24"/>
      <c r="I156" s="14"/>
      <c r="K156" s="570"/>
      <c r="L156" s="570"/>
      <c r="M156" s="570"/>
      <c r="N156" s="570"/>
      <c r="O156" s="570"/>
      <c r="P156" s="570"/>
      <c r="Q156" s="570"/>
      <c r="R156" s="570"/>
    </row>
    <row r="157" spans="1:18">
      <c r="A157" s="90">
        <f t="shared" si="3"/>
        <v>39</v>
      </c>
      <c r="B157" s="26" t="s">
        <v>242</v>
      </c>
      <c r="C157" s="24" t="s">
        <v>994</v>
      </c>
      <c r="D157" s="107">
        <v>0</v>
      </c>
      <c r="E157" s="24"/>
      <c r="F157" s="29"/>
      <c r="G157" s="30"/>
      <c r="H157" s="24"/>
      <c r="I157" s="14"/>
      <c r="J157" s="29"/>
      <c r="K157" s="570"/>
      <c r="L157" s="570"/>
      <c r="M157" s="570"/>
      <c r="N157" s="570"/>
      <c r="O157" s="570"/>
      <c r="P157" s="570"/>
      <c r="Q157" s="570"/>
      <c r="R157" s="570"/>
    </row>
    <row r="158" spans="1:18">
      <c r="A158" s="90">
        <f t="shared" si="3"/>
        <v>40</v>
      </c>
      <c r="B158" s="31" t="s">
        <v>215</v>
      </c>
      <c r="C158" s="33" t="str">
        <f>"(Line "&amp;A151&amp;" times Line "&amp;A165&amp;")"</f>
        <v>(Line 33 times Line 46)</v>
      </c>
      <c r="D158" s="186">
        <f>+D151*D165</f>
        <v>444888.76486162498</v>
      </c>
      <c r="E158" s="34"/>
      <c r="F158" s="34" t="s">
        <v>21</v>
      </c>
      <c r="G158" s="35"/>
      <c r="H158" s="34"/>
      <c r="I158" s="186">
        <f>+D151*I165</f>
        <v>444888.76486162498</v>
      </c>
      <c r="J158" s="88" t="s">
        <v>2</v>
      </c>
      <c r="K158" s="570"/>
      <c r="L158" s="570"/>
      <c r="M158" s="570"/>
      <c r="N158" s="570"/>
      <c r="O158" s="570"/>
      <c r="P158" s="570"/>
      <c r="Q158" s="570"/>
      <c r="R158" s="570"/>
    </row>
    <row r="159" spans="1:18">
      <c r="A159" s="90">
        <f t="shared" si="3"/>
        <v>41</v>
      </c>
      <c r="B159" s="29" t="s">
        <v>216</v>
      </c>
      <c r="C159" s="33" t="str">
        <f>"(Line "&amp;A154&amp;" times Line "&amp;A155&amp;")"</f>
        <v>(Line 36 times Line 37)</v>
      </c>
      <c r="D159" s="186">
        <f>+D$154*D155</f>
        <v>0</v>
      </c>
      <c r="E159" s="34"/>
      <c r="F159" s="36" t="s">
        <v>25</v>
      </c>
      <c r="G159" s="108">
        <f>+$G$80</f>
        <v>1</v>
      </c>
      <c r="H159" s="34"/>
      <c r="I159" s="186">
        <f>+G159*D159</f>
        <v>0</v>
      </c>
      <c r="J159" s="88"/>
      <c r="K159" s="570"/>
      <c r="L159" s="570"/>
      <c r="M159" s="570"/>
      <c r="N159" s="570"/>
      <c r="O159" s="570"/>
      <c r="P159" s="570"/>
      <c r="Q159" s="570"/>
      <c r="R159" s="570"/>
    </row>
    <row r="160" spans="1:18">
      <c r="A160" s="90">
        <f t="shared" si="3"/>
        <v>42</v>
      </c>
      <c r="B160" s="29" t="s">
        <v>995</v>
      </c>
      <c r="C160" s="33" t="str">
        <f>"(Line "&amp;A154&amp;" times Line "&amp;A156&amp;")"</f>
        <v>(Line 36 times Line 38)</v>
      </c>
      <c r="D160" s="186">
        <f>+D$154*D156</f>
        <v>0</v>
      </c>
      <c r="E160" s="34"/>
      <c r="F160" s="36" t="s">
        <v>25</v>
      </c>
      <c r="G160" s="108">
        <f>+$G$80</f>
        <v>1</v>
      </c>
      <c r="H160" s="34"/>
      <c r="I160" s="186">
        <f>+G160*D160</f>
        <v>0</v>
      </c>
      <c r="J160" s="88"/>
    </row>
    <row r="161" spans="1:10" ht="13.5" thickBot="1">
      <c r="A161" s="90">
        <f t="shared" si="3"/>
        <v>43</v>
      </c>
      <c r="B161" s="29" t="s">
        <v>100</v>
      </c>
      <c r="C161" s="33" t="str">
        <f>"(Line "&amp;A154&amp;" times Line "&amp;A157&amp;")"</f>
        <v>(Line 36 times Line 39)</v>
      </c>
      <c r="D161" s="187">
        <f>+D$154*D157</f>
        <v>0</v>
      </c>
      <c r="E161" s="34"/>
      <c r="F161" s="36" t="s">
        <v>25</v>
      </c>
      <c r="G161" s="108">
        <f>+$G$80</f>
        <v>1</v>
      </c>
      <c r="H161" s="34"/>
      <c r="I161" s="187">
        <f>+G161*D161</f>
        <v>0</v>
      </c>
      <c r="J161" s="88"/>
    </row>
    <row r="162" spans="1:10">
      <c r="A162" s="90">
        <f t="shared" si="3"/>
        <v>44</v>
      </c>
      <c r="B162" s="37" t="s">
        <v>217</v>
      </c>
      <c r="C162" s="24" t="str">
        <f>"( Sum of line "&amp;A158&amp;" - line "&amp;A161&amp;")"</f>
        <v>( Sum of line 40 - line 43)</v>
      </c>
      <c r="D162" s="122">
        <f>SUM(D158:D161)</f>
        <v>444888.76486162498</v>
      </c>
      <c r="E162" s="34"/>
      <c r="F162" s="34" t="s">
        <v>2</v>
      </c>
      <c r="G162" s="35" t="s">
        <v>2</v>
      </c>
      <c r="H162" s="34"/>
      <c r="I162" s="122">
        <f>SUM(I158:I161)</f>
        <v>444888.76486162498</v>
      </c>
      <c r="J162" s="24"/>
    </row>
    <row r="163" spans="1:10">
      <c r="A163" s="90"/>
      <c r="B163" s="29"/>
      <c r="C163" s="123"/>
      <c r="D163" s="14"/>
      <c r="E163" s="24"/>
      <c r="F163" s="24"/>
      <c r="G163" s="89"/>
      <c r="H163" s="24"/>
      <c r="I163" s="14"/>
      <c r="J163" s="24"/>
    </row>
    <row r="164" spans="1:10">
      <c r="A164" s="90">
        <f>+A162+1</f>
        <v>45</v>
      </c>
      <c r="B164" s="26" t="s">
        <v>40</v>
      </c>
      <c r="J164" s="29"/>
    </row>
    <row r="165" spans="1:10">
      <c r="A165" s="90">
        <f>A164+1</f>
        <v>46</v>
      </c>
      <c r="B165" s="37" t="s">
        <v>247</v>
      </c>
      <c r="C165" s="31" t="str">
        <f>"(Page 2, line " &amp;A103&amp;" times Page 4, Line "&amp;A205&amp;")"</f>
        <v>(Page 2, line 36 times Page 4, Line 16)</v>
      </c>
      <c r="D165" s="14">
        <f>+$I205*D103</f>
        <v>1630670.8304785027</v>
      </c>
      <c r="E165" s="34"/>
      <c r="F165" s="34" t="s">
        <v>21</v>
      </c>
      <c r="G165" s="124"/>
      <c r="H165" s="34"/>
      <c r="I165" s="14">
        <f>+$I205*I103</f>
        <v>1630670.8304785027</v>
      </c>
      <c r="J165" s="106"/>
    </row>
    <row r="166" spans="1:10">
      <c r="A166" s="90"/>
      <c r="B166" s="26"/>
      <c r="C166" s="29"/>
      <c r="D166" s="32"/>
      <c r="E166" s="34"/>
      <c r="F166" s="34"/>
      <c r="G166" s="124"/>
      <c r="H166" s="34"/>
      <c r="I166" s="32"/>
      <c r="J166" s="106"/>
    </row>
    <row r="167" spans="1:10" ht="13.5" thickBot="1">
      <c r="A167" s="90">
        <f>A165+1</f>
        <v>47</v>
      </c>
      <c r="B167" s="26" t="s">
        <v>194</v>
      </c>
      <c r="C167" s="24" t="str">
        <f>"( Sum of line  "&amp;A130&amp;","&amp;A136&amp;", "&amp;A147&amp;", "&amp;A162&amp;", "&amp;A165&amp;")"</f>
        <v>( Sum of line  15,20, 30, 44, 46)</v>
      </c>
      <c r="D167" s="125">
        <f>+D165+D162+D147+D136+D130</f>
        <v>3140097.6878687935</v>
      </c>
      <c r="E167" s="34"/>
      <c r="F167" s="34"/>
      <c r="G167" s="34"/>
      <c r="H167" s="34"/>
      <c r="I167" s="125">
        <f>+I165+I162+I147+I136+I130</f>
        <v>3140097.6878687935</v>
      </c>
      <c r="J167" s="26"/>
    </row>
    <row r="168" spans="1:10" ht="13.5" thickTop="1">
      <c r="A168" s="90"/>
      <c r="B168" s="26"/>
      <c r="C168" s="24"/>
      <c r="D168" s="34"/>
      <c r="E168" s="34"/>
      <c r="F168" s="34"/>
      <c r="G168" s="34"/>
      <c r="H168" s="34"/>
      <c r="I168" s="32"/>
      <c r="J168" s="26"/>
    </row>
    <row r="169" spans="1:10">
      <c r="A169" s="80"/>
      <c r="B169" s="29"/>
      <c r="C169" s="29"/>
      <c r="D169" s="29"/>
      <c r="E169" s="29"/>
      <c r="F169" s="29"/>
      <c r="G169" s="29"/>
      <c r="H169" s="29"/>
      <c r="I169" s="29"/>
      <c r="J169" s="114" t="s">
        <v>444</v>
      </c>
    </row>
    <row r="170" spans="1:10">
      <c r="A170" s="80"/>
      <c r="B170" s="29"/>
      <c r="C170" s="29"/>
      <c r="D170" s="29"/>
      <c r="E170" s="29"/>
      <c r="F170" s="29"/>
      <c r="G170" s="29"/>
      <c r="H170" s="29"/>
      <c r="I170" s="29"/>
      <c r="J170" s="24"/>
    </row>
    <row r="171" spans="1:10">
      <c r="A171" s="80"/>
      <c r="B171" s="26" t="s">
        <v>1</v>
      </c>
      <c r="C171" s="29"/>
      <c r="D171" s="80" t="str">
        <f>+D3</f>
        <v>Rate Formula Template - Attachment H-39A</v>
      </c>
      <c r="E171" s="29"/>
      <c r="F171" s="29"/>
      <c r="G171" s="29"/>
      <c r="H171" s="29"/>
      <c r="I171" s="36"/>
      <c r="J171" s="126" t="str">
        <f>J3</f>
        <v>For  the 12 months ended 12/31/26</v>
      </c>
    </row>
    <row r="172" spans="1:10">
      <c r="A172" s="80"/>
      <c r="B172" s="26"/>
      <c r="C172" s="29"/>
      <c r="D172" s="145" t="s">
        <v>92</v>
      </c>
      <c r="E172" s="29"/>
      <c r="F172" s="29"/>
      <c r="G172" s="29"/>
      <c r="H172" s="29"/>
      <c r="I172" s="29"/>
      <c r="J172" s="24"/>
    </row>
    <row r="173" spans="1:10">
      <c r="A173" s="80"/>
      <c r="B173" s="29"/>
      <c r="C173" s="29"/>
      <c r="D173" s="145" t="str">
        <f>+D110</f>
        <v>Valley Link Transmission West Virginia, LLC</v>
      </c>
      <c r="E173" s="29"/>
      <c r="F173" s="29"/>
      <c r="G173" s="29"/>
      <c r="H173" s="29"/>
      <c r="I173" s="29"/>
      <c r="J173" s="24"/>
    </row>
    <row r="174" spans="1:10">
      <c r="A174" s="965"/>
      <c r="B174" s="965"/>
      <c r="C174" s="965"/>
      <c r="D174" s="965"/>
      <c r="E174" s="965"/>
      <c r="F174" s="965"/>
      <c r="G174" s="965"/>
      <c r="H174" s="965"/>
      <c r="I174" s="965"/>
      <c r="J174" s="965"/>
    </row>
    <row r="175" spans="1:10">
      <c r="A175" s="80"/>
      <c r="B175" s="85" t="s">
        <v>3</v>
      </c>
      <c r="C175" s="85" t="s">
        <v>4</v>
      </c>
      <c r="D175" s="85" t="s">
        <v>5</v>
      </c>
      <c r="E175" s="24" t="s">
        <v>2</v>
      </c>
      <c r="F175" s="24"/>
      <c r="G175" s="84" t="s">
        <v>6</v>
      </c>
      <c r="H175" s="24"/>
      <c r="I175" s="84" t="s">
        <v>7</v>
      </c>
      <c r="J175" s="24"/>
    </row>
    <row r="176" spans="1:10">
      <c r="A176" s="80"/>
      <c r="B176" s="29"/>
      <c r="C176" s="26"/>
      <c r="D176" s="26"/>
      <c r="E176" s="26"/>
      <c r="F176" s="26"/>
      <c r="G176" s="26"/>
      <c r="H176" s="26"/>
      <c r="I176" s="26"/>
      <c r="J176" s="26"/>
    </row>
    <row r="177" spans="1:10">
      <c r="A177" s="80"/>
      <c r="B177" s="29"/>
      <c r="C177" s="101" t="s">
        <v>41</v>
      </c>
      <c r="D177" s="29"/>
      <c r="E177" s="26"/>
      <c r="F177" s="26"/>
      <c r="G177" s="26"/>
      <c r="H177" s="26"/>
      <c r="I177" s="26"/>
      <c r="J177" s="24"/>
    </row>
    <row r="178" spans="1:10">
      <c r="A178" s="80" t="s">
        <v>8</v>
      </c>
      <c r="B178" s="101"/>
      <c r="C178" s="26"/>
      <c r="D178" s="26"/>
      <c r="E178" s="26"/>
      <c r="F178" s="26"/>
      <c r="G178" s="26"/>
      <c r="H178" s="26"/>
      <c r="I178" s="26"/>
      <c r="J178" s="24"/>
    </row>
    <row r="179" spans="1:10" ht="13.5" thickBot="1">
      <c r="A179" s="28" t="s">
        <v>10</v>
      </c>
      <c r="B179" s="23" t="s">
        <v>42</v>
      </c>
      <c r="C179" s="26"/>
      <c r="D179" s="26"/>
      <c r="E179" s="26"/>
      <c r="F179" s="26"/>
      <c r="G179" s="26"/>
      <c r="H179" s="29"/>
      <c r="I179" s="29"/>
      <c r="J179" s="24"/>
    </row>
    <row r="180" spans="1:10">
      <c r="A180" s="80">
        <v>1</v>
      </c>
      <c r="B180" s="23" t="s">
        <v>207</v>
      </c>
      <c r="C180" s="26" t="str">
        <f>"(Page 2, Line "&amp;A63&amp;", Column 3)"</f>
        <v>(Page 2, Line 2, Column 3)</v>
      </c>
      <c r="D180" s="24"/>
      <c r="E180" s="24"/>
      <c r="F180" s="24"/>
      <c r="G180" s="24"/>
      <c r="H180" s="24"/>
      <c r="I180" s="111">
        <f>D63</f>
        <v>0</v>
      </c>
      <c r="J180" s="24"/>
    </row>
    <row r="181" spans="1:10">
      <c r="A181" s="80">
        <f>+A180+1</f>
        <v>2</v>
      </c>
      <c r="B181" s="23" t="s">
        <v>208</v>
      </c>
      <c r="C181" s="29" t="s">
        <v>896</v>
      </c>
      <c r="D181" s="29"/>
      <c r="E181" s="29"/>
      <c r="F181" s="29"/>
      <c r="G181" s="29"/>
      <c r="H181" s="29"/>
      <c r="I181" s="102">
        <v>0</v>
      </c>
      <c r="J181" s="24"/>
    </row>
    <row r="182" spans="1:10" ht="13.5" thickBot="1">
      <c r="A182" s="80">
        <f>+A181+1</f>
        <v>3</v>
      </c>
      <c r="B182" s="127" t="s">
        <v>372</v>
      </c>
      <c r="C182" s="599" t="s">
        <v>897</v>
      </c>
      <c r="D182" s="36"/>
      <c r="E182" s="24"/>
      <c r="F182" s="24"/>
      <c r="G182" s="27"/>
      <c r="H182" s="24"/>
      <c r="I182" s="103">
        <v>0</v>
      </c>
      <c r="J182" s="24"/>
    </row>
    <row r="183" spans="1:10">
      <c r="A183" s="80">
        <f t="shared" ref="A183:A205" si="5">+A182+1</f>
        <v>4</v>
      </c>
      <c r="B183" s="23" t="s">
        <v>210</v>
      </c>
      <c r="C183" s="26" t="s">
        <v>209</v>
      </c>
      <c r="D183" s="24"/>
      <c r="E183" s="24"/>
      <c r="F183" s="24"/>
      <c r="G183" s="27"/>
      <c r="H183" s="24"/>
      <c r="I183" s="111">
        <f>I180-I181-I182</f>
        <v>0</v>
      </c>
      <c r="J183" s="24"/>
    </row>
    <row r="184" spans="1:10">
      <c r="A184" s="80"/>
      <c r="B184" s="29"/>
      <c r="C184" s="26"/>
      <c r="D184" s="24"/>
      <c r="E184" s="24"/>
      <c r="F184" s="24"/>
      <c r="G184" s="27"/>
      <c r="H184" s="24"/>
      <c r="I184" s="111"/>
      <c r="J184" s="24"/>
    </row>
    <row r="185" spans="1:10">
      <c r="A185" s="80">
        <f>+A183+1</f>
        <v>5</v>
      </c>
      <c r="B185" s="23" t="s">
        <v>211</v>
      </c>
      <c r="C185" s="83" t="s">
        <v>299</v>
      </c>
      <c r="D185" s="83"/>
      <c r="E185" s="83"/>
      <c r="F185" s="83"/>
      <c r="G185" s="84"/>
      <c r="H185" s="24" t="s">
        <v>43</v>
      </c>
      <c r="I185" s="128">
        <f>IF(I180&gt;0,I183/I180,1)</f>
        <v>1</v>
      </c>
      <c r="J185" s="24"/>
    </row>
    <row r="186" spans="1:10">
      <c r="A186" s="80"/>
      <c r="B186" s="29"/>
      <c r="C186" s="29"/>
      <c r="D186" s="29"/>
      <c r="E186" s="29"/>
      <c r="F186" s="29"/>
      <c r="G186" s="29"/>
      <c r="H186" s="29"/>
      <c r="I186" s="29"/>
      <c r="J186" s="29"/>
    </row>
    <row r="187" spans="1:10">
      <c r="A187" s="80">
        <f>+A185+1</f>
        <v>6</v>
      </c>
      <c r="B187" s="26" t="s">
        <v>101</v>
      </c>
      <c r="C187" s="24"/>
      <c r="D187" s="24"/>
      <c r="E187" s="24"/>
      <c r="F187" s="24"/>
      <c r="G187" s="24"/>
      <c r="H187" s="24"/>
      <c r="I187" s="24"/>
      <c r="J187" s="24"/>
    </row>
    <row r="188" spans="1:10" ht="13.5" thickBot="1">
      <c r="A188" s="80"/>
      <c r="B188" s="26"/>
      <c r="C188" s="129" t="s">
        <v>44</v>
      </c>
      <c r="D188" s="25" t="s">
        <v>45</v>
      </c>
      <c r="E188" s="25" t="s">
        <v>15</v>
      </c>
      <c r="F188" s="24"/>
      <c r="G188" s="25" t="s">
        <v>46</v>
      </c>
      <c r="H188" s="24"/>
      <c r="I188" s="24"/>
      <c r="J188" s="24"/>
    </row>
    <row r="189" spans="1:10">
      <c r="A189" s="80">
        <f>+A187+1</f>
        <v>7</v>
      </c>
      <c r="B189" s="26" t="s">
        <v>227</v>
      </c>
      <c r="C189" s="24" t="s">
        <v>47</v>
      </c>
      <c r="D189" s="102">
        <v>0</v>
      </c>
      <c r="E189" s="22">
        <v>0</v>
      </c>
      <c r="F189" s="130"/>
      <c r="G189" s="14">
        <f>D189*E189</f>
        <v>0</v>
      </c>
      <c r="H189" s="34"/>
      <c r="I189" s="34"/>
      <c r="J189" s="24"/>
    </row>
    <row r="190" spans="1:10">
      <c r="A190" s="80">
        <f t="shared" si="5"/>
        <v>8</v>
      </c>
      <c r="B190" s="26" t="s">
        <v>22</v>
      </c>
      <c r="C190" s="24" t="s">
        <v>237</v>
      </c>
      <c r="D190" s="102">
        <v>0</v>
      </c>
      <c r="E190" s="116">
        <f>+I185</f>
        <v>1</v>
      </c>
      <c r="F190" s="130"/>
      <c r="G190" s="14">
        <f>D190*E190</f>
        <v>0</v>
      </c>
      <c r="H190" s="34"/>
      <c r="I190" s="34"/>
      <c r="J190" s="24"/>
    </row>
    <row r="191" spans="1:10">
      <c r="A191" s="80">
        <f t="shared" si="5"/>
        <v>9</v>
      </c>
      <c r="B191" s="26" t="s">
        <v>228</v>
      </c>
      <c r="C191" s="24" t="s">
        <v>88</v>
      </c>
      <c r="D191" s="102">
        <v>0</v>
      </c>
      <c r="E191" s="22">
        <v>0</v>
      </c>
      <c r="F191" s="130"/>
      <c r="G191" s="14">
        <f>D191*E191</f>
        <v>0</v>
      </c>
      <c r="H191" s="34"/>
      <c r="I191" s="131" t="s">
        <v>48</v>
      </c>
      <c r="J191" s="24"/>
    </row>
    <row r="192" spans="1:10" ht="13.5" thickBot="1">
      <c r="A192" s="80">
        <f t="shared" si="5"/>
        <v>10</v>
      </c>
      <c r="B192" s="26" t="s">
        <v>49</v>
      </c>
      <c r="C192" s="24" t="s">
        <v>238</v>
      </c>
      <c r="D192" s="103">
        <v>0</v>
      </c>
      <c r="E192" s="22">
        <v>0</v>
      </c>
      <c r="F192" s="130"/>
      <c r="G192" s="104">
        <f>D192*E192</f>
        <v>0</v>
      </c>
      <c r="H192" s="34"/>
      <c r="I192" s="132" t="s">
        <v>50</v>
      </c>
      <c r="J192" s="24"/>
    </row>
    <row r="193" spans="1:19">
      <c r="A193" s="80">
        <f t="shared" si="5"/>
        <v>11</v>
      </c>
      <c r="B193" s="26" t="s">
        <v>284</v>
      </c>
      <c r="C193" s="24" t="str">
        <f>"( Sum of line "&amp;A189&amp;" - line "&amp;A192&amp;")"</f>
        <v>( Sum of line 7 - line 10)</v>
      </c>
      <c r="D193" s="14">
        <f>SUM(D189:D192)</f>
        <v>0</v>
      </c>
      <c r="E193" s="24"/>
      <c r="F193" s="24"/>
      <c r="G193" s="14">
        <f>SUM(G189:G192)</f>
        <v>0</v>
      </c>
      <c r="H193" s="133" t="s">
        <v>51</v>
      </c>
      <c r="I193" s="108">
        <f>IF(D193=0,1,G193/D193)</f>
        <v>1</v>
      </c>
      <c r="J193" s="24" t="s">
        <v>52</v>
      </c>
    </row>
    <row r="194" spans="1:19">
      <c r="A194" s="80"/>
      <c r="B194" s="26" t="s">
        <v>2</v>
      </c>
      <c r="C194" s="24" t="s">
        <v>2</v>
      </c>
      <c r="D194" s="29"/>
      <c r="E194" s="24"/>
      <c r="F194" s="24"/>
      <c r="G194" s="29"/>
      <c r="H194" s="29"/>
      <c r="I194" s="29"/>
      <c r="J194" s="24"/>
    </row>
    <row r="195" spans="1:19">
      <c r="A195" s="80"/>
      <c r="B195" s="26"/>
      <c r="C195" s="24"/>
      <c r="D195" s="29"/>
      <c r="E195" s="24"/>
      <c r="F195" s="24"/>
      <c r="G195" s="24"/>
      <c r="H195" s="24"/>
      <c r="I195" s="24"/>
      <c r="J195" s="24"/>
    </row>
    <row r="196" spans="1:19" ht="13.9" customHeight="1" thickBot="1">
      <c r="A196" s="80"/>
      <c r="B196" s="23" t="s">
        <v>53</v>
      </c>
      <c r="C196" s="24"/>
      <c r="D196" s="24"/>
      <c r="E196" s="24"/>
      <c r="F196" s="24"/>
      <c r="G196" s="24"/>
      <c r="H196" s="24"/>
      <c r="I196" s="25" t="s">
        <v>45</v>
      </c>
      <c r="J196" s="24"/>
      <c r="K196" s="570"/>
      <c r="L196" s="570"/>
      <c r="M196" s="570"/>
      <c r="N196" s="570"/>
      <c r="P196" s="570"/>
      <c r="Q196" s="570"/>
      <c r="R196" s="570"/>
      <c r="S196" s="570"/>
    </row>
    <row r="197" spans="1:19">
      <c r="A197" s="80"/>
      <c r="B197" s="23"/>
      <c r="C197" s="24"/>
      <c r="D197" s="24"/>
      <c r="E197" s="24"/>
      <c r="F197" s="24"/>
      <c r="G197" s="24"/>
      <c r="H197" s="24"/>
      <c r="I197" s="27"/>
      <c r="J197" s="24"/>
      <c r="K197" s="570"/>
      <c r="L197" s="570"/>
      <c r="M197" s="570"/>
      <c r="N197" s="570"/>
      <c r="P197" s="570"/>
      <c r="Q197" s="570"/>
      <c r="R197" s="570"/>
      <c r="S197" s="570"/>
    </row>
    <row r="198" spans="1:19">
      <c r="A198" s="80">
        <f>+A193+1</f>
        <v>12</v>
      </c>
      <c r="B198" s="23" t="s">
        <v>699</v>
      </c>
      <c r="C198" s="24"/>
      <c r="D198" s="24"/>
      <c r="E198" s="24"/>
      <c r="F198" s="24"/>
      <c r="G198" s="24"/>
      <c r="H198" s="24"/>
      <c r="I198" s="102">
        <v>0</v>
      </c>
      <c r="J198" s="24"/>
      <c r="K198" s="570"/>
      <c r="L198" s="570"/>
      <c r="M198" s="570"/>
      <c r="N198" s="570"/>
      <c r="P198" s="570"/>
      <c r="Q198" s="570"/>
      <c r="R198" s="570"/>
      <c r="S198" s="570"/>
    </row>
    <row r="199" spans="1:19">
      <c r="A199" s="80"/>
      <c r="B199" s="23"/>
      <c r="C199" s="24"/>
      <c r="D199" s="24"/>
      <c r="E199" s="24"/>
      <c r="F199" s="24"/>
      <c r="G199" s="24"/>
      <c r="H199" s="24"/>
      <c r="I199" s="27"/>
      <c r="J199" s="24"/>
      <c r="K199" s="570"/>
      <c r="L199" s="570"/>
      <c r="M199" s="570"/>
      <c r="N199" s="570"/>
      <c r="P199" s="570"/>
      <c r="Q199" s="570"/>
      <c r="R199" s="570"/>
      <c r="S199" s="570"/>
    </row>
    <row r="200" spans="1:19">
      <c r="A200" s="80"/>
      <c r="B200" s="26"/>
      <c r="C200" s="24"/>
      <c r="D200" s="24"/>
      <c r="E200" s="24"/>
      <c r="F200" s="24"/>
      <c r="G200" s="27" t="s">
        <v>54</v>
      </c>
      <c r="H200" s="24"/>
      <c r="I200" s="24"/>
      <c r="J200" s="24"/>
      <c r="K200" s="570"/>
      <c r="L200" s="570"/>
      <c r="M200" s="570"/>
      <c r="N200" s="570"/>
      <c r="P200" s="570"/>
      <c r="Q200" s="570"/>
      <c r="R200" s="570"/>
      <c r="S200" s="570"/>
    </row>
    <row r="201" spans="1:19" ht="13.5" thickBot="1">
      <c r="A201" s="80"/>
      <c r="B201" s="26"/>
      <c r="C201" s="24"/>
      <c r="D201" s="28" t="s">
        <v>45</v>
      </c>
      <c r="E201" s="28" t="s">
        <v>55</v>
      </c>
      <c r="F201" s="24"/>
      <c r="G201" s="28" t="s">
        <v>898</v>
      </c>
      <c r="H201" s="24"/>
      <c r="I201" s="28" t="s">
        <v>56</v>
      </c>
      <c r="J201" s="24"/>
      <c r="K201" s="570"/>
      <c r="L201" s="570"/>
      <c r="M201" s="570"/>
      <c r="N201" s="570"/>
      <c r="P201" s="570"/>
      <c r="Q201" s="570"/>
      <c r="R201" s="570"/>
      <c r="S201" s="570"/>
    </row>
    <row r="202" spans="1:19" ht="15.75">
      <c r="A202" s="80">
        <f>+A198+1</f>
        <v>13</v>
      </c>
      <c r="B202" s="23" t="s">
        <v>213</v>
      </c>
      <c r="C202" s="29" t="s">
        <v>996</v>
      </c>
      <c r="D202" s="600">
        <f>'5- Cap Structure'!K25</f>
        <v>8711065.3905080389</v>
      </c>
      <c r="E202" s="601">
        <v>0.4</v>
      </c>
      <c r="F202" s="571"/>
      <c r="G202" s="221">
        <f>+'5a- Debt Cost'!W27</f>
        <v>5.0765904916125051E-2</v>
      </c>
      <c r="H202" s="571"/>
      <c r="I202" s="147">
        <f>E202*G202</f>
        <v>2.0306361966450023E-2</v>
      </c>
      <c r="J202" s="29"/>
      <c r="K202" s="570"/>
      <c r="L202" s="570"/>
      <c r="M202" s="570"/>
      <c r="N202" s="570"/>
      <c r="P202" s="570"/>
      <c r="Q202" s="570"/>
      <c r="R202" s="570"/>
      <c r="S202" s="570"/>
    </row>
    <row r="203" spans="1:19" ht="15.75">
      <c r="A203" s="80">
        <f t="shared" si="5"/>
        <v>14</v>
      </c>
      <c r="B203" s="23" t="s">
        <v>102</v>
      </c>
      <c r="C203" s="29" t="s">
        <v>996</v>
      </c>
      <c r="D203" s="600">
        <f>'5- Cap Structure'!F25</f>
        <v>0</v>
      </c>
      <c r="E203" s="601">
        <f>IF($D$205&gt;0,D203/$D$205,0)</f>
        <v>0</v>
      </c>
      <c r="F203" s="596"/>
      <c r="G203" s="221">
        <f>IF(D203&gt;0,I198/D203,0)</f>
        <v>0</v>
      </c>
      <c r="H203" s="22"/>
      <c r="I203" s="147">
        <f>E203*G203</f>
        <v>0</v>
      </c>
      <c r="J203" s="29"/>
      <c r="K203" s="570"/>
      <c r="L203" s="570"/>
      <c r="M203" s="570"/>
      <c r="N203" s="570"/>
      <c r="P203" s="570"/>
      <c r="Q203" s="570"/>
      <c r="R203" s="570"/>
      <c r="S203" s="570"/>
    </row>
    <row r="204" spans="1:19" ht="16.5" thickBot="1">
      <c r="A204" s="80">
        <f t="shared" si="5"/>
        <v>15</v>
      </c>
      <c r="B204" s="23" t="s">
        <v>241</v>
      </c>
      <c r="C204" s="29" t="s">
        <v>996</v>
      </c>
      <c r="D204" s="600">
        <f>'5- Cap Structure'!J25</f>
        <v>13653434.1703391</v>
      </c>
      <c r="E204" s="601">
        <v>0.6</v>
      </c>
      <c r="F204" s="596"/>
      <c r="G204" s="221">
        <f>'7 - Stated-Value Inputs'!C13</f>
        <v>0.114</v>
      </c>
      <c r="H204" s="29"/>
      <c r="I204" s="212">
        <f>E204*G204</f>
        <v>6.8400000000000002E-2</v>
      </c>
      <c r="J204" s="29"/>
      <c r="K204" s="570"/>
      <c r="L204" s="570"/>
      <c r="M204" s="570"/>
      <c r="N204" s="570"/>
      <c r="P204" s="570"/>
      <c r="Q204" s="570"/>
      <c r="R204" s="570"/>
      <c r="S204" s="570"/>
    </row>
    <row r="205" spans="1:19" ht="15">
      <c r="A205" s="80">
        <f t="shared" si="5"/>
        <v>16</v>
      </c>
      <c r="B205" s="26" t="s">
        <v>206</v>
      </c>
      <c r="C205" s="24" t="str">
        <f>"( Sum of line "&amp;A202&amp;" - line "&amp;A204&amp;")"</f>
        <v>( Sum of line 13 - line 15)</v>
      </c>
      <c r="D205" s="389">
        <f>SUM(D202:D204)</f>
        <v>22364499.560847141</v>
      </c>
      <c r="E205" s="24" t="s">
        <v>2</v>
      </c>
      <c r="F205" s="596"/>
      <c r="G205" s="24"/>
      <c r="H205" s="24"/>
      <c r="I205" s="147">
        <f>SUM(I202:I204)</f>
        <v>8.8706361966450029E-2</v>
      </c>
      <c r="J205" s="29"/>
      <c r="K205" s="570"/>
      <c r="L205" s="570"/>
      <c r="M205" s="570"/>
      <c r="N205" s="570"/>
      <c r="P205" s="570"/>
      <c r="Q205" s="570"/>
      <c r="R205" s="570"/>
      <c r="S205" s="570"/>
    </row>
    <row r="206" spans="1:19" ht="15">
      <c r="A206" s="80"/>
      <c r="B206" s="29"/>
      <c r="C206" s="29"/>
      <c r="D206" s="29"/>
      <c r="E206" s="24"/>
      <c r="F206" s="596"/>
      <c r="G206" s="24"/>
      <c r="H206" s="24"/>
      <c r="I206" s="29"/>
      <c r="J206" s="29"/>
      <c r="K206" s="570"/>
      <c r="L206" s="570"/>
      <c r="M206" s="570"/>
      <c r="N206" s="570"/>
    </row>
    <row r="207" spans="1:19" ht="15">
      <c r="A207" s="80">
        <f>+A205+1</f>
        <v>17</v>
      </c>
      <c r="B207" s="23" t="s">
        <v>103</v>
      </c>
      <c r="C207" s="596"/>
      <c r="D207" s="596"/>
      <c r="E207" s="596"/>
      <c r="F207" s="596"/>
      <c r="G207" s="23"/>
      <c r="H207" s="23"/>
      <c r="I207" s="23"/>
      <c r="J207" s="23"/>
    </row>
    <row r="208" spans="1:19" ht="15.75" thickBot="1">
      <c r="A208" s="80"/>
      <c r="B208" s="23"/>
      <c r="C208" s="23"/>
      <c r="D208" s="596"/>
      <c r="E208" s="596"/>
      <c r="F208" s="23"/>
      <c r="G208" s="23"/>
      <c r="H208" s="23"/>
      <c r="I208" s="28"/>
      <c r="J208" s="29"/>
    </row>
    <row r="209" spans="1:14">
      <c r="A209" s="80">
        <f>+A207+1</f>
        <v>18</v>
      </c>
      <c r="B209" s="23" t="s">
        <v>193</v>
      </c>
      <c r="C209" s="26" t="str">
        <f>"Attachment 9, line "&amp;'9 - Revenue Credits'!A14&amp;" (Note R)"</f>
        <v>Attachment 9, line 8 (Note R)</v>
      </c>
      <c r="D209" s="29"/>
      <c r="E209" s="23"/>
      <c r="F209" s="23"/>
      <c r="G209" s="135"/>
      <c r="H209" s="23"/>
      <c r="I209" s="111">
        <f>+'9 - Revenue Credits'!F14</f>
        <v>0</v>
      </c>
      <c r="J209" s="136"/>
      <c r="K209" s="570"/>
      <c r="L209" s="570"/>
      <c r="M209" s="570"/>
      <c r="N209" s="570"/>
    </row>
    <row r="210" spans="1:14">
      <c r="A210" s="80"/>
      <c r="B210" s="29"/>
      <c r="C210" s="23"/>
      <c r="D210" s="23"/>
      <c r="E210" s="23"/>
      <c r="F210" s="23"/>
      <c r="G210" s="23"/>
      <c r="H210" s="23"/>
      <c r="I210" s="134"/>
      <c r="J210" s="136"/>
      <c r="K210" s="570"/>
      <c r="L210" s="570"/>
      <c r="M210" s="570"/>
      <c r="N210" s="570"/>
    </row>
    <row r="211" spans="1:14">
      <c r="A211" s="80">
        <f>+A209+1</f>
        <v>19</v>
      </c>
      <c r="B211" s="23" t="s">
        <v>541</v>
      </c>
      <c r="C211" s="26" t="str">
        <f>"Attachment 9, line "&amp;'9 - Revenue Credits'!A34&amp;" (Note A)"</f>
        <v>Attachment 9, line 21 (Note A)</v>
      </c>
      <c r="D211" s="23"/>
      <c r="E211" s="23"/>
      <c r="F211" s="23"/>
      <c r="G211" s="23"/>
      <c r="H211" s="23"/>
      <c r="I211" s="111">
        <f>+'9 - Revenue Credits'!F32</f>
        <v>0</v>
      </c>
      <c r="J211" s="136"/>
      <c r="K211" s="570"/>
      <c r="L211" s="570"/>
      <c r="M211" s="570"/>
      <c r="N211" s="570"/>
    </row>
    <row r="212" spans="1:14">
      <c r="A212" s="80"/>
      <c r="B212" s="139"/>
      <c r="C212" s="80"/>
      <c r="D212" s="24"/>
      <c r="E212" s="24"/>
      <c r="F212" s="24"/>
      <c r="G212" s="24"/>
      <c r="H212" s="23"/>
      <c r="I212" s="134"/>
      <c r="J212" s="138"/>
      <c r="K212" s="570"/>
      <c r="L212" s="570"/>
      <c r="M212" s="570"/>
      <c r="N212" s="570"/>
    </row>
    <row r="213" spans="1:14">
      <c r="A213" s="80"/>
      <c r="B213" s="26"/>
      <c r="C213" s="26"/>
      <c r="D213" s="24"/>
      <c r="E213" s="24"/>
      <c r="F213" s="24"/>
      <c r="G213" s="24"/>
      <c r="H213" s="26"/>
      <c r="I213" s="24"/>
      <c r="J213" s="114" t="s">
        <v>445</v>
      </c>
    </row>
    <row r="214" spans="1:14">
      <c r="A214" s="80"/>
      <c r="B214" s="26"/>
      <c r="C214" s="26"/>
      <c r="D214" s="24"/>
      <c r="E214" s="24"/>
      <c r="F214" s="24"/>
      <c r="G214" s="24"/>
      <c r="H214" s="26"/>
      <c r="I214" s="24"/>
      <c r="J214" s="24"/>
    </row>
    <row r="215" spans="1:14">
      <c r="A215" s="80"/>
      <c r="B215" s="139" t="s">
        <v>1</v>
      </c>
      <c r="C215" s="80"/>
      <c r="D215" s="80" t="str">
        <f>+D3</f>
        <v>Rate Formula Template - Attachment H-39A</v>
      </c>
      <c r="E215" s="24"/>
      <c r="F215" s="24"/>
      <c r="G215" s="24"/>
      <c r="H215" s="23"/>
      <c r="I215" s="36"/>
      <c r="J215" s="140" t="str">
        <f>J3</f>
        <v>For  the 12 months ended 12/31/26</v>
      </c>
    </row>
    <row r="216" spans="1:14">
      <c r="A216" s="80"/>
      <c r="B216" s="139"/>
      <c r="C216" s="80"/>
      <c r="D216" s="27" t="s">
        <v>92</v>
      </c>
      <c r="E216" s="24"/>
      <c r="F216" s="24"/>
      <c r="G216" s="24"/>
      <c r="H216" s="23"/>
      <c r="I216" s="141"/>
      <c r="J216" s="138"/>
    </row>
    <row r="217" spans="1:14">
      <c r="A217" s="80"/>
      <c r="B217" s="139"/>
      <c r="C217" s="80"/>
      <c r="D217" s="27" t="str">
        <f>+D173</f>
        <v>Valley Link Transmission West Virginia, LLC</v>
      </c>
      <c r="E217" s="24"/>
      <c r="F217" s="24"/>
      <c r="G217" s="24"/>
      <c r="H217" s="23"/>
      <c r="I217" s="141"/>
      <c r="J217" s="138"/>
    </row>
    <row r="218" spans="1:14">
      <c r="A218" s="965"/>
      <c r="B218" s="965"/>
      <c r="C218" s="965"/>
      <c r="D218" s="965"/>
      <c r="E218" s="965"/>
      <c r="F218" s="965"/>
      <c r="G218" s="965"/>
      <c r="H218" s="965"/>
      <c r="I218" s="965"/>
      <c r="J218" s="965"/>
    </row>
    <row r="219" spans="1:14">
      <c r="A219" s="80"/>
      <c r="B219" s="23" t="s">
        <v>301</v>
      </c>
      <c r="C219" s="80"/>
      <c r="D219" s="24"/>
      <c r="E219" s="24"/>
      <c r="F219" s="24"/>
      <c r="G219" s="24"/>
      <c r="H219" s="23"/>
      <c r="I219" s="24"/>
      <c r="J219" s="24"/>
    </row>
    <row r="220" spans="1:14">
      <c r="A220" s="80"/>
      <c r="B220" s="137" t="s">
        <v>104</v>
      </c>
      <c r="C220" s="80"/>
      <c r="D220" s="24"/>
      <c r="E220" s="24"/>
      <c r="F220" s="24"/>
      <c r="G220" s="24"/>
      <c r="H220" s="23"/>
      <c r="I220" s="24"/>
      <c r="J220" s="24"/>
    </row>
    <row r="221" spans="1:14">
      <c r="A221" s="80"/>
      <c r="B221" s="23"/>
      <c r="C221" s="23"/>
      <c r="D221" s="24"/>
      <c r="E221" s="24"/>
      <c r="F221" s="24"/>
      <c r="G221" s="24"/>
      <c r="H221" s="23"/>
      <c r="I221" s="24"/>
      <c r="J221" s="24"/>
    </row>
    <row r="222" spans="1:14" ht="13.5" thickBot="1">
      <c r="A222" s="28" t="s">
        <v>363</v>
      </c>
      <c r="B222" s="971"/>
      <c r="C222" s="971"/>
      <c r="D222" s="142"/>
      <c r="E222" s="142"/>
      <c r="F222" s="142"/>
      <c r="G222" s="142"/>
      <c r="H222" s="143"/>
      <c r="I222" s="142"/>
      <c r="J222" s="142"/>
    </row>
    <row r="223" spans="1:14" ht="30.75" customHeight="1">
      <c r="A223" s="442" t="s">
        <v>169</v>
      </c>
      <c r="B223" s="973" t="s">
        <v>534</v>
      </c>
      <c r="C223" s="974"/>
      <c r="D223" s="974"/>
      <c r="E223" s="974"/>
      <c r="F223" s="974"/>
      <c r="G223" s="974"/>
      <c r="H223" s="974"/>
      <c r="I223" s="974"/>
      <c r="J223" s="974"/>
    </row>
    <row r="224" spans="1:14" ht="22.5" customHeight="1">
      <c r="A224" s="602" t="s">
        <v>58</v>
      </c>
      <c r="B224" s="181" t="s">
        <v>365</v>
      </c>
      <c r="C224" s="181"/>
      <c r="D224" s="181"/>
      <c r="E224" s="181"/>
      <c r="F224" s="181"/>
      <c r="G224" s="181"/>
      <c r="H224" s="180"/>
      <c r="I224" s="182"/>
      <c r="J224" s="183"/>
    </row>
    <row r="225" spans="1:24" ht="44.25" customHeight="1">
      <c r="A225" s="442" t="s">
        <v>59</v>
      </c>
      <c r="B225" s="967" t="s">
        <v>568</v>
      </c>
      <c r="C225" s="967"/>
      <c r="D225" s="967"/>
      <c r="E225" s="967"/>
      <c r="F225" s="967"/>
      <c r="G225" s="967"/>
      <c r="H225" s="967"/>
      <c r="I225" s="967"/>
      <c r="J225" s="967"/>
    </row>
    <row r="226" spans="1:24" ht="37.5" customHeight="1">
      <c r="A226" s="602" t="s">
        <v>60</v>
      </c>
      <c r="B226" s="966" t="s">
        <v>532</v>
      </c>
      <c r="C226" s="966"/>
      <c r="D226" s="966"/>
      <c r="E226" s="966"/>
      <c r="F226" s="966"/>
      <c r="G226" s="966"/>
      <c r="H226" s="966"/>
      <c r="I226" s="966"/>
      <c r="J226" s="966"/>
      <c r="K226" s="572"/>
      <c r="L226" s="572"/>
      <c r="M226" s="572"/>
      <c r="N226" s="572"/>
    </row>
    <row r="227" spans="1:24" ht="30.75" customHeight="1">
      <c r="A227" s="602" t="s">
        <v>61</v>
      </c>
      <c r="B227" s="975" t="s">
        <v>446</v>
      </c>
      <c r="C227" s="975"/>
      <c r="D227" s="975"/>
      <c r="E227" s="975"/>
      <c r="F227" s="975"/>
      <c r="G227" s="975"/>
      <c r="H227" s="975"/>
      <c r="I227" s="975"/>
      <c r="J227" s="975"/>
    </row>
    <row r="228" spans="1:24" ht="19.5" customHeight="1">
      <c r="A228" s="442" t="s">
        <v>62</v>
      </c>
      <c r="B228" s="967" t="s">
        <v>398</v>
      </c>
      <c r="C228" s="967"/>
      <c r="D228" s="967"/>
      <c r="E228" s="967"/>
      <c r="F228" s="967"/>
      <c r="G228" s="967"/>
      <c r="H228" s="967"/>
      <c r="I228" s="967"/>
      <c r="J228" s="967"/>
      <c r="K228" s="572"/>
      <c r="L228" s="572"/>
      <c r="M228" s="572"/>
      <c r="N228" s="572"/>
    </row>
    <row r="229" spans="1:24" ht="39" customHeight="1">
      <c r="A229" s="442" t="s">
        <v>63</v>
      </c>
      <c r="B229" s="967" t="s">
        <v>997</v>
      </c>
      <c r="C229" s="967"/>
      <c r="D229" s="967"/>
      <c r="E229" s="967"/>
      <c r="F229" s="967"/>
      <c r="G229" s="967"/>
      <c r="H229" s="967"/>
      <c r="I229" s="967"/>
      <c r="J229" s="967"/>
    </row>
    <row r="230" spans="1:24" ht="35.25" customHeight="1">
      <c r="A230" s="442" t="s">
        <v>64</v>
      </c>
      <c r="B230" s="967" t="s">
        <v>507</v>
      </c>
      <c r="C230" s="967"/>
      <c r="D230" s="967"/>
      <c r="E230" s="967"/>
      <c r="F230" s="967"/>
      <c r="G230" s="967"/>
      <c r="H230" s="967"/>
      <c r="I230" s="967"/>
      <c r="J230" s="967"/>
    </row>
    <row r="231" spans="1:24" ht="28.5" customHeight="1">
      <c r="A231" s="442" t="s">
        <v>65</v>
      </c>
      <c r="B231" s="967" t="s">
        <v>862</v>
      </c>
      <c r="C231" s="967"/>
      <c r="D231" s="967"/>
      <c r="E231" s="967"/>
      <c r="F231" s="967"/>
      <c r="G231" s="967"/>
      <c r="H231" s="967"/>
      <c r="I231" s="967"/>
      <c r="J231" s="967"/>
      <c r="K231" s="572"/>
      <c r="L231" s="572"/>
      <c r="M231" s="572"/>
      <c r="N231" s="572"/>
      <c r="O231" s="572"/>
      <c r="P231" s="572"/>
      <c r="Q231" s="572"/>
      <c r="R231" s="572"/>
      <c r="S231" s="572"/>
      <c r="T231" s="572"/>
      <c r="U231" s="572"/>
      <c r="V231" s="572"/>
      <c r="W231" s="572"/>
      <c r="X231" s="572"/>
    </row>
    <row r="232" spans="1:24" ht="18.75" customHeight="1">
      <c r="A232" s="442" t="s">
        <v>66</v>
      </c>
      <c r="B232" s="180" t="s">
        <v>362</v>
      </c>
      <c r="C232" s="143"/>
      <c r="D232" s="143"/>
      <c r="E232" s="143"/>
      <c r="F232" s="143"/>
      <c r="G232" s="143"/>
      <c r="H232" s="143"/>
      <c r="I232" s="143"/>
      <c r="J232" s="143"/>
    </row>
    <row r="233" spans="1:24" ht="45" customHeight="1">
      <c r="A233" s="442" t="s">
        <v>94</v>
      </c>
      <c r="B233" s="970" t="s">
        <v>1031</v>
      </c>
      <c r="C233" s="970"/>
      <c r="D233" s="970"/>
      <c r="E233" s="970"/>
      <c r="F233" s="970"/>
      <c r="G233" s="143"/>
      <c r="H233" s="143"/>
      <c r="I233" s="143"/>
      <c r="J233" s="143"/>
      <c r="K233" s="593"/>
      <c r="L233" s="572"/>
      <c r="M233" s="572"/>
      <c r="N233" s="572"/>
      <c r="O233" s="572"/>
      <c r="P233" s="572"/>
      <c r="Q233" s="572"/>
      <c r="R233" s="572"/>
      <c r="S233" s="572"/>
      <c r="T233" s="572"/>
      <c r="U233" s="572"/>
      <c r="V233" s="572"/>
    </row>
    <row r="234" spans="1:24" ht="49.5" customHeight="1">
      <c r="A234" s="442" t="s">
        <v>800</v>
      </c>
      <c r="B234" s="967" t="s">
        <v>998</v>
      </c>
      <c r="C234" s="967"/>
      <c r="D234" s="967"/>
      <c r="E234" s="967"/>
      <c r="F234" s="967"/>
      <c r="G234" s="967"/>
      <c r="H234" s="967"/>
      <c r="I234" s="967"/>
      <c r="J234" s="967"/>
    </row>
    <row r="235" spans="1:24" ht="51" customHeight="1">
      <c r="A235" s="969" t="s">
        <v>109</v>
      </c>
      <c r="B235" s="967" t="s">
        <v>999</v>
      </c>
      <c r="C235" s="967"/>
      <c r="D235" s="967"/>
      <c r="E235" s="967"/>
      <c r="F235" s="967"/>
      <c r="G235" s="967"/>
      <c r="H235" s="967"/>
      <c r="I235" s="967"/>
      <c r="J235" s="967"/>
    </row>
    <row r="236" spans="1:24">
      <c r="A236" s="969"/>
      <c r="B236" s="180" t="s">
        <v>67</v>
      </c>
      <c r="C236" s="180" t="s">
        <v>470</v>
      </c>
      <c r="D236" s="458">
        <v>0.21</v>
      </c>
      <c r="E236" s="180" t="s">
        <v>290</v>
      </c>
      <c r="F236" s="180"/>
      <c r="G236" s="180"/>
      <c r="H236" s="180"/>
      <c r="I236" s="180"/>
      <c r="J236" s="180"/>
      <c r="K236" s="570"/>
      <c r="L236" s="570"/>
      <c r="M236" s="570"/>
      <c r="N236" s="570"/>
    </row>
    <row r="237" spans="1:24">
      <c r="A237" s="969"/>
      <c r="B237" s="180"/>
      <c r="C237" s="180" t="s">
        <v>68</v>
      </c>
      <c r="D237" s="457">
        <v>6.5000000000000002E-2</v>
      </c>
      <c r="E237" s="180" t="s">
        <v>105</v>
      </c>
      <c r="F237" s="180"/>
      <c r="G237" s="180"/>
      <c r="H237" s="180"/>
      <c r="I237" s="180"/>
      <c r="J237" s="180"/>
      <c r="K237" s="570"/>
      <c r="L237" s="570"/>
      <c r="M237" s="570"/>
      <c r="N237" s="570"/>
    </row>
    <row r="238" spans="1:24">
      <c r="A238" s="969"/>
      <c r="B238" s="180"/>
      <c r="C238" s="180" t="s">
        <v>69</v>
      </c>
      <c r="D238" s="224">
        <v>0</v>
      </c>
      <c r="E238" s="180" t="s">
        <v>106</v>
      </c>
      <c r="F238" s="180"/>
      <c r="G238" s="180"/>
      <c r="H238" s="180"/>
      <c r="I238" s="180"/>
      <c r="J238" s="180"/>
      <c r="K238" s="570"/>
      <c r="L238" s="570"/>
      <c r="M238" s="570"/>
      <c r="N238" s="570"/>
    </row>
    <row r="239" spans="1:24">
      <c r="A239" s="969"/>
      <c r="B239" s="180"/>
      <c r="C239" s="180" t="s">
        <v>107</v>
      </c>
      <c r="D239" s="224">
        <v>0</v>
      </c>
      <c r="E239" s="180" t="s">
        <v>108</v>
      </c>
      <c r="F239" s="180"/>
      <c r="G239" s="180"/>
      <c r="H239" s="180"/>
      <c r="I239" s="180"/>
      <c r="J239" s="180"/>
    </row>
    <row r="240" spans="1:24" ht="47.25" customHeight="1">
      <c r="A240" s="442" t="s">
        <v>366</v>
      </c>
      <c r="B240" s="966" t="s">
        <v>1000</v>
      </c>
      <c r="C240" s="966"/>
      <c r="D240" s="966"/>
      <c r="E240" s="966"/>
      <c r="F240" s="966"/>
      <c r="G240" s="966"/>
      <c r="H240" s="966"/>
      <c r="I240" s="966"/>
      <c r="J240" s="966"/>
      <c r="K240" s="593"/>
      <c r="L240" s="572"/>
      <c r="M240" s="572"/>
      <c r="N240" s="572"/>
      <c r="O240" s="572"/>
      <c r="P240" s="572"/>
    </row>
    <row r="241" spans="1:20" ht="19.5" customHeight="1">
      <c r="A241" s="442" t="s">
        <v>371</v>
      </c>
      <c r="B241" s="967" t="s">
        <v>110</v>
      </c>
      <c r="C241" s="967"/>
      <c r="D241" s="967"/>
      <c r="E241" s="967"/>
      <c r="F241" s="967"/>
      <c r="G241" s="967"/>
      <c r="H241" s="967"/>
      <c r="I241" s="967"/>
      <c r="J241" s="967"/>
    </row>
    <row r="242" spans="1:20" ht="30.75" customHeight="1">
      <c r="A242" s="602" t="s">
        <v>111</v>
      </c>
      <c r="B242" s="968" t="s">
        <v>1001</v>
      </c>
      <c r="C242" s="968"/>
      <c r="D242" s="968"/>
      <c r="E242" s="968"/>
      <c r="F242" s="968"/>
      <c r="G242" s="968"/>
      <c r="H242" s="968"/>
      <c r="I242" s="968"/>
      <c r="J242" s="968"/>
      <c r="K242" s="570"/>
      <c r="L242" s="570"/>
      <c r="M242" s="570"/>
      <c r="N242" s="570"/>
      <c r="O242" s="570"/>
      <c r="P242" s="570"/>
    </row>
    <row r="243" spans="1:20" ht="31.5" customHeight="1">
      <c r="A243" s="602" t="s">
        <v>112</v>
      </c>
      <c r="B243" s="967" t="s">
        <v>377</v>
      </c>
      <c r="C243" s="967"/>
      <c r="D243" s="967"/>
      <c r="E243" s="967"/>
      <c r="F243" s="967"/>
      <c r="G243" s="967"/>
      <c r="H243" s="967"/>
      <c r="I243" s="967"/>
      <c r="J243" s="967"/>
    </row>
    <row r="244" spans="1:20">
      <c r="A244" s="442" t="s">
        <v>113</v>
      </c>
      <c r="B244" s="967" t="s">
        <v>376</v>
      </c>
      <c r="C244" s="967"/>
      <c r="D244" s="967"/>
      <c r="E244" s="967"/>
      <c r="F244" s="967"/>
      <c r="G244" s="967"/>
      <c r="H244" s="967"/>
      <c r="I244" s="967"/>
      <c r="J244" s="967"/>
    </row>
    <row r="245" spans="1:20" ht="13.15" customHeight="1">
      <c r="A245" s="603" t="s">
        <v>373</v>
      </c>
      <c r="B245" s="302" t="s">
        <v>397</v>
      </c>
      <c r="C245" s="299"/>
      <c r="D245" s="299"/>
      <c r="E245" s="299"/>
      <c r="F245" s="299"/>
      <c r="G245" s="299"/>
      <c r="H245" s="299"/>
      <c r="I245" s="299"/>
      <c r="J245" s="299"/>
      <c r="K245" s="972"/>
      <c r="L245" s="972"/>
      <c r="M245" s="972"/>
      <c r="N245" s="972"/>
      <c r="O245" s="972"/>
      <c r="P245" s="972"/>
      <c r="Q245" s="972"/>
      <c r="R245" s="972"/>
      <c r="S245" s="972"/>
      <c r="T245" s="972"/>
    </row>
    <row r="246" spans="1:20" ht="43.5" customHeight="1">
      <c r="A246" s="603" t="s">
        <v>374</v>
      </c>
      <c r="B246" s="966" t="s">
        <v>569</v>
      </c>
      <c r="C246" s="966"/>
      <c r="D246" s="966"/>
      <c r="E246" s="966"/>
      <c r="F246" s="966"/>
      <c r="G246" s="966"/>
      <c r="H246" s="966"/>
      <c r="I246" s="966"/>
      <c r="J246" s="299"/>
      <c r="K246" s="570"/>
      <c r="L246" s="570"/>
      <c r="M246" s="570"/>
      <c r="N246" s="570"/>
      <c r="O246" s="570"/>
      <c r="P246" s="570"/>
      <c r="Q246" s="570"/>
      <c r="R246" s="570"/>
    </row>
    <row r="247" spans="1:20" ht="72.599999999999994" customHeight="1">
      <c r="A247" s="603" t="s">
        <v>375</v>
      </c>
      <c r="B247" s="966" t="s">
        <v>1033</v>
      </c>
      <c r="C247" s="966"/>
      <c r="D247" s="966"/>
      <c r="E247" s="966"/>
      <c r="F247" s="966"/>
      <c r="G247" s="966"/>
      <c r="H247" s="966"/>
      <c r="I247" s="966"/>
      <c r="J247" s="184"/>
      <c r="K247" s="570"/>
      <c r="L247" s="570"/>
      <c r="M247" s="570"/>
      <c r="N247" s="570"/>
      <c r="O247" s="570"/>
      <c r="P247" s="570"/>
    </row>
    <row r="248" spans="1:20">
      <c r="A248" s="603" t="s">
        <v>908</v>
      </c>
      <c r="B248" s="966" t="s">
        <v>948</v>
      </c>
      <c r="C248" s="966"/>
      <c r="D248" s="966"/>
      <c r="E248" s="966"/>
      <c r="F248" s="966"/>
      <c r="G248" s="966"/>
      <c r="H248" s="966"/>
      <c r="I248" s="966"/>
      <c r="K248" s="570"/>
      <c r="L248" s="570"/>
      <c r="M248" s="570"/>
      <c r="N248" s="570"/>
      <c r="O248" s="570"/>
      <c r="P248" s="570"/>
      <c r="Q248" s="570"/>
      <c r="R248" s="570"/>
    </row>
    <row r="249" spans="1:20">
      <c r="B249" s="966"/>
      <c r="C249" s="966"/>
      <c r="D249" s="966"/>
      <c r="E249" s="966"/>
      <c r="F249" s="966"/>
      <c r="G249" s="966"/>
      <c r="H249" s="966"/>
      <c r="I249" s="966"/>
      <c r="K249" s="570"/>
      <c r="L249" s="570"/>
      <c r="M249" s="570"/>
      <c r="N249" s="570"/>
      <c r="O249" s="570"/>
      <c r="P249" s="570"/>
      <c r="Q249" s="570"/>
      <c r="R249" s="570"/>
    </row>
    <row r="250" spans="1:20">
      <c r="B250" s="966"/>
      <c r="C250" s="966"/>
      <c r="D250" s="966"/>
      <c r="E250" s="966"/>
      <c r="F250" s="966"/>
      <c r="G250" s="966"/>
      <c r="H250" s="966"/>
      <c r="I250" s="966"/>
      <c r="K250" s="570"/>
      <c r="L250" s="570"/>
      <c r="M250" s="570"/>
      <c r="N250" s="570"/>
      <c r="O250" s="570"/>
      <c r="P250" s="570"/>
      <c r="Q250" s="570"/>
      <c r="R250" s="570"/>
    </row>
  </sheetData>
  <mergeCells count="26">
    <mergeCell ref="K245:T245"/>
    <mergeCell ref="B248:I250"/>
    <mergeCell ref="B243:J243"/>
    <mergeCell ref="B223:J223"/>
    <mergeCell ref="B230:J230"/>
    <mergeCell ref="B225:J225"/>
    <mergeCell ref="B228:J228"/>
    <mergeCell ref="B229:J229"/>
    <mergeCell ref="B227:J227"/>
    <mergeCell ref="B231:J231"/>
    <mergeCell ref="B226:J226"/>
    <mergeCell ref="B247:I247"/>
    <mergeCell ref="A56:J56"/>
    <mergeCell ref="A111:J111"/>
    <mergeCell ref="A174:J174"/>
    <mergeCell ref="B246:I246"/>
    <mergeCell ref="B244:J244"/>
    <mergeCell ref="B242:J242"/>
    <mergeCell ref="B240:J240"/>
    <mergeCell ref="B234:J234"/>
    <mergeCell ref="A218:J218"/>
    <mergeCell ref="A235:A239"/>
    <mergeCell ref="B235:J235"/>
    <mergeCell ref="B241:J241"/>
    <mergeCell ref="B233:F233"/>
    <mergeCell ref="B222:C222"/>
  </mergeCells>
  <phoneticPr fontId="0" type="noConversion"/>
  <pageMargins left="0.25" right="0.25" top="0.5" bottom="0.5" header="0.3" footer="0.3"/>
  <pageSetup scale="55" fitToHeight="0" orientation="landscape" cellComments="asDisplayed" r:id="rId1"/>
  <rowBreaks count="4" manualBreakCount="4">
    <brk id="49" max="16383" man="1"/>
    <brk id="105" max="16383" man="1"/>
    <brk id="167" max="16383" man="1"/>
    <brk id="212"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E041F-8B6B-4950-B64D-3BCCC9384C29}">
  <dimension ref="A1:M79"/>
  <sheetViews>
    <sheetView zoomScale="70" zoomScaleNormal="70" workbookViewId="0">
      <selection sqref="A1:N81"/>
    </sheetView>
  </sheetViews>
  <sheetFormatPr defaultColWidth="8.77734375" defaultRowHeight="15"/>
  <cols>
    <col min="1" max="1" width="8.77734375" style="664"/>
    <col min="2" max="2" width="9" style="664" customWidth="1"/>
    <col min="3" max="3" width="27.21875" style="664" customWidth="1"/>
    <col min="4" max="4" width="3.109375" style="664" customWidth="1"/>
    <col min="5" max="5" width="14.77734375" style="664" customWidth="1"/>
    <col min="6" max="6" width="15.21875" style="664" customWidth="1"/>
    <col min="7" max="8" width="13.77734375" style="664" customWidth="1"/>
    <col min="9" max="9" width="13.5546875" style="664" customWidth="1"/>
    <col min="10" max="10" width="16.5546875" style="664" customWidth="1"/>
    <col min="11" max="11" width="15.21875" style="664" customWidth="1"/>
    <col min="12" max="12" width="12.77734375" style="664" customWidth="1"/>
    <col min="13" max="13" width="17.109375" style="664" customWidth="1"/>
    <col min="14" max="16384" width="8.77734375" style="664"/>
  </cols>
  <sheetData>
    <row r="1" spans="1:13" ht="15.75">
      <c r="D1" s="991" t="s">
        <v>839</v>
      </c>
      <c r="E1" s="991"/>
      <c r="F1" s="991"/>
      <c r="G1" s="991"/>
      <c r="H1" s="991"/>
      <c r="I1" s="991"/>
      <c r="J1" s="991"/>
      <c r="K1" s="991"/>
      <c r="M1" s="665"/>
    </row>
    <row r="2" spans="1:13" ht="15.75">
      <c r="D2" s="992" t="s">
        <v>840</v>
      </c>
      <c r="E2" s="992"/>
      <c r="F2" s="992"/>
      <c r="G2" s="992"/>
      <c r="H2" s="992"/>
      <c r="I2" s="992"/>
      <c r="J2" s="992"/>
      <c r="K2" s="992"/>
      <c r="M2" s="665"/>
    </row>
    <row r="3" spans="1:13" ht="15.75">
      <c r="D3" s="993" t="str">
        <f>'Attachment H-39A'!D5</f>
        <v>Valley Link Transmission West Virginia, LLC</v>
      </c>
      <c r="E3" s="993"/>
      <c r="F3" s="993"/>
      <c r="G3" s="993"/>
      <c r="H3" s="993"/>
      <c r="I3" s="993"/>
      <c r="J3" s="993"/>
      <c r="K3" s="993"/>
      <c r="M3" s="665"/>
    </row>
    <row r="4" spans="1:13" ht="15.75">
      <c r="M4" s="665"/>
    </row>
    <row r="5" spans="1:13" ht="15.75">
      <c r="C5" s="666"/>
    </row>
    <row r="6" spans="1:13" ht="16.5" thickBot="1">
      <c r="C6" s="667" t="s">
        <v>57</v>
      </c>
      <c r="D6" s="668"/>
      <c r="E6" s="667" t="s">
        <v>58</v>
      </c>
      <c r="F6" s="667" t="s">
        <v>59</v>
      </c>
      <c r="G6" s="667" t="s">
        <v>60</v>
      </c>
      <c r="H6" s="667" t="s">
        <v>61</v>
      </c>
      <c r="I6" s="667" t="s">
        <v>62</v>
      </c>
      <c r="J6" s="667" t="s">
        <v>63</v>
      </c>
      <c r="K6" s="667" t="s">
        <v>64</v>
      </c>
      <c r="L6" s="667" t="s">
        <v>65</v>
      </c>
    </row>
    <row r="7" spans="1:13" ht="16.5" thickBot="1">
      <c r="A7" s="669" t="s">
        <v>8</v>
      </c>
      <c r="B7" s="669"/>
      <c r="C7" s="670"/>
      <c r="D7" s="691"/>
      <c r="E7" s="1012" t="s">
        <v>1036</v>
      </c>
      <c r="F7" s="1012"/>
      <c r="G7" s="1012"/>
      <c r="H7" s="1012"/>
      <c r="I7" s="1012"/>
      <c r="J7" s="1012"/>
      <c r="K7" s="1012"/>
      <c r="L7" s="1013"/>
    </row>
    <row r="8" spans="1:13">
      <c r="C8" s="672"/>
      <c r="E8" s="673"/>
      <c r="F8" s="673"/>
      <c r="G8" s="673"/>
      <c r="H8" s="673"/>
      <c r="I8" s="673"/>
      <c r="J8" s="673"/>
      <c r="K8" s="673"/>
      <c r="L8" s="674"/>
    </row>
    <row r="9" spans="1:13" ht="30">
      <c r="C9" s="675" t="s">
        <v>820</v>
      </c>
      <c r="D9" s="676"/>
      <c r="E9" s="677" t="s">
        <v>785</v>
      </c>
      <c r="F9" s="678" t="s">
        <v>786</v>
      </c>
      <c r="G9" s="677" t="s">
        <v>787</v>
      </c>
      <c r="H9" s="678" t="s">
        <v>788</v>
      </c>
      <c r="I9" s="677" t="s">
        <v>789</v>
      </c>
      <c r="J9" s="678" t="s">
        <v>790</v>
      </c>
      <c r="K9" s="677" t="s">
        <v>791</v>
      </c>
      <c r="L9" s="679" t="s">
        <v>792</v>
      </c>
    </row>
    <row r="10" spans="1:13" ht="15.75">
      <c r="A10" s="680" t="s">
        <v>843</v>
      </c>
      <c r="B10" s="667" t="s">
        <v>793</v>
      </c>
      <c r="C10" s="681"/>
      <c r="D10" s="668"/>
      <c r="E10" s="682"/>
      <c r="F10" s="668">
        <f>SUM(C10:E10)</f>
        <v>0</v>
      </c>
      <c r="G10" s="682"/>
      <c r="H10" s="668">
        <f>SUM(F10:G10)</f>
        <v>0</v>
      </c>
      <c r="I10" s="682"/>
      <c r="J10" s="668">
        <f>SUM(H10:I10)</f>
        <v>0</v>
      </c>
      <c r="K10" s="682"/>
      <c r="L10" s="683">
        <f>SUM(J10:K10)</f>
        <v>0</v>
      </c>
    </row>
    <row r="11" spans="1:13" ht="15.75">
      <c r="A11" s="680" t="s">
        <v>844</v>
      </c>
      <c r="B11" s="667" t="s">
        <v>821</v>
      </c>
      <c r="C11" s="681"/>
      <c r="D11" s="668"/>
      <c r="E11" s="682"/>
      <c r="F11" s="668">
        <f>SUM(C11:E11)</f>
        <v>0</v>
      </c>
      <c r="G11" s="682"/>
      <c r="H11" s="668">
        <f>SUM(F11:G11)</f>
        <v>0</v>
      </c>
      <c r="I11" s="682"/>
      <c r="J11" s="668">
        <f>SUM(H11:I11)</f>
        <v>0</v>
      </c>
      <c r="K11" s="682"/>
      <c r="L11" s="683">
        <f>SUM(J11:K11)</f>
        <v>0</v>
      </c>
      <c r="M11" s="707"/>
    </row>
    <row r="12" spans="1:13">
      <c r="C12" s="684"/>
      <c r="D12" s="668"/>
      <c r="E12" s="668"/>
      <c r="F12" s="668"/>
      <c r="G12" s="668"/>
      <c r="H12" s="668"/>
      <c r="I12" s="668"/>
      <c r="J12" s="668"/>
      <c r="K12" s="668"/>
      <c r="L12" s="683"/>
    </row>
    <row r="13" spans="1:13" ht="30">
      <c r="C13" s="685" t="str">
        <f>C9</f>
        <v xml:space="preserve">Beginning 190 (including adjustments) </v>
      </c>
      <c r="D13" s="668"/>
      <c r="E13" s="686" t="s">
        <v>794</v>
      </c>
      <c r="F13" s="668"/>
      <c r="G13" s="686" t="s">
        <v>795</v>
      </c>
      <c r="H13" s="668"/>
      <c r="I13" s="686" t="s">
        <v>796</v>
      </c>
      <c r="J13" s="668"/>
      <c r="K13" s="686" t="s">
        <v>797</v>
      </c>
      <c r="L13" s="683"/>
    </row>
    <row r="14" spans="1:13" ht="15.75">
      <c r="A14" s="680" t="s">
        <v>845</v>
      </c>
      <c r="B14" s="667" t="s">
        <v>793</v>
      </c>
      <c r="C14" s="687">
        <f>C10</f>
        <v>0</v>
      </c>
      <c r="D14" s="668"/>
      <c r="E14" s="686">
        <f>(276/365)*E10</f>
        <v>0</v>
      </c>
      <c r="F14" s="668"/>
      <c r="G14" s="686">
        <f>(185/365)*G10</f>
        <v>0</v>
      </c>
      <c r="H14" s="668"/>
      <c r="I14" s="686">
        <f>(93/365)*I10</f>
        <v>0</v>
      </c>
      <c r="J14" s="668"/>
      <c r="K14" s="686">
        <f>(1/365)*K10</f>
        <v>0</v>
      </c>
      <c r="L14" s="683"/>
      <c r="M14" s="710"/>
    </row>
    <row r="15" spans="1:13" ht="15.75">
      <c r="A15" s="680" t="s">
        <v>846</v>
      </c>
      <c r="B15" s="667" t="s">
        <v>821</v>
      </c>
      <c r="C15" s="687">
        <f>C11</f>
        <v>0</v>
      </c>
      <c r="D15" s="668"/>
      <c r="E15" s="686">
        <f>(276/365)*E11</f>
        <v>0</v>
      </c>
      <c r="F15" s="668"/>
      <c r="G15" s="686">
        <f>(185/365)*G11</f>
        <v>0</v>
      </c>
      <c r="H15" s="668"/>
      <c r="I15" s="686">
        <f>(93/365)*I11</f>
        <v>0</v>
      </c>
      <c r="J15" s="668"/>
      <c r="K15" s="686">
        <f>(1/365)*K11</f>
        <v>0</v>
      </c>
      <c r="L15" s="683"/>
      <c r="M15" s="710"/>
    </row>
    <row r="16" spans="1:13" ht="15.75">
      <c r="C16" s="687"/>
      <c r="D16" s="668"/>
      <c r="E16" s="686"/>
      <c r="F16" s="668"/>
      <c r="G16" s="686"/>
      <c r="H16" s="668"/>
      <c r="I16" s="686"/>
      <c r="J16" s="668"/>
      <c r="K16" s="686"/>
      <c r="L16" s="683"/>
      <c r="M16" s="710"/>
    </row>
    <row r="17" spans="1:13" ht="30">
      <c r="C17" s="685" t="s">
        <v>798</v>
      </c>
      <c r="D17" s="668"/>
      <c r="E17" s="677" t="s">
        <v>785</v>
      </c>
      <c r="F17" s="678" t="s">
        <v>786</v>
      </c>
      <c r="G17" s="677" t="s">
        <v>787</v>
      </c>
      <c r="H17" s="678" t="s">
        <v>788</v>
      </c>
      <c r="I17" s="677" t="s">
        <v>789</v>
      </c>
      <c r="J17" s="678" t="s">
        <v>790</v>
      </c>
      <c r="K17" s="677" t="s">
        <v>791</v>
      </c>
      <c r="L17" s="679" t="s">
        <v>792</v>
      </c>
      <c r="M17" s="710"/>
    </row>
    <row r="18" spans="1:13" ht="15.75">
      <c r="A18" s="680" t="s">
        <v>118</v>
      </c>
      <c r="B18" s="667" t="s">
        <v>793</v>
      </c>
      <c r="C18" s="681"/>
      <c r="D18" s="668"/>
      <c r="E18" s="682"/>
      <c r="F18" s="668">
        <f>SUM(C18:E18)</f>
        <v>0</v>
      </c>
      <c r="G18" s="682"/>
      <c r="H18" s="668">
        <f>SUM(F18:G18)</f>
        <v>0</v>
      </c>
      <c r="I18" s="682"/>
      <c r="J18" s="668">
        <f>SUM(H18:I18)</f>
        <v>0</v>
      </c>
      <c r="K18" s="682"/>
      <c r="L18" s="683">
        <f>SUM(J18:K18)</f>
        <v>0</v>
      </c>
      <c r="M18" s="710"/>
    </row>
    <row r="19" spans="1:13" ht="15.75">
      <c r="A19" s="680" t="s">
        <v>119</v>
      </c>
      <c r="B19" s="667" t="s">
        <v>821</v>
      </c>
      <c r="C19" s="681"/>
      <c r="D19" s="668"/>
      <c r="E19" s="682"/>
      <c r="F19" s="668">
        <f>SUM(C19:E19)</f>
        <v>0</v>
      </c>
      <c r="G19" s="682"/>
      <c r="H19" s="668">
        <f>SUM(F19:G19)</f>
        <v>0</v>
      </c>
      <c r="I19" s="682"/>
      <c r="J19" s="668">
        <f>SUM(H19:I19)</f>
        <v>0</v>
      </c>
      <c r="K19" s="682"/>
      <c r="L19" s="683">
        <f>SUM(J19:K19)</f>
        <v>0</v>
      </c>
      <c r="M19" s="707"/>
    </row>
    <row r="20" spans="1:13" ht="15.75">
      <c r="C20" s="684"/>
      <c r="D20" s="668"/>
      <c r="E20" s="668"/>
      <c r="F20" s="668"/>
      <c r="G20" s="668"/>
      <c r="H20" s="668"/>
      <c r="I20" s="668"/>
      <c r="J20" s="668"/>
      <c r="K20" s="668"/>
      <c r="L20" s="683"/>
      <c r="M20" s="710"/>
    </row>
    <row r="21" spans="1:13" ht="30">
      <c r="C21" s="685" t="str">
        <f>C17</f>
        <v xml:space="preserve">Beginning 282 (including adjustments) </v>
      </c>
      <c r="D21" s="668"/>
      <c r="E21" s="686" t="s">
        <v>794</v>
      </c>
      <c r="F21" s="668"/>
      <c r="G21" s="686" t="s">
        <v>795</v>
      </c>
      <c r="H21" s="668"/>
      <c r="I21" s="686" t="s">
        <v>796</v>
      </c>
      <c r="J21" s="668"/>
      <c r="K21" s="686" t="s">
        <v>797</v>
      </c>
      <c r="L21" s="683"/>
      <c r="M21" s="710"/>
    </row>
    <row r="22" spans="1:13" ht="15.75">
      <c r="A22" s="680" t="s">
        <v>122</v>
      </c>
      <c r="B22" s="667" t="s">
        <v>793</v>
      </c>
      <c r="C22" s="687">
        <f>C18</f>
        <v>0</v>
      </c>
      <c r="D22" s="668"/>
      <c r="E22" s="686">
        <f>(276/365)*E18</f>
        <v>0</v>
      </c>
      <c r="F22" s="668"/>
      <c r="G22" s="686">
        <f>(185/365)*G18</f>
        <v>0</v>
      </c>
      <c r="H22" s="668"/>
      <c r="I22" s="686">
        <f>(93/365)*I18</f>
        <v>0</v>
      </c>
      <c r="J22" s="668"/>
      <c r="K22" s="686">
        <f>(1/365)*K18</f>
        <v>0</v>
      </c>
      <c r="L22" s="683"/>
      <c r="M22" s="710"/>
    </row>
    <row r="23" spans="1:13" ht="15.75">
      <c r="A23" s="680" t="s">
        <v>124</v>
      </c>
      <c r="B23" s="667" t="s">
        <v>821</v>
      </c>
      <c r="C23" s="687">
        <f>C19</f>
        <v>0</v>
      </c>
      <c r="D23" s="668"/>
      <c r="E23" s="686">
        <f>(276/365)*E19</f>
        <v>0</v>
      </c>
      <c r="F23" s="668"/>
      <c r="G23" s="686">
        <f>(185/365)*G19</f>
        <v>0</v>
      </c>
      <c r="H23" s="668"/>
      <c r="I23" s="686">
        <f>(93/365)*I19</f>
        <v>0</v>
      </c>
      <c r="J23" s="668"/>
      <c r="K23" s="686">
        <f>(1/365)*K19</f>
        <v>0</v>
      </c>
      <c r="L23" s="683"/>
      <c r="M23" s="710"/>
    </row>
    <row r="24" spans="1:13" ht="15.75">
      <c r="C24" s="687"/>
      <c r="D24" s="668"/>
      <c r="E24" s="686"/>
      <c r="F24" s="668"/>
      <c r="G24" s="686"/>
      <c r="H24" s="668"/>
      <c r="I24" s="686"/>
      <c r="J24" s="668"/>
      <c r="K24" s="686"/>
      <c r="L24" s="683"/>
      <c r="M24" s="710"/>
    </row>
    <row r="25" spans="1:13" ht="30">
      <c r="C25" s="685" t="s">
        <v>799</v>
      </c>
      <c r="D25" s="668"/>
      <c r="E25" s="677" t="s">
        <v>785</v>
      </c>
      <c r="F25" s="678" t="s">
        <v>786</v>
      </c>
      <c r="G25" s="677" t="s">
        <v>787</v>
      </c>
      <c r="H25" s="678" t="s">
        <v>788</v>
      </c>
      <c r="I25" s="677" t="s">
        <v>789</v>
      </c>
      <c r="J25" s="678" t="s">
        <v>790</v>
      </c>
      <c r="K25" s="677" t="s">
        <v>791</v>
      </c>
      <c r="L25" s="679" t="s">
        <v>792</v>
      </c>
      <c r="M25" s="710"/>
    </row>
    <row r="26" spans="1:13" ht="15.75">
      <c r="A26" s="680" t="s">
        <v>127</v>
      </c>
      <c r="B26" s="667" t="s">
        <v>793</v>
      </c>
      <c r="C26" s="681"/>
      <c r="D26" s="668"/>
      <c r="E26" s="682"/>
      <c r="F26" s="668">
        <f>SUM(C26:E26)</f>
        <v>0</v>
      </c>
      <c r="G26" s="682"/>
      <c r="H26" s="668">
        <f>SUM(F26:G26)</f>
        <v>0</v>
      </c>
      <c r="I26" s="682"/>
      <c r="J26" s="668">
        <f>SUM(H26:I26)</f>
        <v>0</v>
      </c>
      <c r="K26" s="682"/>
      <c r="L26" s="683">
        <f>SUM(J26:K26)</f>
        <v>0</v>
      </c>
      <c r="M26" s="710"/>
    </row>
    <row r="27" spans="1:13" ht="15.75">
      <c r="A27" s="680" t="s">
        <v>130</v>
      </c>
      <c r="B27" s="667" t="s">
        <v>821</v>
      </c>
      <c r="C27" s="681"/>
      <c r="D27" s="668"/>
      <c r="E27" s="682"/>
      <c r="F27" s="668">
        <f>SUM(C27:E27)</f>
        <v>0</v>
      </c>
      <c r="G27" s="711"/>
      <c r="H27" s="668">
        <f>SUM(F27:G27)</f>
        <v>0</v>
      </c>
      <c r="I27" s="682"/>
      <c r="J27" s="668">
        <f>SUM(H27:I27)</f>
        <v>0</v>
      </c>
      <c r="K27" s="682"/>
      <c r="L27" s="683">
        <f>SUM(J27:K27)</f>
        <v>0</v>
      </c>
      <c r="M27" s="707"/>
    </row>
    <row r="28" spans="1:13" ht="15.75">
      <c r="C28" s="684"/>
      <c r="D28" s="668"/>
      <c r="E28" s="668"/>
      <c r="F28" s="668"/>
      <c r="G28" s="668"/>
      <c r="H28" s="668"/>
      <c r="I28" s="668"/>
      <c r="J28" s="668"/>
      <c r="K28" s="668"/>
      <c r="L28" s="683"/>
      <c r="M28" s="710"/>
    </row>
    <row r="29" spans="1:13" ht="30">
      <c r="B29" s="689"/>
      <c r="C29" s="685" t="str">
        <f>C25</f>
        <v xml:space="preserve">Beginning 283 (Including adjustments) </v>
      </c>
      <c r="D29" s="668"/>
      <c r="E29" s="686" t="s">
        <v>794</v>
      </c>
      <c r="F29" s="668"/>
      <c r="G29" s="686" t="s">
        <v>795</v>
      </c>
      <c r="H29" s="668"/>
      <c r="I29" s="686" t="s">
        <v>796</v>
      </c>
      <c r="J29" s="668"/>
      <c r="K29" s="686" t="s">
        <v>797</v>
      </c>
      <c r="L29" s="683"/>
      <c r="M29" s="710"/>
    </row>
    <row r="30" spans="1:13" ht="15.75">
      <c r="A30" s="680" t="s">
        <v>131</v>
      </c>
      <c r="B30" s="667" t="s">
        <v>793</v>
      </c>
      <c r="C30" s="687">
        <f>C26</f>
        <v>0</v>
      </c>
      <c r="D30" s="668"/>
      <c r="E30" s="686">
        <f>(276/365)*E26</f>
        <v>0</v>
      </c>
      <c r="F30" s="668"/>
      <c r="G30" s="686">
        <f>(185/365)*G26</f>
        <v>0</v>
      </c>
      <c r="H30" s="668"/>
      <c r="I30" s="686">
        <f>(93/365)*I26</f>
        <v>0</v>
      </c>
      <c r="J30" s="668"/>
      <c r="K30" s="686">
        <f>(1/365)*K26</f>
        <v>0</v>
      </c>
      <c r="L30" s="683"/>
      <c r="M30" s="710"/>
    </row>
    <row r="31" spans="1:13" ht="16.5" thickBot="1">
      <c r="A31" s="680" t="s">
        <v>133</v>
      </c>
      <c r="B31" s="667" t="s">
        <v>821</v>
      </c>
      <c r="C31" s="690">
        <f>C27</f>
        <v>0</v>
      </c>
      <c r="D31" s="691"/>
      <c r="E31" s="692">
        <f>(276/365)*E27</f>
        <v>0</v>
      </c>
      <c r="F31" s="691"/>
      <c r="G31" s="692">
        <f>(185/365)*G27</f>
        <v>0</v>
      </c>
      <c r="H31" s="691"/>
      <c r="I31" s="692">
        <f>(93/365)*I27</f>
        <v>0</v>
      </c>
      <c r="J31" s="691"/>
      <c r="K31" s="692">
        <f>(1/365)*K27</f>
        <v>0</v>
      </c>
      <c r="L31" s="712"/>
    </row>
    <row r="33" spans="1:13">
      <c r="C33" s="668"/>
      <c r="D33" s="668"/>
      <c r="E33" s="668"/>
      <c r="F33" s="668"/>
      <c r="G33" s="668"/>
      <c r="H33" s="668"/>
      <c r="I33" s="668"/>
      <c r="J33" s="668"/>
      <c r="K33" s="668"/>
      <c r="L33" s="668"/>
    </row>
    <row r="34" spans="1:13">
      <c r="C34" s="668"/>
      <c r="D34" s="668"/>
      <c r="E34" s="668"/>
      <c r="F34" s="668"/>
      <c r="G34" s="668"/>
      <c r="H34" s="668"/>
      <c r="I34" s="668"/>
      <c r="J34" s="668"/>
      <c r="K34" s="668"/>
      <c r="L34" s="668"/>
    </row>
    <row r="36" spans="1:13" ht="15.75">
      <c r="A36" s="713"/>
      <c r="M36" s="665"/>
    </row>
    <row r="37" spans="1:13" ht="15.75">
      <c r="M37" s="665"/>
    </row>
    <row r="38" spans="1:13" ht="15.75">
      <c r="M38" s="665"/>
    </row>
    <row r="39" spans="1:13" ht="15.75">
      <c r="M39" s="665"/>
    </row>
    <row r="42" spans="1:13" ht="15.75">
      <c r="M42" s="665"/>
    </row>
    <row r="43" spans="1:13" ht="15.75">
      <c r="M43" s="665"/>
    </row>
    <row r="44" spans="1:13" ht="15.75">
      <c r="G44" s="1014" t="s">
        <v>940</v>
      </c>
      <c r="H44" s="1015"/>
      <c r="M44" s="665"/>
    </row>
    <row r="46" spans="1:13" ht="15.75">
      <c r="E46" s="667" t="s">
        <v>57</v>
      </c>
      <c r="F46" s="667" t="s">
        <v>58</v>
      </c>
      <c r="G46" s="667" t="s">
        <v>59</v>
      </c>
      <c r="H46" s="667" t="s">
        <v>60</v>
      </c>
      <c r="I46" s="667" t="s">
        <v>61</v>
      </c>
      <c r="J46" s="667" t="s">
        <v>62</v>
      </c>
      <c r="K46" s="667" t="s">
        <v>63</v>
      </c>
      <c r="L46" s="667"/>
      <c r="M46" s="667"/>
    </row>
    <row r="47" spans="1:13" ht="43.15" customHeight="1">
      <c r="E47" s="667"/>
      <c r="F47" s="677" t="s">
        <v>801</v>
      </c>
      <c r="G47" s="677" t="s">
        <v>822</v>
      </c>
      <c r="H47" s="667" t="s">
        <v>823</v>
      </c>
      <c r="I47" s="667"/>
      <c r="J47" s="667" t="s">
        <v>824</v>
      </c>
      <c r="K47" s="677" t="s">
        <v>825</v>
      </c>
      <c r="L47" s="667"/>
      <c r="M47" s="667"/>
    </row>
    <row r="48" spans="1:13" ht="61.5" customHeight="1">
      <c r="A48" s="669" t="s">
        <v>8</v>
      </c>
      <c r="B48" s="669"/>
      <c r="C48" s="697" t="s">
        <v>806</v>
      </c>
      <c r="E48" s="698" t="s">
        <v>807</v>
      </c>
      <c r="F48" s="699" t="s">
        <v>808</v>
      </c>
      <c r="G48" s="700" t="s">
        <v>809</v>
      </c>
      <c r="H48" s="700" t="s">
        <v>810</v>
      </c>
      <c r="I48" s="700" t="s">
        <v>811</v>
      </c>
      <c r="J48" s="700" t="s">
        <v>812</v>
      </c>
      <c r="K48" s="700" t="s">
        <v>813</v>
      </c>
    </row>
    <row r="50" spans="1:13" ht="15.75">
      <c r="A50" s="680" t="s">
        <v>843</v>
      </c>
      <c r="B50" s="701" t="s">
        <v>793</v>
      </c>
      <c r="C50" s="702" t="s">
        <v>814</v>
      </c>
      <c r="E50" s="703"/>
      <c r="F50" s="668">
        <f>E10+G10+I10+K10</f>
        <v>0</v>
      </c>
      <c r="G50" s="668">
        <f>C14+E14+G14+I14+K14</f>
        <v>0</v>
      </c>
      <c r="H50" s="704">
        <f>E50-G50</f>
        <v>0</v>
      </c>
      <c r="I50" s="703"/>
      <c r="J50" s="705">
        <f>H50-I50</f>
        <v>0</v>
      </c>
      <c r="K50" s="705">
        <f>E50-I50-J50</f>
        <v>0</v>
      </c>
    </row>
    <row r="51" spans="1:13" ht="15.75">
      <c r="H51" s="704"/>
      <c r="I51" s="706"/>
      <c r="J51" s="704"/>
      <c r="K51" s="704"/>
    </row>
    <row r="52" spans="1:13" ht="15.75">
      <c r="A52" s="680" t="s">
        <v>844</v>
      </c>
      <c r="B52" s="701" t="s">
        <v>793</v>
      </c>
      <c r="C52" s="702" t="s">
        <v>815</v>
      </c>
      <c r="E52" s="703"/>
      <c r="F52" s="668">
        <f>E18+G18+I18+K18</f>
        <v>0</v>
      </c>
      <c r="G52" s="668">
        <f>C22+E22+G22+I22+K22</f>
        <v>0</v>
      </c>
      <c r="H52" s="704">
        <f>E52-G52</f>
        <v>0</v>
      </c>
      <c r="I52" s="703"/>
      <c r="J52" s="705">
        <f>H52-I52</f>
        <v>0</v>
      </c>
      <c r="K52" s="705">
        <f>-E52+I52+J52</f>
        <v>0</v>
      </c>
    </row>
    <row r="53" spans="1:13" ht="15.75">
      <c r="A53" s="701"/>
      <c r="B53" s="701"/>
      <c r="H53" s="704"/>
      <c r="I53" s="706"/>
      <c r="J53" s="704"/>
      <c r="K53" s="704"/>
    </row>
    <row r="54" spans="1:13" ht="15.75">
      <c r="A54" s="680" t="s">
        <v>845</v>
      </c>
      <c r="B54" s="701" t="s">
        <v>793</v>
      </c>
      <c r="C54" s="702" t="s">
        <v>816</v>
      </c>
      <c r="E54" s="703"/>
      <c r="F54" s="668">
        <f>E26+G26+I26+K26</f>
        <v>0</v>
      </c>
      <c r="G54" s="668">
        <f>C30+E30+G30+I30+K30</f>
        <v>0</v>
      </c>
      <c r="H54" s="704">
        <f>E54-G54</f>
        <v>0</v>
      </c>
      <c r="I54" s="703"/>
      <c r="J54" s="705">
        <f>H54-I54</f>
        <v>0</v>
      </c>
      <c r="K54" s="705">
        <f>-E54+I54+J54</f>
        <v>0</v>
      </c>
    </row>
    <row r="55" spans="1:13" ht="15.75">
      <c r="A55" s="701"/>
      <c r="B55" s="701"/>
      <c r="H55" s="704"/>
      <c r="I55" s="706"/>
      <c r="J55" s="704"/>
      <c r="K55" s="704"/>
    </row>
    <row r="56" spans="1:13" ht="15.75">
      <c r="A56" s="680" t="s">
        <v>846</v>
      </c>
      <c r="B56" s="701" t="s">
        <v>793</v>
      </c>
      <c r="C56" s="702" t="s">
        <v>817</v>
      </c>
      <c r="E56" s="704">
        <f>E50-E52-E54</f>
        <v>0</v>
      </c>
      <c r="F56" s="704">
        <f>F50-F52-F54</f>
        <v>0</v>
      </c>
      <c r="G56" s="704">
        <f>G50-G52-G54</f>
        <v>0</v>
      </c>
      <c r="H56" s="704">
        <f>H50-H52-H54</f>
        <v>0</v>
      </c>
      <c r="I56" s="704">
        <f>I50+I52+I54</f>
        <v>0</v>
      </c>
      <c r="J56" s="704">
        <f>J50+J52+J54</f>
        <v>0</v>
      </c>
      <c r="K56" s="704">
        <f>K50+K52+K54</f>
        <v>0</v>
      </c>
    </row>
    <row r="57" spans="1:13">
      <c r="A57" s="701"/>
      <c r="B57" s="701"/>
    </row>
    <row r="58" spans="1:13">
      <c r="A58" s="701"/>
      <c r="B58" s="701"/>
    </row>
    <row r="59" spans="1:13">
      <c r="A59" s="701"/>
      <c r="B59" s="701"/>
    </row>
    <row r="60" spans="1:13">
      <c r="A60" s="701"/>
      <c r="B60" s="701"/>
      <c r="K60" s="704"/>
      <c r="M60" s="704"/>
    </row>
    <row r="61" spans="1:13" ht="15.75">
      <c r="A61" s="701"/>
      <c r="B61" s="701"/>
      <c r="G61" s="1014" t="s">
        <v>941</v>
      </c>
      <c r="H61" s="1015"/>
    </row>
    <row r="62" spans="1:13">
      <c r="A62" s="701"/>
      <c r="B62" s="701"/>
    </row>
    <row r="63" spans="1:13" ht="15.75">
      <c r="A63" s="701"/>
      <c r="B63" s="701"/>
      <c r="E63" s="667" t="s">
        <v>64</v>
      </c>
      <c r="F63" s="667" t="s">
        <v>65</v>
      </c>
      <c r="G63" s="667" t="s">
        <v>66</v>
      </c>
      <c r="H63" s="667" t="s">
        <v>94</v>
      </c>
      <c r="I63" s="667" t="s">
        <v>800</v>
      </c>
      <c r="J63" s="667" t="s">
        <v>109</v>
      </c>
      <c r="K63" s="667" t="s">
        <v>366</v>
      </c>
      <c r="L63" s="667" t="s">
        <v>371</v>
      </c>
      <c r="M63" s="667" t="s">
        <v>111</v>
      </c>
    </row>
    <row r="64" spans="1:13" ht="45" customHeight="1">
      <c r="A64" s="701"/>
      <c r="B64" s="701"/>
      <c r="E64" s="667"/>
      <c r="F64" s="677" t="s">
        <v>801</v>
      </c>
      <c r="G64" s="677" t="s">
        <v>826</v>
      </c>
      <c r="H64" s="667" t="s">
        <v>827</v>
      </c>
      <c r="I64" s="677" t="s">
        <v>828</v>
      </c>
      <c r="J64" s="667"/>
      <c r="K64" s="667" t="s">
        <v>829</v>
      </c>
      <c r="L64" s="667" t="s">
        <v>830</v>
      </c>
      <c r="M64" s="677" t="s">
        <v>831</v>
      </c>
    </row>
    <row r="65" spans="1:13" ht="59.65" customHeight="1">
      <c r="A65" s="701"/>
      <c r="B65" s="701"/>
      <c r="C65" s="697" t="s">
        <v>806</v>
      </c>
      <c r="E65" s="698" t="s">
        <v>832</v>
      </c>
      <c r="F65" s="700" t="s">
        <v>833</v>
      </c>
      <c r="G65" s="700" t="s">
        <v>809</v>
      </c>
      <c r="H65" s="700" t="s">
        <v>834</v>
      </c>
      <c r="I65" s="700" t="s">
        <v>835</v>
      </c>
      <c r="J65" s="700" t="s">
        <v>811</v>
      </c>
      <c r="K65" s="700" t="s">
        <v>836</v>
      </c>
      <c r="L65" s="700" t="s">
        <v>812</v>
      </c>
      <c r="M65" s="700" t="s">
        <v>813</v>
      </c>
    </row>
    <row r="66" spans="1:13">
      <c r="A66" s="701"/>
      <c r="B66" s="701"/>
    </row>
    <row r="67" spans="1:13" ht="15.75">
      <c r="A67" s="680" t="s">
        <v>118</v>
      </c>
      <c r="B67" s="701" t="s">
        <v>821</v>
      </c>
      <c r="C67" s="702" t="s">
        <v>814</v>
      </c>
      <c r="E67" s="703"/>
      <c r="F67" s="668">
        <f>E11+G11+I11+K11</f>
        <v>0</v>
      </c>
      <c r="G67" s="668">
        <f>C15+E15+G15+I15+K15</f>
        <v>0</v>
      </c>
      <c r="H67" s="704">
        <f>E67-G67</f>
        <v>0</v>
      </c>
      <c r="I67" s="714">
        <f>H50-H67</f>
        <v>0</v>
      </c>
      <c r="J67" s="703"/>
      <c r="K67" s="704">
        <f>I50-J67</f>
        <v>0</v>
      </c>
      <c r="L67" s="705">
        <f>H67+I67-J67-K67</f>
        <v>0</v>
      </c>
      <c r="M67" s="705">
        <f>E67-J67-L67</f>
        <v>0</v>
      </c>
    </row>
    <row r="68" spans="1:13" ht="15.75">
      <c r="A68" s="701"/>
      <c r="B68" s="701"/>
      <c r="H68" s="704"/>
      <c r="I68" s="706"/>
      <c r="J68" s="706"/>
      <c r="L68" s="704"/>
      <c r="M68" s="705"/>
    </row>
    <row r="69" spans="1:13" ht="15.75">
      <c r="A69" s="680" t="s">
        <v>119</v>
      </c>
      <c r="B69" s="701" t="s">
        <v>821</v>
      </c>
      <c r="C69" s="702" t="s">
        <v>815</v>
      </c>
      <c r="E69" s="703"/>
      <c r="F69" s="668">
        <f>E19+G19+I19+K19</f>
        <v>0</v>
      </c>
      <c r="G69" s="668">
        <f>C23+E23+G23+I23+K23</f>
        <v>0</v>
      </c>
      <c r="H69" s="704">
        <f>E69-G69</f>
        <v>0</v>
      </c>
      <c r="I69" s="714">
        <f>H52-H69</f>
        <v>0</v>
      </c>
      <c r="J69" s="703"/>
      <c r="K69" s="704">
        <f>I52-J69</f>
        <v>0</v>
      </c>
      <c r="L69" s="705">
        <f>H69+I69-J69-K69</f>
        <v>0</v>
      </c>
      <c r="M69" s="705">
        <f>-E69+J69+L69</f>
        <v>0</v>
      </c>
    </row>
    <row r="70" spans="1:13" ht="15.75">
      <c r="A70" s="701"/>
      <c r="B70" s="701"/>
      <c r="H70" s="704"/>
      <c r="I70" s="706"/>
      <c r="J70" s="706"/>
      <c r="L70" s="704"/>
      <c r="M70" s="705"/>
    </row>
    <row r="71" spans="1:13" ht="15.75">
      <c r="A71" s="680" t="s">
        <v>122</v>
      </c>
      <c r="B71" s="701" t="s">
        <v>821</v>
      </c>
      <c r="C71" s="702" t="s">
        <v>816</v>
      </c>
      <c r="E71" s="703"/>
      <c r="F71" s="668">
        <f>E27+G27+I27+K27</f>
        <v>0</v>
      </c>
      <c r="G71" s="668">
        <f>C31+E31+G31+I31+K31</f>
        <v>0</v>
      </c>
      <c r="H71" s="704">
        <f>E71-G71</f>
        <v>0</v>
      </c>
      <c r="I71" s="714">
        <f>H54-H71</f>
        <v>0</v>
      </c>
      <c r="J71" s="703"/>
      <c r="K71" s="704">
        <f>I54-J71</f>
        <v>0</v>
      </c>
      <c r="L71" s="705">
        <f>H71+I71-J71-K71</f>
        <v>0</v>
      </c>
      <c r="M71" s="705">
        <f>-E71+J71+L71</f>
        <v>0</v>
      </c>
    </row>
    <row r="72" spans="1:13" ht="15.75">
      <c r="A72" s="701"/>
      <c r="B72" s="701"/>
      <c r="H72" s="704"/>
      <c r="I72" s="706"/>
      <c r="J72" s="706"/>
      <c r="L72" s="704"/>
      <c r="M72" s="704"/>
    </row>
    <row r="73" spans="1:13" ht="15.75">
      <c r="A73" s="680" t="s">
        <v>124</v>
      </c>
      <c r="B73" s="701" t="s">
        <v>821</v>
      </c>
      <c r="C73" s="702" t="s">
        <v>817</v>
      </c>
      <c r="E73" s="704">
        <f>E67-E69-E71</f>
        <v>0</v>
      </c>
      <c r="F73" s="704">
        <f>F67-F69-F71</f>
        <v>0</v>
      </c>
      <c r="G73" s="704">
        <f>G67-G69-G71</f>
        <v>0</v>
      </c>
      <c r="H73" s="704">
        <f>H67-H69-H71</f>
        <v>0</v>
      </c>
      <c r="I73" s="704">
        <f>I67+I69+I71</f>
        <v>0</v>
      </c>
      <c r="J73" s="704">
        <f>J67+J69+J71</f>
        <v>0</v>
      </c>
      <c r="K73" s="704">
        <f>K67+K69+K71</f>
        <v>0</v>
      </c>
      <c r="L73" s="704">
        <f>L67+L69+L71</f>
        <v>0</v>
      </c>
      <c r="M73" s="704">
        <f>M67+M69+M71</f>
        <v>0</v>
      </c>
    </row>
    <row r="74" spans="1:13">
      <c r="A74" s="701"/>
      <c r="B74" s="701"/>
    </row>
    <row r="75" spans="1:13">
      <c r="A75" s="701"/>
      <c r="B75" s="701"/>
    </row>
    <row r="76" spans="1:13">
      <c r="A76" s="701"/>
      <c r="B76" s="701"/>
    </row>
    <row r="77" spans="1:13" ht="15.75">
      <c r="A77" s="701"/>
      <c r="B77" s="709" t="s">
        <v>818</v>
      </c>
    </row>
    <row r="78" spans="1:13" ht="14.65" customHeight="1">
      <c r="A78" s="701"/>
      <c r="B78" s="1011" t="s">
        <v>842</v>
      </c>
      <c r="C78" s="1011"/>
      <c r="D78" s="1011"/>
      <c r="E78" s="1011"/>
      <c r="F78" s="1011"/>
      <c r="G78" s="1011"/>
      <c r="K78" s="715"/>
    </row>
    <row r="79" spans="1:13" ht="15.75">
      <c r="B79" s="702" t="s">
        <v>819</v>
      </c>
      <c r="C79" s="702"/>
      <c r="D79" s="702"/>
      <c r="E79" s="702"/>
      <c r="F79" s="702"/>
      <c r="G79" s="716"/>
    </row>
  </sheetData>
  <mergeCells count="7">
    <mergeCell ref="E7:L7"/>
    <mergeCell ref="G44:H44"/>
    <mergeCell ref="G61:H61"/>
    <mergeCell ref="B78:G78"/>
    <mergeCell ref="D1:K1"/>
    <mergeCell ref="D2:K2"/>
    <mergeCell ref="D3:K3"/>
  </mergeCells>
  <pageMargins left="0.7" right="0.7" top="0.75" bottom="0.75" header="0.3" footer="0.3"/>
  <pageSetup scale="52" orientation="landscape" r:id="rId1"/>
  <rowBreaks count="1" manualBreakCount="1">
    <brk id="36" max="1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D4B35-4464-4809-BAB4-3BEFC6576DA3}">
  <dimension ref="A1:P97"/>
  <sheetViews>
    <sheetView zoomScale="80" zoomScaleNormal="80" zoomScaleSheetLayoutView="70" workbookViewId="0">
      <selection activeCell="A4" sqref="A4"/>
    </sheetView>
  </sheetViews>
  <sheetFormatPr defaultColWidth="7.44140625" defaultRowHeight="12.75"/>
  <cols>
    <col min="1" max="1" width="4.6640625" style="468" customWidth="1"/>
    <col min="2" max="2" width="49.109375" style="467" customWidth="1"/>
    <col min="3" max="3" width="15.88671875" style="467" customWidth="1"/>
    <col min="4" max="4" width="17.109375" style="467" customWidth="1"/>
    <col min="5" max="5" width="16.33203125" style="467" customWidth="1"/>
    <col min="6" max="6" width="16.6640625" style="467" customWidth="1"/>
    <col min="7" max="7" width="13" style="467" customWidth="1"/>
    <col min="8" max="8" width="12.88671875" style="467" customWidth="1"/>
    <col min="9" max="9" width="19.5546875" style="467" customWidth="1"/>
    <col min="10" max="10" width="16.21875" style="467" customWidth="1"/>
    <col min="11" max="11" width="13.88671875" style="467" customWidth="1"/>
    <col min="12" max="12" width="14.109375" style="467" customWidth="1"/>
    <col min="13" max="16384" width="7.44140625" style="467"/>
  </cols>
  <sheetData>
    <row r="1" spans="1:16" ht="20.25">
      <c r="A1" s="1005" t="s">
        <v>889</v>
      </c>
      <c r="B1" s="1005"/>
      <c r="C1" s="1005"/>
      <c r="D1" s="1005"/>
      <c r="E1" s="1005"/>
      <c r="F1" s="1005"/>
      <c r="G1" s="1005"/>
      <c r="H1" s="1005"/>
      <c r="I1" s="1005"/>
      <c r="J1" s="1005"/>
      <c r="K1" s="1005"/>
    </row>
    <row r="2" spans="1:16" ht="21" customHeight="1">
      <c r="A2" s="516"/>
      <c r="B2" s="516"/>
      <c r="C2" s="516"/>
      <c r="D2" s="1021" t="s">
        <v>945</v>
      </c>
      <c r="E2" s="1021"/>
      <c r="F2" s="1021"/>
      <c r="G2" s="1021"/>
      <c r="H2" s="516"/>
      <c r="I2" s="516"/>
      <c r="J2" s="516"/>
      <c r="K2" s="516"/>
    </row>
    <row r="3" spans="1:16" ht="20.25">
      <c r="A3" s="1006" t="s">
        <v>1035</v>
      </c>
      <c r="B3" s="1006"/>
      <c r="C3" s="1006"/>
      <c r="D3" s="1006"/>
      <c r="E3" s="1006"/>
      <c r="F3" s="1006"/>
      <c r="G3" s="1006"/>
      <c r="H3" s="1006"/>
      <c r="I3" s="1006"/>
      <c r="J3" s="1006"/>
      <c r="K3" s="1006"/>
    </row>
    <row r="4" spans="1:16" ht="20.25">
      <c r="A4" s="516"/>
      <c r="D4" s="501"/>
      <c r="E4" s="717"/>
      <c r="F4" s="717"/>
      <c r="G4" s="717"/>
      <c r="H4" s="527"/>
      <c r="I4" s="528"/>
      <c r="J4" s="528"/>
      <c r="K4" s="529" t="s">
        <v>417</v>
      </c>
    </row>
    <row r="5" spans="1:16">
      <c r="A5" s="626"/>
      <c r="B5" s="645"/>
      <c r="C5" s="627"/>
      <c r="D5" s="627"/>
      <c r="E5" s="627"/>
      <c r="F5" s="627"/>
      <c r="G5" s="627"/>
      <c r="H5" s="626"/>
      <c r="I5" s="626"/>
      <c r="J5" s="626"/>
      <c r="K5" s="627"/>
    </row>
    <row r="6" spans="1:16" s="469" customFormat="1" ht="15.75" customHeight="1">
      <c r="A6" s="626"/>
      <c r="B6" s="530" t="s">
        <v>974</v>
      </c>
      <c r="C6" s="526"/>
      <c r="E6" s="526"/>
      <c r="F6" s="526"/>
      <c r="G6" s="526"/>
      <c r="H6" s="526"/>
      <c r="L6" s="586"/>
      <c r="M6" s="586"/>
      <c r="N6" s="586"/>
      <c r="O6" s="586"/>
      <c r="P6" s="586"/>
    </row>
    <row r="7" spans="1:16" ht="13.15" customHeight="1">
      <c r="A7" s="626"/>
      <c r="B7" s="645"/>
      <c r="C7" s="627"/>
      <c r="D7" s="627"/>
      <c r="E7" s="627"/>
      <c r="F7" s="627"/>
      <c r="G7" s="627"/>
      <c r="H7" s="626"/>
      <c r="I7" s="626"/>
      <c r="J7" s="626"/>
      <c r="K7" s="627"/>
      <c r="L7" s="586"/>
      <c r="M7" s="586"/>
      <c r="N7" s="586"/>
      <c r="O7" s="586"/>
      <c r="P7" s="586"/>
    </row>
    <row r="8" spans="1:16" ht="13.15" customHeight="1">
      <c r="A8" s="626"/>
      <c r="B8" s="473" t="s">
        <v>178</v>
      </c>
      <c r="C8" s="473" t="s">
        <v>179</v>
      </c>
      <c r="D8" s="473" t="s">
        <v>180</v>
      </c>
      <c r="E8" s="473" t="s">
        <v>181</v>
      </c>
      <c r="F8" s="473" t="s">
        <v>183</v>
      </c>
      <c r="G8" s="473" t="s">
        <v>182</v>
      </c>
      <c r="H8" s="473" t="s">
        <v>184</v>
      </c>
      <c r="I8" s="473" t="s">
        <v>185</v>
      </c>
      <c r="J8" s="473" t="s">
        <v>186</v>
      </c>
      <c r="K8" s="473" t="s">
        <v>623</v>
      </c>
      <c r="L8" s="586"/>
      <c r="M8" s="586"/>
      <c r="N8" s="586"/>
      <c r="O8" s="586"/>
      <c r="P8" s="586"/>
    </row>
    <row r="9" spans="1:16" ht="13.15" customHeight="1">
      <c r="A9" s="626"/>
      <c r="B9" s="473"/>
      <c r="C9" s="473"/>
      <c r="D9" s="475">
        <v>1</v>
      </c>
      <c r="E9" s="475">
        <v>1</v>
      </c>
      <c r="F9" s="474" t="s">
        <v>574</v>
      </c>
      <c r="G9" s="473"/>
      <c r="H9" s="473"/>
      <c r="I9" s="473" t="s">
        <v>575</v>
      </c>
      <c r="J9" s="473" t="s">
        <v>624</v>
      </c>
      <c r="K9" s="473" t="s">
        <v>625</v>
      </c>
      <c r="L9" s="586"/>
      <c r="M9" s="586"/>
      <c r="N9" s="586"/>
      <c r="O9" s="586"/>
      <c r="P9" s="586"/>
    </row>
    <row r="10" spans="1:16" ht="13.15" customHeight="1">
      <c r="A10" s="626" t="s">
        <v>8</v>
      </c>
      <c r="B10" s="473"/>
      <c r="C10" s="473"/>
      <c r="D10" s="473" t="s">
        <v>576</v>
      </c>
      <c r="E10" s="473" t="s">
        <v>577</v>
      </c>
      <c r="F10" s="473" t="s">
        <v>16</v>
      </c>
      <c r="G10" s="473" t="s">
        <v>542</v>
      </c>
      <c r="H10" s="473" t="s">
        <v>543</v>
      </c>
      <c r="I10" s="473" t="s">
        <v>626</v>
      </c>
      <c r="J10" s="473" t="s">
        <v>627</v>
      </c>
      <c r="K10" s="473" t="s">
        <v>427</v>
      </c>
      <c r="L10" s="586"/>
      <c r="M10" s="586"/>
      <c r="N10" s="586"/>
      <c r="O10" s="586"/>
      <c r="P10" s="586"/>
    </row>
    <row r="11" spans="1:16">
      <c r="A11" s="626" t="s">
        <v>10</v>
      </c>
      <c r="B11" s="476" t="s">
        <v>579</v>
      </c>
      <c r="C11" s="476" t="s">
        <v>628</v>
      </c>
      <c r="D11" s="476" t="s">
        <v>544</v>
      </c>
      <c r="E11" s="476" t="s">
        <v>581</v>
      </c>
      <c r="F11" s="476" t="s">
        <v>544</v>
      </c>
      <c r="G11" s="476" t="s">
        <v>544</v>
      </c>
      <c r="H11" s="476" t="s">
        <v>544</v>
      </c>
      <c r="I11" s="476" t="s">
        <v>629</v>
      </c>
      <c r="J11" s="476" t="s">
        <v>491</v>
      </c>
      <c r="K11" s="476" t="s">
        <v>630</v>
      </c>
    </row>
    <row r="12" spans="1:16">
      <c r="B12" s="627"/>
      <c r="C12" s="627"/>
      <c r="D12" s="627"/>
      <c r="E12" s="627"/>
      <c r="F12" s="627"/>
      <c r="G12" s="644"/>
      <c r="H12" s="644"/>
      <c r="I12" s="627"/>
      <c r="J12" s="627"/>
      <c r="K12" s="627"/>
    </row>
    <row r="13" spans="1:16">
      <c r="A13" s="626">
        <v>1</v>
      </c>
      <c r="B13" s="718"/>
      <c r="C13" s="719"/>
      <c r="D13" s="719"/>
      <c r="E13" s="719"/>
      <c r="F13" s="719"/>
      <c r="G13" s="719"/>
      <c r="H13" s="720"/>
      <c r="I13" s="720"/>
      <c r="J13" s="721"/>
      <c r="K13" s="722"/>
    </row>
    <row r="14" spans="1:16">
      <c r="A14" s="626">
        <f>A13+1</f>
        <v>2</v>
      </c>
      <c r="B14" s="723"/>
      <c r="C14" s="651"/>
      <c r="D14" s="651"/>
      <c r="E14" s="651"/>
      <c r="F14" s="651"/>
      <c r="G14" s="651"/>
      <c r="H14" s="724"/>
      <c r="I14" s="725"/>
      <c r="J14" s="720"/>
      <c r="K14" s="722"/>
    </row>
    <row r="15" spans="1:16">
      <c r="A15" s="626">
        <f>A14+1</f>
        <v>3</v>
      </c>
      <c r="B15" s="718"/>
      <c r="C15" s="651"/>
      <c r="D15" s="651"/>
      <c r="E15" s="651"/>
      <c r="F15" s="651"/>
      <c r="G15" s="651"/>
      <c r="H15" s="724"/>
      <c r="I15" s="725"/>
      <c r="J15" s="720"/>
      <c r="K15" s="722"/>
    </row>
    <row r="16" spans="1:16">
      <c r="A16" s="626">
        <f t="shared" ref="A16:A26" si="0">A15+1</f>
        <v>4</v>
      </c>
      <c r="B16" s="723"/>
      <c r="C16" s="651"/>
      <c r="D16" s="651"/>
      <c r="E16" s="651"/>
      <c r="F16" s="651"/>
      <c r="G16" s="651"/>
      <c r="H16" s="651"/>
      <c r="I16" s="725"/>
      <c r="J16" s="720"/>
      <c r="K16" s="722"/>
    </row>
    <row r="17" spans="1:11">
      <c r="A17" s="626">
        <f t="shared" si="0"/>
        <v>5</v>
      </c>
      <c r="B17" s="633"/>
      <c r="C17" s="651"/>
      <c r="D17" s="651"/>
      <c r="E17" s="651"/>
      <c r="F17" s="651"/>
      <c r="G17" s="651"/>
      <c r="H17" s="724"/>
      <c r="I17" s="725"/>
      <c r="J17" s="720"/>
      <c r="K17" s="721"/>
    </row>
    <row r="18" spans="1:11">
      <c r="A18" s="626">
        <f t="shared" si="0"/>
        <v>6</v>
      </c>
      <c r="B18" s="633"/>
      <c r="C18" s="651"/>
      <c r="D18" s="651"/>
      <c r="E18" s="651"/>
      <c r="F18" s="651"/>
      <c r="G18" s="651"/>
      <c r="H18" s="724"/>
      <c r="I18" s="720"/>
      <c r="J18" s="720"/>
      <c r="K18" s="720"/>
    </row>
    <row r="19" spans="1:11">
      <c r="A19" s="626">
        <f t="shared" si="0"/>
        <v>7</v>
      </c>
      <c r="B19" s="633"/>
      <c r="C19" s="651"/>
      <c r="D19" s="651"/>
      <c r="E19" s="651"/>
      <c r="F19" s="651"/>
      <c r="G19" s="651"/>
      <c r="H19" s="724"/>
      <c r="I19" s="720"/>
      <c r="J19" s="720"/>
      <c r="K19" s="720"/>
    </row>
    <row r="20" spans="1:11">
      <c r="A20" s="626">
        <f t="shared" si="0"/>
        <v>8</v>
      </c>
      <c r="B20" s="633"/>
      <c r="C20" s="651"/>
      <c r="D20" s="651"/>
      <c r="E20" s="651"/>
      <c r="F20" s="651"/>
      <c r="G20" s="651"/>
      <c r="H20" s="724"/>
      <c r="I20" s="720"/>
      <c r="J20" s="720"/>
      <c r="K20" s="720"/>
    </row>
    <row r="21" spans="1:11">
      <c r="A21" s="626">
        <f t="shared" si="0"/>
        <v>9</v>
      </c>
      <c r="B21" s="633"/>
      <c r="C21" s="651"/>
      <c r="D21" s="651"/>
      <c r="E21" s="651"/>
      <c r="F21" s="651"/>
      <c r="G21" s="651"/>
      <c r="H21" s="724"/>
      <c r="I21" s="720"/>
      <c r="J21" s="720"/>
      <c r="K21" s="720"/>
    </row>
    <row r="22" spans="1:11">
      <c r="A22" s="626">
        <f t="shared" si="0"/>
        <v>10</v>
      </c>
      <c r="B22" s="633"/>
      <c r="C22" s="651"/>
      <c r="D22" s="651"/>
      <c r="E22" s="651"/>
      <c r="F22" s="651"/>
      <c r="G22" s="651"/>
      <c r="H22" s="724"/>
      <c r="I22" s="720"/>
      <c r="J22" s="720"/>
      <c r="K22" s="720"/>
    </row>
    <row r="23" spans="1:11">
      <c r="A23" s="626">
        <f t="shared" si="0"/>
        <v>11</v>
      </c>
      <c r="B23" s="726"/>
      <c r="C23" s="727"/>
      <c r="D23" s="727"/>
      <c r="E23" s="727"/>
      <c r="F23" s="727"/>
      <c r="G23" s="727" t="s">
        <v>2</v>
      </c>
      <c r="H23" s="727"/>
      <c r="I23" s="728"/>
      <c r="J23" s="729"/>
      <c r="K23" s="729"/>
    </row>
    <row r="24" spans="1:11">
      <c r="A24" s="626">
        <f t="shared" si="0"/>
        <v>12</v>
      </c>
      <c r="B24" s="531" t="s">
        <v>631</v>
      </c>
      <c r="C24" s="730">
        <f t="shared" ref="C24:H24" si="1">SUM(C13:C22)</f>
        <v>0</v>
      </c>
      <c r="D24" s="730">
        <f t="shared" si="1"/>
        <v>0</v>
      </c>
      <c r="E24" s="730">
        <f t="shared" si="1"/>
        <v>0</v>
      </c>
      <c r="F24" s="730">
        <f t="shared" si="1"/>
        <v>0</v>
      </c>
      <c r="G24" s="730">
        <f t="shared" si="1"/>
        <v>0</v>
      </c>
      <c r="H24" s="730">
        <f t="shared" si="1"/>
        <v>0</v>
      </c>
      <c r="I24" s="728"/>
      <c r="J24" s="729"/>
      <c r="K24" s="729"/>
    </row>
    <row r="25" spans="1:11" ht="12.75" customHeight="1" thickBot="1">
      <c r="A25" s="626">
        <f t="shared" si="0"/>
        <v>13</v>
      </c>
      <c r="B25" s="531" t="s">
        <v>632</v>
      </c>
      <c r="C25" s="731"/>
      <c r="D25" s="532">
        <v>0</v>
      </c>
      <c r="E25" s="532">
        <v>0</v>
      </c>
      <c r="F25" s="532">
        <v>1</v>
      </c>
      <c r="G25" s="532">
        <v>1</v>
      </c>
      <c r="H25" s="532">
        <v>1</v>
      </c>
      <c r="I25" s="732"/>
      <c r="J25" s="729"/>
      <c r="K25" s="729"/>
    </row>
    <row r="26" spans="1:11" ht="13.5" thickBot="1">
      <c r="A26" s="626">
        <f t="shared" si="0"/>
        <v>14</v>
      </c>
      <c r="B26" s="531" t="str">
        <f>"Total   (ln "&amp;A24&amp;" * ln "&amp;A25&amp;")"</f>
        <v>Total   (ln 12 * ln 13)</v>
      </c>
      <c r="C26" s="726"/>
      <c r="D26" s="731">
        <f>D24*D25</f>
        <v>0</v>
      </c>
      <c r="E26" s="731">
        <f>E24*E25</f>
        <v>0</v>
      </c>
      <c r="F26" s="731">
        <f>F24*F25</f>
        <v>0</v>
      </c>
      <c r="G26" s="731">
        <f>G24*G25</f>
        <v>0</v>
      </c>
      <c r="H26" s="733">
        <f>H24*H25</f>
        <v>0</v>
      </c>
      <c r="I26" s="734">
        <f>SUM(E26:H26)</f>
        <v>0</v>
      </c>
      <c r="J26" s="729"/>
      <c r="K26" s="729"/>
    </row>
    <row r="27" spans="1:11">
      <c r="A27" s="626"/>
      <c r="B27" s="533"/>
      <c r="C27" s="735"/>
      <c r="D27" s="729"/>
      <c r="E27" s="729"/>
      <c r="F27" s="729"/>
      <c r="G27" s="729"/>
      <c r="H27" s="729"/>
      <c r="I27" s="729"/>
      <c r="J27" s="729"/>
      <c r="K27" s="627"/>
    </row>
    <row r="28" spans="1:11">
      <c r="A28" s="626"/>
      <c r="B28" s="533"/>
      <c r="C28" s="735"/>
      <c r="D28" s="729"/>
      <c r="E28" s="729"/>
      <c r="F28" s="729"/>
      <c r="G28" s="729"/>
      <c r="H28" s="729"/>
      <c r="I28" s="729"/>
      <c r="J28" s="729"/>
      <c r="K28" s="627"/>
    </row>
    <row r="29" spans="1:11" ht="12.75" customHeight="1">
      <c r="A29" s="626"/>
      <c r="B29" s="534"/>
      <c r="C29" s="534"/>
      <c r="D29" s="534"/>
      <c r="E29" s="534"/>
      <c r="F29" s="534"/>
      <c r="G29" s="534"/>
      <c r="H29" s="534"/>
      <c r="I29" s="534"/>
      <c r="J29" s="534"/>
      <c r="K29" s="534"/>
    </row>
    <row r="30" spans="1:11" s="469" customFormat="1" ht="15.75">
      <c r="A30" s="626"/>
      <c r="B30" s="530" t="s">
        <v>973</v>
      </c>
      <c r="C30" s="526"/>
      <c r="E30" s="526"/>
      <c r="F30" s="526"/>
      <c r="G30" s="526"/>
      <c r="H30" s="526"/>
    </row>
    <row r="31" spans="1:11" ht="12.75" customHeight="1">
      <c r="A31" s="626"/>
      <c r="B31" s="534"/>
      <c r="C31" s="534"/>
      <c r="D31" s="534"/>
      <c r="E31" s="534"/>
      <c r="F31" s="534"/>
      <c r="G31" s="534"/>
      <c r="H31" s="534"/>
      <c r="I31" s="534"/>
      <c r="J31" s="534"/>
      <c r="K31" s="534"/>
    </row>
    <row r="32" spans="1:11">
      <c r="A32" s="626"/>
      <c r="B32" s="473" t="s">
        <v>178</v>
      </c>
      <c r="C32" s="473" t="s">
        <v>179</v>
      </c>
      <c r="D32" s="473" t="s">
        <v>180</v>
      </c>
      <c r="E32" s="473" t="s">
        <v>181</v>
      </c>
      <c r="F32" s="473" t="s">
        <v>183</v>
      </c>
      <c r="G32" s="473" t="s">
        <v>182</v>
      </c>
      <c r="H32" s="473" t="s">
        <v>184</v>
      </c>
      <c r="I32" s="473" t="s">
        <v>185</v>
      </c>
      <c r="J32" s="473" t="s">
        <v>186</v>
      </c>
      <c r="K32" s="473" t="s">
        <v>623</v>
      </c>
    </row>
    <row r="33" spans="1:11">
      <c r="A33" s="626"/>
      <c r="B33" s="473"/>
      <c r="C33" s="473"/>
      <c r="D33" s="475">
        <v>1</v>
      </c>
      <c r="E33" s="475">
        <v>1</v>
      </c>
      <c r="F33" s="474" t="s">
        <v>574</v>
      </c>
      <c r="G33" s="473"/>
      <c r="H33" s="473"/>
      <c r="I33" s="473" t="s">
        <v>575</v>
      </c>
      <c r="J33" s="473" t="s">
        <v>624</v>
      </c>
      <c r="K33" s="473" t="s">
        <v>625</v>
      </c>
    </row>
    <row r="34" spans="1:11">
      <c r="A34" s="626" t="s">
        <v>8</v>
      </c>
      <c r="B34" s="473"/>
      <c r="C34" s="473"/>
      <c r="D34" s="473" t="s">
        <v>576</v>
      </c>
      <c r="E34" s="473" t="s">
        <v>577</v>
      </c>
      <c r="F34" s="473" t="s">
        <v>16</v>
      </c>
      <c r="G34" s="473" t="s">
        <v>542</v>
      </c>
      <c r="H34" s="473" t="s">
        <v>543</v>
      </c>
      <c r="I34" s="473" t="s">
        <v>626</v>
      </c>
      <c r="J34" s="473" t="s">
        <v>627</v>
      </c>
      <c r="K34" s="473" t="s">
        <v>427</v>
      </c>
    </row>
    <row r="35" spans="1:11">
      <c r="A35" s="626" t="s">
        <v>10</v>
      </c>
      <c r="B35" s="476" t="s">
        <v>579</v>
      </c>
      <c r="C35" s="476" t="s">
        <v>628</v>
      </c>
      <c r="D35" s="476" t="s">
        <v>544</v>
      </c>
      <c r="E35" s="476" t="s">
        <v>581</v>
      </c>
      <c r="F35" s="476" t="s">
        <v>544</v>
      </c>
      <c r="G35" s="476" t="s">
        <v>544</v>
      </c>
      <c r="H35" s="476" t="s">
        <v>544</v>
      </c>
      <c r="I35" s="476" t="s">
        <v>629</v>
      </c>
      <c r="J35" s="476" t="s">
        <v>491</v>
      </c>
      <c r="K35" s="476" t="s">
        <v>630</v>
      </c>
    </row>
    <row r="36" spans="1:11" ht="12.75" customHeight="1">
      <c r="B36" s="627"/>
      <c r="C36" s="535"/>
      <c r="D36" s="627"/>
      <c r="E36" s="627"/>
      <c r="F36" s="627"/>
      <c r="G36" s="535"/>
      <c r="H36" s="535"/>
      <c r="I36" s="535"/>
      <c r="J36" s="535"/>
      <c r="K36" s="627"/>
    </row>
    <row r="37" spans="1:11">
      <c r="A37" s="626">
        <f>A26+1</f>
        <v>15</v>
      </c>
      <c r="B37" s="718"/>
      <c r="C37" s="719"/>
      <c r="D37" s="719"/>
      <c r="E37" s="719"/>
      <c r="F37" s="719"/>
      <c r="G37" s="719"/>
      <c r="H37" s="720"/>
      <c r="I37" s="719"/>
      <c r="J37" s="719"/>
      <c r="K37" s="736"/>
    </row>
    <row r="38" spans="1:11">
      <c r="A38" s="626">
        <f t="shared" ref="A38:A68" si="2">A37+1</f>
        <v>16</v>
      </c>
      <c r="B38" s="723"/>
      <c r="C38" s="719"/>
      <c r="D38" s="719"/>
      <c r="E38" s="719"/>
      <c r="F38" s="719"/>
      <c r="G38" s="719"/>
      <c r="H38" s="720"/>
      <c r="I38" s="719"/>
      <c r="J38" s="719"/>
      <c r="K38" s="736"/>
    </row>
    <row r="39" spans="1:11">
      <c r="A39" s="626">
        <f t="shared" si="2"/>
        <v>17</v>
      </c>
      <c r="B39" s="718"/>
      <c r="C39" s="737"/>
      <c r="D39" s="719"/>
      <c r="E39" s="719"/>
      <c r="F39" s="737"/>
      <c r="G39" s="719"/>
      <c r="H39" s="720"/>
      <c r="I39" s="737"/>
      <c r="J39" s="719"/>
      <c r="K39" s="736"/>
    </row>
    <row r="40" spans="1:11">
      <c r="A40" s="626">
        <f t="shared" si="2"/>
        <v>18</v>
      </c>
      <c r="B40" s="723"/>
      <c r="C40" s="651"/>
      <c r="D40" s="651"/>
      <c r="E40" s="651"/>
      <c r="F40" s="651"/>
      <c r="G40" s="651"/>
      <c r="H40" s="724"/>
      <c r="I40" s="737"/>
      <c r="J40" s="719"/>
      <c r="K40" s="736"/>
    </row>
    <row r="41" spans="1:11">
      <c r="A41" s="626">
        <f t="shared" si="2"/>
        <v>19</v>
      </c>
      <c r="B41" s="718"/>
      <c r="C41" s="651"/>
      <c r="D41" s="651"/>
      <c r="E41" s="651"/>
      <c r="F41" s="651"/>
      <c r="G41" s="651"/>
      <c r="H41" s="724"/>
      <c r="I41" s="737"/>
      <c r="J41" s="719"/>
      <c r="K41" s="736"/>
    </row>
    <row r="42" spans="1:11">
      <c r="A42" s="626">
        <f t="shared" si="2"/>
        <v>20</v>
      </c>
      <c r="B42" s="718"/>
      <c r="C42" s="651"/>
      <c r="D42" s="651"/>
      <c r="E42" s="651"/>
      <c r="F42" s="651"/>
      <c r="G42" s="651"/>
      <c r="H42" s="724"/>
      <c r="I42" s="737"/>
      <c r="J42" s="719"/>
      <c r="K42" s="736"/>
    </row>
    <row r="43" spans="1:11">
      <c r="A43" s="626">
        <f t="shared" si="2"/>
        <v>21</v>
      </c>
      <c r="B43" s="718"/>
      <c r="C43" s="651"/>
      <c r="D43" s="651"/>
      <c r="E43" s="651"/>
      <c r="F43" s="651"/>
      <c r="G43" s="651"/>
      <c r="H43" s="724"/>
      <c r="I43" s="737"/>
      <c r="J43" s="719"/>
      <c r="K43" s="736"/>
    </row>
    <row r="44" spans="1:11">
      <c r="A44" s="626">
        <f t="shared" si="2"/>
        <v>22</v>
      </c>
      <c r="B44" s="738"/>
      <c r="C44" s="651"/>
      <c r="D44" s="651"/>
      <c r="E44" s="651"/>
      <c r="F44" s="651"/>
      <c r="G44" s="651"/>
      <c r="H44" s="724"/>
      <c r="I44" s="737"/>
      <c r="J44" s="719"/>
      <c r="K44" s="736"/>
    </row>
    <row r="45" spans="1:11">
      <c r="A45" s="626">
        <f t="shared" si="2"/>
        <v>23</v>
      </c>
      <c r="B45" s="738"/>
      <c r="C45" s="651"/>
      <c r="D45" s="719"/>
      <c r="E45" s="719"/>
      <c r="F45" s="719"/>
      <c r="G45" s="719"/>
      <c r="H45" s="720"/>
      <c r="I45" s="737"/>
      <c r="J45" s="719"/>
      <c r="K45" s="736"/>
    </row>
    <row r="46" spans="1:11" s="717" customFormat="1">
      <c r="A46" s="626">
        <f t="shared" si="2"/>
        <v>24</v>
      </c>
      <c r="B46" s="738"/>
      <c r="C46" s="651"/>
      <c r="D46" s="651"/>
      <c r="E46" s="651"/>
      <c r="F46" s="651"/>
      <c r="G46" s="651"/>
      <c r="H46" s="724"/>
      <c r="I46" s="721"/>
      <c r="J46" s="721"/>
      <c r="K46" s="736"/>
    </row>
    <row r="47" spans="1:11">
      <c r="A47" s="626">
        <f t="shared" si="2"/>
        <v>25</v>
      </c>
      <c r="B47" s="738"/>
      <c r="C47" s="651"/>
      <c r="D47" s="651"/>
      <c r="E47" s="651"/>
      <c r="F47" s="651"/>
      <c r="G47" s="651"/>
      <c r="H47" s="724"/>
      <c r="I47" s="721"/>
      <c r="J47" s="721"/>
      <c r="K47" s="736"/>
    </row>
    <row r="48" spans="1:11">
      <c r="A48" s="626">
        <f t="shared" si="2"/>
        <v>26</v>
      </c>
      <c r="B48" s="739"/>
      <c r="C48" s="651"/>
      <c r="D48" s="651"/>
      <c r="E48" s="651"/>
      <c r="F48" s="651"/>
      <c r="G48" s="651"/>
      <c r="H48" s="724"/>
      <c r="I48" s="721"/>
      <c r="J48" s="721"/>
      <c r="K48" s="736"/>
    </row>
    <row r="49" spans="1:11">
      <c r="A49" s="626">
        <f t="shared" si="2"/>
        <v>27</v>
      </c>
      <c r="B49" s="738"/>
      <c r="C49" s="651"/>
      <c r="D49" s="651"/>
      <c r="E49" s="651"/>
      <c r="F49" s="651"/>
      <c r="G49" s="651"/>
      <c r="H49" s="724"/>
      <c r="I49" s="721"/>
      <c r="J49" s="721"/>
      <c r="K49" s="736"/>
    </row>
    <row r="50" spans="1:11">
      <c r="A50" s="626">
        <f t="shared" si="2"/>
        <v>28</v>
      </c>
      <c r="B50" s="738"/>
      <c r="C50" s="651"/>
      <c r="D50" s="651"/>
      <c r="E50" s="651"/>
      <c r="F50" s="651"/>
      <c r="G50" s="651"/>
      <c r="H50" s="724"/>
      <c r="I50" s="721"/>
      <c r="J50" s="721"/>
      <c r="K50" s="736"/>
    </row>
    <row r="51" spans="1:11">
      <c r="A51" s="626">
        <f t="shared" si="2"/>
        <v>29</v>
      </c>
      <c r="B51" s="738"/>
      <c r="C51" s="651"/>
      <c r="D51" s="651"/>
      <c r="E51" s="651"/>
      <c r="F51" s="651"/>
      <c r="G51" s="651"/>
      <c r="H51" s="724"/>
      <c r="I51" s="721"/>
      <c r="J51" s="721"/>
      <c r="K51" s="736"/>
    </row>
    <row r="52" spans="1:11">
      <c r="A52" s="626">
        <f t="shared" si="2"/>
        <v>30</v>
      </c>
      <c r="B52" s="738"/>
      <c r="C52" s="651"/>
      <c r="D52" s="651"/>
      <c r="E52" s="651"/>
      <c r="F52" s="651"/>
      <c r="G52" s="651"/>
      <c r="H52" s="724"/>
      <c r="I52" s="721"/>
      <c r="J52" s="721"/>
      <c r="K52" s="722"/>
    </row>
    <row r="53" spans="1:11">
      <c r="A53" s="626">
        <f t="shared" si="2"/>
        <v>31</v>
      </c>
      <c r="B53" s="738"/>
      <c r="C53" s="651"/>
      <c r="D53" s="651"/>
      <c r="E53" s="651"/>
      <c r="F53" s="651"/>
      <c r="G53" s="651"/>
      <c r="H53" s="724"/>
      <c r="I53" s="721"/>
      <c r="J53" s="721"/>
      <c r="K53" s="722"/>
    </row>
    <row r="54" spans="1:11">
      <c r="A54" s="626">
        <f t="shared" si="2"/>
        <v>32</v>
      </c>
      <c r="B54" s="738"/>
      <c r="C54" s="651"/>
      <c r="D54" s="651"/>
      <c r="E54" s="651"/>
      <c r="F54" s="651"/>
      <c r="G54" s="651"/>
      <c r="H54" s="724"/>
      <c r="I54" s="721"/>
      <c r="J54" s="721"/>
      <c r="K54" s="722"/>
    </row>
    <row r="55" spans="1:11">
      <c r="A55" s="626">
        <f t="shared" si="2"/>
        <v>33</v>
      </c>
      <c r="B55" s="738"/>
      <c r="C55" s="651"/>
      <c r="D55" s="651"/>
      <c r="E55" s="651"/>
      <c r="F55" s="651"/>
      <c r="G55" s="651"/>
      <c r="H55" s="724"/>
      <c r="I55" s="721"/>
      <c r="J55" s="721"/>
      <c r="K55" s="722"/>
    </row>
    <row r="56" spans="1:11">
      <c r="A56" s="626">
        <f t="shared" si="2"/>
        <v>34</v>
      </c>
      <c r="B56" s="738"/>
      <c r="C56" s="651"/>
      <c r="D56" s="651"/>
      <c r="E56" s="651"/>
      <c r="F56" s="651"/>
      <c r="G56" s="651"/>
      <c r="H56" s="724"/>
      <c r="I56" s="721"/>
      <c r="J56" s="721"/>
      <c r="K56" s="722"/>
    </row>
    <row r="57" spans="1:11">
      <c r="A57" s="626">
        <f t="shared" si="2"/>
        <v>35</v>
      </c>
      <c r="B57" s="738"/>
      <c r="C57" s="651"/>
      <c r="D57" s="651"/>
      <c r="E57" s="651"/>
      <c r="F57" s="651"/>
      <c r="G57" s="651"/>
      <c r="H57" s="724"/>
      <c r="I57" s="721"/>
      <c r="J57" s="721"/>
      <c r="K57" s="722"/>
    </row>
    <row r="58" spans="1:11">
      <c r="A58" s="626">
        <f t="shared" si="2"/>
        <v>36</v>
      </c>
      <c r="B58" s="738"/>
      <c r="C58" s="651"/>
      <c r="D58" s="651"/>
      <c r="E58" s="651"/>
      <c r="F58" s="651"/>
      <c r="G58" s="651"/>
      <c r="H58" s="724"/>
      <c r="I58" s="721"/>
      <c r="J58" s="721"/>
      <c r="K58" s="722"/>
    </row>
    <row r="59" spans="1:11">
      <c r="A59" s="626">
        <f t="shared" si="2"/>
        <v>37</v>
      </c>
      <c r="B59" s="738"/>
      <c r="C59" s="651"/>
      <c r="D59" s="651"/>
      <c r="E59" s="651"/>
      <c r="F59" s="651"/>
      <c r="G59" s="651"/>
      <c r="H59" s="724"/>
      <c r="I59" s="721"/>
      <c r="J59" s="721"/>
      <c r="K59" s="722"/>
    </row>
    <row r="60" spans="1:11">
      <c r="A60" s="626">
        <f t="shared" si="2"/>
        <v>38</v>
      </c>
      <c r="B60" s="738"/>
      <c r="C60" s="651"/>
      <c r="D60" s="651"/>
      <c r="E60" s="651"/>
      <c r="F60" s="651"/>
      <c r="G60" s="651"/>
      <c r="H60" s="724"/>
      <c r="I60" s="721"/>
      <c r="J60" s="721"/>
      <c r="K60" s="722"/>
    </row>
    <row r="61" spans="1:11">
      <c r="A61" s="626">
        <f t="shared" si="2"/>
        <v>39</v>
      </c>
      <c r="B61" s="738"/>
      <c r="C61" s="651"/>
      <c r="D61" s="651"/>
      <c r="E61" s="651"/>
      <c r="F61" s="651"/>
      <c r="G61" s="651"/>
      <c r="H61" s="724"/>
      <c r="I61" s="721"/>
      <c r="J61" s="721"/>
      <c r="K61" s="722"/>
    </row>
    <row r="62" spans="1:11">
      <c r="A62" s="626">
        <f t="shared" si="2"/>
        <v>40</v>
      </c>
      <c r="B62" s="738"/>
      <c r="C62" s="651"/>
      <c r="D62" s="651"/>
      <c r="E62" s="651"/>
      <c r="F62" s="651"/>
      <c r="G62" s="651"/>
      <c r="H62" s="724"/>
      <c r="I62" s="721"/>
      <c r="J62" s="721"/>
      <c r="K62" s="722"/>
    </row>
    <row r="63" spans="1:11">
      <c r="A63" s="626">
        <f t="shared" si="2"/>
        <v>41</v>
      </c>
      <c r="B63" s="738"/>
      <c r="C63" s="651"/>
      <c r="D63" s="651"/>
      <c r="E63" s="651"/>
      <c r="F63" s="651"/>
      <c r="G63" s="651"/>
      <c r="H63" s="724"/>
      <c r="I63" s="721"/>
      <c r="J63" s="721"/>
      <c r="K63" s="722"/>
    </row>
    <row r="64" spans="1:11">
      <c r="A64" s="626">
        <f t="shared" si="2"/>
        <v>42</v>
      </c>
      <c r="B64" s="738"/>
      <c r="C64" s="651"/>
      <c r="D64" s="651"/>
      <c r="E64" s="651"/>
      <c r="F64" s="651"/>
      <c r="G64" s="651"/>
      <c r="H64" s="724"/>
      <c r="I64" s="721"/>
      <c r="J64" s="721"/>
      <c r="K64" s="722"/>
    </row>
    <row r="65" spans="1:14" ht="12.75" customHeight="1">
      <c r="A65" s="626">
        <f t="shared" si="2"/>
        <v>43</v>
      </c>
      <c r="B65" s="726"/>
      <c r="C65" s="730"/>
      <c r="D65" s="730"/>
      <c r="E65" s="730"/>
      <c r="F65" s="730"/>
      <c r="G65" s="730"/>
      <c r="H65" s="730"/>
      <c r="I65" s="730"/>
      <c r="J65" s="729"/>
      <c r="K65" s="729"/>
    </row>
    <row r="66" spans="1:14" ht="12.75" customHeight="1">
      <c r="A66" s="626">
        <f t="shared" si="2"/>
        <v>44</v>
      </c>
      <c r="B66" s="531" t="s">
        <v>631</v>
      </c>
      <c r="C66" s="730">
        <f t="shared" ref="C66:H66" si="3">SUM(C37:C64)</f>
        <v>0</v>
      </c>
      <c r="D66" s="731">
        <f t="shared" si="3"/>
        <v>0</v>
      </c>
      <c r="E66" s="731">
        <f t="shared" si="3"/>
        <v>0</v>
      </c>
      <c r="F66" s="731">
        <f t="shared" si="3"/>
        <v>0</v>
      </c>
      <c r="G66" s="536">
        <f t="shared" si="3"/>
        <v>0</v>
      </c>
      <c r="H66" s="536">
        <f t="shared" si="3"/>
        <v>0</v>
      </c>
      <c r="I66" s="730"/>
      <c r="J66" s="729"/>
      <c r="K66" s="729"/>
    </row>
    <row r="67" spans="1:14" ht="12.75" customHeight="1" thickBot="1">
      <c r="A67" s="626">
        <f t="shared" si="2"/>
        <v>45</v>
      </c>
      <c r="B67" s="531" t="s">
        <v>632</v>
      </c>
      <c r="C67" s="731"/>
      <c r="D67" s="532">
        <v>0</v>
      </c>
      <c r="E67" s="532">
        <v>0</v>
      </c>
      <c r="F67" s="532">
        <v>1</v>
      </c>
      <c r="G67" s="532">
        <v>1</v>
      </c>
      <c r="H67" s="532">
        <v>1</v>
      </c>
      <c r="I67" s="732"/>
      <c r="J67" s="729"/>
      <c r="K67" s="729"/>
    </row>
    <row r="68" spans="1:14" ht="12.75" customHeight="1" thickBot="1">
      <c r="A68" s="626">
        <f t="shared" si="2"/>
        <v>46</v>
      </c>
      <c r="B68" s="531" t="str">
        <f>"Total   (ln "&amp;A66&amp;" * ln "&amp;A67&amp;")"</f>
        <v>Total   (ln 44 * ln 45)</v>
      </c>
      <c r="C68" s="726"/>
      <c r="D68" s="731">
        <f>D66*D67</f>
        <v>0</v>
      </c>
      <c r="E68" s="731">
        <f>E66*E67</f>
        <v>0</v>
      </c>
      <c r="F68" s="731">
        <f>F66*F67</f>
        <v>0</v>
      </c>
      <c r="G68" s="731">
        <f>G66*G67</f>
        <v>0</v>
      </c>
      <c r="H68" s="733">
        <f>H66*H67</f>
        <v>0</v>
      </c>
      <c r="I68" s="734">
        <f>SUM(E68:H68)</f>
        <v>0</v>
      </c>
      <c r="J68" s="729"/>
      <c r="K68" s="729"/>
    </row>
    <row r="69" spans="1:14" ht="12.75" customHeight="1">
      <c r="A69" s="626"/>
      <c r="B69" s="533"/>
      <c r="C69" s="735"/>
      <c r="D69" s="729"/>
      <c r="E69" s="729"/>
      <c r="F69" s="729"/>
      <c r="G69" s="729"/>
      <c r="H69" s="729"/>
      <c r="I69" s="729"/>
      <c r="J69" s="729"/>
      <c r="K69" s="627"/>
    </row>
    <row r="70" spans="1:14" ht="12.75" customHeight="1">
      <c r="A70" s="626"/>
      <c r="B70" s="481"/>
      <c r="C70" s="627"/>
      <c r="D70" s="644"/>
      <c r="E70" s="644"/>
      <c r="F70" s="644"/>
      <c r="G70" s="644"/>
      <c r="H70" s="644"/>
      <c r="I70" s="644"/>
      <c r="J70" s="644"/>
      <c r="K70" s="627"/>
    </row>
    <row r="71" spans="1:14" ht="20.25" customHeight="1">
      <c r="A71" s="626"/>
      <c r="B71" s="481"/>
      <c r="C71" s="627"/>
      <c r="D71" s="644"/>
      <c r="E71" s="644"/>
      <c r="F71" s="644"/>
      <c r="G71" s="729"/>
      <c r="H71" s="729"/>
      <c r="I71" s="740"/>
      <c r="J71" s="740"/>
      <c r="K71" s="529" t="s">
        <v>140</v>
      </c>
    </row>
    <row r="72" spans="1:14" ht="18">
      <c r="A72" s="537" t="s">
        <v>913</v>
      </c>
      <c r="C72" s="627"/>
      <c r="D72" s="644"/>
      <c r="E72" s="644"/>
      <c r="F72" s="644"/>
      <c r="G72" s="729"/>
      <c r="H72" s="729"/>
      <c r="I72" s="740"/>
      <c r="J72" s="740"/>
    </row>
    <row r="73" spans="1:14" ht="15.75">
      <c r="A73" s="626"/>
      <c r="B73" s="530"/>
      <c r="C73" s="627"/>
      <c r="D73" s="644"/>
      <c r="E73" s="644"/>
      <c r="F73" s="644"/>
      <c r="G73" s="729"/>
      <c r="H73" s="729"/>
      <c r="I73" s="740"/>
      <c r="J73" s="740"/>
    </row>
    <row r="74" spans="1:14">
      <c r="A74" s="473"/>
      <c r="B74" s="473" t="s">
        <v>178</v>
      </c>
      <c r="C74" s="473" t="s">
        <v>179</v>
      </c>
      <c r="D74" s="473" t="s">
        <v>180</v>
      </c>
      <c r="E74" s="473" t="s">
        <v>181</v>
      </c>
      <c r="F74" s="473" t="s">
        <v>183</v>
      </c>
      <c r="G74" s="473" t="s">
        <v>182</v>
      </c>
      <c r="H74" s="1020" t="s">
        <v>184</v>
      </c>
      <c r="I74" s="1020"/>
      <c r="J74" s="1020"/>
      <c r="K74" s="1020"/>
      <c r="L74" s="1020"/>
      <c r="M74" s="538"/>
      <c r="N74" s="538"/>
    </row>
    <row r="75" spans="1:14">
      <c r="A75" s="473"/>
      <c r="B75" s="473"/>
      <c r="C75" s="473"/>
      <c r="D75" s="473"/>
      <c r="E75" s="473"/>
      <c r="F75" s="473"/>
      <c r="G75" s="473"/>
      <c r="H75" s="538"/>
      <c r="I75" s="538"/>
      <c r="J75" s="538"/>
      <c r="K75" s="539"/>
    </row>
    <row r="76" spans="1:14">
      <c r="A76" s="473"/>
      <c r="B76" s="473"/>
      <c r="C76" s="473" t="s">
        <v>633</v>
      </c>
      <c r="D76" s="473"/>
      <c r="E76" s="473"/>
      <c r="F76" s="473" t="s">
        <v>637</v>
      </c>
      <c r="G76" s="473"/>
      <c r="H76" s="538"/>
      <c r="I76" s="538"/>
      <c r="J76" s="538"/>
      <c r="K76" s="539"/>
    </row>
    <row r="77" spans="1:14">
      <c r="A77" s="626" t="s">
        <v>8</v>
      </c>
      <c r="B77" s="473" t="s">
        <v>634</v>
      </c>
      <c r="C77" s="540" t="s">
        <v>635</v>
      </c>
      <c r="D77" s="473" t="s">
        <v>636</v>
      </c>
      <c r="E77" s="473" t="s">
        <v>302</v>
      </c>
      <c r="F77" s="541" t="s">
        <v>914</v>
      </c>
      <c r="G77" s="541" t="s">
        <v>638</v>
      </c>
      <c r="H77" s="538"/>
      <c r="I77" s="538"/>
      <c r="J77" s="538"/>
      <c r="K77" s="539"/>
    </row>
    <row r="78" spans="1:14" ht="15">
      <c r="A78" s="626" t="s">
        <v>10</v>
      </c>
      <c r="B78" s="476" t="s">
        <v>639</v>
      </c>
      <c r="C78" s="542" t="s">
        <v>580</v>
      </c>
      <c r="D78" s="542" t="s">
        <v>330</v>
      </c>
      <c r="E78" s="542" t="s">
        <v>640</v>
      </c>
      <c r="F78" s="741" t="s">
        <v>427</v>
      </c>
      <c r="G78" s="543" t="s">
        <v>641</v>
      </c>
      <c r="H78" s="1019" t="s">
        <v>363</v>
      </c>
      <c r="I78" s="1019"/>
      <c r="J78" s="1019"/>
      <c r="K78" s="1019"/>
      <c r="L78" s="1019"/>
      <c r="N78" s="544"/>
    </row>
    <row r="79" spans="1:14">
      <c r="A79" s="626">
        <f>A68+1</f>
        <v>47</v>
      </c>
      <c r="B79" s="639"/>
      <c r="C79" s="742">
        <v>0</v>
      </c>
      <c r="D79" s="742">
        <v>0</v>
      </c>
      <c r="E79" s="742">
        <v>0</v>
      </c>
      <c r="F79" s="742">
        <v>0</v>
      </c>
      <c r="G79" s="742">
        <v>0</v>
      </c>
      <c r="H79" s="1016"/>
      <c r="I79" s="1017"/>
      <c r="J79" s="1017"/>
      <c r="K79" s="1017"/>
      <c r="L79" s="1017"/>
    </row>
    <row r="80" spans="1:14">
      <c r="A80" s="626">
        <f>A79+1</f>
        <v>48</v>
      </c>
      <c r="B80" s="639"/>
      <c r="C80" s="742">
        <v>0</v>
      </c>
      <c r="D80" s="742">
        <v>0</v>
      </c>
      <c r="E80" s="742">
        <v>0</v>
      </c>
      <c r="F80" s="742">
        <v>0</v>
      </c>
      <c r="G80" s="742">
        <v>0</v>
      </c>
      <c r="H80" s="1016"/>
      <c r="I80" s="1017"/>
      <c r="J80" s="1017"/>
      <c r="K80" s="1017"/>
      <c r="L80" s="1017"/>
    </row>
    <row r="81" spans="1:14">
      <c r="A81" s="626">
        <f t="shared" ref="A81:A82" si="4">A80+1</f>
        <v>49</v>
      </c>
      <c r="B81" s="483"/>
      <c r="C81" s="638"/>
      <c r="D81" s="638"/>
      <c r="E81" s="742"/>
      <c r="F81" s="638"/>
      <c r="G81" s="742"/>
      <c r="H81" s="1016"/>
      <c r="I81" s="1017"/>
      <c r="J81" s="1017"/>
      <c r="K81" s="1017"/>
      <c r="L81" s="1017"/>
    </row>
    <row r="82" spans="1:14">
      <c r="A82" s="626">
        <f t="shared" si="4"/>
        <v>50</v>
      </c>
      <c r="B82" s="483"/>
      <c r="C82" s="638"/>
      <c r="D82" s="638"/>
      <c r="E82" s="742"/>
      <c r="F82" s="638"/>
      <c r="G82" s="742"/>
      <c r="H82" s="1016"/>
      <c r="I82" s="1017"/>
      <c r="J82" s="1017"/>
      <c r="K82" s="1017"/>
      <c r="L82" s="1017"/>
    </row>
    <row r="83" spans="1:14">
      <c r="A83" s="626"/>
      <c r="B83" s="481"/>
      <c r="C83" s="654"/>
      <c r="D83" s="545"/>
      <c r="E83" s="545"/>
      <c r="F83" s="654"/>
      <c r="G83" s="654"/>
      <c r="H83" s="1019"/>
      <c r="I83" s="1019"/>
      <c r="J83" s="1019"/>
      <c r="K83" s="1019"/>
      <c r="L83" s="1019"/>
      <c r="N83" s="627"/>
    </row>
    <row r="84" spans="1:14">
      <c r="A84" s="626">
        <f>A82+1</f>
        <v>51</v>
      </c>
      <c r="B84" s="483"/>
      <c r="C84" s="742">
        <v>0</v>
      </c>
      <c r="D84" s="742">
        <v>0</v>
      </c>
      <c r="E84" s="742">
        <v>0</v>
      </c>
      <c r="F84" s="742">
        <v>0</v>
      </c>
      <c r="G84" s="742">
        <v>0</v>
      </c>
      <c r="H84" s="1016"/>
      <c r="I84" s="1017"/>
      <c r="J84" s="1017"/>
      <c r="K84" s="1017"/>
      <c r="L84" s="1017"/>
      <c r="N84" s="627"/>
    </row>
    <row r="85" spans="1:14">
      <c r="A85" s="626">
        <f>A84+1</f>
        <v>52</v>
      </c>
      <c r="B85" s="483"/>
      <c r="C85" s="742">
        <v>0</v>
      </c>
      <c r="D85" s="742">
        <v>0</v>
      </c>
      <c r="E85" s="742">
        <v>0</v>
      </c>
      <c r="F85" s="742">
        <v>0</v>
      </c>
      <c r="G85" s="742">
        <v>0</v>
      </c>
      <c r="H85" s="1016"/>
      <c r="I85" s="1017"/>
      <c r="J85" s="1017"/>
      <c r="K85" s="1017"/>
      <c r="L85" s="1018"/>
      <c r="N85" s="627"/>
    </row>
    <row r="86" spans="1:14">
      <c r="A86" s="626">
        <f t="shared" ref="A86:A87" si="5">A85+1</f>
        <v>53</v>
      </c>
      <c r="B86" s="483"/>
      <c r="C86" s="742">
        <v>0</v>
      </c>
      <c r="D86" s="742">
        <v>0</v>
      </c>
      <c r="E86" s="742">
        <v>0</v>
      </c>
      <c r="F86" s="742">
        <v>0</v>
      </c>
      <c r="G86" s="742">
        <v>0</v>
      </c>
      <c r="H86" s="1016"/>
      <c r="I86" s="1017"/>
      <c r="J86" s="1017"/>
      <c r="K86" s="1017"/>
      <c r="L86" s="1017"/>
      <c r="N86" s="627"/>
    </row>
    <row r="87" spans="1:14">
      <c r="A87" s="626">
        <f t="shared" si="5"/>
        <v>54</v>
      </c>
      <c r="B87" s="483"/>
      <c r="C87" s="742">
        <v>0</v>
      </c>
      <c r="D87" s="742">
        <v>0</v>
      </c>
      <c r="E87" s="742">
        <v>0</v>
      </c>
      <c r="F87" s="742">
        <v>0</v>
      </c>
      <c r="G87" s="742">
        <v>0</v>
      </c>
      <c r="H87" s="1016"/>
      <c r="I87" s="1017"/>
      <c r="J87" s="1017"/>
      <c r="K87" s="1017"/>
      <c r="L87" s="1018"/>
      <c r="N87" s="627"/>
    </row>
    <row r="88" spans="1:14">
      <c r="A88" s="626"/>
      <c r="B88" s="481"/>
      <c r="C88" s="546"/>
      <c r="D88" s="546"/>
      <c r="E88" s="546"/>
      <c r="F88" s="547"/>
      <c r="G88" s="546"/>
      <c r="H88" s="538"/>
      <c r="I88" s="538"/>
      <c r="J88" s="538"/>
      <c r="K88" s="539"/>
      <c r="N88" s="627"/>
    </row>
    <row r="89" spans="1:14" ht="13.5" thickBot="1">
      <c r="A89" s="626">
        <f>A87+1</f>
        <v>55</v>
      </c>
      <c r="B89" s="533" t="str">
        <f>"Total Regulatory Asset/Liability   (sum lns "&amp;A79&amp;" and "&amp;A87&amp;")"</f>
        <v>Total Regulatory Asset/Liability   (sum lns 47 and 54)</v>
      </c>
      <c r="C89" s="548">
        <f>SUM(C79:C87)</f>
        <v>0</v>
      </c>
      <c r="D89" s="548">
        <f t="shared" ref="D89:G89" si="6">SUM(D79:D87)</f>
        <v>0</v>
      </c>
      <c r="E89" s="548">
        <f t="shared" si="6"/>
        <v>0</v>
      </c>
      <c r="F89" s="548">
        <f t="shared" si="6"/>
        <v>0</v>
      </c>
      <c r="G89" s="548">
        <f t="shared" si="6"/>
        <v>0</v>
      </c>
      <c r="H89" s="549"/>
      <c r="I89" s="538"/>
      <c r="J89" s="538"/>
      <c r="K89" s="539"/>
      <c r="N89" s="627"/>
    </row>
    <row r="90" spans="1:14" ht="16.5" thickTop="1">
      <c r="A90" s="473"/>
      <c r="B90" s="550"/>
      <c r="C90" s="551"/>
      <c r="D90" s="551"/>
      <c r="E90" s="551"/>
      <c r="F90" s="552"/>
      <c r="G90" s="551"/>
      <c r="H90" s="538"/>
      <c r="I90" s="538"/>
      <c r="J90" s="538"/>
      <c r="K90" s="539"/>
    </row>
    <row r="91" spans="1:14" ht="15.75">
      <c r="A91" s="473"/>
      <c r="B91" s="550"/>
      <c r="C91" s="546"/>
      <c r="D91" s="546"/>
      <c r="E91" s="546"/>
      <c r="F91" s="546"/>
      <c r="G91" s="546"/>
      <c r="H91" s="538"/>
      <c r="I91" s="538"/>
      <c r="J91" s="538"/>
      <c r="K91" s="539"/>
    </row>
    <row r="92" spans="1:14">
      <c r="A92" s="473"/>
      <c r="B92" s="627" t="s">
        <v>1018</v>
      </c>
      <c r="C92" s="627"/>
      <c r="D92" s="627"/>
      <c r="E92" s="627"/>
      <c r="F92" s="627"/>
      <c r="G92" s="627"/>
      <c r="H92" s="627"/>
      <c r="I92" s="627"/>
      <c r="J92" s="627"/>
    </row>
    <row r="93" spans="1:14">
      <c r="A93" s="473"/>
      <c r="B93" s="627" t="s">
        <v>1019</v>
      </c>
    </row>
    <row r="94" spans="1:14">
      <c r="A94" s="473"/>
      <c r="B94" s="743"/>
      <c r="C94" s="744"/>
      <c r="D94" s="744"/>
      <c r="E94" s="744"/>
      <c r="F94" s="744"/>
      <c r="G94" s="744"/>
      <c r="H94" s="744"/>
      <c r="I94" s="745"/>
    </row>
    <row r="95" spans="1:14">
      <c r="A95" s="553"/>
      <c r="B95" s="554"/>
      <c r="C95" s="555"/>
      <c r="D95" s="555"/>
      <c r="E95" s="555"/>
      <c r="F95" s="555"/>
      <c r="G95" s="555"/>
      <c r="H95" s="555"/>
      <c r="I95" s="556"/>
    </row>
    <row r="96" spans="1:14">
      <c r="A96" s="553"/>
    </row>
    <row r="97" spans="1:10">
      <c r="A97" s="553"/>
      <c r="B97" s="551"/>
      <c r="C97" s="551"/>
      <c r="D97" s="551"/>
      <c r="E97" s="551"/>
      <c r="F97" s="551"/>
      <c r="G97" s="551"/>
      <c r="H97" s="551"/>
      <c r="I97" s="551"/>
      <c r="J97" s="551"/>
    </row>
  </sheetData>
  <mergeCells count="14">
    <mergeCell ref="H79:L79"/>
    <mergeCell ref="A1:K1"/>
    <mergeCell ref="A3:K3"/>
    <mergeCell ref="H74:L74"/>
    <mergeCell ref="H78:L78"/>
    <mergeCell ref="D2:G2"/>
    <mergeCell ref="H86:L86"/>
    <mergeCell ref="H87:L87"/>
    <mergeCell ref="H80:L80"/>
    <mergeCell ref="H81:L81"/>
    <mergeCell ref="H82:L82"/>
    <mergeCell ref="H83:L83"/>
    <mergeCell ref="H84:L84"/>
    <mergeCell ref="H85:L85"/>
  </mergeCells>
  <pageMargins left="0.7" right="0.7" top="0.75" bottom="0.75" header="0.3" footer="0.3"/>
  <pageSetup scale="48" fitToHeight="3" orientation="landscape" r:id="rId1"/>
  <rowBreaks count="1" manualBreakCount="1">
    <brk id="70" max="11"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98E41-B635-4F66-8558-02D314FA4964}">
  <dimension ref="A1:O44"/>
  <sheetViews>
    <sheetView zoomScale="85" zoomScaleNormal="85" zoomScaleSheetLayoutView="85" workbookViewId="0">
      <selection activeCell="A4" sqref="A4"/>
    </sheetView>
  </sheetViews>
  <sheetFormatPr defaultColWidth="7.44140625" defaultRowHeight="12.75"/>
  <cols>
    <col min="1" max="1" width="4.6640625" style="468" customWidth="1"/>
    <col min="2" max="2" width="33.6640625" style="467" customWidth="1"/>
    <col min="3" max="3" width="28.33203125" style="467" customWidth="1"/>
    <col min="4" max="4" width="15.33203125" style="467" bestFit="1" customWidth="1"/>
    <col min="5" max="5" width="9.6640625" style="467" customWidth="1"/>
    <col min="6" max="6" width="23.44140625" style="467" customWidth="1"/>
    <col min="7" max="7" width="16.33203125" style="467" customWidth="1"/>
    <col min="8" max="8" width="13" style="467" customWidth="1"/>
    <col min="9" max="9" width="16.21875" style="467" customWidth="1"/>
    <col min="10" max="10" width="19.5546875" style="467" customWidth="1"/>
    <col min="11" max="11" width="13.88671875" style="467" customWidth="1"/>
    <col min="12" max="16384" width="7.44140625" style="467"/>
  </cols>
  <sheetData>
    <row r="1" spans="1:15" ht="20.25">
      <c r="A1" s="1005" t="s">
        <v>890</v>
      </c>
      <c r="B1" s="1005"/>
      <c r="C1" s="1005"/>
      <c r="D1" s="1005"/>
      <c r="E1" s="1005"/>
      <c r="F1" s="1005"/>
      <c r="G1" s="1005"/>
      <c r="H1" s="1005"/>
      <c r="I1" s="1005"/>
      <c r="J1" s="1005"/>
      <c r="K1" s="516"/>
    </row>
    <row r="2" spans="1:15" ht="21" customHeight="1">
      <c r="A2" s="516"/>
      <c r="B2" s="516"/>
      <c r="C2" s="516"/>
      <c r="D2" s="1021" t="s">
        <v>945</v>
      </c>
      <c r="E2" s="1021"/>
      <c r="F2" s="1021"/>
      <c r="G2" s="1021"/>
      <c r="H2" s="516"/>
      <c r="I2" s="516"/>
      <c r="J2" s="516"/>
      <c r="K2" s="578"/>
      <c r="L2" s="578"/>
      <c r="M2" s="578"/>
      <c r="N2" s="578"/>
      <c r="O2" s="578"/>
    </row>
    <row r="3" spans="1:15" ht="20.25">
      <c r="A3" s="1006" t="s">
        <v>1035</v>
      </c>
      <c r="B3" s="1006"/>
      <c r="C3" s="1006"/>
      <c r="D3" s="1006"/>
      <c r="E3" s="1006"/>
      <c r="F3" s="1006"/>
      <c r="G3" s="1006"/>
      <c r="H3" s="1006"/>
      <c r="I3" s="1006"/>
      <c r="J3" s="1006"/>
      <c r="K3" s="578"/>
      <c r="L3" s="578"/>
      <c r="M3" s="578"/>
      <c r="N3" s="578"/>
      <c r="O3" s="578"/>
    </row>
    <row r="4" spans="1:15" ht="21" customHeight="1">
      <c r="A4" s="516"/>
      <c r="B4" s="627"/>
      <c r="C4" s="627"/>
      <c r="D4" s="501"/>
      <c r="E4" s="501"/>
      <c r="F4" s="717"/>
      <c r="G4" s="717"/>
      <c r="H4" s="717"/>
      <c r="I4" s="527"/>
      <c r="J4" s="528"/>
      <c r="K4" s="586"/>
      <c r="L4" s="586"/>
      <c r="M4" s="586"/>
      <c r="N4" s="586"/>
      <c r="O4" s="586"/>
    </row>
    <row r="5" spans="1:15" ht="13.15" customHeight="1">
      <c r="A5" s="626"/>
      <c r="B5" s="645" t="s">
        <v>642</v>
      </c>
      <c r="C5" s="746"/>
      <c r="D5" s="627"/>
      <c r="E5" s="627"/>
      <c r="F5" s="627"/>
      <c r="G5" s="627"/>
      <c r="H5" s="627"/>
      <c r="I5" s="626"/>
      <c r="J5" s="626"/>
      <c r="K5" s="586"/>
      <c r="L5" s="586"/>
      <c r="M5" s="586"/>
      <c r="N5" s="586"/>
      <c r="O5" s="586"/>
    </row>
    <row r="6" spans="1:15" ht="15" customHeight="1">
      <c r="A6" s="626"/>
      <c r="B6" s="645"/>
      <c r="C6" s="627"/>
      <c r="D6" s="627"/>
      <c r="E6" s="596"/>
      <c r="F6" s="596"/>
      <c r="G6" s="627"/>
      <c r="H6" s="627"/>
      <c r="I6" s="626"/>
      <c r="J6" s="626"/>
      <c r="K6" s="586"/>
      <c r="L6" s="586"/>
      <c r="M6" s="586"/>
      <c r="N6" s="586"/>
      <c r="O6" s="586"/>
    </row>
    <row r="7" spans="1:15" ht="13.15" customHeight="1">
      <c r="A7" s="626"/>
      <c r="B7" s="473" t="s">
        <v>178</v>
      </c>
      <c r="C7" s="473" t="s">
        <v>179</v>
      </c>
      <c r="D7" s="473" t="s">
        <v>180</v>
      </c>
      <c r="E7" s="473"/>
      <c r="F7" s="473" t="s">
        <v>181</v>
      </c>
      <c r="G7" s="473" t="s">
        <v>183</v>
      </c>
      <c r="H7" s="473" t="s">
        <v>182</v>
      </c>
      <c r="I7" s="473" t="s">
        <v>184</v>
      </c>
      <c r="J7" s="473" t="s">
        <v>185</v>
      </c>
      <c r="K7" s="586"/>
      <c r="L7" s="586"/>
      <c r="M7" s="586"/>
      <c r="N7" s="586"/>
      <c r="O7" s="586"/>
    </row>
    <row r="8" spans="1:15" ht="13.15" customHeight="1">
      <c r="A8" s="626"/>
      <c r="B8" s="473"/>
      <c r="C8" s="627"/>
      <c r="D8" s="473"/>
      <c r="E8" s="473"/>
      <c r="G8" s="473" t="s">
        <v>643</v>
      </c>
      <c r="H8" s="627"/>
      <c r="I8" s="474" t="s">
        <v>13</v>
      </c>
      <c r="J8" s="473" t="s">
        <v>644</v>
      </c>
      <c r="K8" s="586"/>
      <c r="L8" s="586"/>
      <c r="M8" s="586"/>
      <c r="N8" s="586"/>
      <c r="O8" s="586"/>
    </row>
    <row r="9" spans="1:15">
      <c r="A9" s="626" t="s">
        <v>8</v>
      </c>
      <c r="B9" s="473"/>
      <c r="C9" s="627"/>
      <c r="D9" s="473" t="s">
        <v>645</v>
      </c>
      <c r="E9" s="473"/>
      <c r="F9" s="474" t="s">
        <v>643</v>
      </c>
      <c r="G9" s="473" t="s">
        <v>11</v>
      </c>
      <c r="H9" s="473" t="s">
        <v>646</v>
      </c>
      <c r="I9" s="473" t="s">
        <v>1020</v>
      </c>
      <c r="J9" s="473" t="s">
        <v>641</v>
      </c>
      <c r="K9" s="473"/>
    </row>
    <row r="10" spans="1:15">
      <c r="A10" s="626" t="s">
        <v>10</v>
      </c>
      <c r="B10" s="476" t="s">
        <v>647</v>
      </c>
      <c r="C10" s="476" t="s">
        <v>187</v>
      </c>
      <c r="D10" s="476" t="s">
        <v>641</v>
      </c>
      <c r="E10" s="476"/>
      <c r="F10" s="473" t="s">
        <v>648</v>
      </c>
      <c r="G10" s="476" t="s">
        <v>649</v>
      </c>
      <c r="H10" s="476" t="s">
        <v>650</v>
      </c>
      <c r="I10" s="476" t="s">
        <v>651</v>
      </c>
      <c r="J10" s="476" t="s">
        <v>652</v>
      </c>
      <c r="K10" s="476"/>
    </row>
    <row r="11" spans="1:15">
      <c r="A11" s="626"/>
      <c r="B11" s="627"/>
      <c r="C11" s="627"/>
      <c r="D11" s="627"/>
      <c r="E11" s="627"/>
      <c r="F11" s="627"/>
      <c r="G11" s="627"/>
      <c r="H11" s="644"/>
      <c r="I11" s="644"/>
      <c r="J11" s="627"/>
      <c r="K11" s="627"/>
    </row>
    <row r="12" spans="1:15">
      <c r="A12" s="626">
        <v>1</v>
      </c>
      <c r="B12" s="557" t="s">
        <v>621</v>
      </c>
      <c r="C12" s="627"/>
      <c r="D12" s="627"/>
      <c r="E12" s="747"/>
      <c r="F12" s="627"/>
      <c r="G12" s="627"/>
      <c r="H12" s="644"/>
      <c r="I12" s="644"/>
      <c r="J12" s="627"/>
      <c r="K12" s="627"/>
    </row>
    <row r="13" spans="1:15">
      <c r="A13" s="626">
        <f>A12+1</f>
        <v>2</v>
      </c>
      <c r="B13" s="558" t="s">
        <v>653</v>
      </c>
      <c r="C13" s="559" t="s">
        <v>654</v>
      </c>
      <c r="D13" s="560">
        <v>0</v>
      </c>
      <c r="E13" s="561"/>
      <c r="F13" s="627"/>
      <c r="G13" s="627"/>
      <c r="H13" s="644"/>
      <c r="I13" s="644"/>
      <c r="J13" s="627"/>
      <c r="K13" s="627"/>
    </row>
    <row r="14" spans="1:15">
      <c r="A14" s="626">
        <f t="shared" ref="A14:A17" si="0">A13+1</f>
        <v>3</v>
      </c>
      <c r="B14" s="558" t="s">
        <v>655</v>
      </c>
      <c r="C14" s="559" t="s">
        <v>656</v>
      </c>
      <c r="D14" s="562">
        <v>0</v>
      </c>
      <c r="E14" s="561"/>
      <c r="F14" s="627"/>
      <c r="G14" s="627"/>
      <c r="H14" s="644"/>
      <c r="I14" s="644"/>
      <c r="J14" s="627"/>
      <c r="K14" s="627"/>
    </row>
    <row r="15" spans="1:15">
      <c r="A15" s="626">
        <f t="shared" si="0"/>
        <v>4</v>
      </c>
      <c r="B15" s="748" t="s">
        <v>657</v>
      </c>
      <c r="C15" s="749" t="s">
        <v>658</v>
      </c>
      <c r="D15" s="560">
        <f>-D13</f>
        <v>0</v>
      </c>
      <c r="E15" s="561"/>
      <c r="F15" s="627"/>
      <c r="G15" s="627"/>
      <c r="H15" s="644"/>
      <c r="I15" s="644"/>
      <c r="J15" s="627"/>
      <c r="K15" s="627"/>
    </row>
    <row r="16" spans="1:15" ht="13.5" thickBot="1">
      <c r="A16" s="626">
        <f t="shared" si="0"/>
        <v>5</v>
      </c>
      <c r="B16" s="748" t="s">
        <v>659</v>
      </c>
      <c r="C16" s="749" t="s">
        <v>660</v>
      </c>
      <c r="D16" s="563">
        <f>D14</f>
        <v>0</v>
      </c>
      <c r="E16" s="750"/>
      <c r="F16" s="747"/>
      <c r="G16" s="627"/>
      <c r="H16" s="644"/>
      <c r="I16" s="644"/>
      <c r="J16" s="627"/>
      <c r="K16" s="627"/>
    </row>
    <row r="17" spans="1:11">
      <c r="A17" s="626">
        <f t="shared" si="0"/>
        <v>6</v>
      </c>
      <c r="B17" s="564">
        <v>190.1</v>
      </c>
      <c r="C17" s="559" t="s">
        <v>661</v>
      </c>
      <c r="D17" s="644">
        <f>D13-D14+D15+D16</f>
        <v>0</v>
      </c>
      <c r="E17" s="747"/>
      <c r="F17" s="565">
        <v>0</v>
      </c>
      <c r="G17" s="729">
        <f>D17*F17</f>
        <v>0</v>
      </c>
      <c r="H17" s="751">
        <v>0</v>
      </c>
      <c r="I17" s="644">
        <f>G17+H17</f>
        <v>0</v>
      </c>
      <c r="J17" s="644">
        <f>D17+H17</f>
        <v>0</v>
      </c>
      <c r="K17" s="627"/>
    </row>
    <row r="18" spans="1:11">
      <c r="A18" s="626"/>
      <c r="B18" s="564"/>
      <c r="C18" s="559"/>
      <c r="D18" s="747"/>
      <c r="E18" s="627"/>
      <c r="F18" s="627"/>
      <c r="G18" s="627"/>
      <c r="H18" s="644"/>
      <c r="I18" s="644"/>
      <c r="J18" s="644"/>
      <c r="K18" s="627"/>
    </row>
    <row r="19" spans="1:11">
      <c r="A19" s="626">
        <f>A17+1</f>
        <v>7</v>
      </c>
      <c r="B19" s="557" t="s">
        <v>622</v>
      </c>
      <c r="C19" s="627"/>
      <c r="D19" s="627"/>
      <c r="E19" s="627"/>
      <c r="F19" s="627"/>
      <c r="G19" s="627"/>
      <c r="H19" s="644"/>
      <c r="I19" s="644"/>
      <c r="J19" s="644"/>
      <c r="K19" s="627"/>
    </row>
    <row r="20" spans="1:11">
      <c r="A20" s="626">
        <f>A19+1</f>
        <v>8</v>
      </c>
      <c r="B20" s="558" t="s">
        <v>653</v>
      </c>
      <c r="C20" s="559" t="s">
        <v>662</v>
      </c>
      <c r="D20" s="562">
        <v>0</v>
      </c>
      <c r="E20" s="566"/>
      <c r="F20" s="627"/>
      <c r="G20" s="627"/>
      <c r="H20" s="644"/>
      <c r="I20" s="644"/>
      <c r="J20" s="644"/>
      <c r="K20" s="627"/>
    </row>
    <row r="21" spans="1:11">
      <c r="A21" s="626">
        <f t="shared" ref="A21:A24" si="1">A20+1</f>
        <v>9</v>
      </c>
      <c r="B21" s="558" t="s">
        <v>655</v>
      </c>
      <c r="C21" s="559" t="s">
        <v>656</v>
      </c>
      <c r="D21" s="562">
        <v>0</v>
      </c>
      <c r="E21" s="566"/>
      <c r="F21" s="627"/>
      <c r="G21" s="627"/>
      <c r="H21" s="644"/>
      <c r="I21" s="644"/>
      <c r="J21" s="644"/>
      <c r="K21" s="627"/>
    </row>
    <row r="22" spans="1:11">
      <c r="A22" s="626">
        <f t="shared" si="1"/>
        <v>10</v>
      </c>
      <c r="B22" s="748"/>
      <c r="C22" s="749"/>
      <c r="D22" s="562">
        <v>0</v>
      </c>
      <c r="E22" s="566"/>
      <c r="F22" s="627"/>
      <c r="G22" s="627"/>
      <c r="H22" s="644"/>
      <c r="I22" s="644"/>
      <c r="J22" s="644"/>
      <c r="K22" s="627"/>
    </row>
    <row r="23" spans="1:11" ht="13.5" thickBot="1">
      <c r="A23" s="626">
        <f t="shared" si="1"/>
        <v>11</v>
      </c>
      <c r="B23" s="748"/>
      <c r="C23" s="749"/>
      <c r="D23" s="563">
        <v>0</v>
      </c>
      <c r="E23" s="729"/>
      <c r="F23" s="747"/>
      <c r="G23" s="627"/>
      <c r="H23" s="644"/>
      <c r="I23" s="644"/>
      <c r="J23" s="644"/>
      <c r="K23" s="627"/>
    </row>
    <row r="24" spans="1:11">
      <c r="A24" s="626">
        <f t="shared" si="1"/>
        <v>12</v>
      </c>
      <c r="B24" s="564" t="s">
        <v>975</v>
      </c>
      <c r="C24" s="559" t="s">
        <v>661</v>
      </c>
      <c r="D24" s="644">
        <f>-(D20-D21+D22+D23)</f>
        <v>0</v>
      </c>
      <c r="E24" s="644"/>
      <c r="F24" s="565">
        <v>0</v>
      </c>
      <c r="G24" s="729">
        <f>D24*F24</f>
        <v>0</v>
      </c>
      <c r="H24" s="751">
        <v>0</v>
      </c>
      <c r="I24" s="644">
        <f>G24+H24</f>
        <v>0</v>
      </c>
      <c r="J24" s="644">
        <f>D24+H24</f>
        <v>0</v>
      </c>
      <c r="K24" s="627"/>
    </row>
    <row r="25" spans="1:11">
      <c r="A25" s="626"/>
      <c r="B25" s="564"/>
      <c r="C25" s="559"/>
      <c r="D25" s="747"/>
      <c r="E25" s="627"/>
      <c r="F25" s="627"/>
      <c r="G25" s="627"/>
      <c r="H25" s="644"/>
      <c r="I25" s="644"/>
      <c r="J25" s="627"/>
      <c r="K25" s="627"/>
    </row>
    <row r="26" spans="1:11">
      <c r="A26" s="626">
        <f>A24+1</f>
        <v>13</v>
      </c>
      <c r="B26" s="557" t="s">
        <v>619</v>
      </c>
      <c r="C26" s="627"/>
      <c r="D26" s="627"/>
      <c r="E26" s="627"/>
      <c r="F26" s="627"/>
      <c r="G26" s="627"/>
      <c r="H26" s="644"/>
      <c r="I26" s="644"/>
      <c r="J26" s="627"/>
      <c r="K26" s="627"/>
    </row>
    <row r="27" spans="1:11">
      <c r="A27" s="626">
        <f>A26+1</f>
        <v>14</v>
      </c>
      <c r="B27" s="558" t="s">
        <v>653</v>
      </c>
      <c r="C27" s="559" t="s">
        <v>664</v>
      </c>
      <c r="D27" s="560">
        <v>0</v>
      </c>
      <c r="E27" s="561"/>
      <c r="F27" s="627"/>
      <c r="G27" s="627"/>
      <c r="H27" s="644"/>
      <c r="I27" s="644"/>
      <c r="J27" s="627"/>
      <c r="K27" s="627"/>
    </row>
    <row r="28" spans="1:11">
      <c r="A28" s="626">
        <f t="shared" ref="A28:A31" si="2">A27+1</f>
        <v>15</v>
      </c>
      <c r="B28" s="558" t="s">
        <v>655</v>
      </c>
      <c r="C28" s="559" t="s">
        <v>656</v>
      </c>
      <c r="D28" s="562">
        <v>0</v>
      </c>
      <c r="E28" s="561"/>
      <c r="F28" s="627"/>
      <c r="G28" s="627"/>
      <c r="H28" s="644"/>
      <c r="I28" s="644"/>
      <c r="J28" s="627"/>
      <c r="K28" s="627"/>
    </row>
    <row r="29" spans="1:11">
      <c r="A29" s="626">
        <f t="shared" si="2"/>
        <v>16</v>
      </c>
      <c r="B29" s="748" t="s">
        <v>657</v>
      </c>
      <c r="C29" s="749" t="s">
        <v>665</v>
      </c>
      <c r="D29" s="562">
        <f>-D27</f>
        <v>0</v>
      </c>
      <c r="E29" s="561"/>
      <c r="F29" s="627"/>
      <c r="G29" s="627"/>
      <c r="H29" s="644"/>
      <c r="I29" s="644"/>
      <c r="J29" s="627"/>
      <c r="K29" s="627"/>
    </row>
    <row r="30" spans="1:11" ht="13.5" thickBot="1">
      <c r="A30" s="626">
        <f t="shared" si="2"/>
        <v>17</v>
      </c>
      <c r="B30" s="748" t="s">
        <v>659</v>
      </c>
      <c r="C30" s="749" t="s">
        <v>666</v>
      </c>
      <c r="D30" s="563">
        <v>0</v>
      </c>
      <c r="E30" s="750"/>
      <c r="F30" s="747"/>
      <c r="G30" s="627"/>
      <c r="H30" s="644"/>
      <c r="I30" s="644"/>
      <c r="J30" s="747"/>
      <c r="K30" s="627"/>
    </row>
    <row r="31" spans="1:11">
      <c r="A31" s="626">
        <f t="shared" si="2"/>
        <v>18</v>
      </c>
      <c r="B31" s="564" t="s">
        <v>663</v>
      </c>
      <c r="C31" s="559" t="s">
        <v>661</v>
      </c>
      <c r="D31" s="644">
        <f>-(D27-D28+D29+D30)</f>
        <v>0</v>
      </c>
      <c r="E31" s="747"/>
      <c r="F31" s="565">
        <v>0</v>
      </c>
      <c r="G31" s="729">
        <f>D31*F31</f>
        <v>0</v>
      </c>
      <c r="H31" s="751">
        <v>0</v>
      </c>
      <c r="I31" s="644">
        <f>G31+H31</f>
        <v>0</v>
      </c>
      <c r="J31" s="644">
        <f>D31+H31</f>
        <v>0</v>
      </c>
      <c r="K31" s="627"/>
    </row>
    <row r="32" spans="1:11">
      <c r="A32" s="626"/>
      <c r="B32" s="627"/>
      <c r="C32" s="627"/>
      <c r="D32" s="644"/>
      <c r="E32" s="627"/>
      <c r="F32" s="627"/>
      <c r="G32" s="627"/>
      <c r="H32" s="627"/>
      <c r="I32" s="627"/>
      <c r="J32" s="627"/>
    </row>
    <row r="33" spans="1:10">
      <c r="A33" s="626">
        <f>A31+1</f>
        <v>19</v>
      </c>
      <c r="B33" s="557" t="s">
        <v>620</v>
      </c>
      <c r="C33" s="627"/>
      <c r="D33" s="627"/>
      <c r="E33" s="627"/>
      <c r="F33" s="627"/>
      <c r="G33" s="627"/>
      <c r="H33" s="644"/>
      <c r="I33" s="644"/>
      <c r="J33" s="627"/>
    </row>
    <row r="34" spans="1:10">
      <c r="A34" s="626">
        <f>A33+1</f>
        <v>20</v>
      </c>
      <c r="B34" s="558" t="s">
        <v>653</v>
      </c>
      <c r="C34" s="559" t="s">
        <v>667</v>
      </c>
      <c r="D34" s="560">
        <v>0</v>
      </c>
      <c r="E34" s="561"/>
      <c r="F34" s="627"/>
      <c r="G34" s="627"/>
      <c r="H34" s="644"/>
      <c r="I34" s="644"/>
      <c r="J34" s="627"/>
    </row>
    <row r="35" spans="1:10">
      <c r="A35" s="626">
        <f t="shared" ref="A35:A38" si="3">A34+1</f>
        <v>21</v>
      </c>
      <c r="B35" s="558" t="s">
        <v>655</v>
      </c>
      <c r="C35" s="559" t="s">
        <v>656</v>
      </c>
      <c r="D35" s="560">
        <v>0</v>
      </c>
      <c r="E35" s="561"/>
      <c r="F35" s="627"/>
      <c r="G35" s="627"/>
      <c r="H35" s="644"/>
      <c r="I35" s="644"/>
      <c r="J35" s="627"/>
    </row>
    <row r="36" spans="1:10">
      <c r="A36" s="626">
        <f t="shared" si="3"/>
        <v>22</v>
      </c>
      <c r="B36" s="748" t="s">
        <v>657</v>
      </c>
      <c r="C36" s="749" t="s">
        <v>668</v>
      </c>
      <c r="D36" s="560">
        <v>0</v>
      </c>
      <c r="E36" s="561"/>
      <c r="F36" s="627"/>
      <c r="G36" s="627"/>
      <c r="H36" s="644"/>
      <c r="I36" s="644"/>
      <c r="J36" s="627"/>
    </row>
    <row r="37" spans="1:10" ht="13.5" thickBot="1">
      <c r="A37" s="626">
        <f t="shared" si="3"/>
        <v>23</v>
      </c>
      <c r="B37" s="748" t="s">
        <v>669</v>
      </c>
      <c r="C37" s="749" t="s">
        <v>656</v>
      </c>
      <c r="D37" s="567">
        <v>0</v>
      </c>
      <c r="E37" s="750"/>
      <c r="F37" s="747"/>
      <c r="G37" s="627"/>
      <c r="H37" s="644"/>
      <c r="I37" s="644"/>
      <c r="J37" s="627"/>
    </row>
    <row r="38" spans="1:10">
      <c r="A38" s="626">
        <f t="shared" si="3"/>
        <v>24</v>
      </c>
      <c r="B38" s="564" t="s">
        <v>670</v>
      </c>
      <c r="C38" s="559" t="s">
        <v>661</v>
      </c>
      <c r="D38" s="747">
        <f>-(D34-D35+D36+D37)</f>
        <v>0</v>
      </c>
      <c r="E38" s="747"/>
      <c r="F38" s="565">
        <v>0</v>
      </c>
      <c r="G38" s="750">
        <f>D38*F38</f>
        <v>0</v>
      </c>
      <c r="H38" s="751">
        <v>0</v>
      </c>
      <c r="I38" s="747">
        <f>G38+H38</f>
        <v>0</v>
      </c>
      <c r="J38" s="747">
        <f>D38+H38</f>
        <v>0</v>
      </c>
    </row>
    <row r="39" spans="1:10">
      <c r="A39" s="626"/>
      <c r="B39" s="627"/>
      <c r="C39" s="627"/>
      <c r="D39" s="627"/>
      <c r="E39" s="627"/>
      <c r="F39" s="627"/>
      <c r="G39" s="627"/>
      <c r="H39" s="627"/>
      <c r="I39" s="627"/>
      <c r="J39" s="627"/>
    </row>
    <row r="40" spans="1:10" ht="13.5" thickBot="1">
      <c r="A40" s="626">
        <f>A38+1</f>
        <v>25</v>
      </c>
      <c r="B40" s="627" t="s">
        <v>13</v>
      </c>
      <c r="C40" s="627"/>
      <c r="D40" s="752">
        <f t="shared" ref="D40" si="4">D17+D24+D31+D38</f>
        <v>0</v>
      </c>
      <c r="E40" s="627"/>
      <c r="F40" s="627"/>
      <c r="G40" s="752">
        <f t="shared" ref="G40:I40" si="5">G17+G24+G31+G38</f>
        <v>0</v>
      </c>
      <c r="H40" s="753">
        <f t="shared" si="5"/>
        <v>0</v>
      </c>
      <c r="I40" s="752">
        <f t="shared" si="5"/>
        <v>0</v>
      </c>
      <c r="J40" s="752">
        <f>J17+J24+J31+J38</f>
        <v>0</v>
      </c>
    </row>
    <row r="41" spans="1:10" ht="13.5" thickTop="1"/>
    <row r="42" spans="1:10">
      <c r="B42" s="627" t="s">
        <v>671</v>
      </c>
    </row>
    <row r="43" spans="1:10" ht="12.75" customHeight="1">
      <c r="B43" s="627" t="s">
        <v>672</v>
      </c>
    </row>
    <row r="44" spans="1:10">
      <c r="B44" s="627" t="s">
        <v>673</v>
      </c>
    </row>
  </sheetData>
  <mergeCells count="3">
    <mergeCell ref="A1:J1"/>
    <mergeCell ref="A3:J3"/>
    <mergeCell ref="D2:G2"/>
  </mergeCells>
  <pageMargins left="0.7" right="0.7" top="0.75" bottom="0.75" header="0.3" footer="0.3"/>
  <pageSetup scale="48" fitToHeight="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X49"/>
  <sheetViews>
    <sheetView zoomScale="85" zoomScaleNormal="85" zoomScaleSheetLayoutView="90" workbookViewId="0">
      <selection sqref="A1:L30"/>
    </sheetView>
  </sheetViews>
  <sheetFormatPr defaultColWidth="8.77734375" defaultRowHeight="15.75"/>
  <cols>
    <col min="1" max="1" width="2.77734375" style="754" customWidth="1"/>
    <col min="2" max="2" width="10.77734375" style="755" customWidth="1"/>
    <col min="3" max="3" width="8.77734375" style="755"/>
    <col min="4" max="4" width="2.77734375" style="755" customWidth="1"/>
    <col min="5" max="10" width="12.77734375" style="754" customWidth="1"/>
    <col min="11" max="11" width="14.5546875" style="754" customWidth="1"/>
    <col min="12" max="12" width="16.77734375" style="755" bestFit="1" customWidth="1"/>
    <col min="13" max="13" width="8.77734375" style="755"/>
    <col min="14" max="15" width="13.5546875" style="755" bestFit="1" customWidth="1"/>
    <col min="16" max="16384" width="8.77734375" style="755"/>
  </cols>
  <sheetData>
    <row r="1" spans="1:24">
      <c r="D1" s="991" t="s">
        <v>174</v>
      </c>
      <c r="E1" s="991"/>
      <c r="F1" s="991"/>
      <c r="G1" s="991"/>
      <c r="H1" s="991"/>
      <c r="I1" s="991"/>
      <c r="J1" s="991"/>
      <c r="K1" s="991"/>
      <c r="M1" s="665"/>
    </row>
    <row r="2" spans="1:24">
      <c r="D2" s="992" t="s">
        <v>698</v>
      </c>
      <c r="E2" s="992"/>
      <c r="F2" s="992"/>
      <c r="G2" s="992"/>
      <c r="H2" s="992"/>
      <c r="I2" s="992"/>
      <c r="J2" s="992"/>
      <c r="K2" s="992"/>
      <c r="M2" s="665"/>
    </row>
    <row r="3" spans="1:24" ht="15" customHeight="1">
      <c r="D3" s="993" t="str">
        <f>'Attachment H-39A'!D5</f>
        <v>Valley Link Transmission West Virginia, LLC</v>
      </c>
      <c r="E3" s="993"/>
      <c r="F3" s="993"/>
      <c r="G3" s="993"/>
      <c r="H3" s="993"/>
      <c r="I3" s="993"/>
      <c r="J3" s="993"/>
      <c r="K3" s="993"/>
      <c r="M3" s="665"/>
    </row>
    <row r="4" spans="1:24" ht="15" customHeight="1">
      <c r="M4" s="665"/>
    </row>
    <row r="5" spans="1:24">
      <c r="H5" s="756" t="s">
        <v>675</v>
      </c>
      <c r="M5" s="665"/>
    </row>
    <row r="6" spans="1:24">
      <c r="A6" s="666"/>
    </row>
    <row r="7" spans="1:24">
      <c r="E7" s="757" t="s">
        <v>676</v>
      </c>
      <c r="F7" s="757" t="s">
        <v>677</v>
      </c>
      <c r="G7" s="757" t="s">
        <v>678</v>
      </c>
      <c r="H7" s="757" t="s">
        <v>679</v>
      </c>
      <c r="I7" s="757" t="s">
        <v>680</v>
      </c>
      <c r="J7" s="757" t="s">
        <v>681</v>
      </c>
      <c r="K7" s="757" t="s">
        <v>682</v>
      </c>
    </row>
    <row r="8" spans="1:24" ht="16.149999999999999" customHeight="1">
      <c r="E8" s="756" t="s">
        <v>683</v>
      </c>
      <c r="F8" s="756" t="s">
        <v>684</v>
      </c>
      <c r="G8" s="756" t="s">
        <v>685</v>
      </c>
      <c r="H8" s="756" t="s">
        <v>686</v>
      </c>
      <c r="I8" s="756" t="s">
        <v>687</v>
      </c>
      <c r="J8" s="756" t="s">
        <v>249</v>
      </c>
      <c r="K8" s="756" t="s">
        <v>325</v>
      </c>
    </row>
    <row r="9" spans="1:24">
      <c r="E9" s="756" t="s">
        <v>688</v>
      </c>
      <c r="F9" s="756"/>
      <c r="G9" s="756"/>
      <c r="H9" s="756"/>
      <c r="I9" s="756"/>
      <c r="J9" s="756"/>
      <c r="K9" s="756"/>
    </row>
    <row r="10" spans="1:24">
      <c r="D10" s="758" t="s">
        <v>689</v>
      </c>
      <c r="E10" s="759" t="s">
        <v>690</v>
      </c>
      <c r="F10" s="759" t="s">
        <v>691</v>
      </c>
      <c r="G10" s="759" t="s">
        <v>692</v>
      </c>
      <c r="H10" s="759" t="s">
        <v>693</v>
      </c>
      <c r="I10" s="759" t="s">
        <v>1021</v>
      </c>
      <c r="J10" s="759" t="s">
        <v>694</v>
      </c>
      <c r="K10" s="760" t="s">
        <v>695</v>
      </c>
      <c r="L10" s="761"/>
    </row>
    <row r="11" spans="1:24">
      <c r="A11" s="760">
        <v>1</v>
      </c>
      <c r="B11" s="755" t="s">
        <v>73</v>
      </c>
      <c r="C11" s="762">
        <v>2025</v>
      </c>
      <c r="D11" s="758"/>
      <c r="E11" s="107">
        <v>1838922.1892332418</v>
      </c>
      <c r="F11" s="107"/>
      <c r="G11" s="107"/>
      <c r="H11" s="107"/>
      <c r="I11" s="107"/>
      <c r="J11" s="763">
        <f>E11-F11-G11-H11-I11</f>
        <v>1838922.1892332418</v>
      </c>
      <c r="K11" s="107">
        <v>1220801.8666914387</v>
      </c>
      <c r="L11" s="761"/>
      <c r="M11" s="764"/>
    </row>
    <row r="12" spans="1:24">
      <c r="A12" s="760">
        <v>2</v>
      </c>
      <c r="B12" s="755" t="s">
        <v>80</v>
      </c>
      <c r="C12" s="765">
        <f>C11+1</f>
        <v>2026</v>
      </c>
      <c r="E12" s="107">
        <v>1916193.3079976058</v>
      </c>
      <c r="F12" s="107"/>
      <c r="G12" s="107"/>
      <c r="H12" s="107"/>
      <c r="I12" s="107"/>
      <c r="J12" s="763">
        <f t="shared" ref="J12:J22" si="0">E12-F12-G12-H12-I12</f>
        <v>1916193.3079976058</v>
      </c>
      <c r="K12" s="107">
        <v>854064.99920365796</v>
      </c>
      <c r="L12" s="766"/>
      <c r="M12" s="764"/>
    </row>
    <row r="13" spans="1:24">
      <c r="A13" s="760">
        <v>3</v>
      </c>
      <c r="B13" s="755" t="s">
        <v>79</v>
      </c>
      <c r="C13" s="765">
        <f>C12</f>
        <v>2026</v>
      </c>
      <c r="E13" s="107">
        <v>4599809.2970218016</v>
      </c>
      <c r="F13" s="107"/>
      <c r="G13" s="107"/>
      <c r="H13" s="107"/>
      <c r="I13" s="107"/>
      <c r="J13" s="763">
        <f>E13-F13-G13-H13-I13</f>
        <v>4599809.2970218016</v>
      </c>
      <c r="K13" s="107">
        <v>2643142.3252197886</v>
      </c>
      <c r="L13" s="766"/>
      <c r="M13" s="764"/>
      <c r="N13" s="766"/>
      <c r="O13" s="766"/>
      <c r="P13" s="766"/>
      <c r="Q13" s="766"/>
      <c r="R13" s="766"/>
      <c r="S13" s="766"/>
      <c r="T13" s="766"/>
      <c r="U13" s="766"/>
      <c r="V13" s="766"/>
      <c r="W13" s="766"/>
      <c r="X13" s="766"/>
    </row>
    <row r="14" spans="1:24">
      <c r="A14" s="760">
        <v>4</v>
      </c>
      <c r="B14" s="755" t="s">
        <v>78</v>
      </c>
      <c r="C14" s="765">
        <f t="shared" ref="C14:C23" si="1">C13</f>
        <v>2026</v>
      </c>
      <c r="E14" s="107">
        <v>6601804.7494738037</v>
      </c>
      <c r="F14" s="107"/>
      <c r="G14" s="107"/>
      <c r="H14" s="107"/>
      <c r="I14" s="107"/>
      <c r="J14" s="763">
        <f t="shared" si="0"/>
        <v>6601804.7494738037</v>
      </c>
      <c r="K14" s="107">
        <v>3977805.96018779</v>
      </c>
      <c r="L14" s="766"/>
      <c r="M14" s="764"/>
    </row>
    <row r="15" spans="1:24">
      <c r="A15" s="760">
        <v>5</v>
      </c>
      <c r="B15" s="755" t="s">
        <v>71</v>
      </c>
      <c r="C15" s="765">
        <f t="shared" si="1"/>
        <v>2026</v>
      </c>
      <c r="E15" s="107">
        <v>7209258.851836401</v>
      </c>
      <c r="F15" s="107"/>
      <c r="G15" s="107"/>
      <c r="H15" s="107"/>
      <c r="I15" s="107"/>
      <c r="J15" s="763">
        <f>E15-F15-G15-H15-I15</f>
        <v>7209258.851836401</v>
      </c>
      <c r="K15" s="107">
        <v>4382775.3617628543</v>
      </c>
      <c r="L15" s="766"/>
      <c r="M15" s="764"/>
    </row>
    <row r="16" spans="1:24">
      <c r="A16" s="760">
        <v>6</v>
      </c>
      <c r="B16" s="755" t="s">
        <v>70</v>
      </c>
      <c r="C16" s="765">
        <f t="shared" si="1"/>
        <v>2026</v>
      </c>
      <c r="E16" s="107">
        <v>7816712.9541989975</v>
      </c>
      <c r="F16" s="107"/>
      <c r="G16" s="107"/>
      <c r="H16" s="107"/>
      <c r="I16" s="107"/>
      <c r="J16" s="763">
        <f t="shared" si="0"/>
        <v>7816712.9541989975</v>
      </c>
      <c r="K16" s="107">
        <v>4787744.7633379195</v>
      </c>
      <c r="L16" s="764"/>
      <c r="M16" s="764"/>
    </row>
    <row r="17" spans="1:13">
      <c r="A17" s="760">
        <v>7</v>
      </c>
      <c r="B17" s="755" t="s">
        <v>87</v>
      </c>
      <c r="C17" s="765">
        <f t="shared" si="1"/>
        <v>2026</v>
      </c>
      <c r="E17" s="107">
        <v>8469152.2614031881</v>
      </c>
      <c r="F17" s="107"/>
      <c r="G17" s="107"/>
      <c r="H17" s="107"/>
      <c r="I17" s="107"/>
      <c r="J17" s="763">
        <f t="shared" si="0"/>
        <v>8469152.2614031881</v>
      </c>
      <c r="K17" s="107">
        <v>5222704.301474046</v>
      </c>
      <c r="L17" s="764"/>
      <c r="M17" s="764"/>
    </row>
    <row r="18" spans="1:13">
      <c r="A18" s="760">
        <v>8</v>
      </c>
      <c r="B18" s="755" t="s">
        <v>77</v>
      </c>
      <c r="C18" s="765">
        <f t="shared" si="1"/>
        <v>2026</v>
      </c>
      <c r="E18" s="107">
        <v>9121591.5686073806</v>
      </c>
      <c r="F18" s="107"/>
      <c r="G18" s="107"/>
      <c r="H18" s="107"/>
      <c r="I18" s="107"/>
      <c r="J18" s="763">
        <f>E18-F18-G18-H18-I18</f>
        <v>9121591.5686073806</v>
      </c>
      <c r="K18" s="107">
        <v>5657663.8396101734</v>
      </c>
      <c r="L18" s="764"/>
      <c r="M18" s="764"/>
    </row>
    <row r="19" spans="1:13">
      <c r="A19" s="760">
        <v>9</v>
      </c>
      <c r="B19" s="755" t="s">
        <v>76</v>
      </c>
      <c r="C19" s="765">
        <f t="shared" si="1"/>
        <v>2026</v>
      </c>
      <c r="E19" s="107">
        <v>9774030.8758115675</v>
      </c>
      <c r="F19" s="107"/>
      <c r="G19" s="107"/>
      <c r="H19" s="107"/>
      <c r="I19" s="107"/>
      <c r="J19" s="763">
        <f t="shared" si="0"/>
        <v>9774030.8758115675</v>
      </c>
      <c r="K19" s="107">
        <v>6092623.3777462998</v>
      </c>
      <c r="L19" s="764"/>
      <c r="M19" s="764"/>
    </row>
    <row r="20" spans="1:13">
      <c r="A20" s="760">
        <v>10</v>
      </c>
      <c r="B20" s="755" t="s">
        <v>75</v>
      </c>
      <c r="C20" s="765">
        <f t="shared" si="1"/>
        <v>2026</v>
      </c>
      <c r="E20" s="107">
        <v>10911450.056062255</v>
      </c>
      <c r="F20" s="107"/>
      <c r="G20" s="107"/>
      <c r="H20" s="107"/>
      <c r="I20" s="107"/>
      <c r="J20" s="763">
        <f t="shared" si="0"/>
        <v>10911450.056062255</v>
      </c>
      <c r="K20" s="107">
        <v>6850902.8312467579</v>
      </c>
      <c r="L20" s="767"/>
    </row>
    <row r="21" spans="1:13">
      <c r="A21" s="760">
        <v>11</v>
      </c>
      <c r="B21" s="755" t="s">
        <v>81</v>
      </c>
      <c r="C21" s="765">
        <f t="shared" si="1"/>
        <v>2026</v>
      </c>
      <c r="E21" s="107">
        <v>35758557.392674431</v>
      </c>
      <c r="F21" s="107"/>
      <c r="G21" s="107"/>
      <c r="H21" s="107"/>
      <c r="I21" s="107"/>
      <c r="J21" s="763">
        <f t="shared" si="0"/>
        <v>35758557.392674431</v>
      </c>
      <c r="K21" s="107">
        <v>23415641.055654876</v>
      </c>
      <c r="L21" s="767"/>
    </row>
    <row r="22" spans="1:13">
      <c r="A22" s="760">
        <v>12</v>
      </c>
      <c r="B22" s="755" t="s">
        <v>74</v>
      </c>
      <c r="C22" s="765">
        <f t="shared" si="1"/>
        <v>2026</v>
      </c>
      <c r="E22" s="107">
        <v>36410996.699878626</v>
      </c>
      <c r="F22" s="107"/>
      <c r="G22" s="107"/>
      <c r="H22" s="107"/>
      <c r="I22" s="107"/>
      <c r="J22" s="763">
        <f t="shared" si="0"/>
        <v>36410996.699878626</v>
      </c>
      <c r="K22" s="107">
        <v>23850600.593791004</v>
      </c>
      <c r="L22" s="767"/>
    </row>
    <row r="23" spans="1:13">
      <c r="A23" s="760">
        <v>13</v>
      </c>
      <c r="B23" s="755" t="s">
        <v>73</v>
      </c>
      <c r="C23" s="765">
        <f t="shared" si="1"/>
        <v>2026</v>
      </c>
      <c r="E23" s="107">
        <v>37066164.010208987</v>
      </c>
      <c r="F23" s="107"/>
      <c r="G23" s="107"/>
      <c r="H23" s="107"/>
      <c r="I23" s="107"/>
      <c r="J23" s="763">
        <f>E23-F23-G23-H23-I23</f>
        <v>37066164.010208987</v>
      </c>
      <c r="K23" s="107">
        <v>24287378.800677914</v>
      </c>
      <c r="L23" s="767"/>
    </row>
    <row r="24" spans="1:13">
      <c r="A24" s="755"/>
      <c r="E24" s="768"/>
      <c r="F24" s="768"/>
      <c r="G24" s="768"/>
      <c r="H24" s="768"/>
      <c r="I24" s="768"/>
      <c r="J24" s="768"/>
      <c r="K24" s="768"/>
    </row>
    <row r="25" spans="1:13">
      <c r="A25" s="760">
        <v>14</v>
      </c>
      <c r="B25" s="755" t="s">
        <v>696</v>
      </c>
      <c r="E25" s="768">
        <f t="shared" ref="E25:K25" si="2">SUM(E11:E23)/13</f>
        <v>13653434.1703391</v>
      </c>
      <c r="F25" s="768">
        <f t="shared" si="2"/>
        <v>0</v>
      </c>
      <c r="G25" s="768">
        <f t="shared" si="2"/>
        <v>0</v>
      </c>
      <c r="H25" s="768">
        <f t="shared" si="2"/>
        <v>0</v>
      </c>
      <c r="I25" s="768">
        <f t="shared" si="2"/>
        <v>0</v>
      </c>
      <c r="J25" s="768">
        <f t="shared" si="2"/>
        <v>13653434.1703391</v>
      </c>
      <c r="K25" s="768">
        <f t="shared" si="2"/>
        <v>8711065.3905080389</v>
      </c>
    </row>
    <row r="26" spans="1:13">
      <c r="A26" s="760"/>
    </row>
    <row r="27" spans="1:13">
      <c r="I27" s="763"/>
    </row>
    <row r="28" spans="1:13" ht="45.75" customHeight="1">
      <c r="A28" s="755" t="s">
        <v>168</v>
      </c>
    </row>
    <row r="29" spans="1:13">
      <c r="A29" s="754" t="s">
        <v>689</v>
      </c>
      <c r="B29" s="755" t="s">
        <v>697</v>
      </c>
      <c r="J29" s="769"/>
    </row>
    <row r="45" ht="15" customHeight="1"/>
    <row r="49" ht="39.75" customHeight="1"/>
  </sheetData>
  <mergeCells count="3">
    <mergeCell ref="D2:K2"/>
    <mergeCell ref="D3:K3"/>
    <mergeCell ref="D1:K1"/>
  </mergeCells>
  <phoneticPr fontId="0" type="noConversion"/>
  <pageMargins left="0.25" right="0.25" top="0.75" bottom="0.75" header="0.3" footer="0.3"/>
  <pageSetup scale="84" orientation="landscape" r:id="rId1"/>
  <rowBreaks count="1" manualBreakCount="1">
    <brk id="48"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34160-A96F-431A-AD0C-609A1B64B313}">
  <dimension ref="A1:AU137"/>
  <sheetViews>
    <sheetView zoomScale="70" zoomScaleNormal="70" workbookViewId="0">
      <selection sqref="A1:Z90"/>
    </sheetView>
  </sheetViews>
  <sheetFormatPr defaultColWidth="13.21875" defaultRowHeight="15"/>
  <cols>
    <col min="1" max="1" width="3.21875" style="770" customWidth="1"/>
    <col min="2" max="2" width="14.44140625" style="770" customWidth="1"/>
    <col min="3" max="3" width="13.5546875" style="770" bestFit="1" customWidth="1"/>
    <col min="4" max="4" width="17.77734375" style="770" bestFit="1" customWidth="1"/>
    <col min="5" max="6" width="3.21875" style="770" customWidth="1"/>
    <col min="7" max="7" width="13.5546875" style="770" bestFit="1" customWidth="1"/>
    <col min="8" max="8" width="6.88671875" style="770" customWidth="1"/>
    <col min="9" max="9" width="20.21875" style="770" customWidth="1"/>
    <col min="10" max="10" width="4.44140625" style="770" customWidth="1"/>
    <col min="11" max="11" width="20.77734375" style="770" customWidth="1"/>
    <col min="12" max="12" width="4.44140625" style="770" customWidth="1"/>
    <col min="13" max="13" width="19.77734375" style="770" customWidth="1"/>
    <col min="14" max="14" width="4.44140625" style="770" customWidth="1"/>
    <col min="15" max="15" width="13.5546875" style="770" bestFit="1" customWidth="1"/>
    <col min="16" max="16" width="4.44140625" style="770" customWidth="1"/>
    <col min="17" max="17" width="21.77734375" style="770" customWidth="1"/>
    <col min="18" max="18" width="4.44140625" style="770" customWidth="1"/>
    <col min="19" max="19" width="20.77734375" style="770" customWidth="1"/>
    <col min="20" max="20" width="4.44140625" style="770" customWidth="1"/>
    <col min="21" max="21" width="14.77734375" style="770" customWidth="1"/>
    <col min="22" max="22" width="4.44140625" style="770" customWidth="1"/>
    <col min="23" max="23" width="15.109375" style="770" customWidth="1"/>
    <col min="24" max="24" width="4.44140625" style="770" customWidth="1"/>
    <col min="25" max="25" width="20.109375" style="770" customWidth="1"/>
    <col min="26" max="26" width="4.44140625" style="770" customWidth="1"/>
    <col min="27" max="27" width="16.77734375" style="770" customWidth="1"/>
    <col min="28" max="257" width="13.21875" style="770"/>
    <col min="258" max="258" width="14.44140625" style="770" customWidth="1"/>
    <col min="259" max="259" width="13.44140625" style="770" bestFit="1" customWidth="1"/>
    <col min="260" max="260" width="14.21875" style="770" bestFit="1" customWidth="1"/>
    <col min="261" max="262" width="13.21875" style="770"/>
    <col min="263" max="263" width="13.44140625" style="770" bestFit="1" customWidth="1"/>
    <col min="264" max="264" width="13.21875" style="770"/>
    <col min="265" max="265" width="13.44140625" style="770" bestFit="1" customWidth="1"/>
    <col min="266" max="266" width="13.21875" style="770"/>
    <col min="267" max="269" width="13.44140625" style="770" bestFit="1" customWidth="1"/>
    <col min="270" max="270" width="13.21875" style="770"/>
    <col min="271" max="271" width="13.44140625" style="770" bestFit="1" customWidth="1"/>
    <col min="272" max="272" width="13.21875" style="770"/>
    <col min="273" max="273" width="14.21875" style="770" bestFit="1" customWidth="1"/>
    <col min="274" max="274" width="13.21875" style="770"/>
    <col min="275" max="275" width="13.44140625" style="770" bestFit="1" customWidth="1"/>
    <col min="276" max="513" width="13.21875" style="770"/>
    <col min="514" max="514" width="14.44140625" style="770" customWidth="1"/>
    <col min="515" max="515" width="13.44140625" style="770" bestFit="1" customWidth="1"/>
    <col min="516" max="516" width="14.21875" style="770" bestFit="1" customWidth="1"/>
    <col min="517" max="518" width="13.21875" style="770"/>
    <col min="519" max="519" width="13.44140625" style="770" bestFit="1" customWidth="1"/>
    <col min="520" max="520" width="13.21875" style="770"/>
    <col min="521" max="521" width="13.44140625" style="770" bestFit="1" customWidth="1"/>
    <col min="522" max="522" width="13.21875" style="770"/>
    <col min="523" max="525" width="13.44140625" style="770" bestFit="1" customWidth="1"/>
    <col min="526" max="526" width="13.21875" style="770"/>
    <col min="527" max="527" width="13.44140625" style="770" bestFit="1" customWidth="1"/>
    <col min="528" max="528" width="13.21875" style="770"/>
    <col min="529" max="529" width="14.21875" style="770" bestFit="1" customWidth="1"/>
    <col min="530" max="530" width="13.21875" style="770"/>
    <col min="531" max="531" width="13.44140625" style="770" bestFit="1" customWidth="1"/>
    <col min="532" max="769" width="13.21875" style="770"/>
    <col min="770" max="770" width="14.44140625" style="770" customWidth="1"/>
    <col min="771" max="771" width="13.44140625" style="770" bestFit="1" customWidth="1"/>
    <col min="772" max="772" width="14.21875" style="770" bestFit="1" customWidth="1"/>
    <col min="773" max="774" width="13.21875" style="770"/>
    <col min="775" max="775" width="13.44140625" style="770" bestFit="1" customWidth="1"/>
    <col min="776" max="776" width="13.21875" style="770"/>
    <col min="777" max="777" width="13.44140625" style="770" bestFit="1" customWidth="1"/>
    <col min="778" max="778" width="13.21875" style="770"/>
    <col min="779" max="781" width="13.44140625" style="770" bestFit="1" customWidth="1"/>
    <col min="782" max="782" width="13.21875" style="770"/>
    <col min="783" max="783" width="13.44140625" style="770" bestFit="1" customWidth="1"/>
    <col min="784" max="784" width="13.21875" style="770"/>
    <col min="785" max="785" width="14.21875" style="770" bestFit="1" customWidth="1"/>
    <col min="786" max="786" width="13.21875" style="770"/>
    <col min="787" max="787" width="13.44140625" style="770" bestFit="1" customWidth="1"/>
    <col min="788" max="1025" width="13.21875" style="770"/>
    <col min="1026" max="1026" width="14.44140625" style="770" customWidth="1"/>
    <col min="1027" max="1027" width="13.44140625" style="770" bestFit="1" customWidth="1"/>
    <col min="1028" max="1028" width="14.21875" style="770" bestFit="1" customWidth="1"/>
    <col min="1029" max="1030" width="13.21875" style="770"/>
    <col min="1031" max="1031" width="13.44140625" style="770" bestFit="1" customWidth="1"/>
    <col min="1032" max="1032" width="13.21875" style="770"/>
    <col min="1033" max="1033" width="13.44140625" style="770" bestFit="1" customWidth="1"/>
    <col min="1034" max="1034" width="13.21875" style="770"/>
    <col min="1035" max="1037" width="13.44140625" style="770" bestFit="1" customWidth="1"/>
    <col min="1038" max="1038" width="13.21875" style="770"/>
    <col min="1039" max="1039" width="13.44140625" style="770" bestFit="1" customWidth="1"/>
    <col min="1040" max="1040" width="13.21875" style="770"/>
    <col min="1041" max="1041" width="14.21875" style="770" bestFit="1" customWidth="1"/>
    <col min="1042" max="1042" width="13.21875" style="770"/>
    <col min="1043" max="1043" width="13.44140625" style="770" bestFit="1" customWidth="1"/>
    <col min="1044" max="1281" width="13.21875" style="770"/>
    <col min="1282" max="1282" width="14.44140625" style="770" customWidth="1"/>
    <col min="1283" max="1283" width="13.44140625" style="770" bestFit="1" customWidth="1"/>
    <col min="1284" max="1284" width="14.21875" style="770" bestFit="1" customWidth="1"/>
    <col min="1285" max="1286" width="13.21875" style="770"/>
    <col min="1287" max="1287" width="13.44140625" style="770" bestFit="1" customWidth="1"/>
    <col min="1288" max="1288" width="13.21875" style="770"/>
    <col min="1289" max="1289" width="13.44140625" style="770" bestFit="1" customWidth="1"/>
    <col min="1290" max="1290" width="13.21875" style="770"/>
    <col min="1291" max="1293" width="13.44140625" style="770" bestFit="1" customWidth="1"/>
    <col min="1294" max="1294" width="13.21875" style="770"/>
    <col min="1295" max="1295" width="13.44140625" style="770" bestFit="1" customWidth="1"/>
    <col min="1296" max="1296" width="13.21875" style="770"/>
    <col min="1297" max="1297" width="14.21875" style="770" bestFit="1" customWidth="1"/>
    <col min="1298" max="1298" width="13.21875" style="770"/>
    <col min="1299" max="1299" width="13.44140625" style="770" bestFit="1" customWidth="1"/>
    <col min="1300" max="1537" width="13.21875" style="770"/>
    <col min="1538" max="1538" width="14.44140625" style="770" customWidth="1"/>
    <col min="1539" max="1539" width="13.44140625" style="770" bestFit="1" customWidth="1"/>
    <col min="1540" max="1540" width="14.21875" style="770" bestFit="1" customWidth="1"/>
    <col min="1541" max="1542" width="13.21875" style="770"/>
    <col min="1543" max="1543" width="13.44140625" style="770" bestFit="1" customWidth="1"/>
    <col min="1544" max="1544" width="13.21875" style="770"/>
    <col min="1545" max="1545" width="13.44140625" style="770" bestFit="1" customWidth="1"/>
    <col min="1546" max="1546" width="13.21875" style="770"/>
    <col min="1547" max="1549" width="13.44140625" style="770" bestFit="1" customWidth="1"/>
    <col min="1550" max="1550" width="13.21875" style="770"/>
    <col min="1551" max="1551" width="13.44140625" style="770" bestFit="1" customWidth="1"/>
    <col min="1552" max="1552" width="13.21875" style="770"/>
    <col min="1553" max="1553" width="14.21875" style="770" bestFit="1" customWidth="1"/>
    <col min="1554" max="1554" width="13.21875" style="770"/>
    <col min="1555" max="1555" width="13.44140625" style="770" bestFit="1" customWidth="1"/>
    <col min="1556" max="1793" width="13.21875" style="770"/>
    <col min="1794" max="1794" width="14.44140625" style="770" customWidth="1"/>
    <col min="1795" max="1795" width="13.44140625" style="770" bestFit="1" customWidth="1"/>
    <col min="1796" max="1796" width="14.21875" style="770" bestFit="1" customWidth="1"/>
    <col min="1797" max="1798" width="13.21875" style="770"/>
    <col min="1799" max="1799" width="13.44140625" style="770" bestFit="1" customWidth="1"/>
    <col min="1800" max="1800" width="13.21875" style="770"/>
    <col min="1801" max="1801" width="13.44140625" style="770" bestFit="1" customWidth="1"/>
    <col min="1802" max="1802" width="13.21875" style="770"/>
    <col min="1803" max="1805" width="13.44140625" style="770" bestFit="1" customWidth="1"/>
    <col min="1806" max="1806" width="13.21875" style="770"/>
    <col min="1807" max="1807" width="13.44140625" style="770" bestFit="1" customWidth="1"/>
    <col min="1808" max="1808" width="13.21875" style="770"/>
    <col min="1809" max="1809" width="14.21875" style="770" bestFit="1" customWidth="1"/>
    <col min="1810" max="1810" width="13.21875" style="770"/>
    <col min="1811" max="1811" width="13.44140625" style="770" bestFit="1" customWidth="1"/>
    <col min="1812" max="2049" width="13.21875" style="770"/>
    <col min="2050" max="2050" width="14.44140625" style="770" customWidth="1"/>
    <col min="2051" max="2051" width="13.44140625" style="770" bestFit="1" customWidth="1"/>
    <col min="2052" max="2052" width="14.21875" style="770" bestFit="1" customWidth="1"/>
    <col min="2053" max="2054" width="13.21875" style="770"/>
    <col min="2055" max="2055" width="13.44140625" style="770" bestFit="1" customWidth="1"/>
    <col min="2056" max="2056" width="13.21875" style="770"/>
    <col min="2057" max="2057" width="13.44140625" style="770" bestFit="1" customWidth="1"/>
    <col min="2058" max="2058" width="13.21875" style="770"/>
    <col min="2059" max="2061" width="13.44140625" style="770" bestFit="1" customWidth="1"/>
    <col min="2062" max="2062" width="13.21875" style="770"/>
    <col min="2063" max="2063" width="13.44140625" style="770" bestFit="1" customWidth="1"/>
    <col min="2064" max="2064" width="13.21875" style="770"/>
    <col min="2065" max="2065" width="14.21875" style="770" bestFit="1" customWidth="1"/>
    <col min="2066" max="2066" width="13.21875" style="770"/>
    <col min="2067" max="2067" width="13.44140625" style="770" bestFit="1" customWidth="1"/>
    <col min="2068" max="2305" width="13.21875" style="770"/>
    <col min="2306" max="2306" width="14.44140625" style="770" customWidth="1"/>
    <col min="2307" max="2307" width="13.44140625" style="770" bestFit="1" customWidth="1"/>
    <col min="2308" max="2308" width="14.21875" style="770" bestFit="1" customWidth="1"/>
    <col min="2309" max="2310" width="13.21875" style="770"/>
    <col min="2311" max="2311" width="13.44140625" style="770" bestFit="1" customWidth="1"/>
    <col min="2312" max="2312" width="13.21875" style="770"/>
    <col min="2313" max="2313" width="13.44140625" style="770" bestFit="1" customWidth="1"/>
    <col min="2314" max="2314" width="13.21875" style="770"/>
    <col min="2315" max="2317" width="13.44140625" style="770" bestFit="1" customWidth="1"/>
    <col min="2318" max="2318" width="13.21875" style="770"/>
    <col min="2319" max="2319" width="13.44140625" style="770" bestFit="1" customWidth="1"/>
    <col min="2320" max="2320" width="13.21875" style="770"/>
    <col min="2321" max="2321" width="14.21875" style="770" bestFit="1" customWidth="1"/>
    <col min="2322" max="2322" width="13.21875" style="770"/>
    <col min="2323" max="2323" width="13.44140625" style="770" bestFit="1" customWidth="1"/>
    <col min="2324" max="2561" width="13.21875" style="770"/>
    <col min="2562" max="2562" width="14.44140625" style="770" customWidth="1"/>
    <col min="2563" max="2563" width="13.44140625" style="770" bestFit="1" customWidth="1"/>
    <col min="2564" max="2564" width="14.21875" style="770" bestFit="1" customWidth="1"/>
    <col min="2565" max="2566" width="13.21875" style="770"/>
    <col min="2567" max="2567" width="13.44140625" style="770" bestFit="1" customWidth="1"/>
    <col min="2568" max="2568" width="13.21875" style="770"/>
    <col min="2569" max="2569" width="13.44140625" style="770" bestFit="1" customWidth="1"/>
    <col min="2570" max="2570" width="13.21875" style="770"/>
    <col min="2571" max="2573" width="13.44140625" style="770" bestFit="1" customWidth="1"/>
    <col min="2574" max="2574" width="13.21875" style="770"/>
    <col min="2575" max="2575" width="13.44140625" style="770" bestFit="1" customWidth="1"/>
    <col min="2576" max="2576" width="13.21875" style="770"/>
    <col min="2577" max="2577" width="14.21875" style="770" bestFit="1" customWidth="1"/>
    <col min="2578" max="2578" width="13.21875" style="770"/>
    <col min="2579" max="2579" width="13.44140625" style="770" bestFit="1" customWidth="1"/>
    <col min="2580" max="2817" width="13.21875" style="770"/>
    <col min="2818" max="2818" width="14.44140625" style="770" customWidth="1"/>
    <col min="2819" max="2819" width="13.44140625" style="770" bestFit="1" customWidth="1"/>
    <col min="2820" max="2820" width="14.21875" style="770" bestFit="1" customWidth="1"/>
    <col min="2821" max="2822" width="13.21875" style="770"/>
    <col min="2823" max="2823" width="13.44140625" style="770" bestFit="1" customWidth="1"/>
    <col min="2824" max="2824" width="13.21875" style="770"/>
    <col min="2825" max="2825" width="13.44140625" style="770" bestFit="1" customWidth="1"/>
    <col min="2826" max="2826" width="13.21875" style="770"/>
    <col min="2827" max="2829" width="13.44140625" style="770" bestFit="1" customWidth="1"/>
    <col min="2830" max="2830" width="13.21875" style="770"/>
    <col min="2831" max="2831" width="13.44140625" style="770" bestFit="1" customWidth="1"/>
    <col min="2832" max="2832" width="13.21875" style="770"/>
    <col min="2833" max="2833" width="14.21875" style="770" bestFit="1" customWidth="1"/>
    <col min="2834" max="2834" width="13.21875" style="770"/>
    <col min="2835" max="2835" width="13.44140625" style="770" bestFit="1" customWidth="1"/>
    <col min="2836" max="3073" width="13.21875" style="770"/>
    <col min="3074" max="3074" width="14.44140625" style="770" customWidth="1"/>
    <col min="3075" max="3075" width="13.44140625" style="770" bestFit="1" customWidth="1"/>
    <col min="3076" max="3076" width="14.21875" style="770" bestFit="1" customWidth="1"/>
    <col min="3077" max="3078" width="13.21875" style="770"/>
    <col min="3079" max="3079" width="13.44140625" style="770" bestFit="1" customWidth="1"/>
    <col min="3080" max="3080" width="13.21875" style="770"/>
    <col min="3081" max="3081" width="13.44140625" style="770" bestFit="1" customWidth="1"/>
    <col min="3082" max="3082" width="13.21875" style="770"/>
    <col min="3083" max="3085" width="13.44140625" style="770" bestFit="1" customWidth="1"/>
    <col min="3086" max="3086" width="13.21875" style="770"/>
    <col min="3087" max="3087" width="13.44140625" style="770" bestFit="1" customWidth="1"/>
    <col min="3088" max="3088" width="13.21875" style="770"/>
    <col min="3089" max="3089" width="14.21875" style="770" bestFit="1" customWidth="1"/>
    <col min="3090" max="3090" width="13.21875" style="770"/>
    <col min="3091" max="3091" width="13.44140625" style="770" bestFit="1" customWidth="1"/>
    <col min="3092" max="3329" width="13.21875" style="770"/>
    <col min="3330" max="3330" width="14.44140625" style="770" customWidth="1"/>
    <col min="3331" max="3331" width="13.44140625" style="770" bestFit="1" customWidth="1"/>
    <col min="3332" max="3332" width="14.21875" style="770" bestFit="1" customWidth="1"/>
    <col min="3333" max="3334" width="13.21875" style="770"/>
    <col min="3335" max="3335" width="13.44140625" style="770" bestFit="1" customWidth="1"/>
    <col min="3336" max="3336" width="13.21875" style="770"/>
    <col min="3337" max="3337" width="13.44140625" style="770" bestFit="1" customWidth="1"/>
    <col min="3338" max="3338" width="13.21875" style="770"/>
    <col min="3339" max="3341" width="13.44140625" style="770" bestFit="1" customWidth="1"/>
    <col min="3342" max="3342" width="13.21875" style="770"/>
    <col min="3343" max="3343" width="13.44140625" style="770" bestFit="1" customWidth="1"/>
    <col min="3344" max="3344" width="13.21875" style="770"/>
    <col min="3345" max="3345" width="14.21875" style="770" bestFit="1" customWidth="1"/>
    <col min="3346" max="3346" width="13.21875" style="770"/>
    <col min="3347" max="3347" width="13.44140625" style="770" bestFit="1" customWidth="1"/>
    <col min="3348" max="3585" width="13.21875" style="770"/>
    <col min="3586" max="3586" width="14.44140625" style="770" customWidth="1"/>
    <col min="3587" max="3587" width="13.44140625" style="770" bestFit="1" customWidth="1"/>
    <col min="3588" max="3588" width="14.21875" style="770" bestFit="1" customWidth="1"/>
    <col min="3589" max="3590" width="13.21875" style="770"/>
    <col min="3591" max="3591" width="13.44140625" style="770" bestFit="1" customWidth="1"/>
    <col min="3592" max="3592" width="13.21875" style="770"/>
    <col min="3593" max="3593" width="13.44140625" style="770" bestFit="1" customWidth="1"/>
    <col min="3594" max="3594" width="13.21875" style="770"/>
    <col min="3595" max="3597" width="13.44140625" style="770" bestFit="1" customWidth="1"/>
    <col min="3598" max="3598" width="13.21875" style="770"/>
    <col min="3599" max="3599" width="13.44140625" style="770" bestFit="1" customWidth="1"/>
    <col min="3600" max="3600" width="13.21875" style="770"/>
    <col min="3601" max="3601" width="14.21875" style="770" bestFit="1" customWidth="1"/>
    <col min="3602" max="3602" width="13.21875" style="770"/>
    <col min="3603" max="3603" width="13.44140625" style="770" bestFit="1" customWidth="1"/>
    <col min="3604" max="3841" width="13.21875" style="770"/>
    <col min="3842" max="3842" width="14.44140625" style="770" customWidth="1"/>
    <col min="3843" max="3843" width="13.44140625" style="770" bestFit="1" customWidth="1"/>
    <col min="3844" max="3844" width="14.21875" style="770" bestFit="1" customWidth="1"/>
    <col min="3845" max="3846" width="13.21875" style="770"/>
    <col min="3847" max="3847" width="13.44140625" style="770" bestFit="1" customWidth="1"/>
    <col min="3848" max="3848" width="13.21875" style="770"/>
    <col min="3849" max="3849" width="13.44140625" style="770" bestFit="1" customWidth="1"/>
    <col min="3850" max="3850" width="13.21875" style="770"/>
    <col min="3851" max="3853" width="13.44140625" style="770" bestFit="1" customWidth="1"/>
    <col min="3854" max="3854" width="13.21875" style="770"/>
    <col min="3855" max="3855" width="13.44140625" style="770" bestFit="1" customWidth="1"/>
    <col min="3856" max="3856" width="13.21875" style="770"/>
    <col min="3857" max="3857" width="14.21875" style="770" bestFit="1" customWidth="1"/>
    <col min="3858" max="3858" width="13.21875" style="770"/>
    <col min="3859" max="3859" width="13.44140625" style="770" bestFit="1" customWidth="1"/>
    <col min="3860" max="4097" width="13.21875" style="770"/>
    <col min="4098" max="4098" width="14.44140625" style="770" customWidth="1"/>
    <col min="4099" max="4099" width="13.44140625" style="770" bestFit="1" customWidth="1"/>
    <col min="4100" max="4100" width="14.21875" style="770" bestFit="1" customWidth="1"/>
    <col min="4101" max="4102" width="13.21875" style="770"/>
    <col min="4103" max="4103" width="13.44140625" style="770" bestFit="1" customWidth="1"/>
    <col min="4104" max="4104" width="13.21875" style="770"/>
    <col min="4105" max="4105" width="13.44140625" style="770" bestFit="1" customWidth="1"/>
    <col min="4106" max="4106" width="13.21875" style="770"/>
    <col min="4107" max="4109" width="13.44140625" style="770" bestFit="1" customWidth="1"/>
    <col min="4110" max="4110" width="13.21875" style="770"/>
    <col min="4111" max="4111" width="13.44140625" style="770" bestFit="1" customWidth="1"/>
    <col min="4112" max="4112" width="13.21875" style="770"/>
    <col min="4113" max="4113" width="14.21875" style="770" bestFit="1" customWidth="1"/>
    <col min="4114" max="4114" width="13.21875" style="770"/>
    <col min="4115" max="4115" width="13.44140625" style="770" bestFit="1" customWidth="1"/>
    <col min="4116" max="4353" width="13.21875" style="770"/>
    <col min="4354" max="4354" width="14.44140625" style="770" customWidth="1"/>
    <col min="4355" max="4355" width="13.44140625" style="770" bestFit="1" customWidth="1"/>
    <col min="4356" max="4356" width="14.21875" style="770" bestFit="1" customWidth="1"/>
    <col min="4357" max="4358" width="13.21875" style="770"/>
    <col min="4359" max="4359" width="13.44140625" style="770" bestFit="1" customWidth="1"/>
    <col min="4360" max="4360" width="13.21875" style="770"/>
    <col min="4361" max="4361" width="13.44140625" style="770" bestFit="1" customWidth="1"/>
    <col min="4362" max="4362" width="13.21875" style="770"/>
    <col min="4363" max="4365" width="13.44140625" style="770" bestFit="1" customWidth="1"/>
    <col min="4366" max="4366" width="13.21875" style="770"/>
    <col min="4367" max="4367" width="13.44140625" style="770" bestFit="1" customWidth="1"/>
    <col min="4368" max="4368" width="13.21875" style="770"/>
    <col min="4369" max="4369" width="14.21875" style="770" bestFit="1" customWidth="1"/>
    <col min="4370" max="4370" width="13.21875" style="770"/>
    <col min="4371" max="4371" width="13.44140625" style="770" bestFit="1" customWidth="1"/>
    <col min="4372" max="4609" width="13.21875" style="770"/>
    <col min="4610" max="4610" width="14.44140625" style="770" customWidth="1"/>
    <col min="4611" max="4611" width="13.44140625" style="770" bestFit="1" customWidth="1"/>
    <col min="4612" max="4612" width="14.21875" style="770" bestFit="1" customWidth="1"/>
    <col min="4613" max="4614" width="13.21875" style="770"/>
    <col min="4615" max="4615" width="13.44140625" style="770" bestFit="1" customWidth="1"/>
    <col min="4616" max="4616" width="13.21875" style="770"/>
    <col min="4617" max="4617" width="13.44140625" style="770" bestFit="1" customWidth="1"/>
    <col min="4618" max="4618" width="13.21875" style="770"/>
    <col min="4619" max="4621" width="13.44140625" style="770" bestFit="1" customWidth="1"/>
    <col min="4622" max="4622" width="13.21875" style="770"/>
    <col min="4623" max="4623" width="13.44140625" style="770" bestFit="1" customWidth="1"/>
    <col min="4624" max="4624" width="13.21875" style="770"/>
    <col min="4625" max="4625" width="14.21875" style="770" bestFit="1" customWidth="1"/>
    <col min="4626" max="4626" width="13.21875" style="770"/>
    <col min="4627" max="4627" width="13.44140625" style="770" bestFit="1" customWidth="1"/>
    <col min="4628" max="4865" width="13.21875" style="770"/>
    <col min="4866" max="4866" width="14.44140625" style="770" customWidth="1"/>
    <col min="4867" max="4867" width="13.44140625" style="770" bestFit="1" customWidth="1"/>
    <col min="4868" max="4868" width="14.21875" style="770" bestFit="1" customWidth="1"/>
    <col min="4869" max="4870" width="13.21875" style="770"/>
    <col min="4871" max="4871" width="13.44140625" style="770" bestFit="1" customWidth="1"/>
    <col min="4872" max="4872" width="13.21875" style="770"/>
    <col min="4873" max="4873" width="13.44140625" style="770" bestFit="1" customWidth="1"/>
    <col min="4874" max="4874" width="13.21875" style="770"/>
    <col min="4875" max="4877" width="13.44140625" style="770" bestFit="1" customWidth="1"/>
    <col min="4878" max="4878" width="13.21875" style="770"/>
    <col min="4879" max="4879" width="13.44140625" style="770" bestFit="1" customWidth="1"/>
    <col min="4880" max="4880" width="13.21875" style="770"/>
    <col min="4881" max="4881" width="14.21875" style="770" bestFit="1" customWidth="1"/>
    <col min="4882" max="4882" width="13.21875" style="770"/>
    <col min="4883" max="4883" width="13.44140625" style="770" bestFit="1" customWidth="1"/>
    <col min="4884" max="5121" width="13.21875" style="770"/>
    <col min="5122" max="5122" width="14.44140625" style="770" customWidth="1"/>
    <col min="5123" max="5123" width="13.44140625" style="770" bestFit="1" customWidth="1"/>
    <col min="5124" max="5124" width="14.21875" style="770" bestFit="1" customWidth="1"/>
    <col min="5125" max="5126" width="13.21875" style="770"/>
    <col min="5127" max="5127" width="13.44140625" style="770" bestFit="1" customWidth="1"/>
    <col min="5128" max="5128" width="13.21875" style="770"/>
    <col min="5129" max="5129" width="13.44140625" style="770" bestFit="1" customWidth="1"/>
    <col min="5130" max="5130" width="13.21875" style="770"/>
    <col min="5131" max="5133" width="13.44140625" style="770" bestFit="1" customWidth="1"/>
    <col min="5134" max="5134" width="13.21875" style="770"/>
    <col min="5135" max="5135" width="13.44140625" style="770" bestFit="1" customWidth="1"/>
    <col min="5136" max="5136" width="13.21875" style="770"/>
    <col min="5137" max="5137" width="14.21875" style="770" bestFit="1" customWidth="1"/>
    <col min="5138" max="5138" width="13.21875" style="770"/>
    <col min="5139" max="5139" width="13.44140625" style="770" bestFit="1" customWidth="1"/>
    <col min="5140" max="5377" width="13.21875" style="770"/>
    <col min="5378" max="5378" width="14.44140625" style="770" customWidth="1"/>
    <col min="5379" max="5379" width="13.44140625" style="770" bestFit="1" customWidth="1"/>
    <col min="5380" max="5380" width="14.21875" style="770" bestFit="1" customWidth="1"/>
    <col min="5381" max="5382" width="13.21875" style="770"/>
    <col min="5383" max="5383" width="13.44140625" style="770" bestFit="1" customWidth="1"/>
    <col min="5384" max="5384" width="13.21875" style="770"/>
    <col min="5385" max="5385" width="13.44140625" style="770" bestFit="1" customWidth="1"/>
    <col min="5386" max="5386" width="13.21875" style="770"/>
    <col min="5387" max="5389" width="13.44140625" style="770" bestFit="1" customWidth="1"/>
    <col min="5390" max="5390" width="13.21875" style="770"/>
    <col min="5391" max="5391" width="13.44140625" style="770" bestFit="1" customWidth="1"/>
    <col min="5392" max="5392" width="13.21875" style="770"/>
    <col min="5393" max="5393" width="14.21875" style="770" bestFit="1" customWidth="1"/>
    <col min="5394" max="5394" width="13.21875" style="770"/>
    <col min="5395" max="5395" width="13.44140625" style="770" bestFit="1" customWidth="1"/>
    <col min="5396" max="5633" width="13.21875" style="770"/>
    <col min="5634" max="5634" width="14.44140625" style="770" customWidth="1"/>
    <col min="5635" max="5635" width="13.44140625" style="770" bestFit="1" customWidth="1"/>
    <col min="5636" max="5636" width="14.21875" style="770" bestFit="1" customWidth="1"/>
    <col min="5637" max="5638" width="13.21875" style="770"/>
    <col min="5639" max="5639" width="13.44140625" style="770" bestFit="1" customWidth="1"/>
    <col min="5640" max="5640" width="13.21875" style="770"/>
    <col min="5641" max="5641" width="13.44140625" style="770" bestFit="1" customWidth="1"/>
    <col min="5642" max="5642" width="13.21875" style="770"/>
    <col min="5643" max="5645" width="13.44140625" style="770" bestFit="1" customWidth="1"/>
    <col min="5646" max="5646" width="13.21875" style="770"/>
    <col min="5647" max="5647" width="13.44140625" style="770" bestFit="1" customWidth="1"/>
    <col min="5648" max="5648" width="13.21875" style="770"/>
    <col min="5649" max="5649" width="14.21875" style="770" bestFit="1" customWidth="1"/>
    <col min="5650" max="5650" width="13.21875" style="770"/>
    <col min="5651" max="5651" width="13.44140625" style="770" bestFit="1" customWidth="1"/>
    <col min="5652" max="5889" width="13.21875" style="770"/>
    <col min="5890" max="5890" width="14.44140625" style="770" customWidth="1"/>
    <col min="5891" max="5891" width="13.44140625" style="770" bestFit="1" customWidth="1"/>
    <col min="5892" max="5892" width="14.21875" style="770" bestFit="1" customWidth="1"/>
    <col min="5893" max="5894" width="13.21875" style="770"/>
    <col min="5895" max="5895" width="13.44140625" style="770" bestFit="1" customWidth="1"/>
    <col min="5896" max="5896" width="13.21875" style="770"/>
    <col min="5897" max="5897" width="13.44140625" style="770" bestFit="1" customWidth="1"/>
    <col min="5898" max="5898" width="13.21875" style="770"/>
    <col min="5899" max="5901" width="13.44140625" style="770" bestFit="1" customWidth="1"/>
    <col min="5902" max="5902" width="13.21875" style="770"/>
    <col min="5903" max="5903" width="13.44140625" style="770" bestFit="1" customWidth="1"/>
    <col min="5904" max="5904" width="13.21875" style="770"/>
    <col min="5905" max="5905" width="14.21875" style="770" bestFit="1" customWidth="1"/>
    <col min="5906" max="5906" width="13.21875" style="770"/>
    <col min="5907" max="5907" width="13.44140625" style="770" bestFit="1" customWidth="1"/>
    <col min="5908" max="6145" width="13.21875" style="770"/>
    <col min="6146" max="6146" width="14.44140625" style="770" customWidth="1"/>
    <col min="6147" max="6147" width="13.44140625" style="770" bestFit="1" customWidth="1"/>
    <col min="6148" max="6148" width="14.21875" style="770" bestFit="1" customWidth="1"/>
    <col min="6149" max="6150" width="13.21875" style="770"/>
    <col min="6151" max="6151" width="13.44140625" style="770" bestFit="1" customWidth="1"/>
    <col min="6152" max="6152" width="13.21875" style="770"/>
    <col min="6153" max="6153" width="13.44140625" style="770" bestFit="1" customWidth="1"/>
    <col min="6154" max="6154" width="13.21875" style="770"/>
    <col min="6155" max="6157" width="13.44140625" style="770" bestFit="1" customWidth="1"/>
    <col min="6158" max="6158" width="13.21875" style="770"/>
    <col min="6159" max="6159" width="13.44140625" style="770" bestFit="1" customWidth="1"/>
    <col min="6160" max="6160" width="13.21875" style="770"/>
    <col min="6161" max="6161" width="14.21875" style="770" bestFit="1" customWidth="1"/>
    <col min="6162" max="6162" width="13.21875" style="770"/>
    <col min="6163" max="6163" width="13.44140625" style="770" bestFit="1" customWidth="1"/>
    <col min="6164" max="6401" width="13.21875" style="770"/>
    <col min="6402" max="6402" width="14.44140625" style="770" customWidth="1"/>
    <col min="6403" max="6403" width="13.44140625" style="770" bestFit="1" customWidth="1"/>
    <col min="6404" max="6404" width="14.21875" style="770" bestFit="1" customWidth="1"/>
    <col min="6405" max="6406" width="13.21875" style="770"/>
    <col min="6407" max="6407" width="13.44140625" style="770" bestFit="1" customWidth="1"/>
    <col min="6408" max="6408" width="13.21875" style="770"/>
    <col min="6409" max="6409" width="13.44140625" style="770" bestFit="1" customWidth="1"/>
    <col min="6410" max="6410" width="13.21875" style="770"/>
    <col min="6411" max="6413" width="13.44140625" style="770" bestFit="1" customWidth="1"/>
    <col min="6414" max="6414" width="13.21875" style="770"/>
    <col min="6415" max="6415" width="13.44140625" style="770" bestFit="1" customWidth="1"/>
    <col min="6416" max="6416" width="13.21875" style="770"/>
    <col min="6417" max="6417" width="14.21875" style="770" bestFit="1" customWidth="1"/>
    <col min="6418" max="6418" width="13.21875" style="770"/>
    <col min="6419" max="6419" width="13.44140625" style="770" bestFit="1" customWidth="1"/>
    <col min="6420" max="6657" width="13.21875" style="770"/>
    <col min="6658" max="6658" width="14.44140625" style="770" customWidth="1"/>
    <col min="6659" max="6659" width="13.44140625" style="770" bestFit="1" customWidth="1"/>
    <col min="6660" max="6660" width="14.21875" style="770" bestFit="1" customWidth="1"/>
    <col min="6661" max="6662" width="13.21875" style="770"/>
    <col min="6663" max="6663" width="13.44140625" style="770" bestFit="1" customWidth="1"/>
    <col min="6664" max="6664" width="13.21875" style="770"/>
    <col min="6665" max="6665" width="13.44140625" style="770" bestFit="1" customWidth="1"/>
    <col min="6666" max="6666" width="13.21875" style="770"/>
    <col min="6667" max="6669" width="13.44140625" style="770" bestFit="1" customWidth="1"/>
    <col min="6670" max="6670" width="13.21875" style="770"/>
    <col min="6671" max="6671" width="13.44140625" style="770" bestFit="1" customWidth="1"/>
    <col min="6672" max="6672" width="13.21875" style="770"/>
    <col min="6673" max="6673" width="14.21875" style="770" bestFit="1" customWidth="1"/>
    <col min="6674" max="6674" width="13.21875" style="770"/>
    <col min="6675" max="6675" width="13.44140625" style="770" bestFit="1" customWidth="1"/>
    <col min="6676" max="6913" width="13.21875" style="770"/>
    <col min="6914" max="6914" width="14.44140625" style="770" customWidth="1"/>
    <col min="6915" max="6915" width="13.44140625" style="770" bestFit="1" customWidth="1"/>
    <col min="6916" max="6916" width="14.21875" style="770" bestFit="1" customWidth="1"/>
    <col min="6917" max="6918" width="13.21875" style="770"/>
    <col min="6919" max="6919" width="13.44140625" style="770" bestFit="1" customWidth="1"/>
    <col min="6920" max="6920" width="13.21875" style="770"/>
    <col min="6921" max="6921" width="13.44140625" style="770" bestFit="1" customWidth="1"/>
    <col min="6922" max="6922" width="13.21875" style="770"/>
    <col min="6923" max="6925" width="13.44140625" style="770" bestFit="1" customWidth="1"/>
    <col min="6926" max="6926" width="13.21875" style="770"/>
    <col min="6927" max="6927" width="13.44140625" style="770" bestFit="1" customWidth="1"/>
    <col min="6928" max="6928" width="13.21875" style="770"/>
    <col min="6929" max="6929" width="14.21875" style="770" bestFit="1" customWidth="1"/>
    <col min="6930" max="6930" width="13.21875" style="770"/>
    <col min="6931" max="6931" width="13.44140625" style="770" bestFit="1" customWidth="1"/>
    <col min="6932" max="7169" width="13.21875" style="770"/>
    <col min="7170" max="7170" width="14.44140625" style="770" customWidth="1"/>
    <col min="7171" max="7171" width="13.44140625" style="770" bestFit="1" customWidth="1"/>
    <col min="7172" max="7172" width="14.21875" style="770" bestFit="1" customWidth="1"/>
    <col min="7173" max="7174" width="13.21875" style="770"/>
    <col min="7175" max="7175" width="13.44140625" style="770" bestFit="1" customWidth="1"/>
    <col min="7176" max="7176" width="13.21875" style="770"/>
    <col min="7177" max="7177" width="13.44140625" style="770" bestFit="1" customWidth="1"/>
    <col min="7178" max="7178" width="13.21875" style="770"/>
    <col min="7179" max="7181" width="13.44140625" style="770" bestFit="1" customWidth="1"/>
    <col min="7182" max="7182" width="13.21875" style="770"/>
    <col min="7183" max="7183" width="13.44140625" style="770" bestFit="1" customWidth="1"/>
    <col min="7184" max="7184" width="13.21875" style="770"/>
    <col min="7185" max="7185" width="14.21875" style="770" bestFit="1" customWidth="1"/>
    <col min="7186" max="7186" width="13.21875" style="770"/>
    <col min="7187" max="7187" width="13.44140625" style="770" bestFit="1" customWidth="1"/>
    <col min="7188" max="7425" width="13.21875" style="770"/>
    <col min="7426" max="7426" width="14.44140625" style="770" customWidth="1"/>
    <col min="7427" max="7427" width="13.44140625" style="770" bestFit="1" customWidth="1"/>
    <col min="7428" max="7428" width="14.21875" style="770" bestFit="1" customWidth="1"/>
    <col min="7429" max="7430" width="13.21875" style="770"/>
    <col min="7431" max="7431" width="13.44140625" style="770" bestFit="1" customWidth="1"/>
    <col min="7432" max="7432" width="13.21875" style="770"/>
    <col min="7433" max="7433" width="13.44140625" style="770" bestFit="1" customWidth="1"/>
    <col min="7434" max="7434" width="13.21875" style="770"/>
    <col min="7435" max="7437" width="13.44140625" style="770" bestFit="1" customWidth="1"/>
    <col min="7438" max="7438" width="13.21875" style="770"/>
    <col min="7439" max="7439" width="13.44140625" style="770" bestFit="1" customWidth="1"/>
    <col min="7440" max="7440" width="13.21875" style="770"/>
    <col min="7441" max="7441" width="14.21875" style="770" bestFit="1" customWidth="1"/>
    <col min="7442" max="7442" width="13.21875" style="770"/>
    <col min="7443" max="7443" width="13.44140625" style="770" bestFit="1" customWidth="1"/>
    <col min="7444" max="7681" width="13.21875" style="770"/>
    <col min="7682" max="7682" width="14.44140625" style="770" customWidth="1"/>
    <col min="7683" max="7683" width="13.44140625" style="770" bestFit="1" customWidth="1"/>
    <col min="7684" max="7684" width="14.21875" style="770" bestFit="1" customWidth="1"/>
    <col min="7685" max="7686" width="13.21875" style="770"/>
    <col min="7687" max="7687" width="13.44140625" style="770" bestFit="1" customWidth="1"/>
    <col min="7688" max="7688" width="13.21875" style="770"/>
    <col min="7689" max="7689" width="13.44140625" style="770" bestFit="1" customWidth="1"/>
    <col min="7690" max="7690" width="13.21875" style="770"/>
    <col min="7691" max="7693" width="13.44140625" style="770" bestFit="1" customWidth="1"/>
    <col min="7694" max="7694" width="13.21875" style="770"/>
    <col min="7695" max="7695" width="13.44140625" style="770" bestFit="1" customWidth="1"/>
    <col min="7696" max="7696" width="13.21875" style="770"/>
    <col min="7697" max="7697" width="14.21875" style="770" bestFit="1" customWidth="1"/>
    <col min="7698" max="7698" width="13.21875" style="770"/>
    <col min="7699" max="7699" width="13.44140625" style="770" bestFit="1" customWidth="1"/>
    <col min="7700" max="7937" width="13.21875" style="770"/>
    <col min="7938" max="7938" width="14.44140625" style="770" customWidth="1"/>
    <col min="7939" max="7939" width="13.44140625" style="770" bestFit="1" customWidth="1"/>
    <col min="7940" max="7940" width="14.21875" style="770" bestFit="1" customWidth="1"/>
    <col min="7941" max="7942" width="13.21875" style="770"/>
    <col min="7943" max="7943" width="13.44140625" style="770" bestFit="1" customWidth="1"/>
    <col min="7944" max="7944" width="13.21875" style="770"/>
    <col min="7945" max="7945" width="13.44140625" style="770" bestFit="1" customWidth="1"/>
    <col min="7946" max="7946" width="13.21875" style="770"/>
    <col min="7947" max="7949" width="13.44140625" style="770" bestFit="1" customWidth="1"/>
    <col min="7950" max="7950" width="13.21875" style="770"/>
    <col min="7951" max="7951" width="13.44140625" style="770" bestFit="1" customWidth="1"/>
    <col min="7952" max="7952" width="13.21875" style="770"/>
    <col min="7953" max="7953" width="14.21875" style="770" bestFit="1" customWidth="1"/>
    <col min="7954" max="7954" width="13.21875" style="770"/>
    <col min="7955" max="7955" width="13.44140625" style="770" bestFit="1" customWidth="1"/>
    <col min="7956" max="8193" width="13.21875" style="770"/>
    <col min="8194" max="8194" width="14.44140625" style="770" customWidth="1"/>
    <col min="8195" max="8195" width="13.44140625" style="770" bestFit="1" customWidth="1"/>
    <col min="8196" max="8196" width="14.21875" style="770" bestFit="1" customWidth="1"/>
    <col min="8197" max="8198" width="13.21875" style="770"/>
    <col min="8199" max="8199" width="13.44140625" style="770" bestFit="1" customWidth="1"/>
    <col min="8200" max="8200" width="13.21875" style="770"/>
    <col min="8201" max="8201" width="13.44140625" style="770" bestFit="1" customWidth="1"/>
    <col min="8202" max="8202" width="13.21875" style="770"/>
    <col min="8203" max="8205" width="13.44140625" style="770" bestFit="1" customWidth="1"/>
    <col min="8206" max="8206" width="13.21875" style="770"/>
    <col min="8207" max="8207" width="13.44140625" style="770" bestFit="1" customWidth="1"/>
    <col min="8208" max="8208" width="13.21875" style="770"/>
    <col min="8209" max="8209" width="14.21875" style="770" bestFit="1" customWidth="1"/>
    <col min="8210" max="8210" width="13.21875" style="770"/>
    <col min="8211" max="8211" width="13.44140625" style="770" bestFit="1" customWidth="1"/>
    <col min="8212" max="8449" width="13.21875" style="770"/>
    <col min="8450" max="8450" width="14.44140625" style="770" customWidth="1"/>
    <col min="8451" max="8451" width="13.44140625" style="770" bestFit="1" customWidth="1"/>
    <col min="8452" max="8452" width="14.21875" style="770" bestFit="1" customWidth="1"/>
    <col min="8453" max="8454" width="13.21875" style="770"/>
    <col min="8455" max="8455" width="13.44140625" style="770" bestFit="1" customWidth="1"/>
    <col min="8456" max="8456" width="13.21875" style="770"/>
    <col min="8457" max="8457" width="13.44140625" style="770" bestFit="1" customWidth="1"/>
    <col min="8458" max="8458" width="13.21875" style="770"/>
    <col min="8459" max="8461" width="13.44140625" style="770" bestFit="1" customWidth="1"/>
    <col min="8462" max="8462" width="13.21875" style="770"/>
    <col min="8463" max="8463" width="13.44140625" style="770" bestFit="1" customWidth="1"/>
    <col min="8464" max="8464" width="13.21875" style="770"/>
    <col min="8465" max="8465" width="14.21875" style="770" bestFit="1" customWidth="1"/>
    <col min="8466" max="8466" width="13.21875" style="770"/>
    <col min="8467" max="8467" width="13.44140625" style="770" bestFit="1" customWidth="1"/>
    <col min="8468" max="8705" width="13.21875" style="770"/>
    <col min="8706" max="8706" width="14.44140625" style="770" customWidth="1"/>
    <col min="8707" max="8707" width="13.44140625" style="770" bestFit="1" customWidth="1"/>
    <col min="8708" max="8708" width="14.21875" style="770" bestFit="1" customWidth="1"/>
    <col min="8709" max="8710" width="13.21875" style="770"/>
    <col min="8711" max="8711" width="13.44140625" style="770" bestFit="1" customWidth="1"/>
    <col min="8712" max="8712" width="13.21875" style="770"/>
    <col min="8713" max="8713" width="13.44140625" style="770" bestFit="1" customWidth="1"/>
    <col min="8714" max="8714" width="13.21875" style="770"/>
    <col min="8715" max="8717" width="13.44140625" style="770" bestFit="1" customWidth="1"/>
    <col min="8718" max="8718" width="13.21875" style="770"/>
    <col min="8719" max="8719" width="13.44140625" style="770" bestFit="1" customWidth="1"/>
    <col min="8720" max="8720" width="13.21875" style="770"/>
    <col min="8721" max="8721" width="14.21875" style="770" bestFit="1" customWidth="1"/>
    <col min="8722" max="8722" width="13.21875" style="770"/>
    <col min="8723" max="8723" width="13.44140625" style="770" bestFit="1" customWidth="1"/>
    <col min="8724" max="8961" width="13.21875" style="770"/>
    <col min="8962" max="8962" width="14.44140625" style="770" customWidth="1"/>
    <col min="8963" max="8963" width="13.44140625" style="770" bestFit="1" customWidth="1"/>
    <col min="8964" max="8964" width="14.21875" style="770" bestFit="1" customWidth="1"/>
    <col min="8965" max="8966" width="13.21875" style="770"/>
    <col min="8967" max="8967" width="13.44140625" style="770" bestFit="1" customWidth="1"/>
    <col min="8968" max="8968" width="13.21875" style="770"/>
    <col min="8969" max="8969" width="13.44140625" style="770" bestFit="1" customWidth="1"/>
    <col min="8970" max="8970" width="13.21875" style="770"/>
    <col min="8971" max="8973" width="13.44140625" style="770" bestFit="1" customWidth="1"/>
    <col min="8974" max="8974" width="13.21875" style="770"/>
    <col min="8975" max="8975" width="13.44140625" style="770" bestFit="1" customWidth="1"/>
    <col min="8976" max="8976" width="13.21875" style="770"/>
    <col min="8977" max="8977" width="14.21875" style="770" bestFit="1" customWidth="1"/>
    <col min="8978" max="8978" width="13.21875" style="770"/>
    <col min="8979" max="8979" width="13.44140625" style="770" bestFit="1" customWidth="1"/>
    <col min="8980" max="9217" width="13.21875" style="770"/>
    <col min="9218" max="9218" width="14.44140625" style="770" customWidth="1"/>
    <col min="9219" max="9219" width="13.44140625" style="770" bestFit="1" customWidth="1"/>
    <col min="9220" max="9220" width="14.21875" style="770" bestFit="1" customWidth="1"/>
    <col min="9221" max="9222" width="13.21875" style="770"/>
    <col min="9223" max="9223" width="13.44140625" style="770" bestFit="1" customWidth="1"/>
    <col min="9224" max="9224" width="13.21875" style="770"/>
    <col min="9225" max="9225" width="13.44140625" style="770" bestFit="1" customWidth="1"/>
    <col min="9226" max="9226" width="13.21875" style="770"/>
    <col min="9227" max="9229" width="13.44140625" style="770" bestFit="1" customWidth="1"/>
    <col min="9230" max="9230" width="13.21875" style="770"/>
    <col min="9231" max="9231" width="13.44140625" style="770" bestFit="1" customWidth="1"/>
    <col min="9232" max="9232" width="13.21875" style="770"/>
    <col min="9233" max="9233" width="14.21875" style="770" bestFit="1" customWidth="1"/>
    <col min="9234" max="9234" width="13.21875" style="770"/>
    <col min="9235" max="9235" width="13.44140625" style="770" bestFit="1" customWidth="1"/>
    <col min="9236" max="9473" width="13.21875" style="770"/>
    <col min="9474" max="9474" width="14.44140625" style="770" customWidth="1"/>
    <col min="9475" max="9475" width="13.44140625" style="770" bestFit="1" customWidth="1"/>
    <col min="9476" max="9476" width="14.21875" style="770" bestFit="1" customWidth="1"/>
    <col min="9477" max="9478" width="13.21875" style="770"/>
    <col min="9479" max="9479" width="13.44140625" style="770" bestFit="1" customWidth="1"/>
    <col min="9480" max="9480" width="13.21875" style="770"/>
    <col min="9481" max="9481" width="13.44140625" style="770" bestFit="1" customWidth="1"/>
    <col min="9482" max="9482" width="13.21875" style="770"/>
    <col min="9483" max="9485" width="13.44140625" style="770" bestFit="1" customWidth="1"/>
    <col min="9486" max="9486" width="13.21875" style="770"/>
    <col min="9487" max="9487" width="13.44140625" style="770" bestFit="1" customWidth="1"/>
    <col min="9488" max="9488" width="13.21875" style="770"/>
    <col min="9489" max="9489" width="14.21875" style="770" bestFit="1" customWidth="1"/>
    <col min="9490" max="9490" width="13.21875" style="770"/>
    <col min="9491" max="9491" width="13.44140625" style="770" bestFit="1" customWidth="1"/>
    <col min="9492" max="9729" width="13.21875" style="770"/>
    <col min="9730" max="9730" width="14.44140625" style="770" customWidth="1"/>
    <col min="9731" max="9731" width="13.44140625" style="770" bestFit="1" customWidth="1"/>
    <col min="9732" max="9732" width="14.21875" style="770" bestFit="1" customWidth="1"/>
    <col min="9733" max="9734" width="13.21875" style="770"/>
    <col min="9735" max="9735" width="13.44140625" style="770" bestFit="1" customWidth="1"/>
    <col min="9736" max="9736" width="13.21875" style="770"/>
    <col min="9737" max="9737" width="13.44140625" style="770" bestFit="1" customWidth="1"/>
    <col min="9738" max="9738" width="13.21875" style="770"/>
    <col min="9739" max="9741" width="13.44140625" style="770" bestFit="1" customWidth="1"/>
    <col min="9742" max="9742" width="13.21875" style="770"/>
    <col min="9743" max="9743" width="13.44140625" style="770" bestFit="1" customWidth="1"/>
    <col min="9744" max="9744" width="13.21875" style="770"/>
    <col min="9745" max="9745" width="14.21875" style="770" bestFit="1" customWidth="1"/>
    <col min="9746" max="9746" width="13.21875" style="770"/>
    <col min="9747" max="9747" width="13.44140625" style="770" bestFit="1" customWidth="1"/>
    <col min="9748" max="9985" width="13.21875" style="770"/>
    <col min="9986" max="9986" width="14.44140625" style="770" customWidth="1"/>
    <col min="9987" max="9987" width="13.44140625" style="770" bestFit="1" customWidth="1"/>
    <col min="9988" max="9988" width="14.21875" style="770" bestFit="1" customWidth="1"/>
    <col min="9989" max="9990" width="13.21875" style="770"/>
    <col min="9991" max="9991" width="13.44140625" style="770" bestFit="1" customWidth="1"/>
    <col min="9992" max="9992" width="13.21875" style="770"/>
    <col min="9993" max="9993" width="13.44140625" style="770" bestFit="1" customWidth="1"/>
    <col min="9994" max="9994" width="13.21875" style="770"/>
    <col min="9995" max="9997" width="13.44140625" style="770" bestFit="1" customWidth="1"/>
    <col min="9998" max="9998" width="13.21875" style="770"/>
    <col min="9999" max="9999" width="13.44140625" style="770" bestFit="1" customWidth="1"/>
    <col min="10000" max="10000" width="13.21875" style="770"/>
    <col min="10001" max="10001" width="14.21875" style="770" bestFit="1" customWidth="1"/>
    <col min="10002" max="10002" width="13.21875" style="770"/>
    <col min="10003" max="10003" width="13.44140625" style="770" bestFit="1" customWidth="1"/>
    <col min="10004" max="10241" width="13.21875" style="770"/>
    <col min="10242" max="10242" width="14.44140625" style="770" customWidth="1"/>
    <col min="10243" max="10243" width="13.44140625" style="770" bestFit="1" customWidth="1"/>
    <col min="10244" max="10244" width="14.21875" style="770" bestFit="1" customWidth="1"/>
    <col min="10245" max="10246" width="13.21875" style="770"/>
    <col min="10247" max="10247" width="13.44140625" style="770" bestFit="1" customWidth="1"/>
    <col min="10248" max="10248" width="13.21875" style="770"/>
    <col min="10249" max="10249" width="13.44140625" style="770" bestFit="1" customWidth="1"/>
    <col min="10250" max="10250" width="13.21875" style="770"/>
    <col min="10251" max="10253" width="13.44140625" style="770" bestFit="1" customWidth="1"/>
    <col min="10254" max="10254" width="13.21875" style="770"/>
    <col min="10255" max="10255" width="13.44140625" style="770" bestFit="1" customWidth="1"/>
    <col min="10256" max="10256" width="13.21875" style="770"/>
    <col min="10257" max="10257" width="14.21875" style="770" bestFit="1" customWidth="1"/>
    <col min="10258" max="10258" width="13.21875" style="770"/>
    <col min="10259" max="10259" width="13.44140625" style="770" bestFit="1" customWidth="1"/>
    <col min="10260" max="10497" width="13.21875" style="770"/>
    <col min="10498" max="10498" width="14.44140625" style="770" customWidth="1"/>
    <col min="10499" max="10499" width="13.44140625" style="770" bestFit="1" customWidth="1"/>
    <col min="10500" max="10500" width="14.21875" style="770" bestFit="1" customWidth="1"/>
    <col min="10501" max="10502" width="13.21875" style="770"/>
    <col min="10503" max="10503" width="13.44140625" style="770" bestFit="1" customWidth="1"/>
    <col min="10504" max="10504" width="13.21875" style="770"/>
    <col min="10505" max="10505" width="13.44140625" style="770" bestFit="1" customWidth="1"/>
    <col min="10506" max="10506" width="13.21875" style="770"/>
    <col min="10507" max="10509" width="13.44140625" style="770" bestFit="1" customWidth="1"/>
    <col min="10510" max="10510" width="13.21875" style="770"/>
    <col min="10511" max="10511" width="13.44140625" style="770" bestFit="1" customWidth="1"/>
    <col min="10512" max="10512" width="13.21875" style="770"/>
    <col min="10513" max="10513" width="14.21875" style="770" bestFit="1" customWidth="1"/>
    <col min="10514" max="10514" width="13.21875" style="770"/>
    <col min="10515" max="10515" width="13.44140625" style="770" bestFit="1" customWidth="1"/>
    <col min="10516" max="10753" width="13.21875" style="770"/>
    <col min="10754" max="10754" width="14.44140625" style="770" customWidth="1"/>
    <col min="10755" max="10755" width="13.44140625" style="770" bestFit="1" customWidth="1"/>
    <col min="10756" max="10756" width="14.21875" style="770" bestFit="1" customWidth="1"/>
    <col min="10757" max="10758" width="13.21875" style="770"/>
    <col min="10759" max="10759" width="13.44140625" style="770" bestFit="1" customWidth="1"/>
    <col min="10760" max="10760" width="13.21875" style="770"/>
    <col min="10761" max="10761" width="13.44140625" style="770" bestFit="1" customWidth="1"/>
    <col min="10762" max="10762" width="13.21875" style="770"/>
    <col min="10763" max="10765" width="13.44140625" style="770" bestFit="1" customWidth="1"/>
    <col min="10766" max="10766" width="13.21875" style="770"/>
    <col min="10767" max="10767" width="13.44140625" style="770" bestFit="1" customWidth="1"/>
    <col min="10768" max="10768" width="13.21875" style="770"/>
    <col min="10769" max="10769" width="14.21875" style="770" bestFit="1" customWidth="1"/>
    <col min="10770" max="10770" width="13.21875" style="770"/>
    <col min="10771" max="10771" width="13.44140625" style="770" bestFit="1" customWidth="1"/>
    <col min="10772" max="11009" width="13.21875" style="770"/>
    <col min="11010" max="11010" width="14.44140625" style="770" customWidth="1"/>
    <col min="11011" max="11011" width="13.44140625" style="770" bestFit="1" customWidth="1"/>
    <col min="11012" max="11012" width="14.21875" style="770" bestFit="1" customWidth="1"/>
    <col min="11013" max="11014" width="13.21875" style="770"/>
    <col min="11015" max="11015" width="13.44140625" style="770" bestFit="1" customWidth="1"/>
    <col min="11016" max="11016" width="13.21875" style="770"/>
    <col min="11017" max="11017" width="13.44140625" style="770" bestFit="1" customWidth="1"/>
    <col min="11018" max="11018" width="13.21875" style="770"/>
    <col min="11019" max="11021" width="13.44140625" style="770" bestFit="1" customWidth="1"/>
    <col min="11022" max="11022" width="13.21875" style="770"/>
    <col min="11023" max="11023" width="13.44140625" style="770" bestFit="1" customWidth="1"/>
    <col min="11024" max="11024" width="13.21875" style="770"/>
    <col min="11025" max="11025" width="14.21875" style="770" bestFit="1" customWidth="1"/>
    <col min="11026" max="11026" width="13.21875" style="770"/>
    <col min="11027" max="11027" width="13.44140625" style="770" bestFit="1" customWidth="1"/>
    <col min="11028" max="11265" width="13.21875" style="770"/>
    <col min="11266" max="11266" width="14.44140625" style="770" customWidth="1"/>
    <col min="11267" max="11267" width="13.44140625" style="770" bestFit="1" customWidth="1"/>
    <col min="11268" max="11268" width="14.21875" style="770" bestFit="1" customWidth="1"/>
    <col min="11269" max="11270" width="13.21875" style="770"/>
    <col min="11271" max="11271" width="13.44140625" style="770" bestFit="1" customWidth="1"/>
    <col min="11272" max="11272" width="13.21875" style="770"/>
    <col min="11273" max="11273" width="13.44140625" style="770" bestFit="1" customWidth="1"/>
    <col min="11274" max="11274" width="13.21875" style="770"/>
    <col min="11275" max="11277" width="13.44140625" style="770" bestFit="1" customWidth="1"/>
    <col min="11278" max="11278" width="13.21875" style="770"/>
    <col min="11279" max="11279" width="13.44140625" style="770" bestFit="1" customWidth="1"/>
    <col min="11280" max="11280" width="13.21875" style="770"/>
    <col min="11281" max="11281" width="14.21875" style="770" bestFit="1" customWidth="1"/>
    <col min="11282" max="11282" width="13.21875" style="770"/>
    <col min="11283" max="11283" width="13.44140625" style="770" bestFit="1" customWidth="1"/>
    <col min="11284" max="11521" width="13.21875" style="770"/>
    <col min="11522" max="11522" width="14.44140625" style="770" customWidth="1"/>
    <col min="11523" max="11523" width="13.44140625" style="770" bestFit="1" customWidth="1"/>
    <col min="11524" max="11524" width="14.21875" style="770" bestFit="1" customWidth="1"/>
    <col min="11525" max="11526" width="13.21875" style="770"/>
    <col min="11527" max="11527" width="13.44140625" style="770" bestFit="1" customWidth="1"/>
    <col min="11528" max="11528" width="13.21875" style="770"/>
    <col min="11529" max="11529" width="13.44140625" style="770" bestFit="1" customWidth="1"/>
    <col min="11530" max="11530" width="13.21875" style="770"/>
    <col min="11531" max="11533" width="13.44140625" style="770" bestFit="1" customWidth="1"/>
    <col min="11534" max="11534" width="13.21875" style="770"/>
    <col min="11535" max="11535" width="13.44140625" style="770" bestFit="1" customWidth="1"/>
    <col min="11536" max="11536" width="13.21875" style="770"/>
    <col min="11537" max="11537" width="14.21875" style="770" bestFit="1" customWidth="1"/>
    <col min="11538" max="11538" width="13.21875" style="770"/>
    <col min="11539" max="11539" width="13.44140625" style="770" bestFit="1" customWidth="1"/>
    <col min="11540" max="11777" width="13.21875" style="770"/>
    <col min="11778" max="11778" width="14.44140625" style="770" customWidth="1"/>
    <col min="11779" max="11779" width="13.44140625" style="770" bestFit="1" customWidth="1"/>
    <col min="11780" max="11780" width="14.21875" style="770" bestFit="1" customWidth="1"/>
    <col min="11781" max="11782" width="13.21875" style="770"/>
    <col min="11783" max="11783" width="13.44140625" style="770" bestFit="1" customWidth="1"/>
    <col min="11784" max="11784" width="13.21875" style="770"/>
    <col min="11785" max="11785" width="13.44140625" style="770" bestFit="1" customWidth="1"/>
    <col min="11786" max="11786" width="13.21875" style="770"/>
    <col min="11787" max="11789" width="13.44140625" style="770" bestFit="1" customWidth="1"/>
    <col min="11790" max="11790" width="13.21875" style="770"/>
    <col min="11791" max="11791" width="13.44140625" style="770" bestFit="1" customWidth="1"/>
    <col min="11792" max="11792" width="13.21875" style="770"/>
    <col min="11793" max="11793" width="14.21875" style="770" bestFit="1" customWidth="1"/>
    <col min="11794" max="11794" width="13.21875" style="770"/>
    <col min="11795" max="11795" width="13.44140625" style="770" bestFit="1" customWidth="1"/>
    <col min="11796" max="12033" width="13.21875" style="770"/>
    <col min="12034" max="12034" width="14.44140625" style="770" customWidth="1"/>
    <col min="12035" max="12035" width="13.44140625" style="770" bestFit="1" customWidth="1"/>
    <col min="12036" max="12036" width="14.21875" style="770" bestFit="1" customWidth="1"/>
    <col min="12037" max="12038" width="13.21875" style="770"/>
    <col min="12039" max="12039" width="13.44140625" style="770" bestFit="1" customWidth="1"/>
    <col min="12040" max="12040" width="13.21875" style="770"/>
    <col min="12041" max="12041" width="13.44140625" style="770" bestFit="1" customWidth="1"/>
    <col min="12042" max="12042" width="13.21875" style="770"/>
    <col min="12043" max="12045" width="13.44140625" style="770" bestFit="1" customWidth="1"/>
    <col min="12046" max="12046" width="13.21875" style="770"/>
    <col min="12047" max="12047" width="13.44140625" style="770" bestFit="1" customWidth="1"/>
    <col min="12048" max="12048" width="13.21875" style="770"/>
    <col min="12049" max="12049" width="14.21875" style="770" bestFit="1" customWidth="1"/>
    <col min="12050" max="12050" width="13.21875" style="770"/>
    <col min="12051" max="12051" width="13.44140625" style="770" bestFit="1" customWidth="1"/>
    <col min="12052" max="12289" width="13.21875" style="770"/>
    <col min="12290" max="12290" width="14.44140625" style="770" customWidth="1"/>
    <col min="12291" max="12291" width="13.44140625" style="770" bestFit="1" customWidth="1"/>
    <col min="12292" max="12292" width="14.21875" style="770" bestFit="1" customWidth="1"/>
    <col min="12293" max="12294" width="13.21875" style="770"/>
    <col min="12295" max="12295" width="13.44140625" style="770" bestFit="1" customWidth="1"/>
    <col min="12296" max="12296" width="13.21875" style="770"/>
    <col min="12297" max="12297" width="13.44140625" style="770" bestFit="1" customWidth="1"/>
    <col min="12298" max="12298" width="13.21875" style="770"/>
    <col min="12299" max="12301" width="13.44140625" style="770" bestFit="1" customWidth="1"/>
    <col min="12302" max="12302" width="13.21875" style="770"/>
    <col min="12303" max="12303" width="13.44140625" style="770" bestFit="1" customWidth="1"/>
    <col min="12304" max="12304" width="13.21875" style="770"/>
    <col min="12305" max="12305" width="14.21875" style="770" bestFit="1" customWidth="1"/>
    <col min="12306" max="12306" width="13.21875" style="770"/>
    <col min="12307" max="12307" width="13.44140625" style="770" bestFit="1" customWidth="1"/>
    <col min="12308" max="12545" width="13.21875" style="770"/>
    <col min="12546" max="12546" width="14.44140625" style="770" customWidth="1"/>
    <col min="12547" max="12547" width="13.44140625" style="770" bestFit="1" customWidth="1"/>
    <col min="12548" max="12548" width="14.21875" style="770" bestFit="1" customWidth="1"/>
    <col min="12549" max="12550" width="13.21875" style="770"/>
    <col min="12551" max="12551" width="13.44140625" style="770" bestFit="1" customWidth="1"/>
    <col min="12552" max="12552" width="13.21875" style="770"/>
    <col min="12553" max="12553" width="13.44140625" style="770" bestFit="1" customWidth="1"/>
    <col min="12554" max="12554" width="13.21875" style="770"/>
    <col min="12555" max="12557" width="13.44140625" style="770" bestFit="1" customWidth="1"/>
    <col min="12558" max="12558" width="13.21875" style="770"/>
    <col min="12559" max="12559" width="13.44140625" style="770" bestFit="1" customWidth="1"/>
    <col min="12560" max="12560" width="13.21875" style="770"/>
    <col min="12561" max="12561" width="14.21875" style="770" bestFit="1" customWidth="1"/>
    <col min="12562" max="12562" width="13.21875" style="770"/>
    <col min="12563" max="12563" width="13.44140625" style="770" bestFit="1" customWidth="1"/>
    <col min="12564" max="12801" width="13.21875" style="770"/>
    <col min="12802" max="12802" width="14.44140625" style="770" customWidth="1"/>
    <col min="12803" max="12803" width="13.44140625" style="770" bestFit="1" customWidth="1"/>
    <col min="12804" max="12804" width="14.21875" style="770" bestFit="1" customWidth="1"/>
    <col min="12805" max="12806" width="13.21875" style="770"/>
    <col min="12807" max="12807" width="13.44140625" style="770" bestFit="1" customWidth="1"/>
    <col min="12808" max="12808" width="13.21875" style="770"/>
    <col min="12809" max="12809" width="13.44140625" style="770" bestFit="1" customWidth="1"/>
    <col min="12810" max="12810" width="13.21875" style="770"/>
    <col min="12811" max="12813" width="13.44140625" style="770" bestFit="1" customWidth="1"/>
    <col min="12814" max="12814" width="13.21875" style="770"/>
    <col min="12815" max="12815" width="13.44140625" style="770" bestFit="1" customWidth="1"/>
    <col min="12816" max="12816" width="13.21875" style="770"/>
    <col min="12817" max="12817" width="14.21875" style="770" bestFit="1" customWidth="1"/>
    <col min="12818" max="12818" width="13.21875" style="770"/>
    <col min="12819" max="12819" width="13.44140625" style="770" bestFit="1" customWidth="1"/>
    <col min="12820" max="13057" width="13.21875" style="770"/>
    <col min="13058" max="13058" width="14.44140625" style="770" customWidth="1"/>
    <col min="13059" max="13059" width="13.44140625" style="770" bestFit="1" customWidth="1"/>
    <col min="13060" max="13060" width="14.21875" style="770" bestFit="1" customWidth="1"/>
    <col min="13061" max="13062" width="13.21875" style="770"/>
    <col min="13063" max="13063" width="13.44140625" style="770" bestFit="1" customWidth="1"/>
    <col min="13064" max="13064" width="13.21875" style="770"/>
    <col min="13065" max="13065" width="13.44140625" style="770" bestFit="1" customWidth="1"/>
    <col min="13066" max="13066" width="13.21875" style="770"/>
    <col min="13067" max="13069" width="13.44140625" style="770" bestFit="1" customWidth="1"/>
    <col min="13070" max="13070" width="13.21875" style="770"/>
    <col min="13071" max="13071" width="13.44140625" style="770" bestFit="1" customWidth="1"/>
    <col min="13072" max="13072" width="13.21875" style="770"/>
    <col min="13073" max="13073" width="14.21875" style="770" bestFit="1" customWidth="1"/>
    <col min="13074" max="13074" width="13.21875" style="770"/>
    <col min="13075" max="13075" width="13.44140625" style="770" bestFit="1" customWidth="1"/>
    <col min="13076" max="13313" width="13.21875" style="770"/>
    <col min="13314" max="13314" width="14.44140625" style="770" customWidth="1"/>
    <col min="13315" max="13315" width="13.44140625" style="770" bestFit="1" customWidth="1"/>
    <col min="13316" max="13316" width="14.21875" style="770" bestFit="1" customWidth="1"/>
    <col min="13317" max="13318" width="13.21875" style="770"/>
    <col min="13319" max="13319" width="13.44140625" style="770" bestFit="1" customWidth="1"/>
    <col min="13320" max="13320" width="13.21875" style="770"/>
    <col min="13321" max="13321" width="13.44140625" style="770" bestFit="1" customWidth="1"/>
    <col min="13322" max="13322" width="13.21875" style="770"/>
    <col min="13323" max="13325" width="13.44140625" style="770" bestFit="1" customWidth="1"/>
    <col min="13326" max="13326" width="13.21875" style="770"/>
    <col min="13327" max="13327" width="13.44140625" style="770" bestFit="1" customWidth="1"/>
    <col min="13328" max="13328" width="13.21875" style="770"/>
    <col min="13329" max="13329" width="14.21875" style="770" bestFit="1" customWidth="1"/>
    <col min="13330" max="13330" width="13.21875" style="770"/>
    <col min="13331" max="13331" width="13.44140625" style="770" bestFit="1" customWidth="1"/>
    <col min="13332" max="13569" width="13.21875" style="770"/>
    <col min="13570" max="13570" width="14.44140625" style="770" customWidth="1"/>
    <col min="13571" max="13571" width="13.44140625" style="770" bestFit="1" customWidth="1"/>
    <col min="13572" max="13572" width="14.21875" style="770" bestFit="1" customWidth="1"/>
    <col min="13573" max="13574" width="13.21875" style="770"/>
    <col min="13575" max="13575" width="13.44140625" style="770" bestFit="1" customWidth="1"/>
    <col min="13576" max="13576" width="13.21875" style="770"/>
    <col min="13577" max="13577" width="13.44140625" style="770" bestFit="1" customWidth="1"/>
    <col min="13578" max="13578" width="13.21875" style="770"/>
    <col min="13579" max="13581" width="13.44140625" style="770" bestFit="1" customWidth="1"/>
    <col min="13582" max="13582" width="13.21875" style="770"/>
    <col min="13583" max="13583" width="13.44140625" style="770" bestFit="1" customWidth="1"/>
    <col min="13584" max="13584" width="13.21875" style="770"/>
    <col min="13585" max="13585" width="14.21875" style="770" bestFit="1" customWidth="1"/>
    <col min="13586" max="13586" width="13.21875" style="770"/>
    <col min="13587" max="13587" width="13.44140625" style="770" bestFit="1" customWidth="1"/>
    <col min="13588" max="13825" width="13.21875" style="770"/>
    <col min="13826" max="13826" width="14.44140625" style="770" customWidth="1"/>
    <col min="13827" max="13827" width="13.44140625" style="770" bestFit="1" customWidth="1"/>
    <col min="13828" max="13828" width="14.21875" style="770" bestFit="1" customWidth="1"/>
    <col min="13829" max="13830" width="13.21875" style="770"/>
    <col min="13831" max="13831" width="13.44140625" style="770" bestFit="1" customWidth="1"/>
    <col min="13832" max="13832" width="13.21875" style="770"/>
    <col min="13833" max="13833" width="13.44140625" style="770" bestFit="1" customWidth="1"/>
    <col min="13834" max="13834" width="13.21875" style="770"/>
    <col min="13835" max="13837" width="13.44140625" style="770" bestFit="1" customWidth="1"/>
    <col min="13838" max="13838" width="13.21875" style="770"/>
    <col min="13839" max="13839" width="13.44140625" style="770" bestFit="1" customWidth="1"/>
    <col min="13840" max="13840" width="13.21875" style="770"/>
    <col min="13841" max="13841" width="14.21875" style="770" bestFit="1" customWidth="1"/>
    <col min="13842" max="13842" width="13.21875" style="770"/>
    <col min="13843" max="13843" width="13.44140625" style="770" bestFit="1" customWidth="1"/>
    <col min="13844" max="14081" width="13.21875" style="770"/>
    <col min="14082" max="14082" width="14.44140625" style="770" customWidth="1"/>
    <col min="14083" max="14083" width="13.44140625" style="770" bestFit="1" customWidth="1"/>
    <col min="14084" max="14084" width="14.21875" style="770" bestFit="1" customWidth="1"/>
    <col min="14085" max="14086" width="13.21875" style="770"/>
    <col min="14087" max="14087" width="13.44140625" style="770" bestFit="1" customWidth="1"/>
    <col min="14088" max="14088" width="13.21875" style="770"/>
    <col min="14089" max="14089" width="13.44140625" style="770" bestFit="1" customWidth="1"/>
    <col min="14090" max="14090" width="13.21875" style="770"/>
    <col min="14091" max="14093" width="13.44140625" style="770" bestFit="1" customWidth="1"/>
    <col min="14094" max="14094" width="13.21875" style="770"/>
    <col min="14095" max="14095" width="13.44140625" style="770" bestFit="1" customWidth="1"/>
    <col min="14096" max="14096" width="13.21875" style="770"/>
    <col min="14097" max="14097" width="14.21875" style="770" bestFit="1" customWidth="1"/>
    <col min="14098" max="14098" width="13.21875" style="770"/>
    <col min="14099" max="14099" width="13.44140625" style="770" bestFit="1" customWidth="1"/>
    <col min="14100" max="14337" width="13.21875" style="770"/>
    <col min="14338" max="14338" width="14.44140625" style="770" customWidth="1"/>
    <col min="14339" max="14339" width="13.44140625" style="770" bestFit="1" customWidth="1"/>
    <col min="14340" max="14340" width="14.21875" style="770" bestFit="1" customWidth="1"/>
    <col min="14341" max="14342" width="13.21875" style="770"/>
    <col min="14343" max="14343" width="13.44140625" style="770" bestFit="1" customWidth="1"/>
    <col min="14344" max="14344" width="13.21875" style="770"/>
    <col min="14345" max="14345" width="13.44140625" style="770" bestFit="1" customWidth="1"/>
    <col min="14346" max="14346" width="13.21875" style="770"/>
    <col min="14347" max="14349" width="13.44140625" style="770" bestFit="1" customWidth="1"/>
    <col min="14350" max="14350" width="13.21875" style="770"/>
    <col min="14351" max="14351" width="13.44140625" style="770" bestFit="1" customWidth="1"/>
    <col min="14352" max="14352" width="13.21875" style="770"/>
    <col min="14353" max="14353" width="14.21875" style="770" bestFit="1" customWidth="1"/>
    <col min="14354" max="14354" width="13.21875" style="770"/>
    <col min="14355" max="14355" width="13.44140625" style="770" bestFit="1" customWidth="1"/>
    <col min="14356" max="14593" width="13.21875" style="770"/>
    <col min="14594" max="14594" width="14.44140625" style="770" customWidth="1"/>
    <col min="14595" max="14595" width="13.44140625" style="770" bestFit="1" customWidth="1"/>
    <col min="14596" max="14596" width="14.21875" style="770" bestFit="1" customWidth="1"/>
    <col min="14597" max="14598" width="13.21875" style="770"/>
    <col min="14599" max="14599" width="13.44140625" style="770" bestFit="1" customWidth="1"/>
    <col min="14600" max="14600" width="13.21875" style="770"/>
    <col min="14601" max="14601" width="13.44140625" style="770" bestFit="1" customWidth="1"/>
    <col min="14602" max="14602" width="13.21875" style="770"/>
    <col min="14603" max="14605" width="13.44140625" style="770" bestFit="1" customWidth="1"/>
    <col min="14606" max="14606" width="13.21875" style="770"/>
    <col min="14607" max="14607" width="13.44140625" style="770" bestFit="1" customWidth="1"/>
    <col min="14608" max="14608" width="13.21875" style="770"/>
    <col min="14609" max="14609" width="14.21875" style="770" bestFit="1" customWidth="1"/>
    <col min="14610" max="14610" width="13.21875" style="770"/>
    <col min="14611" max="14611" width="13.44140625" style="770" bestFit="1" customWidth="1"/>
    <col min="14612" max="14849" width="13.21875" style="770"/>
    <col min="14850" max="14850" width="14.44140625" style="770" customWidth="1"/>
    <col min="14851" max="14851" width="13.44140625" style="770" bestFit="1" customWidth="1"/>
    <col min="14852" max="14852" width="14.21875" style="770" bestFit="1" customWidth="1"/>
    <col min="14853" max="14854" width="13.21875" style="770"/>
    <col min="14855" max="14855" width="13.44140625" style="770" bestFit="1" customWidth="1"/>
    <col min="14856" max="14856" width="13.21875" style="770"/>
    <col min="14857" max="14857" width="13.44140625" style="770" bestFit="1" customWidth="1"/>
    <col min="14858" max="14858" width="13.21875" style="770"/>
    <col min="14859" max="14861" width="13.44140625" style="770" bestFit="1" customWidth="1"/>
    <col min="14862" max="14862" width="13.21875" style="770"/>
    <col min="14863" max="14863" width="13.44140625" style="770" bestFit="1" customWidth="1"/>
    <col min="14864" max="14864" width="13.21875" style="770"/>
    <col min="14865" max="14865" width="14.21875" style="770" bestFit="1" customWidth="1"/>
    <col min="14866" max="14866" width="13.21875" style="770"/>
    <col min="14867" max="14867" width="13.44140625" style="770" bestFit="1" customWidth="1"/>
    <col min="14868" max="15105" width="13.21875" style="770"/>
    <col min="15106" max="15106" width="14.44140625" style="770" customWidth="1"/>
    <col min="15107" max="15107" width="13.44140625" style="770" bestFit="1" customWidth="1"/>
    <col min="15108" max="15108" width="14.21875" style="770" bestFit="1" customWidth="1"/>
    <col min="15109" max="15110" width="13.21875" style="770"/>
    <col min="15111" max="15111" width="13.44140625" style="770" bestFit="1" customWidth="1"/>
    <col min="15112" max="15112" width="13.21875" style="770"/>
    <col min="15113" max="15113" width="13.44140625" style="770" bestFit="1" customWidth="1"/>
    <col min="15114" max="15114" width="13.21875" style="770"/>
    <col min="15115" max="15117" width="13.44140625" style="770" bestFit="1" customWidth="1"/>
    <col min="15118" max="15118" width="13.21875" style="770"/>
    <col min="15119" max="15119" width="13.44140625" style="770" bestFit="1" customWidth="1"/>
    <col min="15120" max="15120" width="13.21875" style="770"/>
    <col min="15121" max="15121" width="14.21875" style="770" bestFit="1" customWidth="1"/>
    <col min="15122" max="15122" width="13.21875" style="770"/>
    <col min="15123" max="15123" width="13.44140625" style="770" bestFit="1" customWidth="1"/>
    <col min="15124" max="15361" width="13.21875" style="770"/>
    <col min="15362" max="15362" width="14.44140625" style="770" customWidth="1"/>
    <col min="15363" max="15363" width="13.44140625" style="770" bestFit="1" customWidth="1"/>
    <col min="15364" max="15364" width="14.21875" style="770" bestFit="1" customWidth="1"/>
    <col min="15365" max="15366" width="13.21875" style="770"/>
    <col min="15367" max="15367" width="13.44140625" style="770" bestFit="1" customWidth="1"/>
    <col min="15368" max="15368" width="13.21875" style="770"/>
    <col min="15369" max="15369" width="13.44140625" style="770" bestFit="1" customWidth="1"/>
    <col min="15370" max="15370" width="13.21875" style="770"/>
    <col min="15371" max="15373" width="13.44140625" style="770" bestFit="1" customWidth="1"/>
    <col min="15374" max="15374" width="13.21875" style="770"/>
    <col min="15375" max="15375" width="13.44140625" style="770" bestFit="1" customWidth="1"/>
    <col min="15376" max="15376" width="13.21875" style="770"/>
    <col min="15377" max="15377" width="14.21875" style="770" bestFit="1" customWidth="1"/>
    <col min="15378" max="15378" width="13.21875" style="770"/>
    <col min="15379" max="15379" width="13.44140625" style="770" bestFit="1" customWidth="1"/>
    <col min="15380" max="15617" width="13.21875" style="770"/>
    <col min="15618" max="15618" width="14.44140625" style="770" customWidth="1"/>
    <col min="15619" max="15619" width="13.44140625" style="770" bestFit="1" customWidth="1"/>
    <col min="15620" max="15620" width="14.21875" style="770" bestFit="1" customWidth="1"/>
    <col min="15621" max="15622" width="13.21875" style="770"/>
    <col min="15623" max="15623" width="13.44140625" style="770" bestFit="1" customWidth="1"/>
    <col min="15624" max="15624" width="13.21875" style="770"/>
    <col min="15625" max="15625" width="13.44140625" style="770" bestFit="1" customWidth="1"/>
    <col min="15626" max="15626" width="13.21875" style="770"/>
    <col min="15627" max="15629" width="13.44140625" style="770" bestFit="1" customWidth="1"/>
    <col min="15630" max="15630" width="13.21875" style="770"/>
    <col min="15631" max="15631" width="13.44140625" style="770" bestFit="1" customWidth="1"/>
    <col min="15632" max="15632" width="13.21875" style="770"/>
    <col min="15633" max="15633" width="14.21875" style="770" bestFit="1" customWidth="1"/>
    <col min="15634" max="15634" width="13.21875" style="770"/>
    <col min="15635" max="15635" width="13.44140625" style="770" bestFit="1" customWidth="1"/>
    <col min="15636" max="15873" width="13.21875" style="770"/>
    <col min="15874" max="15874" width="14.44140625" style="770" customWidth="1"/>
    <col min="15875" max="15875" width="13.44140625" style="770" bestFit="1" customWidth="1"/>
    <col min="15876" max="15876" width="14.21875" style="770" bestFit="1" customWidth="1"/>
    <col min="15877" max="15878" width="13.21875" style="770"/>
    <col min="15879" max="15879" width="13.44140625" style="770" bestFit="1" customWidth="1"/>
    <col min="15880" max="15880" width="13.21875" style="770"/>
    <col min="15881" max="15881" width="13.44140625" style="770" bestFit="1" customWidth="1"/>
    <col min="15882" max="15882" width="13.21875" style="770"/>
    <col min="15883" max="15885" width="13.44140625" style="770" bestFit="1" customWidth="1"/>
    <col min="15886" max="15886" width="13.21875" style="770"/>
    <col min="15887" max="15887" width="13.44140625" style="770" bestFit="1" customWidth="1"/>
    <col min="15888" max="15888" width="13.21875" style="770"/>
    <col min="15889" max="15889" width="14.21875" style="770" bestFit="1" customWidth="1"/>
    <col min="15890" max="15890" width="13.21875" style="770"/>
    <col min="15891" max="15891" width="13.44140625" style="770" bestFit="1" customWidth="1"/>
    <col min="15892" max="16129" width="13.21875" style="770"/>
    <col min="16130" max="16130" width="14.44140625" style="770" customWidth="1"/>
    <col min="16131" max="16131" width="13.44140625" style="770" bestFit="1" customWidth="1"/>
    <col min="16132" max="16132" width="14.21875" style="770" bestFit="1" customWidth="1"/>
    <col min="16133" max="16134" width="13.21875" style="770"/>
    <col min="16135" max="16135" width="13.44140625" style="770" bestFit="1" customWidth="1"/>
    <col min="16136" max="16136" width="13.21875" style="770"/>
    <col min="16137" max="16137" width="13.44140625" style="770" bestFit="1" customWidth="1"/>
    <col min="16138" max="16138" width="13.21875" style="770"/>
    <col min="16139" max="16141" width="13.44140625" style="770" bestFit="1" customWidth="1"/>
    <col min="16142" max="16142" width="13.21875" style="770"/>
    <col min="16143" max="16143" width="13.44140625" style="770" bestFit="1" customWidth="1"/>
    <col min="16144" max="16144" width="13.21875" style="770"/>
    <col min="16145" max="16145" width="14.21875" style="770" bestFit="1" customWidth="1"/>
    <col min="16146" max="16146" width="13.21875" style="770"/>
    <col min="16147" max="16147" width="13.44140625" style="770" bestFit="1" customWidth="1"/>
    <col min="16148" max="16384" width="13.21875" style="770"/>
  </cols>
  <sheetData>
    <row r="1" spans="1:47" ht="15.75">
      <c r="B1" s="771"/>
      <c r="K1" s="991" t="s">
        <v>781</v>
      </c>
      <c r="L1" s="991"/>
      <c r="M1" s="991"/>
      <c r="N1" s="991"/>
      <c r="O1" s="991"/>
      <c r="P1" s="991"/>
      <c r="Q1" s="991"/>
      <c r="R1" s="991"/>
      <c r="AA1" s="665"/>
    </row>
    <row r="2" spans="1:47" ht="15.75">
      <c r="B2" s="771"/>
      <c r="K2" s="992" t="s">
        <v>708</v>
      </c>
      <c r="L2" s="992"/>
      <c r="M2" s="992"/>
      <c r="N2" s="992"/>
      <c r="O2" s="992"/>
      <c r="P2" s="992"/>
      <c r="Q2" s="992"/>
      <c r="R2" s="992"/>
      <c r="AA2" s="665"/>
    </row>
    <row r="3" spans="1:47" ht="15.75">
      <c r="B3" s="771"/>
      <c r="K3" s="993" t="str">
        <f>'Attachment H-39A'!D5</f>
        <v>Valley Link Transmission West Virginia, LLC</v>
      </c>
      <c r="L3" s="993"/>
      <c r="M3" s="993"/>
      <c r="N3" s="993"/>
      <c r="O3" s="993"/>
      <c r="P3" s="993"/>
      <c r="Q3" s="993"/>
      <c r="R3" s="993"/>
      <c r="S3" s="770" t="s">
        <v>950</v>
      </c>
      <c r="AA3" s="665"/>
    </row>
    <row r="4" spans="1:47" ht="15.75">
      <c r="B4" s="771"/>
      <c r="AA4" s="611"/>
    </row>
    <row r="5" spans="1:47" ht="18">
      <c r="B5" s="771"/>
      <c r="M5" s="1023" t="s">
        <v>700</v>
      </c>
      <c r="N5" s="1023"/>
      <c r="O5" s="1023"/>
      <c r="AA5" s="611"/>
    </row>
    <row r="6" spans="1:47" ht="15.75">
      <c r="B6" s="772"/>
    </row>
    <row r="7" spans="1:47" ht="15.75">
      <c r="A7" s="773"/>
      <c r="B7" s="774" t="s">
        <v>701</v>
      </c>
      <c r="C7" s="774"/>
      <c r="D7" s="774"/>
      <c r="E7" s="774"/>
      <c r="F7" s="774"/>
      <c r="G7" s="774"/>
      <c r="H7" s="774"/>
      <c r="I7" s="774"/>
      <c r="J7" s="774"/>
      <c r="K7" s="774"/>
      <c r="L7" s="774"/>
      <c r="M7" s="774"/>
      <c r="N7" s="774"/>
      <c r="O7" s="774"/>
      <c r="P7" s="774"/>
      <c r="Q7" s="774"/>
      <c r="R7" s="774"/>
      <c r="S7" s="774"/>
      <c r="T7" s="774"/>
      <c r="U7" s="774"/>
      <c r="V7" s="774"/>
      <c r="W7" s="774"/>
      <c r="X7" s="774"/>
      <c r="Y7" s="775"/>
      <c r="Z7" s="772"/>
    </row>
    <row r="8" spans="1:47" ht="15.75">
      <c r="A8" s="776"/>
      <c r="C8" s="772"/>
      <c r="D8" s="772"/>
      <c r="E8" s="772"/>
      <c r="F8" s="772"/>
      <c r="G8" s="772"/>
      <c r="H8" s="772"/>
      <c r="I8" s="772"/>
      <c r="J8" s="772"/>
      <c r="K8" s="772"/>
      <c r="L8" s="772"/>
      <c r="M8" s="772"/>
      <c r="N8" s="772"/>
      <c r="O8" s="772"/>
      <c r="P8" s="772"/>
      <c r="Q8" s="772"/>
      <c r="R8" s="772"/>
      <c r="S8" s="772"/>
      <c r="T8" s="772"/>
      <c r="U8" s="772"/>
      <c r="V8" s="772"/>
      <c r="W8" s="772"/>
      <c r="X8" s="772"/>
      <c r="Y8" s="777"/>
      <c r="Z8" s="772"/>
    </row>
    <row r="9" spans="1:47" ht="15.75">
      <c r="A9" s="776"/>
      <c r="B9" s="772" t="s">
        <v>702</v>
      </c>
      <c r="C9" s="772"/>
      <c r="D9" s="772"/>
      <c r="E9" s="772"/>
      <c r="F9" s="772"/>
      <c r="G9" s="772"/>
      <c r="H9" s="772"/>
      <c r="I9" s="772"/>
      <c r="J9" s="772"/>
      <c r="K9" s="772"/>
      <c r="L9" s="772"/>
      <c r="M9" s="772"/>
      <c r="N9" s="772"/>
      <c r="O9" s="772"/>
      <c r="P9" s="772"/>
      <c r="Q9" s="772"/>
      <c r="R9" s="772"/>
      <c r="S9" s="772"/>
      <c r="T9" s="772"/>
      <c r="U9" s="772"/>
      <c r="V9" s="772"/>
      <c r="W9" s="772"/>
      <c r="X9" s="772"/>
      <c r="Y9" s="777"/>
      <c r="Z9" s="772"/>
    </row>
    <row r="10" spans="1:47" ht="16.5" thickBot="1">
      <c r="A10" s="776"/>
      <c r="D10" s="772"/>
      <c r="E10" s="772"/>
      <c r="F10" s="772"/>
      <c r="G10" s="772"/>
      <c r="H10" s="772"/>
      <c r="I10" s="772"/>
      <c r="J10" s="772"/>
      <c r="K10" s="772"/>
      <c r="L10" s="772"/>
      <c r="M10" s="772"/>
      <c r="N10" s="772"/>
      <c r="O10" s="772"/>
      <c r="P10" s="772"/>
      <c r="Q10" s="772"/>
      <c r="R10" s="772"/>
      <c r="S10" s="772"/>
      <c r="T10" s="772"/>
      <c r="U10" s="772"/>
      <c r="V10" s="772"/>
      <c r="W10" s="772"/>
      <c r="X10" s="772"/>
      <c r="Y10" s="777"/>
      <c r="Z10" s="772"/>
    </row>
    <row r="11" spans="1:47" ht="16.5" thickBot="1">
      <c r="A11" s="776"/>
      <c r="B11" s="778" t="s">
        <v>703</v>
      </c>
      <c r="C11" s="779">
        <v>46387</v>
      </c>
      <c r="D11" s="772"/>
      <c r="E11" s="772"/>
      <c r="F11" s="772"/>
      <c r="G11" s="772"/>
      <c r="H11" s="772"/>
      <c r="J11" s="772"/>
      <c r="K11" s="780"/>
      <c r="L11" s="772"/>
      <c r="M11" s="772"/>
      <c r="N11" s="772"/>
      <c r="O11" s="772"/>
      <c r="P11" s="772"/>
      <c r="Q11" s="772"/>
      <c r="R11" s="772"/>
      <c r="S11" s="772"/>
      <c r="T11" s="772"/>
      <c r="U11" s="772"/>
      <c r="V11" s="772"/>
      <c r="W11" s="772"/>
      <c r="X11" s="772"/>
      <c r="Y11" s="777"/>
      <c r="Z11" s="772"/>
    </row>
    <row r="12" spans="1:47" ht="15.75">
      <c r="A12" s="776"/>
      <c r="B12" s="772"/>
      <c r="C12" s="772"/>
      <c r="E12" s="772"/>
      <c r="F12" s="772"/>
      <c r="H12" s="772"/>
      <c r="I12" s="772"/>
      <c r="J12" s="772"/>
      <c r="K12" s="780"/>
      <c r="L12" s="772"/>
      <c r="M12" s="772"/>
      <c r="N12" s="772"/>
      <c r="O12" s="772"/>
      <c r="P12" s="772"/>
      <c r="Q12" s="772"/>
      <c r="R12" s="772"/>
      <c r="S12" s="772"/>
      <c r="T12" s="772"/>
      <c r="U12" s="772"/>
      <c r="V12" s="772"/>
      <c r="W12" s="772"/>
      <c r="X12" s="772"/>
      <c r="Y12" s="777"/>
      <c r="Z12" s="772"/>
    </row>
    <row r="13" spans="1:47" s="782" customFormat="1" ht="15.75">
      <c r="A13" s="781"/>
      <c r="D13" s="782" t="s">
        <v>178</v>
      </c>
      <c r="G13" s="782" t="s">
        <v>179</v>
      </c>
      <c r="I13" s="782" t="s">
        <v>180</v>
      </c>
      <c r="K13" s="782" t="s">
        <v>181</v>
      </c>
      <c r="M13" s="783" t="s">
        <v>183</v>
      </c>
      <c r="O13" s="783" t="s">
        <v>182</v>
      </c>
      <c r="Q13" s="782" t="s">
        <v>184</v>
      </c>
      <c r="S13" s="782" t="s">
        <v>185</v>
      </c>
      <c r="U13" s="782" t="s">
        <v>186</v>
      </c>
      <c r="W13" s="782" t="s">
        <v>623</v>
      </c>
      <c r="Y13" s="784"/>
    </row>
    <row r="14" spans="1:47" ht="15.75">
      <c r="A14" s="776"/>
      <c r="B14" s="785"/>
      <c r="N14" s="785"/>
      <c r="Y14" s="786"/>
      <c r="AE14" s="787"/>
      <c r="AK14" s="788"/>
      <c r="AL14" s="785"/>
      <c r="AM14" s="785"/>
      <c r="AN14" s="785"/>
      <c r="AO14" s="785"/>
      <c r="AP14" s="785"/>
      <c r="AQ14" s="785"/>
      <c r="AR14" s="785"/>
      <c r="AS14" s="785"/>
      <c r="AT14" s="1022"/>
      <c r="AU14" s="1022"/>
    </row>
    <row r="15" spans="1:47" ht="15.75">
      <c r="A15" s="776"/>
      <c r="M15" s="785" t="s">
        <v>704</v>
      </c>
      <c r="N15" s="785"/>
      <c r="Q15" s="785" t="s">
        <v>705</v>
      </c>
      <c r="W15" s="785" t="s">
        <v>56</v>
      </c>
      <c r="Y15" s="786"/>
      <c r="AE15" s="787"/>
      <c r="AK15" s="788"/>
      <c r="AL15" s="785"/>
      <c r="AM15" s="785"/>
      <c r="AN15" s="785"/>
      <c r="AO15" s="785"/>
      <c r="AP15" s="785"/>
      <c r="AQ15" s="785"/>
      <c r="AR15" s="785"/>
      <c r="AS15" s="785"/>
      <c r="AT15" s="785"/>
      <c r="AU15" s="785"/>
    </row>
    <row r="16" spans="1:47" ht="15.75">
      <c r="A16" s="776"/>
      <c r="B16" s="772"/>
      <c r="G16" s="785"/>
      <c r="H16" s="785"/>
      <c r="I16" s="785"/>
      <c r="J16" s="785"/>
      <c r="K16" s="785"/>
      <c r="L16" s="785"/>
      <c r="M16" s="785" t="s">
        <v>11</v>
      </c>
      <c r="N16" s="785"/>
      <c r="O16" s="785" t="s">
        <v>425</v>
      </c>
      <c r="P16" s="785"/>
      <c r="Q16" s="785" t="s">
        <v>706</v>
      </c>
      <c r="R16" s="785"/>
      <c r="S16" s="785" t="s">
        <v>56</v>
      </c>
      <c r="T16" s="785"/>
      <c r="U16" s="785" t="s">
        <v>707</v>
      </c>
      <c r="V16" s="785"/>
      <c r="W16" s="785" t="s">
        <v>708</v>
      </c>
      <c r="Y16" s="786"/>
      <c r="AE16" s="787"/>
      <c r="AK16" s="789"/>
      <c r="AL16" s="790"/>
      <c r="AM16" s="790"/>
      <c r="AN16" s="790"/>
      <c r="AO16" s="790"/>
      <c r="AP16" s="790"/>
      <c r="AQ16" s="790"/>
      <c r="AR16" s="790"/>
      <c r="AS16" s="790"/>
      <c r="AT16" s="790"/>
      <c r="AU16" s="790"/>
    </row>
    <row r="17" spans="1:47" ht="15.75">
      <c r="A17" s="776"/>
      <c r="B17" s="772"/>
      <c r="E17" s="785"/>
      <c r="F17" s="785"/>
      <c r="G17" s="785"/>
      <c r="H17" s="785"/>
      <c r="I17" s="785" t="s">
        <v>709</v>
      </c>
      <c r="J17" s="785"/>
      <c r="K17" s="785" t="s">
        <v>710</v>
      </c>
      <c r="L17" s="785"/>
      <c r="M17" s="785" t="s">
        <v>706</v>
      </c>
      <c r="N17" s="785"/>
      <c r="O17" s="785" t="s">
        <v>706</v>
      </c>
      <c r="P17" s="785"/>
      <c r="Q17" s="785" t="s">
        <v>711</v>
      </c>
      <c r="R17" s="785"/>
      <c r="S17" s="785" t="s">
        <v>706</v>
      </c>
      <c r="T17" s="785"/>
      <c r="U17" s="785" t="s">
        <v>712</v>
      </c>
      <c r="V17" s="785"/>
      <c r="W17" s="785" t="s">
        <v>713</v>
      </c>
      <c r="Y17" s="786"/>
      <c r="AE17" s="787"/>
      <c r="AK17" s="791"/>
      <c r="AL17" s="792"/>
      <c r="AM17" s="792"/>
      <c r="AN17" s="792"/>
      <c r="AO17" s="792"/>
      <c r="AP17" s="792"/>
      <c r="AQ17" s="792"/>
      <c r="AR17" s="792"/>
      <c r="AS17" s="792"/>
      <c r="AT17" s="792"/>
      <c r="AU17" s="792"/>
    </row>
    <row r="18" spans="1:47" ht="15.75">
      <c r="A18" s="776"/>
      <c r="C18" s="782" t="s">
        <v>714</v>
      </c>
      <c r="D18" s="785" t="s">
        <v>715</v>
      </c>
      <c r="E18" s="785"/>
      <c r="F18" s="785"/>
      <c r="G18" s="785" t="s">
        <v>716</v>
      </c>
      <c r="H18" s="785"/>
      <c r="I18" s="785" t="s">
        <v>717</v>
      </c>
      <c r="J18" s="785"/>
      <c r="K18" s="785" t="s">
        <v>718</v>
      </c>
      <c r="L18" s="785"/>
      <c r="M18" s="785" t="s">
        <v>719</v>
      </c>
      <c r="N18" s="785"/>
      <c r="O18" s="785" t="s">
        <v>719</v>
      </c>
      <c r="P18" s="785"/>
      <c r="Q18" s="785" t="s">
        <v>720</v>
      </c>
      <c r="R18" s="785"/>
      <c r="S18" s="785" t="s">
        <v>721</v>
      </c>
      <c r="T18" s="785"/>
      <c r="U18" s="770" t="s">
        <v>722</v>
      </c>
      <c r="V18" s="785"/>
      <c r="W18" s="785" t="s">
        <v>723</v>
      </c>
      <c r="Y18" s="786"/>
      <c r="AK18" s="791"/>
      <c r="AL18" s="792"/>
      <c r="AM18" s="792"/>
      <c r="AN18" s="792"/>
      <c r="AO18" s="792"/>
      <c r="AP18" s="792"/>
      <c r="AQ18" s="792"/>
      <c r="AR18" s="792"/>
      <c r="AS18" s="792"/>
      <c r="AT18" s="792"/>
      <c r="AU18" s="792"/>
    </row>
    <row r="19" spans="1:47" ht="15.75">
      <c r="A19" s="776"/>
      <c r="B19" s="793" t="s">
        <v>724</v>
      </c>
      <c r="C19" s="794">
        <f>C41</f>
        <v>46387</v>
      </c>
      <c r="E19" s="785"/>
      <c r="F19" s="785"/>
      <c r="G19" s="785"/>
      <c r="H19" s="785"/>
      <c r="I19" s="785" t="s">
        <v>725</v>
      </c>
      <c r="J19" s="785"/>
      <c r="K19" s="785" t="s">
        <v>726</v>
      </c>
      <c r="L19" s="785"/>
      <c r="M19" s="785"/>
      <c r="N19" s="785"/>
      <c r="O19" s="785"/>
      <c r="P19" s="785"/>
      <c r="Q19" s="785" t="s">
        <v>727</v>
      </c>
      <c r="R19" s="785"/>
      <c r="S19" s="785" t="s">
        <v>728</v>
      </c>
      <c r="T19" s="785"/>
      <c r="U19" s="785"/>
      <c r="V19" s="785"/>
      <c r="Y19" s="786"/>
      <c r="AK19" s="791"/>
      <c r="AL19" s="792"/>
      <c r="AM19" s="792"/>
      <c r="AN19" s="792"/>
      <c r="AO19" s="792"/>
      <c r="AP19" s="792"/>
      <c r="AQ19" s="792"/>
      <c r="AR19" s="792"/>
      <c r="AS19" s="792"/>
      <c r="AT19" s="792"/>
      <c r="AU19" s="792"/>
    </row>
    <row r="20" spans="1:47">
      <c r="A20" s="776"/>
      <c r="B20" s="795" t="s">
        <v>729</v>
      </c>
      <c r="E20" s="796"/>
      <c r="F20" s="796"/>
      <c r="G20" s="796"/>
      <c r="H20" s="796"/>
      <c r="I20" s="796"/>
      <c r="J20" s="796"/>
      <c r="K20" s="796"/>
      <c r="L20" s="796"/>
      <c r="M20" s="796"/>
      <c r="N20" s="796"/>
      <c r="O20" s="785"/>
      <c r="P20" s="796"/>
      <c r="Q20" s="796"/>
      <c r="R20" s="796"/>
      <c r="S20" s="785"/>
      <c r="T20" s="785"/>
      <c r="U20" s="785"/>
      <c r="V20" s="785"/>
      <c r="Y20" s="786"/>
      <c r="AK20" s="791"/>
      <c r="AL20" s="792"/>
      <c r="AM20" s="792"/>
      <c r="AN20" s="792"/>
      <c r="AO20" s="792"/>
      <c r="AP20" s="792"/>
      <c r="AQ20" s="792"/>
      <c r="AR20" s="792"/>
      <c r="AS20" s="792"/>
      <c r="AT20" s="792"/>
      <c r="AU20" s="792"/>
    </row>
    <row r="21" spans="1:47">
      <c r="A21" s="797"/>
      <c r="B21" s="798"/>
      <c r="C21" s="799"/>
      <c r="D21" s="800">
        <v>45950</v>
      </c>
      <c r="E21" s="799"/>
      <c r="F21" s="799"/>
      <c r="G21" s="800">
        <v>46680</v>
      </c>
      <c r="H21" s="796"/>
      <c r="I21" s="802">
        <f>I48</f>
        <v>8711065.3905080389</v>
      </c>
      <c r="J21" s="802"/>
      <c r="K21" s="802">
        <f>Q48</f>
        <v>8711065.3905080389</v>
      </c>
      <c r="L21" s="802"/>
      <c r="M21" s="803">
        <f>'5- Cap Structure'!K23</f>
        <v>24287378.800677914</v>
      </c>
      <c r="N21" s="801"/>
      <c r="O21" s="804">
        <v>12</v>
      </c>
      <c r="P21" s="796"/>
      <c r="Q21" s="805">
        <f>M21*O21/12</f>
        <v>24287378.800677914</v>
      </c>
      <c r="R21" s="796"/>
      <c r="S21" s="806">
        <f t="shared" ref="S21:S25" si="0">+Q21/$Q$27</f>
        <v>1</v>
      </c>
      <c r="U21" s="806">
        <f>Y48</f>
        <v>5.0765904916125051E-2</v>
      </c>
      <c r="W21" s="806">
        <f>+S21*U21</f>
        <v>5.0765904916125051E-2</v>
      </c>
      <c r="Y21" s="786"/>
      <c r="Z21" s="807"/>
      <c r="AK21" s="791"/>
      <c r="AL21" s="792"/>
      <c r="AM21" s="792"/>
      <c r="AN21" s="792"/>
      <c r="AO21" s="792"/>
      <c r="AP21" s="792"/>
      <c r="AQ21" s="792"/>
      <c r="AR21" s="792"/>
      <c r="AS21" s="792"/>
      <c r="AT21" s="792"/>
      <c r="AU21" s="792"/>
    </row>
    <row r="22" spans="1:47">
      <c r="A22" s="797"/>
      <c r="B22" s="798"/>
      <c r="C22" s="799"/>
      <c r="D22" s="800"/>
      <c r="E22" s="808"/>
      <c r="F22" s="808"/>
      <c r="G22" s="800"/>
      <c r="H22" s="808"/>
      <c r="I22" s="809">
        <f t="shared" ref="I22:I24" si="1">I49</f>
        <v>0</v>
      </c>
      <c r="J22" s="809"/>
      <c r="K22" s="802">
        <f>Q49</f>
        <v>0</v>
      </c>
      <c r="L22" s="809"/>
      <c r="M22" s="810"/>
      <c r="N22" s="811"/>
      <c r="O22" s="804"/>
      <c r="P22" s="812"/>
      <c r="Q22" s="805">
        <f t="shared" ref="Q22:Q24" si="2">M22*O22/12</f>
        <v>0</v>
      </c>
      <c r="R22" s="812"/>
      <c r="S22" s="806">
        <f>+Q22/$Q$27</f>
        <v>0</v>
      </c>
      <c r="U22" s="806" t="e">
        <f>Y49</f>
        <v>#DIV/0!</v>
      </c>
      <c r="W22" s="806" t="e">
        <f t="shared" ref="W22:W24" si="3">+S22*U22</f>
        <v>#DIV/0!</v>
      </c>
      <c r="Y22" s="786"/>
      <c r="Z22" s="807"/>
      <c r="AK22" s="791"/>
      <c r="AL22" s="792"/>
      <c r="AM22" s="792"/>
      <c r="AN22" s="792"/>
      <c r="AO22" s="792"/>
      <c r="AP22" s="792"/>
      <c r="AQ22" s="792"/>
      <c r="AR22" s="792"/>
      <c r="AS22" s="792"/>
      <c r="AT22" s="792"/>
      <c r="AU22" s="792"/>
    </row>
    <row r="23" spans="1:47">
      <c r="A23" s="797"/>
      <c r="B23" s="798"/>
      <c r="C23" s="799"/>
      <c r="D23" s="800"/>
      <c r="E23" s="799"/>
      <c r="F23" s="799"/>
      <c r="G23" s="800"/>
      <c r="H23" s="808"/>
      <c r="I23" s="809">
        <f>I50</f>
        <v>0</v>
      </c>
      <c r="J23" s="809"/>
      <c r="K23" s="802">
        <f>Q50</f>
        <v>0</v>
      </c>
      <c r="L23" s="809"/>
      <c r="M23" s="803"/>
      <c r="N23" s="801"/>
      <c r="O23" s="804"/>
      <c r="P23" s="812"/>
      <c r="Q23" s="805">
        <f>M23*O23/12</f>
        <v>0</v>
      </c>
      <c r="R23" s="812"/>
      <c r="S23" s="806">
        <f t="shared" si="0"/>
        <v>0</v>
      </c>
      <c r="U23" s="806" t="e">
        <f>Y50</f>
        <v>#DIV/0!</v>
      </c>
      <c r="W23" s="806" t="e">
        <f t="shared" si="3"/>
        <v>#DIV/0!</v>
      </c>
      <c r="Y23" s="786"/>
      <c r="AK23" s="791"/>
      <c r="AL23" s="792"/>
      <c r="AM23" s="792"/>
      <c r="AN23" s="792"/>
      <c r="AO23" s="792"/>
      <c r="AP23" s="792"/>
      <c r="AQ23" s="792"/>
      <c r="AR23" s="792"/>
      <c r="AS23" s="792"/>
      <c r="AT23" s="792"/>
      <c r="AU23" s="792"/>
    </row>
    <row r="24" spans="1:47">
      <c r="A24" s="797"/>
      <c r="B24" s="798"/>
      <c r="C24" s="799"/>
      <c r="D24" s="800"/>
      <c r="E24" s="799"/>
      <c r="F24" s="799"/>
      <c r="G24" s="800"/>
      <c r="H24" s="807"/>
      <c r="I24" s="809">
        <f t="shared" si="1"/>
        <v>0</v>
      </c>
      <c r="J24" s="809"/>
      <c r="K24" s="802">
        <f>Q51</f>
        <v>0</v>
      </c>
      <c r="L24" s="809"/>
      <c r="M24" s="803"/>
      <c r="N24" s="811"/>
      <c r="O24" s="804"/>
      <c r="P24" s="796"/>
      <c r="Q24" s="805">
        <f t="shared" si="2"/>
        <v>0</v>
      </c>
      <c r="R24" s="796"/>
      <c r="S24" s="806">
        <f t="shared" si="0"/>
        <v>0</v>
      </c>
      <c r="U24" s="806" t="e">
        <f t="shared" ref="U24" si="4">Y51</f>
        <v>#DIV/0!</v>
      </c>
      <c r="W24" s="806" t="e">
        <f t="shared" si="3"/>
        <v>#DIV/0!</v>
      </c>
      <c r="Y24" s="786"/>
      <c r="AK24" s="791"/>
      <c r="AL24" s="792"/>
      <c r="AM24" s="792"/>
      <c r="AN24" s="792"/>
      <c r="AO24" s="792"/>
      <c r="AP24" s="792"/>
      <c r="AQ24" s="792"/>
      <c r="AR24" s="792"/>
      <c r="AS24" s="792"/>
      <c r="AT24" s="792"/>
      <c r="AU24" s="792"/>
    </row>
    <row r="25" spans="1:47">
      <c r="A25" s="797"/>
      <c r="B25" s="798"/>
      <c r="C25" s="799"/>
      <c r="D25" s="800"/>
      <c r="E25" s="799"/>
      <c r="F25" s="799"/>
      <c r="G25" s="800"/>
      <c r="H25" s="807"/>
      <c r="I25" s="809">
        <f>I52</f>
        <v>0</v>
      </c>
      <c r="J25" s="809"/>
      <c r="K25" s="802">
        <f t="shared" ref="K25" si="5">Q52</f>
        <v>0</v>
      </c>
      <c r="L25" s="809"/>
      <c r="M25" s="810"/>
      <c r="N25" s="799"/>
      <c r="O25" s="804"/>
      <c r="P25" s="812"/>
      <c r="Q25" s="805">
        <f>M25*O25/12</f>
        <v>0</v>
      </c>
      <c r="R25" s="812"/>
      <c r="S25" s="806">
        <f t="shared" si="0"/>
        <v>0</v>
      </c>
      <c r="U25" s="806" t="e">
        <f>Y52</f>
        <v>#DIV/0!</v>
      </c>
      <c r="W25" s="806" t="e">
        <f>+S25*U25</f>
        <v>#DIV/0!</v>
      </c>
      <c r="Y25" s="786"/>
      <c r="AQ25" s="792"/>
      <c r="AS25" s="792"/>
    </row>
    <row r="26" spans="1:47" ht="17.25">
      <c r="A26" s="797"/>
      <c r="B26" s="798"/>
      <c r="C26" s="799"/>
      <c r="D26" s="800"/>
      <c r="E26" s="799"/>
      <c r="F26" s="799"/>
      <c r="G26" s="800"/>
      <c r="H26" s="807"/>
      <c r="I26" s="813">
        <f>I53</f>
        <v>0</v>
      </c>
      <c r="J26" s="809"/>
      <c r="K26" s="802">
        <f>Q53</f>
        <v>0</v>
      </c>
      <c r="L26" s="809"/>
      <c r="M26" s="814"/>
      <c r="N26" s="799"/>
      <c r="O26" s="815"/>
      <c r="P26" s="812"/>
      <c r="Q26" s="816">
        <f>M26*O26/12</f>
        <v>0</v>
      </c>
      <c r="R26" s="812"/>
      <c r="S26" s="817">
        <f>+Q26/$Q$27</f>
        <v>0</v>
      </c>
      <c r="U26" s="806" t="e">
        <f>Y53</f>
        <v>#DIV/0!</v>
      </c>
      <c r="W26" s="817" t="e">
        <f>+S26*U26</f>
        <v>#DIV/0!</v>
      </c>
      <c r="Y26" s="786"/>
      <c r="AQ26" s="792"/>
      <c r="AS26" s="792"/>
    </row>
    <row r="27" spans="1:47" ht="15.75" thickBot="1">
      <c r="A27" s="818"/>
      <c r="B27" s="819"/>
      <c r="C27" s="807"/>
      <c r="E27" s="807"/>
      <c r="F27" s="807"/>
      <c r="G27" s="787"/>
      <c r="H27" s="807"/>
      <c r="I27" s="820">
        <f>SUM(I21:I26)</f>
        <v>8711065.3905080389</v>
      </c>
      <c r="J27" s="820"/>
      <c r="K27" s="820"/>
      <c r="L27" s="820"/>
      <c r="M27" s="820">
        <f>SUM(M21:M26)</f>
        <v>24287378.800677914</v>
      </c>
      <c r="N27" s="787"/>
      <c r="O27" s="807"/>
      <c r="P27" s="787"/>
      <c r="Q27" s="809">
        <f>SUM(Q21:Q26)</f>
        <v>24287378.800677914</v>
      </c>
      <c r="R27" s="787"/>
      <c r="S27" s="821">
        <f>SUM(S21:S26)</f>
        <v>1</v>
      </c>
      <c r="T27" s="807"/>
      <c r="V27" s="807"/>
      <c r="W27" s="822">
        <f>_xlfn.AGGREGATE(9,6,W21:W26)</f>
        <v>5.0765904916125051E-2</v>
      </c>
      <c r="X27" s="823" t="s">
        <v>730</v>
      </c>
      <c r="Y27" s="786"/>
      <c r="AQ27" s="792"/>
      <c r="AS27" s="792"/>
    </row>
    <row r="28" spans="1:47" ht="15.75" thickTop="1">
      <c r="A28" s="776"/>
      <c r="C28" s="807"/>
      <c r="D28" s="807"/>
      <c r="E28" s="807"/>
      <c r="F28" s="807"/>
      <c r="G28" s="807"/>
      <c r="H28" s="807"/>
      <c r="I28" s="807"/>
      <c r="J28" s="807"/>
      <c r="K28" s="807"/>
      <c r="L28" s="807"/>
      <c r="M28" s="807"/>
      <c r="N28" s="807"/>
      <c r="O28" s="807"/>
      <c r="P28" s="807"/>
      <c r="Q28" s="807"/>
      <c r="R28" s="807"/>
      <c r="S28" s="807"/>
      <c r="T28" s="807"/>
      <c r="U28" s="807"/>
      <c r="V28" s="807"/>
      <c r="W28" s="821"/>
      <c r="X28" s="807"/>
      <c r="Y28" s="824"/>
      <c r="Z28" s="807"/>
      <c r="AA28" s="786"/>
      <c r="AQ28" s="792"/>
      <c r="AS28" s="792"/>
    </row>
    <row r="29" spans="1:47">
      <c r="A29" s="776"/>
      <c r="C29" s="807"/>
      <c r="D29" s="807"/>
      <c r="E29" s="807"/>
      <c r="F29" s="807"/>
      <c r="G29" s="807"/>
      <c r="H29" s="807"/>
      <c r="I29" s="807"/>
      <c r="J29" s="807"/>
      <c r="K29" s="807"/>
      <c r="L29" s="807"/>
      <c r="M29" s="807"/>
      <c r="N29" s="807"/>
      <c r="O29" s="807"/>
      <c r="P29" s="807"/>
      <c r="Q29" s="807"/>
      <c r="R29" s="807"/>
      <c r="S29" s="807"/>
      <c r="T29" s="807"/>
      <c r="U29" s="807"/>
      <c r="V29" s="807"/>
      <c r="W29" s="821"/>
      <c r="X29" s="807"/>
      <c r="Y29" s="824"/>
      <c r="Z29" s="807"/>
      <c r="AQ29" s="792"/>
      <c r="AS29" s="792"/>
    </row>
    <row r="30" spans="1:47">
      <c r="A30" s="776"/>
      <c r="B30" s="825" t="s">
        <v>731</v>
      </c>
      <c r="C30" s="807"/>
      <c r="D30" s="807"/>
      <c r="E30" s="807"/>
      <c r="F30" s="807"/>
      <c r="G30" s="807"/>
      <c r="H30" s="807"/>
      <c r="I30" s="807"/>
      <c r="J30" s="807"/>
      <c r="K30" s="807"/>
      <c r="L30" s="807"/>
      <c r="M30" s="807"/>
      <c r="N30" s="807"/>
      <c r="O30" s="807"/>
      <c r="P30" s="807"/>
      <c r="Q30" s="807"/>
      <c r="R30" s="807"/>
      <c r="S30" s="807"/>
      <c r="T30" s="807"/>
      <c r="U30" s="807"/>
      <c r="V30" s="807"/>
      <c r="W30" s="821"/>
      <c r="X30" s="807"/>
      <c r="Y30" s="824"/>
      <c r="Z30" s="807"/>
      <c r="AQ30" s="792"/>
      <c r="AS30" s="792"/>
    </row>
    <row r="31" spans="1:47">
      <c r="A31" s="776"/>
      <c r="B31" s="825" t="s">
        <v>732</v>
      </c>
      <c r="C31" s="807"/>
      <c r="D31" s="807"/>
      <c r="E31" s="807"/>
      <c r="F31" s="807"/>
      <c r="G31" s="807"/>
      <c r="H31" s="807"/>
      <c r="I31" s="807"/>
      <c r="J31" s="807"/>
      <c r="K31" s="807"/>
      <c r="L31" s="807"/>
      <c r="M31" s="807"/>
      <c r="N31" s="807"/>
      <c r="O31" s="807"/>
      <c r="P31" s="807"/>
      <c r="Q31" s="807"/>
      <c r="R31" s="807"/>
      <c r="S31" s="807"/>
      <c r="T31" s="807"/>
      <c r="U31" s="807"/>
      <c r="V31" s="807"/>
      <c r="W31" s="821"/>
      <c r="X31" s="807"/>
      <c r="Y31" s="824"/>
      <c r="Z31" s="807"/>
      <c r="AQ31" s="792"/>
      <c r="AS31" s="792"/>
    </row>
    <row r="32" spans="1:47">
      <c r="A32" s="776"/>
      <c r="B32" s="826" t="s">
        <v>733</v>
      </c>
      <c r="C32" s="807"/>
      <c r="D32" s="807"/>
      <c r="E32" s="807"/>
      <c r="F32" s="807"/>
      <c r="G32" s="807"/>
      <c r="H32" s="807"/>
      <c r="I32" s="807"/>
      <c r="J32" s="807"/>
      <c r="K32" s="807"/>
      <c r="L32" s="807"/>
      <c r="M32" s="807"/>
      <c r="N32" s="807"/>
      <c r="O32" s="807"/>
      <c r="P32" s="807"/>
      <c r="Q32" s="807"/>
      <c r="R32" s="807"/>
      <c r="S32" s="807"/>
      <c r="T32" s="807"/>
      <c r="U32" s="807"/>
      <c r="V32" s="807"/>
      <c r="W32" s="807"/>
      <c r="X32" s="807"/>
      <c r="Y32" s="824"/>
      <c r="Z32" s="807"/>
    </row>
    <row r="33" spans="1:43">
      <c r="A33" s="776"/>
      <c r="B33" s="826" t="s">
        <v>1032</v>
      </c>
      <c r="C33" s="807"/>
      <c r="D33" s="807"/>
      <c r="E33" s="807"/>
      <c r="F33" s="807"/>
      <c r="G33" s="807"/>
      <c r="H33" s="807"/>
      <c r="I33" s="807"/>
      <c r="J33" s="807"/>
      <c r="K33" s="807"/>
      <c r="L33" s="807"/>
      <c r="M33" s="807"/>
      <c r="N33" s="807"/>
      <c r="O33" s="807"/>
      <c r="P33" s="807"/>
      <c r="Q33" s="807"/>
      <c r="R33" s="807"/>
      <c r="S33" s="807"/>
      <c r="T33" s="807"/>
      <c r="U33" s="807"/>
      <c r="V33" s="807"/>
      <c r="W33" s="807"/>
      <c r="X33" s="807"/>
      <c r="Y33" s="824"/>
      <c r="Z33" s="807"/>
    </row>
    <row r="34" spans="1:43">
      <c r="A34" s="827"/>
      <c r="B34" s="828" t="s">
        <v>734</v>
      </c>
      <c r="C34" s="829"/>
      <c r="D34" s="829"/>
      <c r="E34" s="829"/>
      <c r="F34" s="829"/>
      <c r="G34" s="829"/>
      <c r="H34" s="829"/>
      <c r="I34" s="829"/>
      <c r="J34" s="829"/>
      <c r="K34" s="829"/>
      <c r="L34" s="829"/>
      <c r="M34" s="829"/>
      <c r="N34" s="829"/>
      <c r="O34" s="829"/>
      <c r="P34" s="829"/>
      <c r="Q34" s="829"/>
      <c r="R34" s="829"/>
      <c r="S34" s="829"/>
      <c r="T34" s="829"/>
      <c r="U34" s="829"/>
      <c r="V34" s="829"/>
      <c r="W34" s="829"/>
      <c r="X34" s="829"/>
      <c r="Y34" s="830"/>
      <c r="Z34" s="807"/>
    </row>
    <row r="35" spans="1:43">
      <c r="A35" s="827"/>
      <c r="B35" s="828" t="str">
        <f>"** This Total Weighted Average Debt Cost will be shown on page 4, line "&amp;'Attachment H-39A'!A202&amp;", column 4 of formula rate Attachment H-39A."</f>
        <v>** This Total Weighted Average Debt Cost will be shown on page 4, line 13, column 4 of formula rate Attachment H-39A.</v>
      </c>
      <c r="C35" s="829"/>
      <c r="D35" s="829"/>
      <c r="E35" s="829"/>
      <c r="F35" s="829"/>
      <c r="G35" s="829"/>
      <c r="H35" s="829"/>
      <c r="I35" s="829"/>
      <c r="J35" s="829"/>
      <c r="K35" s="829"/>
      <c r="L35" s="829"/>
      <c r="M35" s="829"/>
      <c r="N35" s="829"/>
      <c r="O35" s="829"/>
      <c r="P35" s="829"/>
      <c r="Q35" s="829"/>
      <c r="R35" s="829"/>
      <c r="S35" s="829"/>
      <c r="T35" s="829"/>
      <c r="U35" s="829"/>
      <c r="V35" s="829"/>
      <c r="W35" s="829"/>
      <c r="X35" s="829"/>
      <c r="Y35" s="830"/>
      <c r="Z35" s="807"/>
    </row>
    <row r="36" spans="1:43">
      <c r="B36" s="821"/>
      <c r="C36" s="807"/>
      <c r="D36" s="807"/>
      <c r="E36" s="807"/>
      <c r="F36" s="807"/>
      <c r="G36" s="807"/>
      <c r="H36" s="807"/>
      <c r="I36" s="807"/>
      <c r="J36" s="807"/>
      <c r="K36" s="807"/>
      <c r="L36" s="807"/>
      <c r="M36" s="807"/>
      <c r="N36" s="807"/>
      <c r="O36" s="807"/>
      <c r="P36" s="807"/>
      <c r="Q36" s="807"/>
      <c r="R36" s="807"/>
      <c r="S36" s="807"/>
      <c r="T36" s="807"/>
      <c r="U36" s="807"/>
      <c r="V36" s="807"/>
      <c r="W36" s="807"/>
      <c r="X36" s="807"/>
      <c r="Y36" s="807"/>
      <c r="Z36" s="807"/>
    </row>
    <row r="37" spans="1:43">
      <c r="B37" s="821"/>
      <c r="C37" s="807"/>
      <c r="D37" s="807"/>
      <c r="E37" s="807"/>
      <c r="F37" s="807"/>
      <c r="G37" s="807"/>
      <c r="H37" s="807"/>
      <c r="I37" s="807"/>
      <c r="J37" s="807"/>
      <c r="K37" s="807"/>
      <c r="L37" s="807"/>
      <c r="M37" s="807"/>
      <c r="N37" s="807"/>
      <c r="O37" s="807"/>
      <c r="P37" s="807"/>
      <c r="Q37" s="807"/>
      <c r="R37" s="807"/>
      <c r="S37" s="807"/>
      <c r="T37" s="807"/>
      <c r="U37" s="807"/>
      <c r="V37" s="807"/>
      <c r="W37" s="807"/>
      <c r="X37" s="807"/>
      <c r="Y37" s="807"/>
      <c r="Z37" s="807"/>
    </row>
    <row r="38" spans="1:43" ht="15.75">
      <c r="B38" s="831"/>
      <c r="C38" s="807"/>
      <c r="D38" s="807"/>
      <c r="E38" s="807"/>
      <c r="F38" s="807"/>
      <c r="G38" s="807"/>
      <c r="H38" s="807"/>
      <c r="I38" s="807"/>
      <c r="J38" s="807"/>
      <c r="K38" s="807"/>
      <c r="L38" s="807"/>
      <c r="M38" s="807"/>
      <c r="N38" s="807"/>
      <c r="O38" s="807"/>
      <c r="P38" s="807"/>
      <c r="Q38" s="807"/>
      <c r="R38" s="807"/>
      <c r="S38" s="807"/>
      <c r="T38" s="807"/>
      <c r="U38" s="807"/>
      <c r="V38" s="807"/>
      <c r="W38" s="807"/>
      <c r="X38" s="807"/>
      <c r="Y38" s="807"/>
      <c r="Z38" s="829"/>
      <c r="AA38" s="832"/>
    </row>
    <row r="39" spans="1:43" ht="15.75">
      <c r="A39" s="773"/>
      <c r="B39" s="833" t="s">
        <v>735</v>
      </c>
      <c r="C39" s="834"/>
      <c r="D39" s="834"/>
      <c r="E39" s="834"/>
      <c r="F39" s="834"/>
      <c r="G39" s="834"/>
      <c r="H39" s="834"/>
      <c r="I39" s="834"/>
      <c r="J39" s="834"/>
      <c r="K39" s="834"/>
      <c r="L39" s="834"/>
      <c r="M39" s="834"/>
      <c r="N39" s="834"/>
      <c r="O39" s="834"/>
      <c r="P39" s="834"/>
      <c r="Q39" s="835"/>
      <c r="R39" s="834"/>
      <c r="S39" s="834"/>
      <c r="T39" s="834"/>
      <c r="U39" s="834"/>
      <c r="V39" s="834"/>
      <c r="W39" s="834"/>
      <c r="X39" s="807"/>
      <c r="Y39" s="836"/>
    </row>
    <row r="40" spans="1:43" ht="16.5" thickBot="1">
      <c r="A40" s="776"/>
      <c r="B40" s="793"/>
      <c r="C40" s="807"/>
      <c r="D40" s="807"/>
      <c r="E40" s="807"/>
      <c r="F40" s="807"/>
      <c r="G40" s="807"/>
      <c r="H40" s="807"/>
      <c r="I40" s="807"/>
      <c r="J40" s="807"/>
      <c r="K40" s="807"/>
      <c r="L40" s="807"/>
      <c r="M40" s="807"/>
      <c r="N40" s="807"/>
      <c r="O40" s="807"/>
      <c r="P40" s="807"/>
      <c r="Q40" s="824"/>
      <c r="R40" s="807"/>
      <c r="S40" s="807"/>
      <c r="T40" s="807"/>
      <c r="U40" s="807"/>
      <c r="V40" s="807"/>
      <c r="W40" s="807"/>
      <c r="X40" s="807"/>
      <c r="Y40" s="786"/>
    </row>
    <row r="41" spans="1:43" ht="16.5" thickBot="1">
      <c r="A41" s="776"/>
      <c r="B41" s="778" t="s">
        <v>703</v>
      </c>
      <c r="C41" s="837">
        <f>C11</f>
        <v>46387</v>
      </c>
      <c r="D41" s="807"/>
      <c r="E41" s="807"/>
      <c r="F41" s="807"/>
      <c r="G41" s="807"/>
      <c r="H41" s="807"/>
      <c r="I41" s="807"/>
      <c r="J41" s="807"/>
      <c r="K41" s="807"/>
      <c r="L41" s="807"/>
      <c r="M41" s="807"/>
      <c r="N41" s="807"/>
      <c r="O41" s="807"/>
      <c r="P41" s="807"/>
      <c r="Q41" s="824"/>
      <c r="R41" s="807"/>
      <c r="S41" s="807"/>
      <c r="T41" s="807"/>
      <c r="U41" s="807"/>
      <c r="V41" s="807"/>
      <c r="W41" s="807"/>
      <c r="X41" s="807"/>
      <c r="Y41" s="786"/>
    </row>
    <row r="42" spans="1:43" s="782" customFormat="1" ht="15.75">
      <c r="A42" s="781"/>
      <c r="D42" s="783" t="s">
        <v>736</v>
      </c>
      <c r="G42" s="783" t="s">
        <v>737</v>
      </c>
      <c r="I42" s="783" t="s">
        <v>738</v>
      </c>
      <c r="K42" s="783" t="s">
        <v>739</v>
      </c>
      <c r="M42" s="783" t="s">
        <v>740</v>
      </c>
      <c r="O42" s="783" t="s">
        <v>741</v>
      </c>
      <c r="Q42" s="784" t="s">
        <v>742</v>
      </c>
      <c r="S42" s="783" t="s">
        <v>743</v>
      </c>
      <c r="U42" s="783" t="s">
        <v>744</v>
      </c>
      <c r="W42" s="782" t="s">
        <v>745</v>
      </c>
      <c r="Y42" s="784" t="s">
        <v>746</v>
      </c>
      <c r="AO42" s="838"/>
      <c r="AQ42" s="838"/>
    </row>
    <row r="43" spans="1:43" ht="15.75">
      <c r="A43" s="776"/>
      <c r="B43" s="831"/>
      <c r="K43" s="785" t="s">
        <v>747</v>
      </c>
      <c r="L43" s="785"/>
      <c r="O43" s="785" t="s">
        <v>748</v>
      </c>
      <c r="Q43" s="786"/>
      <c r="S43" s="785" t="s">
        <v>704</v>
      </c>
      <c r="Y43" s="839" t="s">
        <v>749</v>
      </c>
      <c r="Z43" s="785"/>
      <c r="AB43" s="785"/>
      <c r="AC43" s="785"/>
      <c r="AD43" s="785"/>
      <c r="AE43" s="785"/>
    </row>
    <row r="44" spans="1:43">
      <c r="A44" s="776"/>
      <c r="D44" s="785" t="s">
        <v>750</v>
      </c>
      <c r="E44" s="785"/>
      <c r="F44" s="785"/>
      <c r="G44" s="785" t="s">
        <v>751</v>
      </c>
      <c r="H44" s="785"/>
      <c r="I44" s="785" t="s">
        <v>11</v>
      </c>
      <c r="J44" s="785"/>
      <c r="K44" s="785" t="s">
        <v>752</v>
      </c>
      <c r="L44" s="785"/>
      <c r="M44" s="785" t="s">
        <v>753</v>
      </c>
      <c r="N44" s="785"/>
      <c r="O44" s="785" t="s">
        <v>754</v>
      </c>
      <c r="Q44" s="839" t="s">
        <v>704</v>
      </c>
      <c r="R44" s="785"/>
      <c r="S44" s="785" t="s">
        <v>755</v>
      </c>
      <c r="T44" s="785"/>
      <c r="U44" s="785" t="s">
        <v>756</v>
      </c>
      <c r="V44" s="785"/>
      <c r="W44" s="785" t="s">
        <v>757</v>
      </c>
      <c r="X44" s="785"/>
      <c r="Y44" s="839" t="s">
        <v>758</v>
      </c>
      <c r="Z44" s="785"/>
      <c r="AB44" s="785"/>
      <c r="AD44" s="785"/>
      <c r="AF44" s="785"/>
    </row>
    <row r="45" spans="1:43" ht="15.75">
      <c r="A45" s="776"/>
      <c r="B45" s="793" t="s">
        <v>759</v>
      </c>
      <c r="C45" s="770" t="s">
        <v>760</v>
      </c>
      <c r="D45" s="785" t="s">
        <v>761</v>
      </c>
      <c r="E45" s="790"/>
      <c r="F45" s="790"/>
      <c r="G45" s="785" t="s">
        <v>761</v>
      </c>
      <c r="H45" s="790"/>
      <c r="I45" s="785" t="s">
        <v>762</v>
      </c>
      <c r="J45" s="790"/>
      <c r="K45" s="785" t="s">
        <v>763</v>
      </c>
      <c r="L45" s="790"/>
      <c r="M45" s="785" t="s">
        <v>764</v>
      </c>
      <c r="N45" s="785"/>
      <c r="O45" s="785" t="s">
        <v>765</v>
      </c>
      <c r="Q45" s="839" t="s">
        <v>755</v>
      </c>
      <c r="R45" s="785"/>
      <c r="S45" s="785" t="s">
        <v>766</v>
      </c>
      <c r="T45" s="790"/>
      <c r="U45" s="785" t="s">
        <v>767</v>
      </c>
      <c r="V45" s="790"/>
      <c r="W45" s="785" t="s">
        <v>248</v>
      </c>
      <c r="X45" s="790"/>
      <c r="Y45" s="839" t="s">
        <v>768</v>
      </c>
      <c r="Z45" s="785"/>
      <c r="AB45" s="785"/>
      <c r="AD45" s="785"/>
      <c r="AF45" s="785"/>
    </row>
    <row r="46" spans="1:43" ht="37.5" customHeight="1">
      <c r="A46" s="776"/>
      <c r="D46" s="785"/>
      <c r="E46" s="790"/>
      <c r="F46" s="790"/>
      <c r="G46" s="785"/>
      <c r="H46" s="790"/>
      <c r="I46" s="785"/>
      <c r="J46" s="790"/>
      <c r="K46" s="785"/>
      <c r="L46" s="790"/>
      <c r="M46" s="785"/>
      <c r="N46" s="785"/>
      <c r="O46" s="785"/>
      <c r="Q46" s="840" t="s">
        <v>769</v>
      </c>
      <c r="R46" s="785"/>
      <c r="S46" s="841" t="s">
        <v>770</v>
      </c>
      <c r="T46" s="790"/>
      <c r="U46" s="785" t="s">
        <v>771</v>
      </c>
      <c r="V46" s="790"/>
      <c r="W46" s="785" t="s">
        <v>772</v>
      </c>
      <c r="X46" s="790"/>
      <c r="Y46" s="839"/>
      <c r="Z46" s="785"/>
      <c r="AB46" s="785"/>
      <c r="AD46" s="785"/>
      <c r="AF46" s="785"/>
    </row>
    <row r="47" spans="1:43">
      <c r="A47" s="776"/>
      <c r="B47" s="842"/>
      <c r="D47" s="785"/>
      <c r="E47" s="790"/>
      <c r="F47" s="790"/>
      <c r="G47" s="785"/>
      <c r="H47" s="790"/>
      <c r="I47" s="785"/>
      <c r="J47" s="790"/>
      <c r="K47" s="785"/>
      <c r="L47" s="790"/>
      <c r="M47" s="785"/>
      <c r="N47" s="785"/>
      <c r="O47" s="785"/>
      <c r="Q47" s="843"/>
      <c r="R47" s="785"/>
      <c r="S47" s="785"/>
      <c r="T47" s="790"/>
      <c r="U47" s="785"/>
      <c r="V47" s="790"/>
      <c r="W47" s="785"/>
      <c r="X47" s="790"/>
      <c r="Y47" s="839"/>
      <c r="Z47" s="785"/>
      <c r="AB47" s="785"/>
      <c r="AD47" s="785"/>
      <c r="AE47" s="785"/>
      <c r="AF47" s="785"/>
    </row>
    <row r="48" spans="1:43">
      <c r="A48" s="844">
        <f t="shared" ref="A48:B53" si="6">A21</f>
        <v>0</v>
      </c>
      <c r="B48" s="845">
        <f t="shared" si="6"/>
        <v>0</v>
      </c>
      <c r="C48" s="799"/>
      <c r="D48" s="846">
        <f>D21</f>
        <v>45950</v>
      </c>
      <c r="E48" s="799"/>
      <c r="F48" s="799"/>
      <c r="G48" s="846">
        <f>G21</f>
        <v>46680</v>
      </c>
      <c r="H48" s="799"/>
      <c r="I48" s="803">
        <f>'5- Cap Structure'!K25</f>
        <v>8711065.3905080389</v>
      </c>
      <c r="J48" s="799"/>
      <c r="K48" s="803">
        <v>0</v>
      </c>
      <c r="L48" s="799"/>
      <c r="M48" s="803"/>
      <c r="N48" s="847"/>
      <c r="O48" s="848">
        <v>0</v>
      </c>
      <c r="Q48" s="849">
        <f t="shared" ref="Q48:Q53" si="7">+I48+K48-M48-O48</f>
        <v>8711065.3905080389</v>
      </c>
      <c r="R48" s="847"/>
      <c r="S48" s="850">
        <f t="shared" ref="S48:S53" si="8">(Q48/I48)*100</f>
        <v>100</v>
      </c>
      <c r="U48" s="851">
        <v>5.0765904916125044E-2</v>
      </c>
      <c r="W48" s="787">
        <f t="shared" ref="W48:W53" si="9">U48*I48</f>
        <v>442225.11733267881</v>
      </c>
      <c r="Y48" s="852">
        <f>YIELD(D48,G48,U48,S48,100,2,0)</f>
        <v>5.0765904916125051E-2</v>
      </c>
      <c r="Z48" s="853"/>
      <c r="AB48" s="853"/>
      <c r="AD48" s="854"/>
      <c r="AE48" s="821"/>
      <c r="AF48" s="821"/>
    </row>
    <row r="49" spans="1:33">
      <c r="A49" s="844">
        <f t="shared" si="6"/>
        <v>0</v>
      </c>
      <c r="B49" s="845">
        <f t="shared" si="6"/>
        <v>0</v>
      </c>
      <c r="C49" s="799"/>
      <c r="D49" s="846">
        <f>D22</f>
        <v>0</v>
      </c>
      <c r="E49" s="799"/>
      <c r="F49" s="799"/>
      <c r="G49" s="846">
        <f>G22</f>
        <v>0</v>
      </c>
      <c r="H49" s="799"/>
      <c r="I49" s="803"/>
      <c r="J49" s="799"/>
      <c r="K49" s="803"/>
      <c r="L49" s="799"/>
      <c r="M49" s="803"/>
      <c r="O49" s="855"/>
      <c r="Q49" s="849">
        <f t="shared" si="7"/>
        <v>0</v>
      </c>
      <c r="S49" s="850" t="e">
        <f t="shared" si="8"/>
        <v>#DIV/0!</v>
      </c>
      <c r="U49" s="851"/>
      <c r="W49" s="787">
        <f t="shared" si="9"/>
        <v>0</v>
      </c>
      <c r="Y49" s="852" t="e">
        <f t="shared" ref="Y49:Y53" si="10">YIELD(D49,G49,U49,S49,100,2,0)</f>
        <v>#DIV/0!</v>
      </c>
    </row>
    <row r="50" spans="1:33">
      <c r="A50" s="844">
        <f t="shared" si="6"/>
        <v>0</v>
      </c>
      <c r="B50" s="845">
        <f t="shared" si="6"/>
        <v>0</v>
      </c>
      <c r="C50" s="799"/>
      <c r="D50" s="846">
        <f t="shared" ref="D50" si="11">D23</f>
        <v>0</v>
      </c>
      <c r="E50" s="799"/>
      <c r="F50" s="799"/>
      <c r="G50" s="846">
        <f t="shared" ref="G50" si="12">G23</f>
        <v>0</v>
      </c>
      <c r="H50" s="799"/>
      <c r="I50" s="803"/>
      <c r="J50" s="799"/>
      <c r="K50" s="803"/>
      <c r="L50" s="799"/>
      <c r="M50" s="803"/>
      <c r="O50" s="855"/>
      <c r="Q50" s="849">
        <f t="shared" si="7"/>
        <v>0</v>
      </c>
      <c r="S50" s="850" t="e">
        <f t="shared" si="8"/>
        <v>#DIV/0!</v>
      </c>
      <c r="U50" s="851"/>
      <c r="W50" s="787">
        <f t="shared" si="9"/>
        <v>0</v>
      </c>
      <c r="Y50" s="852" t="e">
        <f t="shared" si="10"/>
        <v>#DIV/0!</v>
      </c>
    </row>
    <row r="51" spans="1:33">
      <c r="A51" s="844">
        <f t="shared" si="6"/>
        <v>0</v>
      </c>
      <c r="B51" s="845">
        <f t="shared" si="6"/>
        <v>0</v>
      </c>
      <c r="C51" s="799"/>
      <c r="D51" s="846">
        <f>D24</f>
        <v>0</v>
      </c>
      <c r="E51" s="799"/>
      <c r="F51" s="799"/>
      <c r="G51" s="846">
        <f>G24</f>
        <v>0</v>
      </c>
      <c r="H51" s="799"/>
      <c r="I51" s="803"/>
      <c r="J51" s="799"/>
      <c r="K51" s="803"/>
      <c r="L51" s="799"/>
      <c r="M51" s="803"/>
      <c r="N51" s="856"/>
      <c r="O51" s="848"/>
      <c r="Q51" s="849">
        <f t="shared" si="7"/>
        <v>0</v>
      </c>
      <c r="R51" s="856"/>
      <c r="S51" s="850" t="e">
        <f t="shared" si="8"/>
        <v>#DIV/0!</v>
      </c>
      <c r="U51" s="851"/>
      <c r="W51" s="787">
        <f t="shared" si="9"/>
        <v>0</v>
      </c>
      <c r="Y51" s="852" t="e">
        <f t="shared" si="10"/>
        <v>#DIV/0!</v>
      </c>
      <c r="AE51" s="821"/>
    </row>
    <row r="52" spans="1:33">
      <c r="A52" s="844">
        <f>A25</f>
        <v>0</v>
      </c>
      <c r="B52" s="845">
        <f t="shared" si="6"/>
        <v>0</v>
      </c>
      <c r="C52" s="799"/>
      <c r="D52" s="846">
        <f>D25</f>
        <v>0</v>
      </c>
      <c r="E52" s="799"/>
      <c r="F52" s="799"/>
      <c r="G52" s="846">
        <f>G25</f>
        <v>0</v>
      </c>
      <c r="H52" s="799"/>
      <c r="I52" s="803"/>
      <c r="J52" s="799"/>
      <c r="K52" s="803"/>
      <c r="L52" s="799"/>
      <c r="M52" s="803"/>
      <c r="N52" s="856"/>
      <c r="O52" s="848"/>
      <c r="Q52" s="849">
        <f t="shared" si="7"/>
        <v>0</v>
      </c>
      <c r="R52" s="856"/>
      <c r="S52" s="850" t="e">
        <f t="shared" si="8"/>
        <v>#DIV/0!</v>
      </c>
      <c r="U52" s="851"/>
      <c r="W52" s="787">
        <f t="shared" si="9"/>
        <v>0</v>
      </c>
      <c r="Y52" s="852" t="e">
        <f t="shared" si="10"/>
        <v>#DIV/0!</v>
      </c>
      <c r="AE52" s="821"/>
    </row>
    <row r="53" spans="1:33" ht="17.25">
      <c r="A53" s="844">
        <f>A26</f>
        <v>0</v>
      </c>
      <c r="B53" s="845">
        <f t="shared" si="6"/>
        <v>0</v>
      </c>
      <c r="C53" s="799"/>
      <c r="D53" s="846">
        <f>D26</f>
        <v>0</v>
      </c>
      <c r="E53" s="799"/>
      <c r="F53" s="799"/>
      <c r="G53" s="846">
        <f>G26</f>
        <v>0</v>
      </c>
      <c r="H53" s="799"/>
      <c r="I53" s="857"/>
      <c r="J53" s="799"/>
      <c r="K53" s="857"/>
      <c r="L53" s="799"/>
      <c r="M53" s="857"/>
      <c r="N53" s="856"/>
      <c r="O53" s="848"/>
      <c r="Q53" s="858">
        <f t="shared" si="7"/>
        <v>0</v>
      </c>
      <c r="R53" s="856"/>
      <c r="S53" s="850" t="e">
        <f t="shared" si="8"/>
        <v>#DIV/0!</v>
      </c>
      <c r="U53" s="851"/>
      <c r="W53" s="859">
        <f t="shared" si="9"/>
        <v>0</v>
      </c>
      <c r="Y53" s="852" t="e">
        <f t="shared" si="10"/>
        <v>#DIV/0!</v>
      </c>
      <c r="AE53" s="821"/>
    </row>
    <row r="54" spans="1:33">
      <c r="A54" s="776"/>
      <c r="B54" s="860" t="s">
        <v>773</v>
      </c>
      <c r="D54" s="861"/>
      <c r="G54" s="862"/>
      <c r="I54" s="863">
        <f>SUM(I48:I53)</f>
        <v>8711065.3905080389</v>
      </c>
      <c r="K54" s="856">
        <f>SUM(K48:K53)</f>
        <v>0</v>
      </c>
      <c r="M54" s="863">
        <f>SUM(M48:M53)</f>
        <v>0</v>
      </c>
      <c r="N54" s="863"/>
      <c r="O54" s="856">
        <f>SUM(O48:O52)</f>
        <v>0</v>
      </c>
      <c r="Q54" s="864">
        <f>SUM(Q48:Q53)</f>
        <v>8711065.3905080389</v>
      </c>
      <c r="R54" s="863"/>
      <c r="W54" s="863">
        <f>SUM(W48:W53)</f>
        <v>442225.11733267881</v>
      </c>
      <c r="Y54" s="852"/>
      <c r="AC54" s="854"/>
      <c r="AE54" s="821"/>
    </row>
    <row r="55" spans="1:33">
      <c r="A55" s="776"/>
      <c r="B55" s="825" t="s">
        <v>774</v>
      </c>
      <c r="D55" s="861"/>
      <c r="G55" s="862"/>
      <c r="I55" s="856"/>
      <c r="K55" s="856"/>
      <c r="M55" s="856"/>
      <c r="N55" s="856"/>
      <c r="O55" s="856"/>
      <c r="P55" s="856"/>
      <c r="Q55" s="786"/>
      <c r="U55" s="856"/>
      <c r="W55" s="856"/>
      <c r="Y55" s="865"/>
      <c r="AC55" s="854"/>
      <c r="AE55" s="821"/>
      <c r="AG55" s="787"/>
    </row>
    <row r="56" spans="1:33" ht="16.5">
      <c r="A56" s="827"/>
      <c r="B56" s="828" t="s">
        <v>1022</v>
      </c>
      <c r="C56" s="832"/>
      <c r="D56" s="832"/>
      <c r="E56" s="832"/>
      <c r="F56" s="832"/>
      <c r="G56" s="832"/>
      <c r="H56" s="832"/>
      <c r="I56" s="832"/>
      <c r="J56" s="832"/>
      <c r="K56" s="832"/>
      <c r="L56" s="832"/>
      <c r="M56" s="866"/>
      <c r="N56" s="866"/>
      <c r="O56" s="866"/>
      <c r="P56" s="866"/>
      <c r="Q56" s="867"/>
      <c r="R56" s="832"/>
      <c r="S56" s="832"/>
      <c r="T56" s="832"/>
      <c r="U56" s="832"/>
      <c r="V56" s="832"/>
      <c r="W56" s="832"/>
      <c r="X56" s="832"/>
      <c r="Y56" s="868"/>
    </row>
    <row r="57" spans="1:33">
      <c r="A57" s="827"/>
      <c r="B57" s="828"/>
      <c r="C57" s="832"/>
      <c r="D57" s="832"/>
      <c r="E57" s="832"/>
      <c r="F57" s="832"/>
      <c r="G57" s="832"/>
      <c r="H57" s="832"/>
      <c r="I57" s="832"/>
      <c r="J57" s="832"/>
      <c r="K57" s="832"/>
      <c r="L57" s="832"/>
      <c r="M57" s="866"/>
      <c r="N57" s="866"/>
      <c r="O57" s="866"/>
      <c r="P57" s="866"/>
      <c r="Q57" s="867"/>
      <c r="Y57" s="853"/>
    </row>
    <row r="58" spans="1:33">
      <c r="B58" s="821"/>
      <c r="M58" s="869"/>
      <c r="N58" s="869"/>
      <c r="O58" s="869"/>
      <c r="P58" s="869"/>
      <c r="Q58" s="869"/>
      <c r="R58" s="869"/>
      <c r="Y58" s="812"/>
    </row>
    <row r="59" spans="1:33" ht="18">
      <c r="B59" s="870"/>
      <c r="M59" s="871"/>
      <c r="N59" s="871"/>
      <c r="O59" s="871"/>
      <c r="P59" s="871"/>
      <c r="Q59" s="871"/>
      <c r="R59" s="871"/>
      <c r="Y59" s="856"/>
    </row>
    <row r="60" spans="1:33">
      <c r="Y60" s="856"/>
      <c r="AA60" s="812"/>
    </row>
    <row r="61" spans="1:33">
      <c r="D61" s="856"/>
      <c r="G61" s="856"/>
      <c r="M61" s="856"/>
      <c r="N61" s="856"/>
      <c r="O61" s="856" t="str">
        <f>K1</f>
        <v>Attachment 5a</v>
      </c>
      <c r="P61" s="856"/>
      <c r="Q61" s="856"/>
      <c r="R61" s="856"/>
      <c r="W61" s="872"/>
      <c r="Y61" s="856"/>
    </row>
    <row r="62" spans="1:33">
      <c r="O62" s="785" t="str">
        <f>K2</f>
        <v>Debt Cost</v>
      </c>
      <c r="W62" s="872"/>
    </row>
    <row r="63" spans="1:33">
      <c r="D63" s="873"/>
      <c r="G63" s="873"/>
      <c r="M63" s="1025" t="str">
        <f>K3</f>
        <v>Valley Link Transmission West Virginia, LLC</v>
      </c>
      <c r="N63" s="1025"/>
      <c r="O63" s="1025"/>
      <c r="P63" s="1025"/>
      <c r="Q63" s="1025"/>
      <c r="R63" s="873"/>
      <c r="S63" s="770" t="s">
        <v>951</v>
      </c>
      <c r="W63" s="872"/>
      <c r="Y63" s="873"/>
    </row>
    <row r="64" spans="1:33">
      <c r="B64" s="821"/>
    </row>
    <row r="65" spans="1:26" ht="18">
      <c r="B65" s="821"/>
      <c r="M65" s="1023" t="s">
        <v>952</v>
      </c>
      <c r="N65" s="1023"/>
      <c r="O65" s="1023"/>
      <c r="P65" s="1023"/>
      <c r="Q65" s="1023"/>
    </row>
    <row r="67" spans="1:26">
      <c r="A67" s="773"/>
      <c r="B67" s="953"/>
      <c r="C67" s="950"/>
      <c r="D67" s="954"/>
      <c r="E67" s="950"/>
      <c r="F67" s="950"/>
      <c r="G67" s="950"/>
      <c r="H67" s="950"/>
      <c r="I67" s="950"/>
      <c r="J67" s="950"/>
      <c r="K67" s="950"/>
      <c r="L67" s="950"/>
      <c r="M67" s="950"/>
      <c r="N67" s="950"/>
      <c r="O67" s="950"/>
      <c r="P67" s="950"/>
      <c r="Q67" s="950"/>
      <c r="R67" s="950"/>
      <c r="S67" s="950"/>
      <c r="T67" s="950"/>
      <c r="U67" s="950"/>
      <c r="V67" s="950"/>
      <c r="W67" s="950"/>
      <c r="X67" s="950"/>
      <c r="Y67" s="836"/>
    </row>
    <row r="68" spans="1:26" ht="18.75">
      <c r="A68" s="776"/>
      <c r="B68" s="1024" t="s">
        <v>1024</v>
      </c>
      <c r="C68" s="1024"/>
      <c r="D68" s="1024"/>
      <c r="E68" s="1024"/>
      <c r="G68" s="1024" t="s">
        <v>1025</v>
      </c>
      <c r="H68" s="1024"/>
      <c r="I68" s="1024"/>
      <c r="Y68" s="786"/>
    </row>
    <row r="69" spans="1:26" ht="15.75">
      <c r="A69" s="776"/>
      <c r="B69" s="782"/>
      <c r="C69" s="782"/>
      <c r="D69" s="782"/>
      <c r="E69" s="782"/>
      <c r="Y69" s="786"/>
    </row>
    <row r="70" spans="1:26" ht="30">
      <c r="A70" s="776"/>
      <c r="B70" s="955" t="s">
        <v>153</v>
      </c>
      <c r="C70" s="955" t="s">
        <v>1026</v>
      </c>
      <c r="D70" s="956" t="s">
        <v>1027</v>
      </c>
      <c r="F70" s="772"/>
      <c r="G70" s="955" t="s">
        <v>153</v>
      </c>
      <c r="H70" s="955" t="s">
        <v>1026</v>
      </c>
      <c r="I70" s="956" t="s">
        <v>1027</v>
      </c>
      <c r="Y70" s="786"/>
    </row>
    <row r="71" spans="1:26" ht="15.75">
      <c r="A71" s="776"/>
      <c r="B71" s="755" t="s">
        <v>73</v>
      </c>
      <c r="C71" s="957">
        <v>2025</v>
      </c>
      <c r="D71" s="803"/>
      <c r="G71" s="958" t="s">
        <v>76</v>
      </c>
      <c r="H71" s="785">
        <v>2026</v>
      </c>
      <c r="I71" s="962">
        <v>5.2495E-2</v>
      </c>
      <c r="Y71" s="786"/>
    </row>
    <row r="72" spans="1:26" ht="15.75">
      <c r="A72" s="776"/>
      <c r="B72" s="755" t="s">
        <v>80</v>
      </c>
      <c r="C72" s="765">
        <f>C71+1</f>
        <v>2026</v>
      </c>
      <c r="D72" s="803"/>
      <c r="G72" s="785"/>
      <c r="I72" s="785"/>
      <c r="Y72" s="786"/>
    </row>
    <row r="73" spans="1:26" ht="15.75">
      <c r="A73" s="776"/>
      <c r="B73" s="755" t="s">
        <v>79</v>
      </c>
      <c r="C73" s="765">
        <f>C72</f>
        <v>2026</v>
      </c>
      <c r="D73" s="803"/>
      <c r="G73" s="959"/>
      <c r="I73" s="959"/>
      <c r="Y73" s="786"/>
    </row>
    <row r="74" spans="1:26" ht="15.75">
      <c r="A74" s="776"/>
      <c r="B74" s="755" t="s">
        <v>78</v>
      </c>
      <c r="C74" s="765">
        <f t="shared" ref="C74:C83" si="13">C73</f>
        <v>2026</v>
      </c>
      <c r="D74" s="803"/>
      <c r="G74" s="959"/>
      <c r="Y74" s="786"/>
    </row>
    <row r="75" spans="1:26" ht="15.75">
      <c r="A75" s="776"/>
      <c r="B75" s="755" t="s">
        <v>71</v>
      </c>
      <c r="C75" s="765">
        <f t="shared" si="13"/>
        <v>2026</v>
      </c>
      <c r="D75" s="803"/>
      <c r="G75" s="959"/>
      <c r="I75" s="959"/>
      <c r="Y75" s="786"/>
    </row>
    <row r="76" spans="1:26" ht="15.75">
      <c r="A76" s="776"/>
      <c r="B76" s="755" t="s">
        <v>70</v>
      </c>
      <c r="C76" s="765">
        <f t="shared" si="13"/>
        <v>2026</v>
      </c>
      <c r="D76" s="803"/>
      <c r="G76" s="959"/>
      <c r="Y76" s="786"/>
    </row>
    <row r="77" spans="1:26" ht="15.75">
      <c r="A77" s="776"/>
      <c r="B77" s="755" t="s">
        <v>87</v>
      </c>
      <c r="C77" s="765">
        <f t="shared" si="13"/>
        <v>2026</v>
      </c>
      <c r="D77" s="803"/>
      <c r="G77" s="959"/>
      <c r="I77" s="959"/>
      <c r="Y77" s="786"/>
    </row>
    <row r="78" spans="1:26" ht="15.75">
      <c r="A78" s="776"/>
      <c r="B78" s="755" t="s">
        <v>77</v>
      </c>
      <c r="C78" s="765">
        <f t="shared" si="13"/>
        <v>2026</v>
      </c>
      <c r="D78" s="803"/>
      <c r="G78" s="959"/>
      <c r="L78" s="772"/>
      <c r="M78" s="772"/>
      <c r="N78" s="772"/>
      <c r="O78" s="772"/>
      <c r="P78" s="772"/>
      <c r="Q78" s="772"/>
      <c r="R78" s="772"/>
      <c r="S78" s="772"/>
      <c r="T78" s="772"/>
      <c r="U78" s="772"/>
      <c r="V78" s="772"/>
      <c r="W78" s="772"/>
      <c r="X78" s="772"/>
      <c r="Y78" s="777"/>
      <c r="Z78" s="772"/>
    </row>
    <row r="79" spans="1:26" ht="15.75">
      <c r="A79" s="776"/>
      <c r="B79" s="755" t="s">
        <v>76</v>
      </c>
      <c r="C79" s="765">
        <f t="shared" si="13"/>
        <v>2026</v>
      </c>
      <c r="D79" s="803"/>
      <c r="I79" s="959"/>
      <c r="J79" s="772"/>
      <c r="K79" s="772"/>
      <c r="L79" s="772"/>
      <c r="M79" s="772"/>
      <c r="N79" s="772"/>
      <c r="O79" s="772"/>
      <c r="P79" s="772"/>
      <c r="Q79" s="772"/>
      <c r="R79" s="772"/>
      <c r="S79" s="772"/>
      <c r="T79" s="772"/>
      <c r="U79" s="772"/>
      <c r="V79" s="772"/>
      <c r="W79" s="772"/>
      <c r="X79" s="772"/>
      <c r="Y79" s="777"/>
      <c r="Z79" s="772"/>
    </row>
    <row r="80" spans="1:26" ht="15.75">
      <c r="A80" s="776"/>
      <c r="B80" s="755" t="s">
        <v>75</v>
      </c>
      <c r="C80" s="765">
        <f t="shared" si="13"/>
        <v>2026</v>
      </c>
      <c r="D80" s="803"/>
      <c r="I80" s="959"/>
      <c r="J80" s="772"/>
      <c r="K80" s="772"/>
      <c r="L80" s="772"/>
      <c r="M80" s="772"/>
      <c r="N80" s="772"/>
      <c r="O80" s="772"/>
      <c r="P80" s="772"/>
      <c r="Q80" s="772"/>
      <c r="R80" s="772"/>
      <c r="S80" s="772"/>
      <c r="T80" s="772"/>
      <c r="U80" s="772"/>
      <c r="V80" s="772"/>
      <c r="W80" s="772"/>
      <c r="X80" s="772"/>
      <c r="Y80" s="777"/>
      <c r="Z80" s="772"/>
    </row>
    <row r="81" spans="1:26" ht="15.75">
      <c r="A81" s="776"/>
      <c r="B81" s="755" t="s">
        <v>81</v>
      </c>
      <c r="C81" s="765">
        <f t="shared" si="13"/>
        <v>2026</v>
      </c>
      <c r="D81" s="803"/>
      <c r="I81" s="959"/>
      <c r="J81" s="772"/>
      <c r="K81" s="772"/>
      <c r="L81" s="772"/>
      <c r="M81" s="772"/>
      <c r="N81" s="772"/>
      <c r="O81" s="772"/>
      <c r="P81" s="772"/>
      <c r="Q81" s="772"/>
      <c r="R81" s="772"/>
      <c r="S81" s="772"/>
      <c r="T81" s="772"/>
      <c r="U81" s="772"/>
      <c r="V81" s="772"/>
      <c r="W81" s="772"/>
      <c r="X81" s="772"/>
      <c r="Y81" s="777"/>
      <c r="Z81" s="772"/>
    </row>
    <row r="82" spans="1:26" ht="15.75">
      <c r="A82" s="776"/>
      <c r="B82" s="755" t="s">
        <v>74</v>
      </c>
      <c r="C82" s="765">
        <f t="shared" si="13"/>
        <v>2026</v>
      </c>
      <c r="D82" s="803"/>
      <c r="I82" s="959"/>
      <c r="J82" s="772"/>
      <c r="K82" s="772"/>
      <c r="L82" s="772"/>
      <c r="M82" s="772"/>
      <c r="N82" s="772"/>
      <c r="O82" s="772"/>
      <c r="P82" s="772"/>
      <c r="Q82" s="772"/>
      <c r="R82" s="772"/>
      <c r="S82" s="772"/>
      <c r="T82" s="772"/>
      <c r="U82" s="772"/>
      <c r="V82" s="772"/>
      <c r="W82" s="772"/>
      <c r="X82" s="772"/>
      <c r="Y82" s="777"/>
      <c r="Z82" s="772"/>
    </row>
    <row r="83" spans="1:26" ht="15.75">
      <c r="A83" s="776"/>
      <c r="B83" s="755" t="s">
        <v>73</v>
      </c>
      <c r="C83" s="765">
        <f t="shared" si="13"/>
        <v>2026</v>
      </c>
      <c r="D83" s="803"/>
      <c r="F83" s="772"/>
      <c r="G83" s="772"/>
      <c r="H83" s="772"/>
      <c r="I83" s="772"/>
      <c r="J83" s="772"/>
      <c r="K83" s="772"/>
      <c r="Y83" s="786"/>
    </row>
    <row r="84" spans="1:26" ht="15.75">
      <c r="A84" s="776"/>
      <c r="B84" s="771" t="s">
        <v>1028</v>
      </c>
      <c r="D84" s="960" t="e">
        <f>AVERAGE(D71:D83)</f>
        <v>#DIV/0!</v>
      </c>
      <c r="L84" s="785"/>
      <c r="M84" s="785"/>
      <c r="N84" s="785"/>
      <c r="O84" s="785"/>
      <c r="P84" s="785"/>
      <c r="Q84" s="785"/>
      <c r="R84" s="785"/>
      <c r="S84" s="785"/>
      <c r="T84" s="785"/>
      <c r="U84" s="785"/>
      <c r="V84" s="785"/>
      <c r="Y84" s="786"/>
    </row>
    <row r="85" spans="1:26" ht="15.75">
      <c r="A85" s="776"/>
      <c r="B85" s="793"/>
      <c r="G85" s="785"/>
      <c r="H85" s="785"/>
      <c r="I85" s="785"/>
      <c r="J85" s="785"/>
      <c r="K85" s="785"/>
      <c r="L85" s="785"/>
      <c r="M85" s="785"/>
      <c r="N85" s="785"/>
      <c r="O85" s="785"/>
      <c r="P85" s="785"/>
      <c r="Q85" s="785"/>
      <c r="R85" s="785"/>
      <c r="S85" s="785"/>
      <c r="T85" s="785"/>
      <c r="U85" s="785"/>
      <c r="V85" s="785"/>
      <c r="W85" s="785"/>
      <c r="Y85" s="839"/>
      <c r="Z85" s="785"/>
    </row>
    <row r="86" spans="1:26">
      <c r="A86" s="776"/>
      <c r="B86" s="770" t="s">
        <v>1029</v>
      </c>
      <c r="G86" s="785"/>
      <c r="H86" s="785"/>
      <c r="I86" s="785"/>
      <c r="J86" s="785"/>
      <c r="K86" s="785"/>
      <c r="L86" s="785"/>
      <c r="M86" s="785"/>
      <c r="N86" s="785"/>
      <c r="O86" s="785"/>
      <c r="P86" s="785"/>
      <c r="Q86" s="785"/>
      <c r="R86" s="785"/>
      <c r="S86" s="785"/>
      <c r="T86" s="785"/>
      <c r="U86" s="785"/>
      <c r="V86" s="785"/>
      <c r="W86" s="785"/>
      <c r="Y86" s="839"/>
      <c r="Z86" s="785"/>
    </row>
    <row r="87" spans="1:26">
      <c r="A87" s="776"/>
      <c r="B87" s="770" t="s">
        <v>1030</v>
      </c>
      <c r="D87" s="785"/>
      <c r="E87" s="785"/>
      <c r="F87" s="785"/>
      <c r="G87" s="785"/>
      <c r="H87" s="785"/>
      <c r="I87" s="785"/>
      <c r="J87" s="785"/>
      <c r="K87" s="785"/>
      <c r="L87" s="785"/>
      <c r="M87" s="785"/>
      <c r="N87" s="785"/>
      <c r="O87" s="785"/>
      <c r="P87" s="785"/>
      <c r="Q87" s="785"/>
      <c r="R87" s="785"/>
      <c r="S87" s="785"/>
      <c r="T87" s="785"/>
      <c r="U87" s="785"/>
      <c r="V87" s="785"/>
      <c r="W87" s="785"/>
      <c r="Y87" s="839"/>
      <c r="Z87" s="785"/>
    </row>
    <row r="88" spans="1:26">
      <c r="A88" s="827"/>
      <c r="B88" s="951"/>
      <c r="C88" s="832"/>
      <c r="D88" s="952"/>
      <c r="E88" s="952"/>
      <c r="F88" s="952"/>
      <c r="G88" s="952"/>
      <c r="H88" s="829"/>
      <c r="I88" s="952"/>
      <c r="J88" s="829"/>
      <c r="K88" s="829"/>
      <c r="L88" s="829"/>
      <c r="M88" s="829"/>
      <c r="N88" s="829"/>
      <c r="O88" s="829"/>
      <c r="P88" s="829"/>
      <c r="Q88" s="829"/>
      <c r="R88" s="829"/>
      <c r="S88" s="832"/>
      <c r="T88" s="832"/>
      <c r="U88" s="832"/>
      <c r="V88" s="832"/>
      <c r="W88" s="951"/>
      <c r="X88" s="832"/>
      <c r="Y88" s="830"/>
      <c r="Z88" s="785"/>
    </row>
    <row r="89" spans="1:26">
      <c r="B89" s="821"/>
      <c r="D89" s="787"/>
      <c r="E89" s="787"/>
      <c r="F89" s="787"/>
      <c r="G89" s="787"/>
      <c r="H89" s="807"/>
      <c r="I89" s="787"/>
      <c r="J89" s="807"/>
      <c r="K89" s="807"/>
      <c r="L89" s="807"/>
      <c r="M89" s="807"/>
      <c r="N89" s="807"/>
      <c r="O89" s="807"/>
      <c r="P89" s="807"/>
      <c r="Q89" s="807"/>
      <c r="R89" s="807"/>
      <c r="W89" s="821"/>
      <c r="Y89" s="807"/>
      <c r="Z89" s="785"/>
    </row>
    <row r="90" spans="1:26">
      <c r="B90" s="821"/>
      <c r="D90" s="787"/>
      <c r="E90" s="787"/>
      <c r="F90" s="787"/>
      <c r="G90" s="787"/>
      <c r="H90" s="807"/>
      <c r="I90" s="787"/>
      <c r="J90" s="807"/>
      <c r="K90" s="807"/>
      <c r="L90" s="807"/>
      <c r="M90" s="807"/>
      <c r="N90" s="807"/>
      <c r="O90" s="807"/>
      <c r="P90" s="807"/>
      <c r="Q90" s="807"/>
      <c r="R90" s="807"/>
      <c r="W90" s="821"/>
      <c r="Y90" s="807"/>
      <c r="Z90" s="785"/>
    </row>
    <row r="91" spans="1:26">
      <c r="B91" s="780"/>
      <c r="D91" s="787"/>
      <c r="E91" s="787"/>
      <c r="F91" s="787"/>
      <c r="G91" s="787"/>
      <c r="H91" s="807"/>
      <c r="I91" s="787"/>
      <c r="J91" s="807"/>
      <c r="K91" s="807"/>
      <c r="L91" s="807"/>
      <c r="M91" s="807"/>
      <c r="N91" s="807"/>
      <c r="O91" s="807"/>
      <c r="P91" s="807"/>
      <c r="Q91" s="807"/>
      <c r="R91" s="807"/>
      <c r="W91" s="821"/>
      <c r="Y91" s="807"/>
      <c r="Z91" s="785"/>
    </row>
    <row r="92" spans="1:26">
      <c r="B92" s="780"/>
      <c r="D92" s="787"/>
      <c r="E92" s="787"/>
      <c r="F92" s="787"/>
      <c r="G92" s="787"/>
      <c r="H92" s="807"/>
      <c r="I92" s="787"/>
      <c r="J92" s="807"/>
      <c r="K92" s="807"/>
      <c r="L92" s="807"/>
      <c r="M92" s="807"/>
      <c r="N92" s="807"/>
      <c r="O92" s="807"/>
      <c r="P92" s="807"/>
      <c r="Q92" s="807"/>
      <c r="R92" s="807"/>
      <c r="W92" s="821"/>
      <c r="Y92" s="807"/>
      <c r="Z92" s="785"/>
    </row>
    <row r="93" spans="1:26">
      <c r="B93" s="842"/>
      <c r="D93" s="787"/>
      <c r="E93" s="787"/>
      <c r="F93" s="787"/>
      <c r="G93" s="787"/>
      <c r="H93" s="807"/>
      <c r="I93" s="787"/>
      <c r="J93" s="807"/>
      <c r="K93" s="807"/>
      <c r="L93" s="807"/>
      <c r="M93" s="807"/>
      <c r="N93" s="807"/>
      <c r="O93" s="807"/>
      <c r="P93" s="807"/>
      <c r="Q93" s="807"/>
      <c r="R93" s="807"/>
      <c r="W93" s="821"/>
      <c r="Y93" s="807"/>
      <c r="Z93" s="785"/>
    </row>
    <row r="94" spans="1:26">
      <c r="B94" s="821"/>
      <c r="D94" s="787"/>
      <c r="E94" s="787"/>
      <c r="F94" s="787"/>
      <c r="G94" s="787"/>
      <c r="H94" s="807"/>
      <c r="I94" s="787"/>
      <c r="J94" s="807"/>
      <c r="K94" s="807"/>
      <c r="L94" s="807"/>
      <c r="M94" s="807"/>
      <c r="N94" s="807"/>
      <c r="O94" s="807"/>
      <c r="P94" s="807"/>
      <c r="Q94" s="807"/>
      <c r="R94" s="807"/>
      <c r="W94" s="821"/>
      <c r="Y94" s="807"/>
      <c r="Z94" s="785"/>
    </row>
    <row r="95" spans="1:26">
      <c r="B95" s="821"/>
      <c r="D95" s="787"/>
      <c r="E95" s="787"/>
      <c r="F95" s="787"/>
      <c r="G95" s="787"/>
      <c r="H95" s="807"/>
      <c r="I95" s="787"/>
      <c r="J95" s="807"/>
      <c r="K95" s="807"/>
      <c r="L95" s="807"/>
      <c r="M95" s="807"/>
      <c r="N95" s="807"/>
      <c r="O95" s="807"/>
      <c r="P95" s="807"/>
      <c r="Q95" s="807"/>
      <c r="R95" s="807"/>
      <c r="W95" s="821"/>
      <c r="Y95" s="807"/>
      <c r="Z95" s="785"/>
    </row>
    <row r="96" spans="1:26">
      <c r="B96" s="821"/>
      <c r="D96" s="787"/>
      <c r="E96" s="787"/>
      <c r="F96" s="787"/>
      <c r="G96" s="787"/>
      <c r="H96" s="807"/>
      <c r="I96" s="787"/>
      <c r="J96" s="807"/>
      <c r="K96" s="807"/>
      <c r="L96" s="807"/>
      <c r="M96" s="807"/>
      <c r="N96" s="807"/>
      <c r="O96" s="807"/>
      <c r="P96" s="807"/>
      <c r="Q96" s="807"/>
      <c r="R96" s="807"/>
      <c r="W96" s="821"/>
      <c r="Y96" s="807"/>
      <c r="Z96" s="785"/>
    </row>
    <row r="97" spans="2:26">
      <c r="B97" s="821"/>
      <c r="D97" s="787"/>
      <c r="E97" s="787"/>
      <c r="F97" s="787"/>
      <c r="G97" s="787"/>
      <c r="H97" s="807"/>
      <c r="I97" s="787"/>
      <c r="J97" s="807"/>
      <c r="K97" s="807"/>
      <c r="L97" s="807"/>
      <c r="M97" s="807"/>
      <c r="N97" s="807"/>
      <c r="O97" s="807"/>
      <c r="P97" s="807"/>
      <c r="Q97" s="807"/>
      <c r="R97" s="807"/>
      <c r="W97" s="821"/>
      <c r="Y97" s="807"/>
      <c r="Z97" s="785"/>
    </row>
    <row r="98" spans="2:26">
      <c r="B98" s="821"/>
      <c r="D98" s="787"/>
      <c r="E98" s="787"/>
      <c r="F98" s="787"/>
      <c r="G98" s="787"/>
      <c r="H98" s="807"/>
      <c r="I98" s="787"/>
      <c r="J98" s="807"/>
      <c r="K98" s="807"/>
      <c r="L98" s="807"/>
      <c r="M98" s="807"/>
      <c r="N98" s="807"/>
      <c r="O98" s="807"/>
      <c r="P98" s="807"/>
      <c r="Q98" s="807"/>
      <c r="R98" s="807"/>
      <c r="W98" s="821"/>
      <c r="Y98" s="807"/>
      <c r="Z98" s="785"/>
    </row>
    <row r="99" spans="2:26">
      <c r="B99" s="821"/>
      <c r="D99" s="787"/>
      <c r="E99" s="787"/>
      <c r="F99" s="787"/>
      <c r="G99" s="787"/>
      <c r="H99" s="807"/>
      <c r="I99" s="787"/>
      <c r="J99" s="807"/>
      <c r="K99" s="807"/>
      <c r="L99" s="807"/>
      <c r="M99" s="807"/>
      <c r="N99" s="807"/>
      <c r="O99" s="807"/>
      <c r="P99" s="807"/>
      <c r="Q99" s="807"/>
      <c r="R99" s="807"/>
      <c r="W99" s="821"/>
      <c r="Y99" s="807"/>
      <c r="Z99" s="785"/>
    </row>
    <row r="100" spans="2:26">
      <c r="B100" s="821"/>
      <c r="D100" s="787"/>
      <c r="E100" s="787"/>
      <c r="F100" s="787"/>
      <c r="G100" s="787"/>
      <c r="H100" s="807"/>
      <c r="I100" s="787"/>
      <c r="J100" s="807"/>
      <c r="K100" s="807"/>
      <c r="L100" s="807"/>
      <c r="M100" s="807"/>
      <c r="N100" s="807"/>
      <c r="O100" s="807"/>
      <c r="P100" s="807"/>
      <c r="Q100" s="807"/>
      <c r="R100" s="807"/>
      <c r="W100" s="821"/>
      <c r="Y100" s="807"/>
      <c r="Z100" s="785"/>
    </row>
    <row r="101" spans="2:26">
      <c r="B101" s="821"/>
      <c r="D101" s="787"/>
      <c r="E101" s="787"/>
      <c r="F101" s="787"/>
      <c r="G101" s="787"/>
      <c r="H101" s="807"/>
      <c r="I101" s="787"/>
      <c r="J101" s="807"/>
      <c r="K101" s="807"/>
      <c r="L101" s="807"/>
      <c r="M101" s="807"/>
      <c r="N101" s="807"/>
      <c r="O101" s="807"/>
      <c r="P101" s="807"/>
      <c r="Q101" s="807"/>
      <c r="R101" s="807"/>
      <c r="W101" s="821"/>
      <c r="Y101" s="807"/>
      <c r="Z101" s="785"/>
    </row>
    <row r="102" spans="2:26">
      <c r="B102" s="821"/>
      <c r="D102" s="787"/>
      <c r="E102" s="787"/>
      <c r="F102" s="787"/>
      <c r="G102" s="787"/>
      <c r="H102" s="807"/>
      <c r="I102" s="787"/>
      <c r="J102" s="807"/>
      <c r="K102" s="807"/>
      <c r="L102" s="807"/>
      <c r="M102" s="807"/>
      <c r="N102" s="807"/>
      <c r="O102" s="807"/>
      <c r="P102" s="807"/>
      <c r="Q102" s="807"/>
      <c r="R102" s="807"/>
      <c r="W102" s="821"/>
      <c r="Y102" s="807"/>
      <c r="Z102" s="785"/>
    </row>
    <row r="103" spans="2:26">
      <c r="B103" s="821"/>
      <c r="D103" s="787"/>
      <c r="E103" s="787"/>
      <c r="F103" s="787"/>
      <c r="G103" s="787"/>
      <c r="H103" s="807"/>
      <c r="I103" s="787"/>
      <c r="J103" s="807"/>
      <c r="K103" s="807"/>
      <c r="L103" s="807"/>
      <c r="M103" s="807"/>
      <c r="N103" s="807"/>
      <c r="O103" s="807"/>
      <c r="P103" s="807"/>
      <c r="Q103" s="807"/>
      <c r="R103" s="807"/>
      <c r="W103" s="821"/>
      <c r="Y103" s="807"/>
      <c r="Z103" s="785"/>
    </row>
    <row r="104" spans="2:26">
      <c r="B104" s="821"/>
      <c r="D104" s="787"/>
      <c r="E104" s="787"/>
      <c r="F104" s="787"/>
      <c r="G104" s="787"/>
      <c r="H104" s="807"/>
      <c r="I104" s="787"/>
      <c r="J104" s="807"/>
      <c r="K104" s="807"/>
      <c r="L104" s="807"/>
      <c r="M104" s="807"/>
      <c r="N104" s="807"/>
      <c r="O104" s="807"/>
      <c r="P104" s="807"/>
      <c r="Q104" s="807"/>
      <c r="R104" s="807"/>
      <c r="W104" s="821"/>
      <c r="Y104" s="807"/>
      <c r="Z104" s="785"/>
    </row>
    <row r="105" spans="2:26">
      <c r="D105" s="787"/>
      <c r="E105" s="787"/>
      <c r="F105" s="787"/>
      <c r="G105" s="787"/>
      <c r="I105" s="787"/>
      <c r="M105" s="807"/>
      <c r="N105" s="807"/>
      <c r="O105" s="807"/>
      <c r="P105" s="807"/>
      <c r="Q105" s="807"/>
      <c r="R105" s="807"/>
    </row>
    <row r="106" spans="2:26">
      <c r="B106" s="807"/>
      <c r="C106" s="807"/>
      <c r="D106" s="787"/>
      <c r="E106" s="787"/>
      <c r="F106" s="787"/>
      <c r="G106" s="787"/>
      <c r="H106" s="807"/>
      <c r="I106" s="787"/>
      <c r="J106" s="807"/>
      <c r="K106" s="787"/>
      <c r="L106" s="807"/>
      <c r="M106" s="807"/>
      <c r="N106" s="807"/>
      <c r="O106" s="807"/>
      <c r="P106" s="807"/>
      <c r="Q106" s="807"/>
      <c r="R106" s="807"/>
      <c r="S106" s="807"/>
      <c r="T106" s="807"/>
      <c r="U106" s="807"/>
      <c r="V106" s="807"/>
      <c r="W106" s="821"/>
      <c r="X106" s="807"/>
      <c r="Y106" s="807"/>
      <c r="Z106" s="807"/>
    </row>
    <row r="107" spans="2:26">
      <c r="B107" s="807"/>
      <c r="C107" s="807"/>
      <c r="D107" s="807"/>
      <c r="E107" s="807"/>
      <c r="F107" s="807"/>
      <c r="G107" s="807"/>
      <c r="H107" s="807"/>
      <c r="I107" s="807"/>
      <c r="J107" s="807"/>
      <c r="K107" s="807"/>
      <c r="L107" s="807"/>
      <c r="M107" s="807"/>
      <c r="N107" s="807"/>
      <c r="O107" s="807"/>
      <c r="P107" s="807"/>
      <c r="Q107" s="807"/>
      <c r="R107" s="807"/>
      <c r="S107" s="807"/>
      <c r="T107" s="807"/>
      <c r="U107" s="807"/>
      <c r="V107" s="807"/>
      <c r="W107" s="821"/>
      <c r="X107" s="807"/>
      <c r="Y107" s="807"/>
      <c r="Z107" s="807"/>
    </row>
    <row r="108" spans="2:26" ht="15.75">
      <c r="B108" s="831"/>
      <c r="C108" s="807"/>
      <c r="D108" s="807"/>
      <c r="E108" s="807"/>
      <c r="F108" s="807"/>
      <c r="G108" s="807"/>
      <c r="H108" s="807"/>
      <c r="I108" s="807"/>
      <c r="J108" s="807"/>
      <c r="K108" s="807"/>
      <c r="L108" s="807"/>
      <c r="M108" s="807"/>
      <c r="N108" s="807"/>
      <c r="O108" s="807"/>
      <c r="P108" s="807"/>
      <c r="Q108" s="807"/>
      <c r="R108" s="807"/>
      <c r="S108" s="807"/>
      <c r="T108" s="807"/>
      <c r="U108" s="807"/>
      <c r="V108" s="807"/>
      <c r="W108" s="807"/>
      <c r="X108" s="807"/>
      <c r="Y108" s="807"/>
      <c r="Z108" s="807"/>
    </row>
    <row r="109" spans="2:26" ht="15.75">
      <c r="B109" s="793"/>
    </row>
    <row r="110" spans="2:26">
      <c r="D110" s="873"/>
      <c r="K110" s="873"/>
      <c r="M110" s="787"/>
      <c r="N110" s="787"/>
      <c r="O110" s="787"/>
      <c r="P110" s="787"/>
      <c r="Q110" s="787"/>
      <c r="R110" s="787"/>
      <c r="W110" s="872"/>
      <c r="Y110" s="787"/>
    </row>
    <row r="111" spans="2:26">
      <c r="D111" s="856"/>
      <c r="K111" s="856"/>
      <c r="M111" s="856"/>
      <c r="N111" s="856"/>
      <c r="O111" s="856"/>
      <c r="P111" s="856"/>
      <c r="Q111" s="856"/>
      <c r="R111" s="856"/>
      <c r="W111" s="872"/>
      <c r="Y111" s="856"/>
    </row>
    <row r="112" spans="2:26">
      <c r="D112" s="856"/>
      <c r="K112" s="856"/>
      <c r="M112" s="856"/>
      <c r="N112" s="856"/>
      <c r="O112" s="856"/>
      <c r="P112" s="856"/>
      <c r="Q112" s="856"/>
      <c r="R112" s="856"/>
      <c r="W112" s="872"/>
      <c r="Y112" s="856"/>
    </row>
    <row r="113" spans="2:25">
      <c r="D113" s="856"/>
      <c r="K113" s="856"/>
      <c r="M113" s="856"/>
      <c r="N113" s="856"/>
      <c r="O113" s="856"/>
      <c r="P113" s="856"/>
      <c r="Q113" s="856"/>
      <c r="R113" s="856"/>
      <c r="W113" s="872"/>
      <c r="Y113" s="856"/>
    </row>
    <row r="114" spans="2:25">
      <c r="D114" s="856"/>
      <c r="K114" s="856"/>
      <c r="M114" s="856"/>
      <c r="N114" s="856"/>
      <c r="O114" s="856"/>
      <c r="P114" s="856"/>
      <c r="Q114" s="856"/>
      <c r="R114" s="856"/>
      <c r="W114" s="872"/>
      <c r="Y114" s="856"/>
    </row>
    <row r="115" spans="2:25">
      <c r="B115" s="821"/>
      <c r="W115" s="872"/>
    </row>
    <row r="116" spans="2:25">
      <c r="B116" s="821"/>
      <c r="D116" s="873"/>
      <c r="K116" s="873"/>
      <c r="M116" s="873"/>
      <c r="N116" s="873"/>
      <c r="O116" s="873"/>
      <c r="P116" s="873"/>
      <c r="Q116" s="873"/>
      <c r="R116" s="873"/>
      <c r="W116" s="872"/>
      <c r="Y116" s="873"/>
    </row>
    <row r="118" spans="2:25" ht="15.75">
      <c r="B118" s="793"/>
    </row>
    <row r="119" spans="2:25" ht="15.75">
      <c r="B119" s="771"/>
    </row>
    <row r="120" spans="2:25">
      <c r="D120" s="847"/>
    </row>
    <row r="121" spans="2:25">
      <c r="D121" s="792"/>
    </row>
    <row r="122" spans="2:25">
      <c r="D122" s="792"/>
    </row>
    <row r="123" spans="2:25">
      <c r="D123" s="874"/>
    </row>
    <row r="124" spans="2:25">
      <c r="D124" s="792"/>
    </row>
    <row r="125" spans="2:25">
      <c r="D125" s="792"/>
    </row>
    <row r="126" spans="2:25">
      <c r="B126" s="875"/>
      <c r="D126" s="847"/>
    </row>
    <row r="127" spans="2:25">
      <c r="B127" s="875"/>
    </row>
    <row r="128" spans="2:25" ht="15.75">
      <c r="C128" s="772"/>
    </row>
    <row r="129" spans="2:11" ht="15.75">
      <c r="B129" s="876"/>
      <c r="D129" s="785"/>
      <c r="G129" s="785"/>
      <c r="I129" s="785"/>
      <c r="K129" s="785"/>
    </row>
    <row r="130" spans="2:11">
      <c r="D130" s="785"/>
      <c r="G130" s="785"/>
      <c r="I130" s="785"/>
      <c r="K130" s="785"/>
    </row>
    <row r="131" spans="2:11">
      <c r="D131" s="847"/>
      <c r="G131" s="821"/>
      <c r="I131" s="821"/>
      <c r="K131" s="877"/>
    </row>
    <row r="132" spans="2:11">
      <c r="D132" s="847"/>
      <c r="G132" s="821"/>
      <c r="I132" s="821"/>
      <c r="K132" s="821"/>
    </row>
    <row r="133" spans="2:11">
      <c r="D133" s="847"/>
      <c r="G133" s="821"/>
      <c r="I133" s="821"/>
      <c r="K133" s="821"/>
    </row>
    <row r="134" spans="2:11">
      <c r="D134" s="847"/>
      <c r="G134" s="821"/>
      <c r="I134" s="821"/>
      <c r="K134" s="821"/>
    </row>
    <row r="135" spans="2:11">
      <c r="D135" s="847"/>
      <c r="G135" s="821"/>
      <c r="I135" s="821"/>
      <c r="K135" s="821"/>
    </row>
    <row r="136" spans="2:11">
      <c r="D136" s="847"/>
      <c r="G136" s="821"/>
      <c r="I136" s="821"/>
      <c r="K136" s="821"/>
    </row>
    <row r="137" spans="2:11">
      <c r="D137" s="847"/>
      <c r="G137" s="821"/>
      <c r="I137" s="821"/>
      <c r="K137" s="821"/>
    </row>
  </sheetData>
  <mergeCells count="9">
    <mergeCell ref="B68:E68"/>
    <mergeCell ref="G68:I68"/>
    <mergeCell ref="M63:Q63"/>
    <mergeCell ref="M65:Q65"/>
    <mergeCell ref="AT14:AU14"/>
    <mergeCell ref="K1:R1"/>
    <mergeCell ref="K2:R2"/>
    <mergeCell ref="K3:R3"/>
    <mergeCell ref="M5:O5"/>
  </mergeCells>
  <pageMargins left="0.7" right="0.7" top="0.75" bottom="0.75" header="0.3" footer="0.3"/>
  <pageSetup scale="36" orientation="landscape" r:id="rId1"/>
  <rowBreaks count="1" manualBreakCount="1">
    <brk id="37" max="25"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M63"/>
  <sheetViews>
    <sheetView zoomScale="80" zoomScaleNormal="80" zoomScaleSheetLayoutView="80" workbookViewId="0">
      <selection activeCell="D10" sqref="D10"/>
    </sheetView>
  </sheetViews>
  <sheetFormatPr defaultColWidth="8.88671875" defaultRowHeight="15"/>
  <cols>
    <col min="1" max="1" width="21.6640625" style="596" customWidth="1"/>
    <col min="2" max="2" width="26.21875" style="596" customWidth="1"/>
    <col min="3" max="3" width="2.21875" style="596" customWidth="1"/>
    <col min="4" max="4" width="18.6640625" style="596" customWidth="1"/>
    <col min="5" max="5" width="1.6640625" style="596" customWidth="1"/>
    <col min="6" max="6" width="18.6640625" style="596" customWidth="1"/>
    <col min="7" max="7" width="12.6640625" style="596" customWidth="1"/>
    <col min="8" max="8" width="15" style="596" customWidth="1"/>
    <col min="9" max="9" width="15.6640625" style="596" customWidth="1"/>
    <col min="10" max="10" width="1.44140625" style="596" customWidth="1"/>
    <col min="11" max="11" width="22.109375" style="596" bestFit="1" customWidth="1"/>
    <col min="12" max="12" width="8.88671875" style="596"/>
    <col min="13" max="13" width="8.44140625" style="596" bestFit="1" customWidth="1"/>
    <col min="14" max="16384" width="8.88671875" style="596"/>
  </cols>
  <sheetData>
    <row r="1" spans="1:11" s="339" customFormat="1">
      <c r="A1" s="991" t="s">
        <v>175</v>
      </c>
      <c r="B1" s="991"/>
      <c r="C1" s="991"/>
      <c r="D1" s="991"/>
      <c r="E1" s="991"/>
      <c r="F1" s="991"/>
      <c r="G1" s="991"/>
      <c r="H1" s="991"/>
      <c r="I1" s="991"/>
      <c r="J1" s="991"/>
      <c r="K1" s="991"/>
    </row>
    <row r="2" spans="1:11" s="339" customFormat="1">
      <c r="A2" s="992" t="s">
        <v>437</v>
      </c>
      <c r="B2" s="992"/>
      <c r="C2" s="992"/>
      <c r="D2" s="992"/>
      <c r="E2" s="992"/>
      <c r="F2" s="992"/>
      <c r="G2" s="992"/>
      <c r="H2" s="992"/>
      <c r="I2" s="992"/>
      <c r="J2" s="992"/>
      <c r="K2" s="992"/>
    </row>
    <row r="3" spans="1:11" s="339" customFormat="1" ht="18" customHeight="1">
      <c r="A3" s="993" t="str">
        <f>+'Attachment H-39A'!D5</f>
        <v>Valley Link Transmission West Virginia, LLC</v>
      </c>
      <c r="B3" s="993"/>
      <c r="C3" s="993"/>
      <c r="D3" s="993"/>
      <c r="E3" s="993"/>
      <c r="F3" s="993"/>
      <c r="G3" s="993"/>
      <c r="H3" s="993"/>
      <c r="I3" s="993"/>
      <c r="J3" s="993"/>
      <c r="K3" s="993"/>
    </row>
    <row r="4" spans="1:11">
      <c r="A4" s="878"/>
      <c r="B4" s="878"/>
      <c r="C4" s="878"/>
      <c r="D4" s="878"/>
      <c r="E4" s="878"/>
      <c r="F4" s="878"/>
      <c r="G4" s="878"/>
      <c r="H4" s="878"/>
      <c r="I4" s="878"/>
      <c r="J4" s="878"/>
      <c r="K4" s="878"/>
    </row>
    <row r="5" spans="1:11" ht="15" customHeight="1">
      <c r="A5" s="878"/>
      <c r="B5" s="878"/>
      <c r="C5" s="878"/>
      <c r="D5" s="878"/>
      <c r="E5" s="878"/>
      <c r="F5" s="878"/>
      <c r="G5" s="878"/>
      <c r="H5" s="878"/>
      <c r="I5" s="587"/>
      <c r="J5" s="587"/>
      <c r="K5" s="587"/>
    </row>
    <row r="6" spans="1:11" s="12" customFormat="1" ht="13.9" customHeight="1" thickBot="1">
      <c r="A6" s="465">
        <v>2024</v>
      </c>
      <c r="B6" s="344"/>
      <c r="C6" s="344"/>
      <c r="D6" s="440">
        <f>+A6</f>
        <v>2024</v>
      </c>
      <c r="E6" s="345"/>
      <c r="F6" s="345"/>
      <c r="G6" s="345"/>
      <c r="H6" s="345"/>
      <c r="I6" s="587"/>
      <c r="J6" s="587"/>
      <c r="K6" s="587"/>
    </row>
    <row r="7" spans="1:11" s="12" customFormat="1" ht="25.5">
      <c r="A7" s="346" t="s">
        <v>497</v>
      </c>
      <c r="B7" s="345"/>
      <c r="C7" s="345"/>
      <c r="D7" s="346" t="s">
        <v>496</v>
      </c>
      <c r="E7" s="345"/>
      <c r="F7" s="345"/>
      <c r="G7" s="346" t="s">
        <v>420</v>
      </c>
      <c r="I7" s="587"/>
      <c r="J7" s="587"/>
      <c r="K7" s="587"/>
    </row>
    <row r="8" spans="1:11" s="12" customFormat="1" ht="13.15" customHeight="1">
      <c r="A8" s="347"/>
      <c r="B8" s="345"/>
      <c r="C8" s="345"/>
      <c r="D8" s="347"/>
      <c r="E8" s="345"/>
      <c r="F8" s="345"/>
      <c r="G8" s="348"/>
      <c r="I8" s="587"/>
      <c r="J8" s="587"/>
      <c r="K8" s="587"/>
    </row>
    <row r="9" spans="1:11" s="12" customFormat="1" ht="13.9" customHeight="1" thickBot="1">
      <c r="A9" s="439">
        <f>'3-Project True-up'!G11</f>
        <v>0</v>
      </c>
      <c r="B9" s="350" t="s">
        <v>421</v>
      </c>
      <c r="C9" s="351"/>
      <c r="D9" s="349">
        <v>0</v>
      </c>
      <c r="E9" s="352"/>
      <c r="F9" s="350" t="s">
        <v>422</v>
      </c>
      <c r="G9" s="353">
        <f>IF(D9=0,0,A9-D9)</f>
        <v>0</v>
      </c>
      <c r="I9" s="587"/>
      <c r="J9" s="587"/>
      <c r="K9" s="587"/>
    </row>
    <row r="10" spans="1:11" s="12" customFormat="1" ht="13.15" customHeight="1">
      <c r="A10" s="352"/>
      <c r="B10" s="351"/>
      <c r="C10" s="351"/>
      <c r="D10" s="352"/>
      <c r="E10" s="352"/>
      <c r="F10" s="351"/>
      <c r="G10" s="352"/>
      <c r="H10" s="345"/>
      <c r="I10" s="587"/>
      <c r="J10" s="587"/>
      <c r="K10" s="587"/>
    </row>
    <row r="11" spans="1:11" s="12" customFormat="1" ht="12.75">
      <c r="A11" s="352" t="s">
        <v>847</v>
      </c>
      <c r="B11" s="351"/>
      <c r="C11" s="351"/>
      <c r="D11" s="352"/>
      <c r="E11" s="352"/>
      <c r="F11" s="351"/>
      <c r="G11" s="352"/>
      <c r="H11" s="345"/>
      <c r="I11" s="345"/>
      <c r="J11" s="345"/>
      <c r="K11" s="345"/>
    </row>
    <row r="12" spans="1:11" s="12" customFormat="1" ht="12.75">
      <c r="A12" s="352" t="s">
        <v>1023</v>
      </c>
      <c r="B12" s="351"/>
      <c r="C12" s="351"/>
      <c r="D12" s="352"/>
      <c r="E12" s="352"/>
      <c r="F12" s="351"/>
      <c r="G12" s="352"/>
      <c r="H12" s="345"/>
      <c r="I12" s="345"/>
      <c r="J12" s="345"/>
      <c r="K12" s="345"/>
    </row>
    <row r="13" spans="1:11" s="12" customFormat="1" ht="12.75">
      <c r="A13" s="352"/>
      <c r="B13" s="351"/>
      <c r="C13" s="351"/>
      <c r="D13" s="352"/>
      <c r="E13" s="352"/>
      <c r="F13" s="351"/>
      <c r="G13" s="352"/>
      <c r="H13" s="345"/>
      <c r="I13" s="345"/>
      <c r="J13" s="345"/>
      <c r="K13" s="345"/>
    </row>
    <row r="14" spans="1:11" s="12" customFormat="1" ht="13.5" thickBot="1">
      <c r="A14" s="354"/>
      <c r="B14" s="355"/>
      <c r="C14" s="355"/>
      <c r="D14" s="354"/>
      <c r="E14" s="354"/>
      <c r="F14" s="355"/>
      <c r="G14" s="354"/>
      <c r="H14" s="356"/>
      <c r="I14" s="356"/>
      <c r="J14" s="356"/>
      <c r="K14" s="356"/>
    </row>
    <row r="15" spans="1:11" s="12" customFormat="1" ht="8.25" customHeight="1">
      <c r="A15" s="357"/>
      <c r="B15" s="351"/>
      <c r="C15" s="351"/>
      <c r="D15" s="352"/>
      <c r="E15" s="352"/>
      <c r="F15" s="351"/>
      <c r="G15" s="352"/>
      <c r="H15" s="345"/>
      <c r="I15" s="345"/>
      <c r="J15" s="345"/>
      <c r="K15" s="345"/>
    </row>
    <row r="16" spans="1:11" s="12" customFormat="1" ht="53.25" customHeight="1">
      <c r="A16" s="358" t="s">
        <v>423</v>
      </c>
      <c r="B16" s="351"/>
      <c r="C16" s="351"/>
      <c r="D16" s="359" t="s">
        <v>424</v>
      </c>
      <c r="E16" s="352"/>
      <c r="F16" s="359" t="s">
        <v>479</v>
      </c>
      <c r="G16" s="350" t="s">
        <v>425</v>
      </c>
      <c r="H16" s="360" t="s">
        <v>426</v>
      </c>
      <c r="I16" s="359" t="s">
        <v>427</v>
      </c>
      <c r="J16" s="361"/>
      <c r="K16" s="359" t="s">
        <v>428</v>
      </c>
    </row>
    <row r="17" spans="1:11" s="12" customFormat="1" ht="12.75">
      <c r="A17" s="358"/>
      <c r="B17" s="351"/>
      <c r="C17" s="351"/>
      <c r="D17" s="345"/>
      <c r="E17" s="362"/>
      <c r="F17" s="363">
        <f>+'6a - True-up Interest Rate'!E33</f>
        <v>6.8237499999999974E-3</v>
      </c>
      <c r="G17" s="352"/>
      <c r="H17" s="345"/>
      <c r="I17" s="345"/>
      <c r="J17" s="345"/>
      <c r="K17" s="345"/>
    </row>
    <row r="18" spans="1:11" s="12" customFormat="1" ht="12.75">
      <c r="A18" s="358"/>
      <c r="B18" s="351"/>
      <c r="C18" s="351"/>
      <c r="D18" s="345"/>
      <c r="E18" s="362"/>
      <c r="F18" s="362"/>
      <c r="G18" s="352"/>
      <c r="H18" s="345"/>
      <c r="I18" s="345"/>
      <c r="J18" s="345"/>
      <c r="K18" s="345"/>
    </row>
    <row r="19" spans="1:11" s="12" customFormat="1" ht="12.75">
      <c r="A19" s="358" t="s">
        <v>429</v>
      </c>
      <c r="B19" s="351"/>
      <c r="C19" s="351"/>
      <c r="D19" s="345"/>
      <c r="E19" s="362"/>
      <c r="F19" s="362"/>
      <c r="G19" s="352"/>
      <c r="H19" s="345"/>
      <c r="I19" s="345"/>
      <c r="J19" s="345"/>
      <c r="K19" s="345"/>
    </row>
    <row r="20" spans="1:11" s="12" customFormat="1" ht="12.75">
      <c r="A20" s="364" t="s">
        <v>2</v>
      </c>
      <c r="B20" s="351"/>
      <c r="C20" s="351"/>
      <c r="D20" s="351"/>
      <c r="E20" s="351"/>
      <c r="F20" s="351" t="s">
        <v>2</v>
      </c>
      <c r="G20" s="345"/>
      <c r="H20" s="345"/>
      <c r="I20" s="345"/>
      <c r="J20" s="345"/>
      <c r="K20" s="345"/>
    </row>
    <row r="21" spans="1:11" s="12" customFormat="1" ht="12.75">
      <c r="A21" s="365"/>
      <c r="B21" s="351"/>
      <c r="C21" s="351"/>
      <c r="D21" s="351"/>
      <c r="E21" s="351"/>
      <c r="F21" s="345"/>
      <c r="G21" s="345"/>
      <c r="H21" s="350"/>
      <c r="I21" s="351"/>
      <c r="J21" s="351"/>
      <c r="K21" s="351"/>
    </row>
    <row r="22" spans="1:11" s="12" customFormat="1" ht="12.75">
      <c r="A22" s="365" t="s">
        <v>430</v>
      </c>
      <c r="B22" s="351"/>
      <c r="C22" s="351"/>
      <c r="D22" s="351"/>
      <c r="E22" s="351"/>
      <c r="F22" s="345"/>
      <c r="G22" s="345"/>
      <c r="H22" s="350" t="s">
        <v>431</v>
      </c>
      <c r="I22" s="351"/>
      <c r="J22" s="351"/>
      <c r="K22" s="351"/>
    </row>
    <row r="23" spans="1:11" s="12" customFormat="1" ht="12.75">
      <c r="A23" s="345" t="s">
        <v>80</v>
      </c>
      <c r="B23" s="366" t="str">
        <f>"Year "&amp;A6</f>
        <v>Year 2024</v>
      </c>
      <c r="C23" s="345"/>
      <c r="D23" s="445">
        <f>+G9/12</f>
        <v>0</v>
      </c>
      <c r="E23" s="367"/>
      <c r="F23" s="368">
        <f>+F17</f>
        <v>6.8237499999999974E-3</v>
      </c>
      <c r="G23" s="367">
        <v>12</v>
      </c>
      <c r="H23" s="445">
        <f>F23*D23*G23*-1</f>
        <v>0</v>
      </c>
      <c r="I23" s="445"/>
      <c r="J23" s="445"/>
      <c r="K23" s="445">
        <f>(-H23+D23)*-1</f>
        <v>0</v>
      </c>
    </row>
    <row r="24" spans="1:11" s="12" customFormat="1" ht="12.75">
      <c r="A24" s="345" t="s">
        <v>79</v>
      </c>
      <c r="B24" s="366" t="str">
        <f>+B23</f>
        <v>Year 2024</v>
      </c>
      <c r="C24" s="345"/>
      <c r="D24" s="445">
        <f>+D23</f>
        <v>0</v>
      </c>
      <c r="E24" s="367"/>
      <c r="F24" s="368">
        <f>+F23</f>
        <v>6.8237499999999974E-3</v>
      </c>
      <c r="G24" s="219">
        <f t="shared" ref="G24:G34" si="0">+G23-1</f>
        <v>11</v>
      </c>
      <c r="H24" s="445">
        <f t="shared" ref="H24:H34" si="1">F24*D24*G24*-1</f>
        <v>0</v>
      </c>
      <c r="I24" s="445"/>
      <c r="J24" s="445"/>
      <c r="K24" s="445">
        <f t="shared" ref="K24:K34" si="2">(-H24+D24)*-1</f>
        <v>0</v>
      </c>
    </row>
    <row r="25" spans="1:11" s="12" customFormat="1" ht="12.75">
      <c r="A25" s="345" t="s">
        <v>78</v>
      </c>
      <c r="B25" s="366" t="str">
        <f t="shared" ref="B25:B34" si="3">+B24</f>
        <v>Year 2024</v>
      </c>
      <c r="C25" s="345"/>
      <c r="D25" s="445">
        <f t="shared" ref="D25:D34" si="4">+D24</f>
        <v>0</v>
      </c>
      <c r="E25" s="367"/>
      <c r="F25" s="368">
        <f t="shared" ref="F25:F34" si="5">+F24</f>
        <v>6.8237499999999974E-3</v>
      </c>
      <c r="G25" s="219">
        <f t="shared" si="0"/>
        <v>10</v>
      </c>
      <c r="H25" s="445">
        <f t="shared" si="1"/>
        <v>0</v>
      </c>
      <c r="I25" s="445"/>
      <c r="J25" s="445"/>
      <c r="K25" s="445">
        <f t="shared" si="2"/>
        <v>0</v>
      </c>
    </row>
    <row r="26" spans="1:11" s="12" customFormat="1" ht="12.75">
      <c r="A26" s="345" t="s">
        <v>71</v>
      </c>
      <c r="B26" s="366" t="str">
        <f t="shared" si="3"/>
        <v>Year 2024</v>
      </c>
      <c r="C26" s="345"/>
      <c r="D26" s="445">
        <f t="shared" si="4"/>
        <v>0</v>
      </c>
      <c r="E26" s="367"/>
      <c r="F26" s="368">
        <f t="shared" si="5"/>
        <v>6.8237499999999974E-3</v>
      </c>
      <c r="G26" s="219">
        <f t="shared" si="0"/>
        <v>9</v>
      </c>
      <c r="H26" s="445">
        <f t="shared" si="1"/>
        <v>0</v>
      </c>
      <c r="I26" s="445"/>
      <c r="J26" s="445"/>
      <c r="K26" s="445">
        <f t="shared" si="2"/>
        <v>0</v>
      </c>
    </row>
    <row r="27" spans="1:11" s="12" customFormat="1" ht="12.75">
      <c r="A27" s="345" t="s">
        <v>70</v>
      </c>
      <c r="B27" s="366" t="str">
        <f t="shared" si="3"/>
        <v>Year 2024</v>
      </c>
      <c r="C27" s="345"/>
      <c r="D27" s="445">
        <f t="shared" si="4"/>
        <v>0</v>
      </c>
      <c r="E27" s="367"/>
      <c r="F27" s="368">
        <f t="shared" si="5"/>
        <v>6.8237499999999974E-3</v>
      </c>
      <c r="G27" s="219">
        <f t="shared" si="0"/>
        <v>8</v>
      </c>
      <c r="H27" s="445">
        <f t="shared" si="1"/>
        <v>0</v>
      </c>
      <c r="I27" s="445"/>
      <c r="J27" s="445"/>
      <c r="K27" s="445">
        <f t="shared" si="2"/>
        <v>0</v>
      </c>
    </row>
    <row r="28" spans="1:11" s="12" customFormat="1" ht="12.75">
      <c r="A28" s="345" t="s">
        <v>87</v>
      </c>
      <c r="B28" s="366" t="str">
        <f t="shared" si="3"/>
        <v>Year 2024</v>
      </c>
      <c r="C28" s="345"/>
      <c r="D28" s="445">
        <f t="shared" si="4"/>
        <v>0</v>
      </c>
      <c r="E28" s="367"/>
      <c r="F28" s="368">
        <f t="shared" si="5"/>
        <v>6.8237499999999974E-3</v>
      </c>
      <c r="G28" s="219">
        <f t="shared" si="0"/>
        <v>7</v>
      </c>
      <c r="H28" s="445">
        <f t="shared" si="1"/>
        <v>0</v>
      </c>
      <c r="I28" s="445"/>
      <c r="J28" s="445"/>
      <c r="K28" s="445">
        <f t="shared" si="2"/>
        <v>0</v>
      </c>
    </row>
    <row r="29" spans="1:11" s="12" customFormat="1" ht="12.75">
      <c r="A29" s="345" t="s">
        <v>77</v>
      </c>
      <c r="B29" s="366" t="str">
        <f t="shared" si="3"/>
        <v>Year 2024</v>
      </c>
      <c r="C29" s="345"/>
      <c r="D29" s="445">
        <f t="shared" si="4"/>
        <v>0</v>
      </c>
      <c r="E29" s="367"/>
      <c r="F29" s="368">
        <f t="shared" si="5"/>
        <v>6.8237499999999974E-3</v>
      </c>
      <c r="G29" s="219">
        <f t="shared" si="0"/>
        <v>6</v>
      </c>
      <c r="H29" s="445">
        <f t="shared" si="1"/>
        <v>0</v>
      </c>
      <c r="I29" s="445"/>
      <c r="J29" s="445"/>
      <c r="K29" s="445">
        <f t="shared" si="2"/>
        <v>0</v>
      </c>
    </row>
    <row r="30" spans="1:11" s="12" customFormat="1" ht="12.75">
      <c r="A30" s="345" t="s">
        <v>76</v>
      </c>
      <c r="B30" s="366" t="str">
        <f t="shared" si="3"/>
        <v>Year 2024</v>
      </c>
      <c r="C30" s="345"/>
      <c r="D30" s="445">
        <f t="shared" si="4"/>
        <v>0</v>
      </c>
      <c r="E30" s="367"/>
      <c r="F30" s="368">
        <f t="shared" si="5"/>
        <v>6.8237499999999974E-3</v>
      </c>
      <c r="G30" s="219">
        <f t="shared" si="0"/>
        <v>5</v>
      </c>
      <c r="H30" s="445">
        <f t="shared" si="1"/>
        <v>0</v>
      </c>
      <c r="I30" s="445"/>
      <c r="J30" s="445"/>
      <c r="K30" s="445">
        <f t="shared" si="2"/>
        <v>0</v>
      </c>
    </row>
    <row r="31" spans="1:11" s="12" customFormat="1" ht="12.75">
      <c r="A31" s="345" t="s">
        <v>75</v>
      </c>
      <c r="B31" s="366" t="str">
        <f t="shared" si="3"/>
        <v>Year 2024</v>
      </c>
      <c r="C31" s="345"/>
      <c r="D31" s="445">
        <f t="shared" si="4"/>
        <v>0</v>
      </c>
      <c r="E31" s="367"/>
      <c r="F31" s="368">
        <f t="shared" si="5"/>
        <v>6.8237499999999974E-3</v>
      </c>
      <c r="G31" s="219">
        <f t="shared" si="0"/>
        <v>4</v>
      </c>
      <c r="H31" s="445">
        <f t="shared" si="1"/>
        <v>0</v>
      </c>
      <c r="I31" s="445"/>
      <c r="J31" s="445"/>
      <c r="K31" s="445">
        <f t="shared" si="2"/>
        <v>0</v>
      </c>
    </row>
    <row r="32" spans="1:11" s="12" customFormat="1" ht="12.75">
      <c r="A32" s="345" t="s">
        <v>81</v>
      </c>
      <c r="B32" s="366" t="str">
        <f t="shared" si="3"/>
        <v>Year 2024</v>
      </c>
      <c r="C32" s="345"/>
      <c r="D32" s="445">
        <f t="shared" si="4"/>
        <v>0</v>
      </c>
      <c r="E32" s="367"/>
      <c r="F32" s="368">
        <f t="shared" si="5"/>
        <v>6.8237499999999974E-3</v>
      </c>
      <c r="G32" s="219">
        <f t="shared" si="0"/>
        <v>3</v>
      </c>
      <c r="H32" s="445">
        <f t="shared" si="1"/>
        <v>0</v>
      </c>
      <c r="I32" s="445"/>
      <c r="J32" s="445"/>
      <c r="K32" s="445">
        <f t="shared" si="2"/>
        <v>0</v>
      </c>
    </row>
    <row r="33" spans="1:13" s="12" customFormat="1" ht="12.75">
      <c r="A33" s="345" t="s">
        <v>74</v>
      </c>
      <c r="B33" s="366" t="str">
        <f t="shared" si="3"/>
        <v>Year 2024</v>
      </c>
      <c r="C33" s="345"/>
      <c r="D33" s="445">
        <f t="shared" si="4"/>
        <v>0</v>
      </c>
      <c r="E33" s="367"/>
      <c r="F33" s="368">
        <f t="shared" si="5"/>
        <v>6.8237499999999974E-3</v>
      </c>
      <c r="G33" s="219">
        <f t="shared" si="0"/>
        <v>2</v>
      </c>
      <c r="H33" s="445">
        <f t="shared" si="1"/>
        <v>0</v>
      </c>
      <c r="I33" s="445"/>
      <c r="J33" s="445"/>
      <c r="K33" s="445">
        <f t="shared" si="2"/>
        <v>0</v>
      </c>
    </row>
    <row r="34" spans="1:13" s="12" customFormat="1" ht="12.75">
      <c r="A34" s="345" t="s">
        <v>73</v>
      </c>
      <c r="B34" s="366" t="str">
        <f t="shared" si="3"/>
        <v>Year 2024</v>
      </c>
      <c r="C34" s="345"/>
      <c r="D34" s="445">
        <f t="shared" si="4"/>
        <v>0</v>
      </c>
      <c r="E34" s="367"/>
      <c r="F34" s="368">
        <f t="shared" si="5"/>
        <v>6.8237499999999974E-3</v>
      </c>
      <c r="G34" s="219">
        <f t="shared" si="0"/>
        <v>1</v>
      </c>
      <c r="H34" s="447">
        <f t="shared" si="1"/>
        <v>0</v>
      </c>
      <c r="I34" s="445"/>
      <c r="J34" s="445"/>
      <c r="K34" s="445">
        <f t="shared" si="2"/>
        <v>0</v>
      </c>
    </row>
    <row r="35" spans="1:13" s="12" customFormat="1" ht="12.75">
      <c r="A35" s="345"/>
      <c r="B35" s="345"/>
      <c r="C35" s="345"/>
      <c r="D35" s="445"/>
      <c r="E35" s="367"/>
      <c r="F35" s="368"/>
      <c r="G35" s="219"/>
      <c r="H35" s="445">
        <f>SUM(H23:H34)</f>
        <v>0</v>
      </c>
      <c r="I35" s="445"/>
      <c r="J35" s="445"/>
      <c r="K35" s="446">
        <f>SUM(K23:K34)</f>
        <v>0</v>
      </c>
    </row>
    <row r="36" spans="1:13" s="12" customFormat="1" ht="12.75">
      <c r="A36" s="345"/>
      <c r="B36" s="345"/>
      <c r="C36" s="345"/>
      <c r="D36" s="445"/>
      <c r="E36" s="367"/>
      <c r="F36" s="368"/>
      <c r="G36" s="367"/>
      <c r="H36" s="367"/>
      <c r="I36" s="367" t="s">
        <v>2</v>
      </c>
      <c r="J36" s="367"/>
    </row>
    <row r="37" spans="1:13" s="12" customFormat="1" ht="12.75">
      <c r="A37" s="345"/>
      <c r="B37" s="345"/>
      <c r="C37" s="345"/>
      <c r="D37" s="445"/>
      <c r="E37" s="352"/>
      <c r="F37" s="368"/>
      <c r="G37" s="367"/>
      <c r="H37" s="370" t="s">
        <v>432</v>
      </c>
      <c r="I37" s="367"/>
      <c r="J37" s="367"/>
      <c r="K37" s="367"/>
    </row>
    <row r="38" spans="1:13" s="12" customFormat="1" ht="12.75">
      <c r="A38" s="345" t="s">
        <v>501</v>
      </c>
      <c r="B38" s="366" t="str">
        <f>"Year "&amp;$A$6+1</f>
        <v>Year 2025</v>
      </c>
      <c r="C38" s="345"/>
      <c r="D38" s="445">
        <f>K35</f>
        <v>0</v>
      </c>
      <c r="E38" s="352"/>
      <c r="F38" s="368">
        <f>+F34</f>
        <v>6.8237499999999974E-3</v>
      </c>
      <c r="G38" s="367">
        <v>12</v>
      </c>
      <c r="H38" s="367">
        <f>+G38*F38*D38</f>
        <v>0</v>
      </c>
      <c r="I38" s="367"/>
      <c r="J38" s="367"/>
      <c r="K38" s="369">
        <f>+D38+H38</f>
        <v>0</v>
      </c>
    </row>
    <row r="39" spans="1:13" s="12" customFormat="1" ht="12.75">
      <c r="A39" s="345"/>
      <c r="B39" s="345"/>
      <c r="C39" s="345"/>
      <c r="D39" s="445"/>
      <c r="E39" s="352"/>
      <c r="F39" s="368"/>
      <c r="G39" s="345"/>
      <c r="H39" s="367"/>
      <c r="I39" s="367"/>
      <c r="J39" s="367"/>
      <c r="K39" s="367"/>
    </row>
    <row r="40" spans="1:13" s="12" customFormat="1" ht="12.75">
      <c r="A40" s="371" t="s">
        <v>433</v>
      </c>
      <c r="B40" s="345"/>
      <c r="C40" s="345"/>
      <c r="D40" s="445"/>
      <c r="E40" s="367"/>
      <c r="F40" s="368"/>
      <c r="G40" s="345"/>
      <c r="H40" s="370" t="s">
        <v>431</v>
      </c>
      <c r="I40" s="367"/>
      <c r="J40" s="367"/>
      <c r="K40" s="367"/>
    </row>
    <row r="41" spans="1:13" s="12" customFormat="1" ht="12.75">
      <c r="A41" s="345" t="s">
        <v>80</v>
      </c>
      <c r="B41" s="366" t="str">
        <f>"Year "&amp;$A$6+2</f>
        <v>Year 2026</v>
      </c>
      <c r="C41" s="345"/>
      <c r="D41" s="446">
        <f>-K38</f>
        <v>0</v>
      </c>
      <c r="E41" s="352"/>
      <c r="F41" s="368">
        <f>+F34</f>
        <v>6.8237499999999974E-3</v>
      </c>
      <c r="G41" s="345"/>
      <c r="H41" s="445">
        <f xml:space="preserve"> -F41*D41</f>
        <v>0</v>
      </c>
      <c r="I41" s="445">
        <f>PMT(F41,12,K$38)</f>
        <v>0</v>
      </c>
      <c r="J41" s="445"/>
      <c r="K41" s="445">
        <f>(+D41+D41*F41-I41)*-1</f>
        <v>0</v>
      </c>
      <c r="L41" s="352"/>
      <c r="M41" s="372"/>
    </row>
    <row r="42" spans="1:13" s="12" customFormat="1" ht="12.75">
      <c r="A42" s="345" t="s">
        <v>79</v>
      </c>
      <c r="B42" s="366" t="str">
        <f>+B41</f>
        <v>Year 2026</v>
      </c>
      <c r="C42" s="345"/>
      <c r="D42" s="445">
        <f>-K41</f>
        <v>0</v>
      </c>
      <c r="E42" s="352"/>
      <c r="F42" s="368">
        <f>+F41</f>
        <v>6.8237499999999974E-3</v>
      </c>
      <c r="G42" s="345"/>
      <c r="H42" s="445">
        <f t="shared" ref="H42:H52" si="6" xml:space="preserve"> -F42*D42</f>
        <v>0</v>
      </c>
      <c r="I42" s="445">
        <f>I41</f>
        <v>0</v>
      </c>
      <c r="J42" s="445"/>
      <c r="K42" s="445">
        <f t="shared" ref="K42:K52" si="7">(+D42+D42*F42-I42)*-1</f>
        <v>0</v>
      </c>
      <c r="L42" s="352"/>
      <c r="M42" s="372"/>
    </row>
    <row r="43" spans="1:13" s="12" customFormat="1" ht="12.75">
      <c r="A43" s="345" t="s">
        <v>78</v>
      </c>
      <c r="B43" s="366" t="str">
        <f>+B42</f>
        <v>Year 2026</v>
      </c>
      <c r="C43" s="345"/>
      <c r="D43" s="445">
        <f t="shared" ref="D43:D52" si="8">-K42</f>
        <v>0</v>
      </c>
      <c r="E43" s="352"/>
      <c r="F43" s="368">
        <f t="shared" ref="F43:F52" si="9">+F42</f>
        <v>6.8237499999999974E-3</v>
      </c>
      <c r="G43" s="345"/>
      <c r="H43" s="445">
        <f t="shared" si="6"/>
        <v>0</v>
      </c>
      <c r="I43" s="445">
        <f t="shared" ref="I43:I52" si="10">I42</f>
        <v>0</v>
      </c>
      <c r="J43" s="445"/>
      <c r="K43" s="445">
        <f t="shared" si="7"/>
        <v>0</v>
      </c>
      <c r="L43" s="352"/>
      <c r="M43" s="372"/>
    </row>
    <row r="44" spans="1:13" s="12" customFormat="1" ht="12.75">
      <c r="A44" s="345" t="s">
        <v>71</v>
      </c>
      <c r="B44" s="366" t="str">
        <f>+B43</f>
        <v>Year 2026</v>
      </c>
      <c r="C44" s="345"/>
      <c r="D44" s="445">
        <f t="shared" si="8"/>
        <v>0</v>
      </c>
      <c r="E44" s="352"/>
      <c r="F44" s="368">
        <f t="shared" si="9"/>
        <v>6.8237499999999974E-3</v>
      </c>
      <c r="G44" s="345"/>
      <c r="H44" s="445">
        <f t="shared" si="6"/>
        <v>0</v>
      </c>
      <c r="I44" s="445">
        <f t="shared" si="10"/>
        <v>0</v>
      </c>
      <c r="J44" s="445"/>
      <c r="K44" s="445">
        <f t="shared" si="7"/>
        <v>0</v>
      </c>
      <c r="L44" s="352"/>
      <c r="M44" s="372"/>
    </row>
    <row r="45" spans="1:13" s="12" customFormat="1" ht="12.75">
      <c r="A45" s="345" t="s">
        <v>70</v>
      </c>
      <c r="B45" s="366" t="str">
        <f>+B44</f>
        <v>Year 2026</v>
      </c>
      <c r="C45" s="345"/>
      <c r="D45" s="445">
        <f t="shared" si="8"/>
        <v>0</v>
      </c>
      <c r="E45" s="352"/>
      <c r="F45" s="368">
        <f t="shared" si="9"/>
        <v>6.8237499999999974E-3</v>
      </c>
      <c r="G45" s="345"/>
      <c r="H45" s="445">
        <f t="shared" si="6"/>
        <v>0</v>
      </c>
      <c r="I45" s="445">
        <f t="shared" si="10"/>
        <v>0</v>
      </c>
      <c r="J45" s="445"/>
      <c r="K45" s="445">
        <f t="shared" si="7"/>
        <v>0</v>
      </c>
      <c r="L45" s="352"/>
      <c r="M45" s="372"/>
    </row>
    <row r="46" spans="1:13" s="12" customFormat="1" ht="12.75">
      <c r="A46" s="345" t="s">
        <v>87</v>
      </c>
      <c r="B46" s="366" t="str">
        <f>B45</f>
        <v>Year 2026</v>
      </c>
      <c r="C46" s="345"/>
      <c r="D46" s="445">
        <f t="shared" si="8"/>
        <v>0</v>
      </c>
      <c r="E46" s="352"/>
      <c r="F46" s="368">
        <f t="shared" si="9"/>
        <v>6.8237499999999974E-3</v>
      </c>
      <c r="G46" s="345"/>
      <c r="H46" s="445">
        <f t="shared" si="6"/>
        <v>0</v>
      </c>
      <c r="I46" s="445">
        <f t="shared" si="10"/>
        <v>0</v>
      </c>
      <c r="J46" s="445"/>
      <c r="K46" s="445">
        <f t="shared" si="7"/>
        <v>0</v>
      </c>
      <c r="L46" s="352"/>
      <c r="M46" s="372"/>
    </row>
    <row r="47" spans="1:13" s="12" customFormat="1" ht="12.75">
      <c r="A47" s="345" t="s">
        <v>77</v>
      </c>
      <c r="B47" s="366" t="str">
        <f t="shared" ref="B47:B52" si="11">+B46</f>
        <v>Year 2026</v>
      </c>
      <c r="C47" s="345"/>
      <c r="D47" s="445">
        <f t="shared" si="8"/>
        <v>0</v>
      </c>
      <c r="E47" s="352"/>
      <c r="F47" s="368">
        <f t="shared" si="9"/>
        <v>6.8237499999999974E-3</v>
      </c>
      <c r="G47" s="345"/>
      <c r="H47" s="445">
        <f t="shared" si="6"/>
        <v>0</v>
      </c>
      <c r="I47" s="445">
        <f t="shared" si="10"/>
        <v>0</v>
      </c>
      <c r="J47" s="445"/>
      <c r="K47" s="445">
        <f t="shared" si="7"/>
        <v>0</v>
      </c>
      <c r="L47" s="352"/>
      <c r="M47" s="372"/>
    </row>
    <row r="48" spans="1:13" s="12" customFormat="1" ht="12.75">
      <c r="A48" s="345" t="s">
        <v>76</v>
      </c>
      <c r="B48" s="366" t="str">
        <f t="shared" si="11"/>
        <v>Year 2026</v>
      </c>
      <c r="C48" s="345"/>
      <c r="D48" s="445">
        <f t="shared" si="8"/>
        <v>0</v>
      </c>
      <c r="E48" s="352"/>
      <c r="F48" s="368">
        <f t="shared" si="9"/>
        <v>6.8237499999999974E-3</v>
      </c>
      <c r="G48" s="345"/>
      <c r="H48" s="445">
        <f t="shared" si="6"/>
        <v>0</v>
      </c>
      <c r="I48" s="445">
        <f t="shared" si="10"/>
        <v>0</v>
      </c>
      <c r="J48" s="445"/>
      <c r="K48" s="445">
        <f t="shared" si="7"/>
        <v>0</v>
      </c>
      <c r="L48" s="352"/>
      <c r="M48" s="372"/>
    </row>
    <row r="49" spans="1:13" s="12" customFormat="1" ht="12.75">
      <c r="A49" s="345" t="s">
        <v>75</v>
      </c>
      <c r="B49" s="366" t="str">
        <f t="shared" si="11"/>
        <v>Year 2026</v>
      </c>
      <c r="C49" s="345"/>
      <c r="D49" s="445">
        <f t="shared" si="8"/>
        <v>0</v>
      </c>
      <c r="E49" s="352"/>
      <c r="F49" s="368">
        <f t="shared" si="9"/>
        <v>6.8237499999999974E-3</v>
      </c>
      <c r="G49" s="345"/>
      <c r="H49" s="445">
        <f t="shared" si="6"/>
        <v>0</v>
      </c>
      <c r="I49" s="445">
        <f t="shared" si="10"/>
        <v>0</v>
      </c>
      <c r="J49" s="445"/>
      <c r="K49" s="445">
        <f t="shared" si="7"/>
        <v>0</v>
      </c>
      <c r="L49" s="352"/>
      <c r="M49" s="372"/>
    </row>
    <row r="50" spans="1:13" s="12" customFormat="1" ht="12.75">
      <c r="A50" s="345" t="s">
        <v>81</v>
      </c>
      <c r="B50" s="366" t="str">
        <f t="shared" si="11"/>
        <v>Year 2026</v>
      </c>
      <c r="C50" s="345"/>
      <c r="D50" s="445">
        <f t="shared" si="8"/>
        <v>0</v>
      </c>
      <c r="E50" s="352"/>
      <c r="F50" s="368">
        <f t="shared" si="9"/>
        <v>6.8237499999999974E-3</v>
      </c>
      <c r="G50" s="345"/>
      <c r="H50" s="445">
        <f t="shared" si="6"/>
        <v>0</v>
      </c>
      <c r="I50" s="445">
        <f t="shared" si="10"/>
        <v>0</v>
      </c>
      <c r="J50" s="445"/>
      <c r="K50" s="445">
        <f t="shared" si="7"/>
        <v>0</v>
      </c>
      <c r="L50" s="352"/>
      <c r="M50" s="372"/>
    </row>
    <row r="51" spans="1:13" s="12" customFormat="1" ht="12.75">
      <c r="A51" s="345" t="s">
        <v>74</v>
      </c>
      <c r="B51" s="366" t="str">
        <f t="shared" si="11"/>
        <v>Year 2026</v>
      </c>
      <c r="C51" s="345"/>
      <c r="D51" s="445">
        <f t="shared" si="8"/>
        <v>0</v>
      </c>
      <c r="E51" s="352"/>
      <c r="F51" s="368">
        <f t="shared" si="9"/>
        <v>6.8237499999999974E-3</v>
      </c>
      <c r="G51" s="345"/>
      <c r="H51" s="445">
        <f t="shared" si="6"/>
        <v>0</v>
      </c>
      <c r="I51" s="445">
        <f t="shared" si="10"/>
        <v>0</v>
      </c>
      <c r="J51" s="445"/>
      <c r="K51" s="445">
        <f t="shared" si="7"/>
        <v>0</v>
      </c>
      <c r="L51" s="352"/>
      <c r="M51" s="372"/>
    </row>
    <row r="52" spans="1:13" s="12" customFormat="1" ht="12.75">
      <c r="A52" s="345" t="s">
        <v>73</v>
      </c>
      <c r="B52" s="366" t="str">
        <f t="shared" si="11"/>
        <v>Year 2026</v>
      </c>
      <c r="C52" s="345"/>
      <c r="D52" s="445">
        <f t="shared" si="8"/>
        <v>0</v>
      </c>
      <c r="E52" s="352"/>
      <c r="F52" s="368">
        <f t="shared" si="9"/>
        <v>6.8237499999999974E-3</v>
      </c>
      <c r="G52" s="345"/>
      <c r="H52" s="447">
        <f t="shared" si="6"/>
        <v>0</v>
      </c>
      <c r="I52" s="445">
        <f t="shared" si="10"/>
        <v>0</v>
      </c>
      <c r="J52" s="445"/>
      <c r="K52" s="445">
        <f t="shared" si="7"/>
        <v>0</v>
      </c>
      <c r="L52" s="352"/>
      <c r="M52" s="372"/>
    </row>
    <row r="53" spans="1:13" s="12" customFormat="1" ht="12.75">
      <c r="A53" s="345"/>
      <c r="B53" s="345"/>
      <c r="C53" s="345"/>
      <c r="D53" s="352"/>
      <c r="E53" s="352"/>
      <c r="F53" s="373"/>
      <c r="G53" s="345"/>
      <c r="H53" s="445">
        <f>SUM(H41:H52)</f>
        <v>0</v>
      </c>
      <c r="I53" s="445"/>
      <c r="J53" s="445"/>
      <c r="K53" s="445"/>
      <c r="L53" s="352"/>
      <c r="M53" s="372"/>
    </row>
    <row r="54" spans="1:13" s="12" customFormat="1" ht="12.75"/>
    <row r="55" spans="1:13" s="12" customFormat="1" ht="12.75">
      <c r="A55" s="345" t="s">
        <v>434</v>
      </c>
      <c r="I55" s="374">
        <f>SUM(I41:I52)*-1</f>
        <v>0</v>
      </c>
    </row>
    <row r="56" spans="1:13" s="12" customFormat="1" ht="12.75">
      <c r="A56" s="345" t="s">
        <v>435</v>
      </c>
      <c r="I56" s="374">
        <f>+G9</f>
        <v>0</v>
      </c>
    </row>
    <row r="57" spans="1:13" s="12" customFormat="1" ht="12.75">
      <c r="A57" s="345" t="s">
        <v>436</v>
      </c>
      <c r="I57" s="374">
        <f>(I55+I56)</f>
        <v>0</v>
      </c>
    </row>
    <row r="59" spans="1:13" ht="16.5">
      <c r="A59" s="341"/>
      <c r="F59" s="879"/>
      <c r="I59" s="342"/>
    </row>
    <row r="60" spans="1:13" ht="15.75">
      <c r="A60" s="340"/>
    </row>
    <row r="61" spans="1:13" ht="15.75">
      <c r="A61" s="343"/>
      <c r="F61" s="879"/>
      <c r="I61" s="880"/>
    </row>
    <row r="62" spans="1:13">
      <c r="D62" s="881"/>
      <c r="F62" s="879"/>
      <c r="I62" s="880"/>
    </row>
    <row r="63" spans="1:13">
      <c r="I63" s="881"/>
    </row>
  </sheetData>
  <mergeCells count="3">
    <mergeCell ref="A1:K1"/>
    <mergeCell ref="A2:K2"/>
    <mergeCell ref="A3:K3"/>
  </mergeCells>
  <pageMargins left="0.75" right="0.75" top="1" bottom="1" header="0.5" footer="0.5"/>
  <pageSetup scale="5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35"/>
  <sheetViews>
    <sheetView showGridLines="0" zoomScale="75" zoomScaleNormal="75" zoomScaleSheetLayoutView="100" workbookViewId="0">
      <selection activeCell="N38" sqref="N38"/>
    </sheetView>
  </sheetViews>
  <sheetFormatPr defaultColWidth="8.88671875" defaultRowHeight="12.75"/>
  <cols>
    <col min="1" max="1" width="8.6640625" style="20" customWidth="1"/>
    <col min="2" max="2" width="9.109375" style="20" bestFit="1" customWidth="1"/>
    <col min="3" max="3" width="8.88671875" style="20"/>
    <col min="4" max="4" width="16.21875" style="20" customWidth="1"/>
    <col min="5" max="5" width="8.88671875" style="20"/>
    <col min="6" max="6" width="9.21875" style="20" bestFit="1" customWidth="1"/>
    <col min="7" max="7" width="14.21875" style="20" bestFit="1" customWidth="1"/>
    <col min="8" max="8" width="9.88671875" style="20" customWidth="1"/>
    <col min="9" max="9" width="20.44140625" style="20" bestFit="1" customWidth="1"/>
    <col min="10" max="16384" width="8.88671875" style="20"/>
  </cols>
  <sheetData>
    <row r="1" spans="1:10">
      <c r="D1" s="41" t="s">
        <v>438</v>
      </c>
    </row>
    <row r="2" spans="1:10">
      <c r="D2" s="41" t="s">
        <v>304</v>
      </c>
    </row>
    <row r="3" spans="1:10">
      <c r="D3" s="41" t="str">
        <f>+'Attachment H-39A'!D5</f>
        <v>Valley Link Transmission West Virginia, LLC</v>
      </c>
    </row>
    <row r="4" spans="1:10">
      <c r="A4" s="411"/>
    </row>
    <row r="6" spans="1:10" ht="32.25" customHeight="1">
      <c r="A6" s="1026" t="s">
        <v>324</v>
      </c>
      <c r="B6" s="1026"/>
      <c r="C6" s="1026"/>
      <c r="D6" s="1026"/>
      <c r="E6" s="1026"/>
      <c r="F6" s="1026"/>
      <c r="G6" s="1026"/>
    </row>
    <row r="7" spans="1:10">
      <c r="A7" s="412"/>
      <c r="G7" s="413"/>
    </row>
    <row r="8" spans="1:10">
      <c r="A8" s="412"/>
      <c r="G8" s="413"/>
    </row>
    <row r="9" spans="1:10" ht="13.15" customHeight="1">
      <c r="G9" s="414"/>
      <c r="H9" s="587"/>
      <c r="I9" s="587"/>
      <c r="J9" s="587"/>
    </row>
    <row r="10" spans="1:10" ht="13.15" customHeight="1">
      <c r="A10" s="415"/>
      <c r="B10" s="412" t="s">
        <v>323</v>
      </c>
      <c r="H10" s="587"/>
      <c r="I10" s="587"/>
      <c r="J10" s="587"/>
    </row>
    <row r="11" spans="1:10" ht="13.15" customHeight="1">
      <c r="A11" s="420">
        <v>1</v>
      </c>
      <c r="C11" s="412" t="s">
        <v>305</v>
      </c>
      <c r="D11" s="12"/>
      <c r="E11" s="416">
        <v>8.5000000000000006E-2</v>
      </c>
      <c r="F11" s="22"/>
      <c r="G11" s="22"/>
      <c r="H11" s="587"/>
      <c r="I11" s="587"/>
      <c r="J11" s="587"/>
    </row>
    <row r="12" spans="1:10" ht="13.15" customHeight="1">
      <c r="A12" s="420">
        <v>2</v>
      </c>
      <c r="C12" s="412" t="s">
        <v>306</v>
      </c>
      <c r="D12" s="12"/>
      <c r="E12" s="416">
        <v>8.5000000000000006E-2</v>
      </c>
      <c r="F12" s="22"/>
      <c r="G12" s="22"/>
      <c r="H12" s="587"/>
      <c r="I12" s="587"/>
      <c r="J12" s="587"/>
    </row>
    <row r="13" spans="1:10" ht="13.15" customHeight="1">
      <c r="A13" s="420">
        <v>3</v>
      </c>
      <c r="C13" s="412" t="s">
        <v>307</v>
      </c>
      <c r="D13" s="12"/>
      <c r="E13" s="416">
        <v>8.5000000000000006E-2</v>
      </c>
      <c r="F13" s="22"/>
      <c r="G13" s="22"/>
      <c r="H13" s="587"/>
      <c r="I13" s="587"/>
      <c r="J13" s="587"/>
    </row>
    <row r="14" spans="1:10" ht="13.15" customHeight="1">
      <c r="A14" s="420">
        <v>4</v>
      </c>
      <c r="C14" s="412" t="s">
        <v>308</v>
      </c>
      <c r="D14" s="12"/>
      <c r="E14" s="416">
        <v>8.5000000000000006E-2</v>
      </c>
      <c r="F14" s="22"/>
      <c r="G14" s="22"/>
      <c r="H14" s="587"/>
      <c r="I14" s="587"/>
      <c r="J14" s="587"/>
    </row>
    <row r="15" spans="1:10">
      <c r="A15" s="420">
        <v>5</v>
      </c>
      <c r="C15" s="412" t="s">
        <v>309</v>
      </c>
      <c r="D15" s="12"/>
      <c r="E15" s="416">
        <v>8.5000000000000006E-2</v>
      </c>
      <c r="F15" s="22"/>
      <c r="G15" s="22"/>
      <c r="H15" s="22"/>
    </row>
    <row r="16" spans="1:10">
      <c r="A16" s="420">
        <v>6</v>
      </c>
      <c r="C16" s="412" t="s">
        <v>310</v>
      </c>
      <c r="D16" s="12"/>
      <c r="E16" s="416">
        <v>8.5000000000000006E-2</v>
      </c>
      <c r="F16" s="22"/>
      <c r="G16" s="22"/>
      <c r="H16" s="22"/>
    </row>
    <row r="17" spans="1:8">
      <c r="A17" s="420">
        <v>7</v>
      </c>
      <c r="C17" s="412" t="s">
        <v>311</v>
      </c>
      <c r="D17" s="12"/>
      <c r="E17" s="416">
        <v>8.5000000000000006E-2</v>
      </c>
      <c r="F17" s="22"/>
      <c r="G17" s="22"/>
      <c r="H17" s="22"/>
    </row>
    <row r="18" spans="1:8">
      <c r="A18" s="420">
        <v>8</v>
      </c>
      <c r="C18" s="412" t="s">
        <v>312</v>
      </c>
      <c r="D18" s="12"/>
      <c r="E18" s="416">
        <v>8.5000000000000006E-2</v>
      </c>
      <c r="F18" s="22"/>
      <c r="G18" s="22"/>
      <c r="H18" s="22"/>
    </row>
    <row r="19" spans="1:8">
      <c r="A19" s="420">
        <v>9</v>
      </c>
      <c r="C19" s="412" t="s">
        <v>313</v>
      </c>
      <c r="D19" s="12"/>
      <c r="E19" s="416">
        <v>8.5000000000000006E-2</v>
      </c>
      <c r="F19" s="22"/>
      <c r="G19" s="22"/>
      <c r="H19" s="22"/>
    </row>
    <row r="20" spans="1:8">
      <c r="A20" s="420">
        <v>10</v>
      </c>
      <c r="C20" s="412" t="s">
        <v>314</v>
      </c>
      <c r="D20" s="12"/>
      <c r="E20" s="416">
        <v>8.5000000000000006E-2</v>
      </c>
      <c r="F20" s="22"/>
      <c r="G20" s="22"/>
      <c r="H20" s="22"/>
    </row>
    <row r="21" spans="1:8">
      <c r="A21" s="420">
        <v>11</v>
      </c>
      <c r="C21" s="412" t="s">
        <v>315</v>
      </c>
      <c r="D21" s="12"/>
      <c r="E21" s="416">
        <v>8.5000000000000006E-2</v>
      </c>
      <c r="F21" s="22"/>
      <c r="G21" s="22"/>
      <c r="H21" s="22"/>
    </row>
    <row r="22" spans="1:8">
      <c r="A22" s="420">
        <v>12</v>
      </c>
      <c r="C22" s="412" t="s">
        <v>316</v>
      </c>
      <c r="D22" s="12"/>
      <c r="E22" s="416">
        <v>8.5000000000000006E-2</v>
      </c>
      <c r="F22" s="22"/>
      <c r="G22" s="22"/>
      <c r="H22" s="22"/>
    </row>
    <row r="23" spans="1:8">
      <c r="A23" s="420">
        <f>+A22+1</f>
        <v>13</v>
      </c>
      <c r="C23" s="412" t="s">
        <v>392</v>
      </c>
      <c r="D23" s="12"/>
      <c r="E23" s="416">
        <v>8.0399999999999999E-2</v>
      </c>
      <c r="F23" s="22"/>
      <c r="G23" s="22"/>
      <c r="H23" s="22"/>
    </row>
    <row r="24" spans="1:8">
      <c r="A24" s="420">
        <f t="shared" ref="A24:A30" si="0">+A23+1</f>
        <v>14</v>
      </c>
      <c r="C24" s="412" t="s">
        <v>393</v>
      </c>
      <c r="D24" s="12"/>
      <c r="E24" s="416">
        <v>8.0399999999999999E-2</v>
      </c>
      <c r="F24" s="22"/>
      <c r="G24" s="22"/>
      <c r="H24" s="22"/>
    </row>
    <row r="25" spans="1:8">
      <c r="A25" s="420">
        <f t="shared" si="0"/>
        <v>15</v>
      </c>
      <c r="C25" s="412" t="s">
        <v>394</v>
      </c>
      <c r="D25" s="12"/>
      <c r="E25" s="416">
        <v>8.0399999999999999E-2</v>
      </c>
      <c r="F25" s="22"/>
      <c r="G25" s="22"/>
      <c r="H25" s="22"/>
    </row>
    <row r="26" spans="1:8">
      <c r="A26" s="420">
        <f t="shared" si="0"/>
        <v>16</v>
      </c>
      <c r="C26" s="412" t="s">
        <v>395</v>
      </c>
      <c r="D26" s="12"/>
      <c r="E26" s="416">
        <v>7.5499999999999998E-2</v>
      </c>
      <c r="F26" s="22"/>
      <c r="G26" s="22"/>
      <c r="H26" s="22"/>
    </row>
    <row r="27" spans="1:8">
      <c r="A27" s="420">
        <f t="shared" si="0"/>
        <v>17</v>
      </c>
      <c r="C27" s="412" t="s">
        <v>396</v>
      </c>
      <c r="D27" s="12"/>
      <c r="E27" s="416">
        <v>7.5499999999999998E-2</v>
      </c>
      <c r="F27" s="22"/>
      <c r="G27" s="22"/>
      <c r="H27" s="22"/>
    </row>
    <row r="28" spans="1:8">
      <c r="A28" s="420">
        <f t="shared" si="0"/>
        <v>18</v>
      </c>
      <c r="C28" s="412" t="s">
        <v>521</v>
      </c>
      <c r="D28" s="12"/>
      <c r="E28" s="416">
        <v>7.5499999999999998E-2</v>
      </c>
      <c r="F28" s="22"/>
      <c r="G28" s="22"/>
      <c r="H28" s="22"/>
    </row>
    <row r="29" spans="1:8">
      <c r="A29" s="420">
        <f t="shared" si="0"/>
        <v>19</v>
      </c>
      <c r="C29" s="412" t="s">
        <v>522</v>
      </c>
      <c r="D29" s="12"/>
      <c r="E29" s="416">
        <v>7.4999999999999997E-2</v>
      </c>
      <c r="F29" s="22"/>
      <c r="G29" s="22"/>
      <c r="H29" s="22"/>
    </row>
    <row r="30" spans="1:8">
      <c r="A30" s="420">
        <f t="shared" si="0"/>
        <v>20</v>
      </c>
      <c r="C30" s="412" t="s">
        <v>523</v>
      </c>
      <c r="D30" s="12"/>
      <c r="E30" s="416">
        <v>7.4999999999999997E-2</v>
      </c>
      <c r="F30" s="22"/>
      <c r="G30" s="22"/>
      <c r="H30" s="22"/>
    </row>
    <row r="31" spans="1:8">
      <c r="A31" s="420"/>
      <c r="C31" s="412"/>
      <c r="D31" s="417"/>
      <c r="E31" s="417"/>
      <c r="F31" s="22"/>
      <c r="G31" s="22"/>
      <c r="H31" s="12"/>
    </row>
    <row r="32" spans="1:8">
      <c r="A32" s="420">
        <f>+A30+1</f>
        <v>21</v>
      </c>
      <c r="B32" s="146" t="s">
        <v>391</v>
      </c>
      <c r="D32" s="417"/>
      <c r="E32" s="418">
        <f>+AVERAGE(E11:E30)</f>
        <v>8.1884999999999972E-2</v>
      </c>
      <c r="F32" s="22"/>
      <c r="G32" s="22"/>
      <c r="H32" s="12"/>
    </row>
    <row r="33" spans="1:8">
      <c r="A33" s="420">
        <f>+A32+1</f>
        <v>22</v>
      </c>
      <c r="B33" s="20" t="s">
        <v>326</v>
      </c>
      <c r="E33" s="147">
        <f>+E32/12</f>
        <v>6.8237499999999974E-3</v>
      </c>
    </row>
    <row r="34" spans="1:8">
      <c r="E34" s="419"/>
    </row>
    <row r="35" spans="1:8" ht="36" customHeight="1">
      <c r="A35" s="1027" t="s">
        <v>524</v>
      </c>
      <c r="B35" s="1027"/>
      <c r="C35" s="1027"/>
      <c r="D35" s="1027"/>
      <c r="E35" s="1027"/>
      <c r="F35" s="1027"/>
      <c r="G35" s="1027"/>
      <c r="H35" s="206"/>
    </row>
  </sheetData>
  <mergeCells count="2">
    <mergeCell ref="A6:G6"/>
    <mergeCell ref="A35:G35"/>
  </mergeCells>
  <phoneticPr fontId="0" type="noConversion"/>
  <printOptions horizontalCentered="1"/>
  <pageMargins left="1" right="1" top="1" bottom="1" header="0.5" footer="0.5"/>
  <pageSetup scale="97"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autoPageBreaks="0" fitToPage="1"/>
  </sheetPr>
  <dimension ref="A1:M409"/>
  <sheetViews>
    <sheetView showOutlineSymbols="0" zoomScale="75" zoomScaleNormal="75" zoomScaleSheetLayoutView="80" workbookViewId="0">
      <pane ySplit="6" topLeftCell="A7" activePane="bottomLeft" state="frozen"/>
      <selection activeCell="N36" sqref="N36"/>
      <selection pane="bottomLeft" activeCell="F37" sqref="A1:H37"/>
    </sheetView>
  </sheetViews>
  <sheetFormatPr defaultColWidth="9.6640625" defaultRowHeight="12.75"/>
  <cols>
    <col min="1" max="1" width="11.6640625" style="882" customWidth="1"/>
    <col min="2" max="2" width="37.77734375" style="882" customWidth="1"/>
    <col min="3" max="7" width="12.109375" style="882" customWidth="1"/>
    <col min="8" max="8" width="13.44140625" style="882" customWidth="1"/>
    <col min="9" max="9" width="12.6640625" style="882" customWidth="1"/>
    <col min="10" max="10" width="13.6640625" style="882" customWidth="1"/>
    <col min="11" max="256" width="9.6640625" style="882"/>
    <col min="257" max="257" width="7.6640625" style="882" customWidth="1"/>
    <col min="258" max="258" width="32.88671875" style="882" customWidth="1"/>
    <col min="259" max="259" width="9.21875" style="882" customWidth="1"/>
    <col min="260" max="260" width="6.5546875" style="882" customWidth="1"/>
    <col min="261" max="261" width="7.88671875" style="882" customWidth="1"/>
    <col min="262" max="262" width="8.109375" style="882" customWidth="1"/>
    <col min="263" max="263" width="9" style="882" customWidth="1"/>
    <col min="264" max="264" width="11.5546875" style="882" customWidth="1"/>
    <col min="265" max="265" width="12.6640625" style="882" customWidth="1"/>
    <col min="266" max="266" width="13.6640625" style="882" customWidth="1"/>
    <col min="267" max="512" width="9.6640625" style="882"/>
    <col min="513" max="513" width="7.6640625" style="882" customWidth="1"/>
    <col min="514" max="514" width="32.88671875" style="882" customWidth="1"/>
    <col min="515" max="515" width="9.21875" style="882" customWidth="1"/>
    <col min="516" max="516" width="6.5546875" style="882" customWidth="1"/>
    <col min="517" max="517" width="7.88671875" style="882" customWidth="1"/>
    <col min="518" max="518" width="8.109375" style="882" customWidth="1"/>
    <col min="519" max="519" width="9" style="882" customWidth="1"/>
    <col min="520" max="520" width="11.5546875" style="882" customWidth="1"/>
    <col min="521" max="521" width="12.6640625" style="882" customWidth="1"/>
    <col min="522" max="522" width="13.6640625" style="882" customWidth="1"/>
    <col min="523" max="768" width="9.6640625" style="882"/>
    <col min="769" max="769" width="7.6640625" style="882" customWidth="1"/>
    <col min="770" max="770" width="32.88671875" style="882" customWidth="1"/>
    <col min="771" max="771" width="9.21875" style="882" customWidth="1"/>
    <col min="772" max="772" width="6.5546875" style="882" customWidth="1"/>
    <col min="773" max="773" width="7.88671875" style="882" customWidth="1"/>
    <col min="774" max="774" width="8.109375" style="882" customWidth="1"/>
    <col min="775" max="775" width="9" style="882" customWidth="1"/>
    <col min="776" max="776" width="11.5546875" style="882" customWidth="1"/>
    <col min="777" max="777" width="12.6640625" style="882" customWidth="1"/>
    <col min="778" max="778" width="13.6640625" style="882" customWidth="1"/>
    <col min="779" max="1024" width="9.6640625" style="882"/>
    <col min="1025" max="1025" width="7.6640625" style="882" customWidth="1"/>
    <col min="1026" max="1026" width="32.88671875" style="882" customWidth="1"/>
    <col min="1027" max="1027" width="9.21875" style="882" customWidth="1"/>
    <col min="1028" max="1028" width="6.5546875" style="882" customWidth="1"/>
    <col min="1029" max="1029" width="7.88671875" style="882" customWidth="1"/>
    <col min="1030" max="1030" width="8.109375" style="882" customWidth="1"/>
    <col min="1031" max="1031" width="9" style="882" customWidth="1"/>
    <col min="1032" max="1032" width="11.5546875" style="882" customWidth="1"/>
    <col min="1033" max="1033" width="12.6640625" style="882" customWidth="1"/>
    <col min="1034" max="1034" width="13.6640625" style="882" customWidth="1"/>
    <col min="1035" max="1280" width="9.6640625" style="882"/>
    <col min="1281" max="1281" width="7.6640625" style="882" customWidth="1"/>
    <col min="1282" max="1282" width="32.88671875" style="882" customWidth="1"/>
    <col min="1283" max="1283" width="9.21875" style="882" customWidth="1"/>
    <col min="1284" max="1284" width="6.5546875" style="882" customWidth="1"/>
    <col min="1285" max="1285" width="7.88671875" style="882" customWidth="1"/>
    <col min="1286" max="1286" width="8.109375" style="882" customWidth="1"/>
    <col min="1287" max="1287" width="9" style="882" customWidth="1"/>
    <col min="1288" max="1288" width="11.5546875" style="882" customWidth="1"/>
    <col min="1289" max="1289" width="12.6640625" style="882" customWidth="1"/>
    <col min="1290" max="1290" width="13.6640625" style="882" customWidth="1"/>
    <col min="1291" max="1536" width="9.6640625" style="882"/>
    <col min="1537" max="1537" width="7.6640625" style="882" customWidth="1"/>
    <col min="1538" max="1538" width="32.88671875" style="882" customWidth="1"/>
    <col min="1539" max="1539" width="9.21875" style="882" customWidth="1"/>
    <col min="1540" max="1540" width="6.5546875" style="882" customWidth="1"/>
    <col min="1541" max="1541" width="7.88671875" style="882" customWidth="1"/>
    <col min="1542" max="1542" width="8.109375" style="882" customWidth="1"/>
    <col min="1543" max="1543" width="9" style="882" customWidth="1"/>
    <col min="1544" max="1544" width="11.5546875" style="882" customWidth="1"/>
    <col min="1545" max="1545" width="12.6640625" style="882" customWidth="1"/>
    <col min="1546" max="1546" width="13.6640625" style="882" customWidth="1"/>
    <col min="1547" max="1792" width="9.6640625" style="882"/>
    <col min="1793" max="1793" width="7.6640625" style="882" customWidth="1"/>
    <col min="1794" max="1794" width="32.88671875" style="882" customWidth="1"/>
    <col min="1795" max="1795" width="9.21875" style="882" customWidth="1"/>
    <col min="1796" max="1796" width="6.5546875" style="882" customWidth="1"/>
    <col min="1797" max="1797" width="7.88671875" style="882" customWidth="1"/>
    <col min="1798" max="1798" width="8.109375" style="882" customWidth="1"/>
    <col min="1799" max="1799" width="9" style="882" customWidth="1"/>
    <col min="1800" max="1800" width="11.5546875" style="882" customWidth="1"/>
    <col min="1801" max="1801" width="12.6640625" style="882" customWidth="1"/>
    <col min="1802" max="1802" width="13.6640625" style="882" customWidth="1"/>
    <col min="1803" max="2048" width="9.6640625" style="882"/>
    <col min="2049" max="2049" width="7.6640625" style="882" customWidth="1"/>
    <col min="2050" max="2050" width="32.88671875" style="882" customWidth="1"/>
    <col min="2051" max="2051" width="9.21875" style="882" customWidth="1"/>
    <col min="2052" max="2052" width="6.5546875" style="882" customWidth="1"/>
    <col min="2053" max="2053" width="7.88671875" style="882" customWidth="1"/>
    <col min="2054" max="2054" width="8.109375" style="882" customWidth="1"/>
    <col min="2055" max="2055" width="9" style="882" customWidth="1"/>
    <col min="2056" max="2056" width="11.5546875" style="882" customWidth="1"/>
    <col min="2057" max="2057" width="12.6640625" style="882" customWidth="1"/>
    <col min="2058" max="2058" width="13.6640625" style="882" customWidth="1"/>
    <col min="2059" max="2304" width="9.6640625" style="882"/>
    <col min="2305" max="2305" width="7.6640625" style="882" customWidth="1"/>
    <col min="2306" max="2306" width="32.88671875" style="882" customWidth="1"/>
    <col min="2307" max="2307" width="9.21875" style="882" customWidth="1"/>
    <col min="2308" max="2308" width="6.5546875" style="882" customWidth="1"/>
    <col min="2309" max="2309" width="7.88671875" style="882" customWidth="1"/>
    <col min="2310" max="2310" width="8.109375" style="882" customWidth="1"/>
    <col min="2311" max="2311" width="9" style="882" customWidth="1"/>
    <col min="2312" max="2312" width="11.5546875" style="882" customWidth="1"/>
    <col min="2313" max="2313" width="12.6640625" style="882" customWidth="1"/>
    <col min="2314" max="2314" width="13.6640625" style="882" customWidth="1"/>
    <col min="2315" max="2560" width="9.6640625" style="882"/>
    <col min="2561" max="2561" width="7.6640625" style="882" customWidth="1"/>
    <col min="2562" max="2562" width="32.88671875" style="882" customWidth="1"/>
    <col min="2563" max="2563" width="9.21875" style="882" customWidth="1"/>
    <col min="2564" max="2564" width="6.5546875" style="882" customWidth="1"/>
    <col min="2565" max="2565" width="7.88671875" style="882" customWidth="1"/>
    <col min="2566" max="2566" width="8.109375" style="882" customWidth="1"/>
    <col min="2567" max="2567" width="9" style="882" customWidth="1"/>
    <col min="2568" max="2568" width="11.5546875" style="882" customWidth="1"/>
    <col min="2569" max="2569" width="12.6640625" style="882" customWidth="1"/>
    <col min="2570" max="2570" width="13.6640625" style="882" customWidth="1"/>
    <col min="2571" max="2816" width="9.6640625" style="882"/>
    <col min="2817" max="2817" width="7.6640625" style="882" customWidth="1"/>
    <col min="2818" max="2818" width="32.88671875" style="882" customWidth="1"/>
    <col min="2819" max="2819" width="9.21875" style="882" customWidth="1"/>
    <col min="2820" max="2820" width="6.5546875" style="882" customWidth="1"/>
    <col min="2821" max="2821" width="7.88671875" style="882" customWidth="1"/>
    <col min="2822" max="2822" width="8.109375" style="882" customWidth="1"/>
    <col min="2823" max="2823" width="9" style="882" customWidth="1"/>
    <col min="2824" max="2824" width="11.5546875" style="882" customWidth="1"/>
    <col min="2825" max="2825" width="12.6640625" style="882" customWidth="1"/>
    <col min="2826" max="2826" width="13.6640625" style="882" customWidth="1"/>
    <col min="2827" max="3072" width="9.6640625" style="882"/>
    <col min="3073" max="3073" width="7.6640625" style="882" customWidth="1"/>
    <col min="3074" max="3074" width="32.88671875" style="882" customWidth="1"/>
    <col min="3075" max="3075" width="9.21875" style="882" customWidth="1"/>
    <col min="3076" max="3076" width="6.5546875" style="882" customWidth="1"/>
    <col min="3077" max="3077" width="7.88671875" style="882" customWidth="1"/>
    <col min="3078" max="3078" width="8.109375" style="882" customWidth="1"/>
    <col min="3079" max="3079" width="9" style="882" customWidth="1"/>
    <col min="3080" max="3080" width="11.5546875" style="882" customWidth="1"/>
    <col min="3081" max="3081" width="12.6640625" style="882" customWidth="1"/>
    <col min="3082" max="3082" width="13.6640625" style="882" customWidth="1"/>
    <col min="3083" max="3328" width="9.6640625" style="882"/>
    <col min="3329" max="3329" width="7.6640625" style="882" customWidth="1"/>
    <col min="3330" max="3330" width="32.88671875" style="882" customWidth="1"/>
    <col min="3331" max="3331" width="9.21875" style="882" customWidth="1"/>
    <col min="3332" max="3332" width="6.5546875" style="882" customWidth="1"/>
    <col min="3333" max="3333" width="7.88671875" style="882" customWidth="1"/>
    <col min="3334" max="3334" width="8.109375" style="882" customWidth="1"/>
    <col min="3335" max="3335" width="9" style="882" customWidth="1"/>
    <col min="3336" max="3336" width="11.5546875" style="882" customWidth="1"/>
    <col min="3337" max="3337" width="12.6640625" style="882" customWidth="1"/>
    <col min="3338" max="3338" width="13.6640625" style="882" customWidth="1"/>
    <col min="3339" max="3584" width="9.6640625" style="882"/>
    <col min="3585" max="3585" width="7.6640625" style="882" customWidth="1"/>
    <col min="3586" max="3586" width="32.88671875" style="882" customWidth="1"/>
    <col min="3587" max="3587" width="9.21875" style="882" customWidth="1"/>
    <col min="3588" max="3588" width="6.5546875" style="882" customWidth="1"/>
    <col min="3589" max="3589" width="7.88671875" style="882" customWidth="1"/>
    <col min="3590" max="3590" width="8.109375" style="882" customWidth="1"/>
    <col min="3591" max="3591" width="9" style="882" customWidth="1"/>
    <col min="3592" max="3592" width="11.5546875" style="882" customWidth="1"/>
    <col min="3593" max="3593" width="12.6640625" style="882" customWidth="1"/>
    <col min="3594" max="3594" width="13.6640625" style="882" customWidth="1"/>
    <col min="3595" max="3840" width="9.6640625" style="882"/>
    <col min="3841" max="3841" width="7.6640625" style="882" customWidth="1"/>
    <col min="3842" max="3842" width="32.88671875" style="882" customWidth="1"/>
    <col min="3843" max="3843" width="9.21875" style="882" customWidth="1"/>
    <col min="3844" max="3844" width="6.5546875" style="882" customWidth="1"/>
    <col min="3845" max="3845" width="7.88671875" style="882" customWidth="1"/>
    <col min="3846" max="3846" width="8.109375" style="882" customWidth="1"/>
    <col min="3847" max="3847" width="9" style="882" customWidth="1"/>
    <col min="3848" max="3848" width="11.5546875" style="882" customWidth="1"/>
    <col min="3849" max="3849" width="12.6640625" style="882" customWidth="1"/>
    <col min="3850" max="3850" width="13.6640625" style="882" customWidth="1"/>
    <col min="3851" max="4096" width="9.6640625" style="882"/>
    <col min="4097" max="4097" width="7.6640625" style="882" customWidth="1"/>
    <col min="4098" max="4098" width="32.88671875" style="882" customWidth="1"/>
    <col min="4099" max="4099" width="9.21875" style="882" customWidth="1"/>
    <col min="4100" max="4100" width="6.5546875" style="882" customWidth="1"/>
    <col min="4101" max="4101" width="7.88671875" style="882" customWidth="1"/>
    <col min="4102" max="4102" width="8.109375" style="882" customWidth="1"/>
    <col min="4103" max="4103" width="9" style="882" customWidth="1"/>
    <col min="4104" max="4104" width="11.5546875" style="882" customWidth="1"/>
    <col min="4105" max="4105" width="12.6640625" style="882" customWidth="1"/>
    <col min="4106" max="4106" width="13.6640625" style="882" customWidth="1"/>
    <col min="4107" max="4352" width="9.6640625" style="882"/>
    <col min="4353" max="4353" width="7.6640625" style="882" customWidth="1"/>
    <col min="4354" max="4354" width="32.88671875" style="882" customWidth="1"/>
    <col min="4355" max="4355" width="9.21875" style="882" customWidth="1"/>
    <col min="4356" max="4356" width="6.5546875" style="882" customWidth="1"/>
    <col min="4357" max="4357" width="7.88671875" style="882" customWidth="1"/>
    <col min="4358" max="4358" width="8.109375" style="882" customWidth="1"/>
    <col min="4359" max="4359" width="9" style="882" customWidth="1"/>
    <col min="4360" max="4360" width="11.5546875" style="882" customWidth="1"/>
    <col min="4361" max="4361" width="12.6640625" style="882" customWidth="1"/>
    <col min="4362" max="4362" width="13.6640625" style="882" customWidth="1"/>
    <col min="4363" max="4608" width="9.6640625" style="882"/>
    <col min="4609" max="4609" width="7.6640625" style="882" customWidth="1"/>
    <col min="4610" max="4610" width="32.88671875" style="882" customWidth="1"/>
    <col min="4611" max="4611" width="9.21875" style="882" customWidth="1"/>
    <col min="4612" max="4612" width="6.5546875" style="882" customWidth="1"/>
    <col min="4613" max="4613" width="7.88671875" style="882" customWidth="1"/>
    <col min="4614" max="4614" width="8.109375" style="882" customWidth="1"/>
    <col min="4615" max="4615" width="9" style="882" customWidth="1"/>
    <col min="4616" max="4616" width="11.5546875" style="882" customWidth="1"/>
    <col min="4617" max="4617" width="12.6640625" style="882" customWidth="1"/>
    <col min="4618" max="4618" width="13.6640625" style="882" customWidth="1"/>
    <col min="4619" max="4864" width="9.6640625" style="882"/>
    <col min="4865" max="4865" width="7.6640625" style="882" customWidth="1"/>
    <col min="4866" max="4866" width="32.88671875" style="882" customWidth="1"/>
    <col min="4867" max="4867" width="9.21875" style="882" customWidth="1"/>
    <col min="4868" max="4868" width="6.5546875" style="882" customWidth="1"/>
    <col min="4869" max="4869" width="7.88671875" style="882" customWidth="1"/>
    <col min="4870" max="4870" width="8.109375" style="882" customWidth="1"/>
    <col min="4871" max="4871" width="9" style="882" customWidth="1"/>
    <col min="4872" max="4872" width="11.5546875" style="882" customWidth="1"/>
    <col min="4873" max="4873" width="12.6640625" style="882" customWidth="1"/>
    <col min="4874" max="4874" width="13.6640625" style="882" customWidth="1"/>
    <col min="4875" max="5120" width="9.6640625" style="882"/>
    <col min="5121" max="5121" width="7.6640625" style="882" customWidth="1"/>
    <col min="5122" max="5122" width="32.88671875" style="882" customWidth="1"/>
    <col min="5123" max="5123" width="9.21875" style="882" customWidth="1"/>
    <col min="5124" max="5124" width="6.5546875" style="882" customWidth="1"/>
    <col min="5125" max="5125" width="7.88671875" style="882" customWidth="1"/>
    <col min="5126" max="5126" width="8.109375" style="882" customWidth="1"/>
    <col min="5127" max="5127" width="9" style="882" customWidth="1"/>
    <col min="5128" max="5128" width="11.5546875" style="882" customWidth="1"/>
    <col min="5129" max="5129" width="12.6640625" style="882" customWidth="1"/>
    <col min="5130" max="5130" width="13.6640625" style="882" customWidth="1"/>
    <col min="5131" max="5376" width="9.6640625" style="882"/>
    <col min="5377" max="5377" width="7.6640625" style="882" customWidth="1"/>
    <col min="5378" max="5378" width="32.88671875" style="882" customWidth="1"/>
    <col min="5379" max="5379" width="9.21875" style="882" customWidth="1"/>
    <col min="5380" max="5380" width="6.5546875" style="882" customWidth="1"/>
    <col min="5381" max="5381" width="7.88671875" style="882" customWidth="1"/>
    <col min="5382" max="5382" width="8.109375" style="882" customWidth="1"/>
    <col min="5383" max="5383" width="9" style="882" customWidth="1"/>
    <col min="5384" max="5384" width="11.5546875" style="882" customWidth="1"/>
    <col min="5385" max="5385" width="12.6640625" style="882" customWidth="1"/>
    <col min="5386" max="5386" width="13.6640625" style="882" customWidth="1"/>
    <col min="5387" max="5632" width="9.6640625" style="882"/>
    <col min="5633" max="5633" width="7.6640625" style="882" customWidth="1"/>
    <col min="5634" max="5634" width="32.88671875" style="882" customWidth="1"/>
    <col min="5635" max="5635" width="9.21875" style="882" customWidth="1"/>
    <col min="5636" max="5636" width="6.5546875" style="882" customWidth="1"/>
    <col min="5637" max="5637" width="7.88671875" style="882" customWidth="1"/>
    <col min="5638" max="5638" width="8.109375" style="882" customWidth="1"/>
    <col min="5639" max="5639" width="9" style="882" customWidth="1"/>
    <col min="5640" max="5640" width="11.5546875" style="882" customWidth="1"/>
    <col min="5641" max="5641" width="12.6640625" style="882" customWidth="1"/>
    <col min="5642" max="5642" width="13.6640625" style="882" customWidth="1"/>
    <col min="5643" max="5888" width="9.6640625" style="882"/>
    <col min="5889" max="5889" width="7.6640625" style="882" customWidth="1"/>
    <col min="5890" max="5890" width="32.88671875" style="882" customWidth="1"/>
    <col min="5891" max="5891" width="9.21875" style="882" customWidth="1"/>
    <col min="5892" max="5892" width="6.5546875" style="882" customWidth="1"/>
    <col min="5893" max="5893" width="7.88671875" style="882" customWidth="1"/>
    <col min="5894" max="5894" width="8.109375" style="882" customWidth="1"/>
    <col min="5895" max="5895" width="9" style="882" customWidth="1"/>
    <col min="5896" max="5896" width="11.5546875" style="882" customWidth="1"/>
    <col min="5897" max="5897" width="12.6640625" style="882" customWidth="1"/>
    <col min="5898" max="5898" width="13.6640625" style="882" customWidth="1"/>
    <col min="5899" max="6144" width="9.6640625" style="882"/>
    <col min="6145" max="6145" width="7.6640625" style="882" customWidth="1"/>
    <col min="6146" max="6146" width="32.88671875" style="882" customWidth="1"/>
    <col min="6147" max="6147" width="9.21875" style="882" customWidth="1"/>
    <col min="6148" max="6148" width="6.5546875" style="882" customWidth="1"/>
    <col min="6149" max="6149" width="7.88671875" style="882" customWidth="1"/>
    <col min="6150" max="6150" width="8.109375" style="882" customWidth="1"/>
    <col min="6151" max="6151" width="9" style="882" customWidth="1"/>
    <col min="6152" max="6152" width="11.5546875" style="882" customWidth="1"/>
    <col min="6153" max="6153" width="12.6640625" style="882" customWidth="1"/>
    <col min="6154" max="6154" width="13.6640625" style="882" customWidth="1"/>
    <col min="6155" max="6400" width="9.6640625" style="882"/>
    <col min="6401" max="6401" width="7.6640625" style="882" customWidth="1"/>
    <col min="6402" max="6402" width="32.88671875" style="882" customWidth="1"/>
    <col min="6403" max="6403" width="9.21875" style="882" customWidth="1"/>
    <col min="6404" max="6404" width="6.5546875" style="882" customWidth="1"/>
    <col min="6405" max="6405" width="7.88671875" style="882" customWidth="1"/>
    <col min="6406" max="6406" width="8.109375" style="882" customWidth="1"/>
    <col min="6407" max="6407" width="9" style="882" customWidth="1"/>
    <col min="6408" max="6408" width="11.5546875" style="882" customWidth="1"/>
    <col min="6409" max="6409" width="12.6640625" style="882" customWidth="1"/>
    <col min="6410" max="6410" width="13.6640625" style="882" customWidth="1"/>
    <col min="6411" max="6656" width="9.6640625" style="882"/>
    <col min="6657" max="6657" width="7.6640625" style="882" customWidth="1"/>
    <col min="6658" max="6658" width="32.88671875" style="882" customWidth="1"/>
    <col min="6659" max="6659" width="9.21875" style="882" customWidth="1"/>
    <col min="6660" max="6660" width="6.5546875" style="882" customWidth="1"/>
    <col min="6661" max="6661" width="7.88671875" style="882" customWidth="1"/>
    <col min="6662" max="6662" width="8.109375" style="882" customWidth="1"/>
    <col min="6663" max="6663" width="9" style="882" customWidth="1"/>
    <col min="6664" max="6664" width="11.5546875" style="882" customWidth="1"/>
    <col min="6665" max="6665" width="12.6640625" style="882" customWidth="1"/>
    <col min="6666" max="6666" width="13.6640625" style="882" customWidth="1"/>
    <col min="6667" max="6912" width="9.6640625" style="882"/>
    <col min="6913" max="6913" width="7.6640625" style="882" customWidth="1"/>
    <col min="6914" max="6914" width="32.88671875" style="882" customWidth="1"/>
    <col min="6915" max="6915" width="9.21875" style="882" customWidth="1"/>
    <col min="6916" max="6916" width="6.5546875" style="882" customWidth="1"/>
    <col min="6917" max="6917" width="7.88671875" style="882" customWidth="1"/>
    <col min="6918" max="6918" width="8.109375" style="882" customWidth="1"/>
    <col min="6919" max="6919" width="9" style="882" customWidth="1"/>
    <col min="6920" max="6920" width="11.5546875" style="882" customWidth="1"/>
    <col min="6921" max="6921" width="12.6640625" style="882" customWidth="1"/>
    <col min="6922" max="6922" width="13.6640625" style="882" customWidth="1"/>
    <col min="6923" max="7168" width="9.6640625" style="882"/>
    <col min="7169" max="7169" width="7.6640625" style="882" customWidth="1"/>
    <col min="7170" max="7170" width="32.88671875" style="882" customWidth="1"/>
    <col min="7171" max="7171" width="9.21875" style="882" customWidth="1"/>
    <col min="7172" max="7172" width="6.5546875" style="882" customWidth="1"/>
    <col min="7173" max="7173" width="7.88671875" style="882" customWidth="1"/>
    <col min="7174" max="7174" width="8.109375" style="882" customWidth="1"/>
    <col min="7175" max="7175" width="9" style="882" customWidth="1"/>
    <col min="7176" max="7176" width="11.5546875" style="882" customWidth="1"/>
    <col min="7177" max="7177" width="12.6640625" style="882" customWidth="1"/>
    <col min="7178" max="7178" width="13.6640625" style="882" customWidth="1"/>
    <col min="7179" max="7424" width="9.6640625" style="882"/>
    <col min="7425" max="7425" width="7.6640625" style="882" customWidth="1"/>
    <col min="7426" max="7426" width="32.88671875" style="882" customWidth="1"/>
    <col min="7427" max="7427" width="9.21875" style="882" customWidth="1"/>
    <col min="7428" max="7428" width="6.5546875" style="882" customWidth="1"/>
    <col min="7429" max="7429" width="7.88671875" style="882" customWidth="1"/>
    <col min="7430" max="7430" width="8.109375" style="882" customWidth="1"/>
    <col min="7431" max="7431" width="9" style="882" customWidth="1"/>
    <col min="7432" max="7432" width="11.5546875" style="882" customWidth="1"/>
    <col min="7433" max="7433" width="12.6640625" style="882" customWidth="1"/>
    <col min="7434" max="7434" width="13.6640625" style="882" customWidth="1"/>
    <col min="7435" max="7680" width="9.6640625" style="882"/>
    <col min="7681" max="7681" width="7.6640625" style="882" customWidth="1"/>
    <col min="7682" max="7682" width="32.88671875" style="882" customWidth="1"/>
    <col min="7683" max="7683" width="9.21875" style="882" customWidth="1"/>
    <col min="7684" max="7684" width="6.5546875" style="882" customWidth="1"/>
    <col min="7685" max="7685" width="7.88671875" style="882" customWidth="1"/>
    <col min="7686" max="7686" width="8.109375" style="882" customWidth="1"/>
    <col min="7687" max="7687" width="9" style="882" customWidth="1"/>
    <col min="7688" max="7688" width="11.5546875" style="882" customWidth="1"/>
    <col min="7689" max="7689" width="12.6640625" style="882" customWidth="1"/>
    <col min="7690" max="7690" width="13.6640625" style="882" customWidth="1"/>
    <col min="7691" max="7936" width="9.6640625" style="882"/>
    <col min="7937" max="7937" width="7.6640625" style="882" customWidth="1"/>
    <col min="7938" max="7938" width="32.88671875" style="882" customWidth="1"/>
    <col min="7939" max="7939" width="9.21875" style="882" customWidth="1"/>
    <col min="7940" max="7940" width="6.5546875" style="882" customWidth="1"/>
    <col min="7941" max="7941" width="7.88671875" style="882" customWidth="1"/>
    <col min="7942" max="7942" width="8.109375" style="882" customWidth="1"/>
    <col min="7943" max="7943" width="9" style="882" customWidth="1"/>
    <col min="7944" max="7944" width="11.5546875" style="882" customWidth="1"/>
    <col min="7945" max="7945" width="12.6640625" style="882" customWidth="1"/>
    <col min="7946" max="7946" width="13.6640625" style="882" customWidth="1"/>
    <col min="7947" max="8192" width="9.6640625" style="882"/>
    <col min="8193" max="8193" width="7.6640625" style="882" customWidth="1"/>
    <col min="8194" max="8194" width="32.88671875" style="882" customWidth="1"/>
    <col min="8195" max="8195" width="9.21875" style="882" customWidth="1"/>
    <col min="8196" max="8196" width="6.5546875" style="882" customWidth="1"/>
    <col min="8197" max="8197" width="7.88671875" style="882" customWidth="1"/>
    <col min="8198" max="8198" width="8.109375" style="882" customWidth="1"/>
    <col min="8199" max="8199" width="9" style="882" customWidth="1"/>
    <col min="8200" max="8200" width="11.5546875" style="882" customWidth="1"/>
    <col min="8201" max="8201" width="12.6640625" style="882" customWidth="1"/>
    <col min="8202" max="8202" width="13.6640625" style="882" customWidth="1"/>
    <col min="8203" max="8448" width="9.6640625" style="882"/>
    <col min="8449" max="8449" width="7.6640625" style="882" customWidth="1"/>
    <col min="8450" max="8450" width="32.88671875" style="882" customWidth="1"/>
    <col min="8451" max="8451" width="9.21875" style="882" customWidth="1"/>
    <col min="8452" max="8452" width="6.5546875" style="882" customWidth="1"/>
    <col min="8453" max="8453" width="7.88671875" style="882" customWidth="1"/>
    <col min="8454" max="8454" width="8.109375" style="882" customWidth="1"/>
    <col min="8455" max="8455" width="9" style="882" customWidth="1"/>
    <col min="8456" max="8456" width="11.5546875" style="882" customWidth="1"/>
    <col min="8457" max="8457" width="12.6640625" style="882" customWidth="1"/>
    <col min="8458" max="8458" width="13.6640625" style="882" customWidth="1"/>
    <col min="8459" max="8704" width="9.6640625" style="882"/>
    <col min="8705" max="8705" width="7.6640625" style="882" customWidth="1"/>
    <col min="8706" max="8706" width="32.88671875" style="882" customWidth="1"/>
    <col min="8707" max="8707" width="9.21875" style="882" customWidth="1"/>
    <col min="8708" max="8708" width="6.5546875" style="882" customWidth="1"/>
    <col min="8709" max="8709" width="7.88671875" style="882" customWidth="1"/>
    <col min="8710" max="8710" width="8.109375" style="882" customWidth="1"/>
    <col min="8711" max="8711" width="9" style="882" customWidth="1"/>
    <col min="8712" max="8712" width="11.5546875" style="882" customWidth="1"/>
    <col min="8713" max="8713" width="12.6640625" style="882" customWidth="1"/>
    <col min="8714" max="8714" width="13.6640625" style="882" customWidth="1"/>
    <col min="8715" max="8960" width="9.6640625" style="882"/>
    <col min="8961" max="8961" width="7.6640625" style="882" customWidth="1"/>
    <col min="8962" max="8962" width="32.88671875" style="882" customWidth="1"/>
    <col min="8963" max="8963" width="9.21875" style="882" customWidth="1"/>
    <col min="8964" max="8964" width="6.5546875" style="882" customWidth="1"/>
    <col min="8965" max="8965" width="7.88671875" style="882" customWidth="1"/>
    <col min="8966" max="8966" width="8.109375" style="882" customWidth="1"/>
    <col min="8967" max="8967" width="9" style="882" customWidth="1"/>
    <col min="8968" max="8968" width="11.5546875" style="882" customWidth="1"/>
    <col min="8969" max="8969" width="12.6640625" style="882" customWidth="1"/>
    <col min="8970" max="8970" width="13.6640625" style="882" customWidth="1"/>
    <col min="8971" max="9216" width="9.6640625" style="882"/>
    <col min="9217" max="9217" width="7.6640625" style="882" customWidth="1"/>
    <col min="9218" max="9218" width="32.88671875" style="882" customWidth="1"/>
    <col min="9219" max="9219" width="9.21875" style="882" customWidth="1"/>
    <col min="9220" max="9220" width="6.5546875" style="882" customWidth="1"/>
    <col min="9221" max="9221" width="7.88671875" style="882" customWidth="1"/>
    <col min="9222" max="9222" width="8.109375" style="882" customWidth="1"/>
    <col min="9223" max="9223" width="9" style="882" customWidth="1"/>
    <col min="9224" max="9224" width="11.5546875" style="882" customWidth="1"/>
    <col min="9225" max="9225" width="12.6640625" style="882" customWidth="1"/>
    <col min="9226" max="9226" width="13.6640625" style="882" customWidth="1"/>
    <col min="9227" max="9472" width="9.6640625" style="882"/>
    <col min="9473" max="9473" width="7.6640625" style="882" customWidth="1"/>
    <col min="9474" max="9474" width="32.88671875" style="882" customWidth="1"/>
    <col min="9475" max="9475" width="9.21875" style="882" customWidth="1"/>
    <col min="9476" max="9476" width="6.5546875" style="882" customWidth="1"/>
    <col min="9477" max="9477" width="7.88671875" style="882" customWidth="1"/>
    <col min="9478" max="9478" width="8.109375" style="882" customWidth="1"/>
    <col min="9479" max="9479" width="9" style="882" customWidth="1"/>
    <col min="9480" max="9480" width="11.5546875" style="882" customWidth="1"/>
    <col min="9481" max="9481" width="12.6640625" style="882" customWidth="1"/>
    <col min="9482" max="9482" width="13.6640625" style="882" customWidth="1"/>
    <col min="9483" max="9728" width="9.6640625" style="882"/>
    <col min="9729" max="9729" width="7.6640625" style="882" customWidth="1"/>
    <col min="9730" max="9730" width="32.88671875" style="882" customWidth="1"/>
    <col min="9731" max="9731" width="9.21875" style="882" customWidth="1"/>
    <col min="9732" max="9732" width="6.5546875" style="882" customWidth="1"/>
    <col min="9733" max="9733" width="7.88671875" style="882" customWidth="1"/>
    <col min="9734" max="9734" width="8.109375" style="882" customWidth="1"/>
    <col min="9735" max="9735" width="9" style="882" customWidth="1"/>
    <col min="9736" max="9736" width="11.5546875" style="882" customWidth="1"/>
    <col min="9737" max="9737" width="12.6640625" style="882" customWidth="1"/>
    <col min="9738" max="9738" width="13.6640625" style="882" customWidth="1"/>
    <col min="9739" max="9984" width="9.6640625" style="882"/>
    <col min="9985" max="9985" width="7.6640625" style="882" customWidth="1"/>
    <col min="9986" max="9986" width="32.88671875" style="882" customWidth="1"/>
    <col min="9987" max="9987" width="9.21875" style="882" customWidth="1"/>
    <col min="9988" max="9988" width="6.5546875" style="882" customWidth="1"/>
    <col min="9989" max="9989" width="7.88671875" style="882" customWidth="1"/>
    <col min="9990" max="9990" width="8.109375" style="882" customWidth="1"/>
    <col min="9991" max="9991" width="9" style="882" customWidth="1"/>
    <col min="9992" max="9992" width="11.5546875" style="882" customWidth="1"/>
    <col min="9993" max="9993" width="12.6640625" style="882" customWidth="1"/>
    <col min="9994" max="9994" width="13.6640625" style="882" customWidth="1"/>
    <col min="9995" max="10240" width="9.6640625" style="882"/>
    <col min="10241" max="10241" width="7.6640625" style="882" customWidth="1"/>
    <col min="10242" max="10242" width="32.88671875" style="882" customWidth="1"/>
    <col min="10243" max="10243" width="9.21875" style="882" customWidth="1"/>
    <col min="10244" max="10244" width="6.5546875" style="882" customWidth="1"/>
    <col min="10245" max="10245" width="7.88671875" style="882" customWidth="1"/>
    <col min="10246" max="10246" width="8.109375" style="882" customWidth="1"/>
    <col min="10247" max="10247" width="9" style="882" customWidth="1"/>
    <col min="10248" max="10248" width="11.5546875" style="882" customWidth="1"/>
    <col min="10249" max="10249" width="12.6640625" style="882" customWidth="1"/>
    <col min="10250" max="10250" width="13.6640625" style="882" customWidth="1"/>
    <col min="10251" max="10496" width="9.6640625" style="882"/>
    <col min="10497" max="10497" width="7.6640625" style="882" customWidth="1"/>
    <col min="10498" max="10498" width="32.88671875" style="882" customWidth="1"/>
    <col min="10499" max="10499" width="9.21875" style="882" customWidth="1"/>
    <col min="10500" max="10500" width="6.5546875" style="882" customWidth="1"/>
    <col min="10501" max="10501" width="7.88671875" style="882" customWidth="1"/>
    <col min="10502" max="10502" width="8.109375" style="882" customWidth="1"/>
    <col min="10503" max="10503" width="9" style="882" customWidth="1"/>
    <col min="10504" max="10504" width="11.5546875" style="882" customWidth="1"/>
    <col min="10505" max="10505" width="12.6640625" style="882" customWidth="1"/>
    <col min="10506" max="10506" width="13.6640625" style="882" customWidth="1"/>
    <col min="10507" max="10752" width="9.6640625" style="882"/>
    <col min="10753" max="10753" width="7.6640625" style="882" customWidth="1"/>
    <col min="10754" max="10754" width="32.88671875" style="882" customWidth="1"/>
    <col min="10755" max="10755" width="9.21875" style="882" customWidth="1"/>
    <col min="10756" max="10756" width="6.5546875" style="882" customWidth="1"/>
    <col min="10757" max="10757" width="7.88671875" style="882" customWidth="1"/>
    <col min="10758" max="10758" width="8.109375" style="882" customWidth="1"/>
    <col min="10759" max="10759" width="9" style="882" customWidth="1"/>
    <col min="10760" max="10760" width="11.5546875" style="882" customWidth="1"/>
    <col min="10761" max="10761" width="12.6640625" style="882" customWidth="1"/>
    <col min="10762" max="10762" width="13.6640625" style="882" customWidth="1"/>
    <col min="10763" max="11008" width="9.6640625" style="882"/>
    <col min="11009" max="11009" width="7.6640625" style="882" customWidth="1"/>
    <col min="11010" max="11010" width="32.88671875" style="882" customWidth="1"/>
    <col min="11011" max="11011" width="9.21875" style="882" customWidth="1"/>
    <col min="11012" max="11012" width="6.5546875" style="882" customWidth="1"/>
    <col min="11013" max="11013" width="7.88671875" style="882" customWidth="1"/>
    <col min="11014" max="11014" width="8.109375" style="882" customWidth="1"/>
    <col min="11015" max="11015" width="9" style="882" customWidth="1"/>
    <col min="11016" max="11016" width="11.5546875" style="882" customWidth="1"/>
    <col min="11017" max="11017" width="12.6640625" style="882" customWidth="1"/>
    <col min="11018" max="11018" width="13.6640625" style="882" customWidth="1"/>
    <col min="11019" max="11264" width="9.6640625" style="882"/>
    <col min="11265" max="11265" width="7.6640625" style="882" customWidth="1"/>
    <col min="11266" max="11266" width="32.88671875" style="882" customWidth="1"/>
    <col min="11267" max="11267" width="9.21875" style="882" customWidth="1"/>
    <col min="11268" max="11268" width="6.5546875" style="882" customWidth="1"/>
    <col min="11269" max="11269" width="7.88671875" style="882" customWidth="1"/>
    <col min="11270" max="11270" width="8.109375" style="882" customWidth="1"/>
    <col min="11271" max="11271" width="9" style="882" customWidth="1"/>
    <col min="11272" max="11272" width="11.5546875" style="882" customWidth="1"/>
    <col min="11273" max="11273" width="12.6640625" style="882" customWidth="1"/>
    <col min="11274" max="11274" width="13.6640625" style="882" customWidth="1"/>
    <col min="11275" max="11520" width="9.6640625" style="882"/>
    <col min="11521" max="11521" width="7.6640625" style="882" customWidth="1"/>
    <col min="11522" max="11522" width="32.88671875" style="882" customWidth="1"/>
    <col min="11523" max="11523" width="9.21875" style="882" customWidth="1"/>
    <col min="11524" max="11524" width="6.5546875" style="882" customWidth="1"/>
    <col min="11525" max="11525" width="7.88671875" style="882" customWidth="1"/>
    <col min="11526" max="11526" width="8.109375" style="882" customWidth="1"/>
    <col min="11527" max="11527" width="9" style="882" customWidth="1"/>
    <col min="11528" max="11528" width="11.5546875" style="882" customWidth="1"/>
    <col min="11529" max="11529" width="12.6640625" style="882" customWidth="1"/>
    <col min="11530" max="11530" width="13.6640625" style="882" customWidth="1"/>
    <col min="11531" max="11776" width="9.6640625" style="882"/>
    <col min="11777" max="11777" width="7.6640625" style="882" customWidth="1"/>
    <col min="11778" max="11778" width="32.88671875" style="882" customWidth="1"/>
    <col min="11779" max="11779" width="9.21875" style="882" customWidth="1"/>
    <col min="11780" max="11780" width="6.5546875" style="882" customWidth="1"/>
    <col min="11781" max="11781" width="7.88671875" style="882" customWidth="1"/>
    <col min="11782" max="11782" width="8.109375" style="882" customWidth="1"/>
    <col min="11783" max="11783" width="9" style="882" customWidth="1"/>
    <col min="11784" max="11784" width="11.5546875" style="882" customWidth="1"/>
    <col min="11785" max="11785" width="12.6640625" style="882" customWidth="1"/>
    <col min="11786" max="11786" width="13.6640625" style="882" customWidth="1"/>
    <col min="11787" max="12032" width="9.6640625" style="882"/>
    <col min="12033" max="12033" width="7.6640625" style="882" customWidth="1"/>
    <col min="12034" max="12034" width="32.88671875" style="882" customWidth="1"/>
    <col min="12035" max="12035" width="9.21875" style="882" customWidth="1"/>
    <col min="12036" max="12036" width="6.5546875" style="882" customWidth="1"/>
    <col min="12037" max="12037" width="7.88671875" style="882" customWidth="1"/>
    <col min="12038" max="12038" width="8.109375" style="882" customWidth="1"/>
    <col min="12039" max="12039" width="9" style="882" customWidth="1"/>
    <col min="12040" max="12040" width="11.5546875" style="882" customWidth="1"/>
    <col min="12041" max="12041" width="12.6640625" style="882" customWidth="1"/>
    <col min="12042" max="12042" width="13.6640625" style="882" customWidth="1"/>
    <col min="12043" max="12288" width="9.6640625" style="882"/>
    <col min="12289" max="12289" width="7.6640625" style="882" customWidth="1"/>
    <col min="12290" max="12290" width="32.88671875" style="882" customWidth="1"/>
    <col min="12291" max="12291" width="9.21875" style="882" customWidth="1"/>
    <col min="12292" max="12292" width="6.5546875" style="882" customWidth="1"/>
    <col min="12293" max="12293" width="7.88671875" style="882" customWidth="1"/>
    <col min="12294" max="12294" width="8.109375" style="882" customWidth="1"/>
    <col min="12295" max="12295" width="9" style="882" customWidth="1"/>
    <col min="12296" max="12296" width="11.5546875" style="882" customWidth="1"/>
    <col min="12297" max="12297" width="12.6640625" style="882" customWidth="1"/>
    <col min="12298" max="12298" width="13.6640625" style="882" customWidth="1"/>
    <col min="12299" max="12544" width="9.6640625" style="882"/>
    <col min="12545" max="12545" width="7.6640625" style="882" customWidth="1"/>
    <col min="12546" max="12546" width="32.88671875" style="882" customWidth="1"/>
    <col min="12547" max="12547" width="9.21875" style="882" customWidth="1"/>
    <col min="12548" max="12548" width="6.5546875" style="882" customWidth="1"/>
    <col min="12549" max="12549" width="7.88671875" style="882" customWidth="1"/>
    <col min="12550" max="12550" width="8.109375" style="882" customWidth="1"/>
    <col min="12551" max="12551" width="9" style="882" customWidth="1"/>
    <col min="12552" max="12552" width="11.5546875" style="882" customWidth="1"/>
    <col min="12553" max="12553" width="12.6640625" style="882" customWidth="1"/>
    <col min="12554" max="12554" width="13.6640625" style="882" customWidth="1"/>
    <col min="12555" max="12800" width="9.6640625" style="882"/>
    <col min="12801" max="12801" width="7.6640625" style="882" customWidth="1"/>
    <col min="12802" max="12802" width="32.88671875" style="882" customWidth="1"/>
    <col min="12803" max="12803" width="9.21875" style="882" customWidth="1"/>
    <col min="12804" max="12804" width="6.5546875" style="882" customWidth="1"/>
    <col min="12805" max="12805" width="7.88671875" style="882" customWidth="1"/>
    <col min="12806" max="12806" width="8.109375" style="882" customWidth="1"/>
    <col min="12807" max="12807" width="9" style="882" customWidth="1"/>
    <col min="12808" max="12808" width="11.5546875" style="882" customWidth="1"/>
    <col min="12809" max="12809" width="12.6640625" style="882" customWidth="1"/>
    <col min="12810" max="12810" width="13.6640625" style="882" customWidth="1"/>
    <col min="12811" max="13056" width="9.6640625" style="882"/>
    <col min="13057" max="13057" width="7.6640625" style="882" customWidth="1"/>
    <col min="13058" max="13058" width="32.88671875" style="882" customWidth="1"/>
    <col min="13059" max="13059" width="9.21875" style="882" customWidth="1"/>
    <col min="13060" max="13060" width="6.5546875" style="882" customWidth="1"/>
    <col min="13061" max="13061" width="7.88671875" style="882" customWidth="1"/>
    <col min="13062" max="13062" width="8.109375" style="882" customWidth="1"/>
    <col min="13063" max="13063" width="9" style="882" customWidth="1"/>
    <col min="13064" max="13064" width="11.5546875" style="882" customWidth="1"/>
    <col min="13065" max="13065" width="12.6640625" style="882" customWidth="1"/>
    <col min="13066" max="13066" width="13.6640625" style="882" customWidth="1"/>
    <col min="13067" max="13312" width="9.6640625" style="882"/>
    <col min="13313" max="13313" width="7.6640625" style="882" customWidth="1"/>
    <col min="13314" max="13314" width="32.88671875" style="882" customWidth="1"/>
    <col min="13315" max="13315" width="9.21875" style="882" customWidth="1"/>
    <col min="13316" max="13316" width="6.5546875" style="882" customWidth="1"/>
    <col min="13317" max="13317" width="7.88671875" style="882" customWidth="1"/>
    <col min="13318" max="13318" width="8.109375" style="882" customWidth="1"/>
    <col min="13319" max="13319" width="9" style="882" customWidth="1"/>
    <col min="13320" max="13320" width="11.5546875" style="882" customWidth="1"/>
    <col min="13321" max="13321" width="12.6640625" style="882" customWidth="1"/>
    <col min="13322" max="13322" width="13.6640625" style="882" customWidth="1"/>
    <col min="13323" max="13568" width="9.6640625" style="882"/>
    <col min="13569" max="13569" width="7.6640625" style="882" customWidth="1"/>
    <col min="13570" max="13570" width="32.88671875" style="882" customWidth="1"/>
    <col min="13571" max="13571" width="9.21875" style="882" customWidth="1"/>
    <col min="13572" max="13572" width="6.5546875" style="882" customWidth="1"/>
    <col min="13573" max="13573" width="7.88671875" style="882" customWidth="1"/>
    <col min="13574" max="13574" width="8.109375" style="882" customWidth="1"/>
    <col min="13575" max="13575" width="9" style="882" customWidth="1"/>
    <col min="13576" max="13576" width="11.5546875" style="882" customWidth="1"/>
    <col min="13577" max="13577" width="12.6640625" style="882" customWidth="1"/>
    <col min="13578" max="13578" width="13.6640625" style="882" customWidth="1"/>
    <col min="13579" max="13824" width="9.6640625" style="882"/>
    <col min="13825" max="13825" width="7.6640625" style="882" customWidth="1"/>
    <col min="13826" max="13826" width="32.88671875" style="882" customWidth="1"/>
    <col min="13827" max="13827" width="9.21875" style="882" customWidth="1"/>
    <col min="13828" max="13828" width="6.5546875" style="882" customWidth="1"/>
    <col min="13829" max="13829" width="7.88671875" style="882" customWidth="1"/>
    <col min="13830" max="13830" width="8.109375" style="882" customWidth="1"/>
    <col min="13831" max="13831" width="9" style="882" customWidth="1"/>
    <col min="13832" max="13832" width="11.5546875" style="882" customWidth="1"/>
    <col min="13833" max="13833" width="12.6640625" style="882" customWidth="1"/>
    <col min="13834" max="13834" width="13.6640625" style="882" customWidth="1"/>
    <col min="13835" max="14080" width="9.6640625" style="882"/>
    <col min="14081" max="14081" width="7.6640625" style="882" customWidth="1"/>
    <col min="14082" max="14082" width="32.88671875" style="882" customWidth="1"/>
    <col min="14083" max="14083" width="9.21875" style="882" customWidth="1"/>
    <col min="14084" max="14084" width="6.5546875" style="882" customWidth="1"/>
    <col min="14085" max="14085" width="7.88671875" style="882" customWidth="1"/>
    <col min="14086" max="14086" width="8.109375" style="882" customWidth="1"/>
    <col min="14087" max="14087" width="9" style="882" customWidth="1"/>
    <col min="14088" max="14088" width="11.5546875" style="882" customWidth="1"/>
    <col min="14089" max="14089" width="12.6640625" style="882" customWidth="1"/>
    <col min="14090" max="14090" width="13.6640625" style="882" customWidth="1"/>
    <col min="14091" max="14336" width="9.6640625" style="882"/>
    <col min="14337" max="14337" width="7.6640625" style="882" customWidth="1"/>
    <col min="14338" max="14338" width="32.88671875" style="882" customWidth="1"/>
    <col min="14339" max="14339" width="9.21875" style="882" customWidth="1"/>
    <col min="14340" max="14340" width="6.5546875" style="882" customWidth="1"/>
    <col min="14341" max="14341" width="7.88671875" style="882" customWidth="1"/>
    <col min="14342" max="14342" width="8.109375" style="882" customWidth="1"/>
    <col min="14343" max="14343" width="9" style="882" customWidth="1"/>
    <col min="14344" max="14344" width="11.5546875" style="882" customWidth="1"/>
    <col min="14345" max="14345" width="12.6640625" style="882" customWidth="1"/>
    <col min="14346" max="14346" width="13.6640625" style="882" customWidth="1"/>
    <col min="14347" max="14592" width="9.6640625" style="882"/>
    <col min="14593" max="14593" width="7.6640625" style="882" customWidth="1"/>
    <col min="14594" max="14594" width="32.88671875" style="882" customWidth="1"/>
    <col min="14595" max="14595" width="9.21875" style="882" customWidth="1"/>
    <col min="14596" max="14596" width="6.5546875" style="882" customWidth="1"/>
    <col min="14597" max="14597" width="7.88671875" style="882" customWidth="1"/>
    <col min="14598" max="14598" width="8.109375" style="882" customWidth="1"/>
    <col min="14599" max="14599" width="9" style="882" customWidth="1"/>
    <col min="14600" max="14600" width="11.5546875" style="882" customWidth="1"/>
    <col min="14601" max="14601" width="12.6640625" style="882" customWidth="1"/>
    <col min="14602" max="14602" width="13.6640625" style="882" customWidth="1"/>
    <col min="14603" max="14848" width="9.6640625" style="882"/>
    <col min="14849" max="14849" width="7.6640625" style="882" customWidth="1"/>
    <col min="14850" max="14850" width="32.88671875" style="882" customWidth="1"/>
    <col min="14851" max="14851" width="9.21875" style="882" customWidth="1"/>
    <col min="14852" max="14852" width="6.5546875" style="882" customWidth="1"/>
    <col min="14853" max="14853" width="7.88671875" style="882" customWidth="1"/>
    <col min="14854" max="14854" width="8.109375" style="882" customWidth="1"/>
    <col min="14855" max="14855" width="9" style="882" customWidth="1"/>
    <col min="14856" max="14856" width="11.5546875" style="882" customWidth="1"/>
    <col min="14857" max="14857" width="12.6640625" style="882" customWidth="1"/>
    <col min="14858" max="14858" width="13.6640625" style="882" customWidth="1"/>
    <col min="14859" max="15104" width="9.6640625" style="882"/>
    <col min="15105" max="15105" width="7.6640625" style="882" customWidth="1"/>
    <col min="15106" max="15106" width="32.88671875" style="882" customWidth="1"/>
    <col min="15107" max="15107" width="9.21875" style="882" customWidth="1"/>
    <col min="15108" max="15108" width="6.5546875" style="882" customWidth="1"/>
    <col min="15109" max="15109" width="7.88671875" style="882" customWidth="1"/>
    <col min="15110" max="15110" width="8.109375" style="882" customWidth="1"/>
    <col min="15111" max="15111" width="9" style="882" customWidth="1"/>
    <col min="15112" max="15112" width="11.5546875" style="882" customWidth="1"/>
    <col min="15113" max="15113" width="12.6640625" style="882" customWidth="1"/>
    <col min="15114" max="15114" width="13.6640625" style="882" customWidth="1"/>
    <col min="15115" max="15360" width="9.6640625" style="882"/>
    <col min="15361" max="15361" width="7.6640625" style="882" customWidth="1"/>
    <col min="15362" max="15362" width="32.88671875" style="882" customWidth="1"/>
    <col min="15363" max="15363" width="9.21875" style="882" customWidth="1"/>
    <col min="15364" max="15364" width="6.5546875" style="882" customWidth="1"/>
    <col min="15365" max="15365" width="7.88671875" style="882" customWidth="1"/>
    <col min="15366" max="15366" width="8.109375" style="882" customWidth="1"/>
    <col min="15367" max="15367" width="9" style="882" customWidth="1"/>
    <col min="15368" max="15368" width="11.5546875" style="882" customWidth="1"/>
    <col min="15369" max="15369" width="12.6640625" style="882" customWidth="1"/>
    <col min="15370" max="15370" width="13.6640625" style="882" customWidth="1"/>
    <col min="15371" max="15616" width="9.6640625" style="882"/>
    <col min="15617" max="15617" width="7.6640625" style="882" customWidth="1"/>
    <col min="15618" max="15618" width="32.88671875" style="882" customWidth="1"/>
    <col min="15619" max="15619" width="9.21875" style="882" customWidth="1"/>
    <col min="15620" max="15620" width="6.5546875" style="882" customWidth="1"/>
    <col min="15621" max="15621" width="7.88671875" style="882" customWidth="1"/>
    <col min="15622" max="15622" width="8.109375" style="882" customWidth="1"/>
    <col min="15623" max="15623" width="9" style="882" customWidth="1"/>
    <col min="15624" max="15624" width="11.5546875" style="882" customWidth="1"/>
    <col min="15625" max="15625" width="12.6640625" style="882" customWidth="1"/>
    <col min="15626" max="15626" width="13.6640625" style="882" customWidth="1"/>
    <col min="15627" max="15872" width="9.6640625" style="882"/>
    <col min="15873" max="15873" width="7.6640625" style="882" customWidth="1"/>
    <col min="15874" max="15874" width="32.88671875" style="882" customWidth="1"/>
    <col min="15875" max="15875" width="9.21875" style="882" customWidth="1"/>
    <col min="15876" max="15876" width="6.5546875" style="882" customWidth="1"/>
    <col min="15877" max="15877" width="7.88671875" style="882" customWidth="1"/>
    <col min="15878" max="15878" width="8.109375" style="882" customWidth="1"/>
    <col min="15879" max="15879" width="9" style="882" customWidth="1"/>
    <col min="15880" max="15880" width="11.5546875" style="882" customWidth="1"/>
    <col min="15881" max="15881" width="12.6640625" style="882" customWidth="1"/>
    <col min="15882" max="15882" width="13.6640625" style="882" customWidth="1"/>
    <col min="15883" max="16128" width="9.6640625" style="882"/>
    <col min="16129" max="16129" width="7.6640625" style="882" customWidth="1"/>
    <col min="16130" max="16130" width="32.88671875" style="882" customWidth="1"/>
    <col min="16131" max="16131" width="9.21875" style="882" customWidth="1"/>
    <col min="16132" max="16132" width="6.5546875" style="882" customWidth="1"/>
    <col min="16133" max="16133" width="7.88671875" style="882" customWidth="1"/>
    <col min="16134" max="16134" width="8.109375" style="882" customWidth="1"/>
    <col min="16135" max="16135" width="9" style="882" customWidth="1"/>
    <col min="16136" max="16136" width="11.5546875" style="882" customWidth="1"/>
    <col min="16137" max="16137" width="12.6640625" style="882" customWidth="1"/>
    <col min="16138" max="16138" width="13.6640625" style="882" customWidth="1"/>
    <col min="16139" max="16384" width="9.6640625" style="882"/>
  </cols>
  <sheetData>
    <row r="1" spans="1:13">
      <c r="A1" s="991" t="s">
        <v>891</v>
      </c>
      <c r="B1" s="991"/>
      <c r="C1" s="991"/>
      <c r="D1" s="991"/>
      <c r="E1" s="991"/>
      <c r="F1" s="991"/>
      <c r="G1" s="991"/>
      <c r="H1" s="991"/>
    </row>
    <row r="2" spans="1:13">
      <c r="A2" s="1028" t="s">
        <v>921</v>
      </c>
      <c r="B2" s="1028"/>
      <c r="C2" s="1028"/>
      <c r="D2" s="1028"/>
      <c r="E2" s="1028"/>
      <c r="F2" s="1028"/>
      <c r="G2" s="1028"/>
      <c r="H2" s="1028"/>
    </row>
    <row r="3" spans="1:13">
      <c r="A3" s="1029" t="str">
        <f>+'Attachment H-39A'!D5</f>
        <v>Valley Link Transmission West Virginia, LLC</v>
      </c>
      <c r="B3" s="1029"/>
      <c r="C3" s="1029"/>
      <c r="D3" s="1029"/>
      <c r="E3" s="1029"/>
      <c r="F3" s="1029"/>
      <c r="G3" s="1029"/>
      <c r="H3" s="1029"/>
    </row>
    <row r="4" spans="1:13">
      <c r="H4" s="883"/>
    </row>
    <row r="5" spans="1:13">
      <c r="H5" s="883"/>
    </row>
    <row r="7" spans="1:13">
      <c r="A7" s="884"/>
      <c r="B7" s="885"/>
      <c r="C7" s="885"/>
      <c r="D7" s="885"/>
      <c r="E7" s="885"/>
      <c r="F7" s="885"/>
      <c r="G7" s="885"/>
      <c r="H7" s="885"/>
      <c r="I7" s="885"/>
      <c r="J7" s="886"/>
      <c r="K7" s="886"/>
      <c r="L7" s="886"/>
      <c r="M7" s="886"/>
    </row>
    <row r="8" spans="1:13">
      <c r="A8" s="885"/>
      <c r="B8" s="885"/>
      <c r="C8" s="885"/>
      <c r="D8" s="885"/>
      <c r="E8" s="885"/>
      <c r="F8" s="885"/>
      <c r="G8" s="885"/>
      <c r="H8" s="885"/>
      <c r="I8" s="885"/>
      <c r="J8" s="886"/>
      <c r="K8" s="886"/>
      <c r="L8" s="886"/>
      <c r="M8" s="886"/>
    </row>
    <row r="9" spans="1:13">
      <c r="A9" s="884" t="s">
        <v>925</v>
      </c>
      <c r="B9" s="885"/>
      <c r="C9" s="885"/>
      <c r="D9" s="885"/>
      <c r="E9" s="885"/>
      <c r="F9" s="885"/>
      <c r="G9" s="885"/>
      <c r="H9" s="885"/>
      <c r="I9" s="885"/>
      <c r="J9" s="886"/>
      <c r="K9" s="886"/>
      <c r="L9" s="886"/>
      <c r="M9" s="886"/>
    </row>
    <row r="10" spans="1:13">
      <c r="A10" s="885"/>
      <c r="B10" s="885"/>
      <c r="C10" s="885"/>
      <c r="D10" s="885"/>
      <c r="E10" s="885"/>
      <c r="F10" s="885"/>
      <c r="G10" s="885"/>
      <c r="H10" s="885"/>
      <c r="I10" s="885"/>
      <c r="J10" s="886"/>
      <c r="K10" s="886"/>
      <c r="L10" s="886"/>
      <c r="M10" s="886"/>
    </row>
    <row r="11" spans="1:13" ht="13.15" customHeight="1">
      <c r="A11" s="887" t="s">
        <v>946</v>
      </c>
      <c r="B11" s="888"/>
      <c r="C11" s="889">
        <v>0.109</v>
      </c>
      <c r="D11" s="888"/>
      <c r="E11" s="888"/>
      <c r="F11" s="888"/>
      <c r="G11" s="888"/>
      <c r="H11" s="888"/>
      <c r="I11" s="888"/>
      <c r="J11" s="886"/>
      <c r="K11" s="886"/>
      <c r="L11" s="886"/>
      <c r="M11" s="886"/>
    </row>
    <row r="12" spans="1:13">
      <c r="A12" s="885" t="s">
        <v>937</v>
      </c>
      <c r="B12" s="885"/>
      <c r="C12" s="890">
        <v>5.0000000000000001E-3</v>
      </c>
      <c r="D12" s="885"/>
      <c r="E12" s="885"/>
      <c r="F12" s="885"/>
      <c r="G12" s="885"/>
      <c r="H12" s="885"/>
      <c r="I12" s="885"/>
      <c r="J12" s="886"/>
      <c r="K12" s="886"/>
      <c r="L12" s="886"/>
      <c r="M12" s="886"/>
    </row>
    <row r="13" spans="1:13">
      <c r="A13" s="885" t="s">
        <v>947</v>
      </c>
      <c r="B13" s="885"/>
      <c r="C13" s="891">
        <f>C11+C12</f>
        <v>0.114</v>
      </c>
      <c r="D13" s="885"/>
      <c r="E13" s="885"/>
      <c r="F13" s="885"/>
      <c r="G13" s="885"/>
      <c r="H13" s="885"/>
      <c r="I13" s="885"/>
      <c r="J13" s="883"/>
    </row>
    <row r="14" spans="1:13">
      <c r="A14" s="885"/>
      <c r="B14" s="885"/>
      <c r="C14" s="885"/>
      <c r="D14" s="885"/>
      <c r="E14" s="885"/>
      <c r="F14" s="885"/>
      <c r="G14" s="885"/>
      <c r="H14" s="885"/>
      <c r="I14" s="885"/>
    </row>
    <row r="15" spans="1:13">
      <c r="A15" s="884" t="s">
        <v>926</v>
      </c>
      <c r="B15" s="885"/>
      <c r="C15" s="885"/>
      <c r="D15" s="885"/>
      <c r="E15" s="885"/>
      <c r="F15" s="885"/>
      <c r="G15" s="885"/>
      <c r="H15" s="885"/>
      <c r="I15" s="885"/>
    </row>
    <row r="16" spans="1:13">
      <c r="A16" s="884"/>
      <c r="B16" s="885"/>
      <c r="C16" s="885"/>
      <c r="D16" s="885"/>
      <c r="E16" s="885"/>
      <c r="F16" s="885"/>
      <c r="G16" s="885"/>
      <c r="H16" s="885"/>
      <c r="I16" s="885"/>
    </row>
    <row r="17" spans="1:9">
      <c r="A17" s="885" t="s">
        <v>922</v>
      </c>
      <c r="B17" s="885"/>
      <c r="C17" s="892" t="s">
        <v>923</v>
      </c>
      <c r="D17" s="885"/>
      <c r="E17" s="885"/>
      <c r="F17" s="885"/>
      <c r="G17" s="885"/>
      <c r="H17" s="885"/>
      <c r="I17" s="885"/>
    </row>
    <row r="18" spans="1:9">
      <c r="A18" s="893" t="s">
        <v>953</v>
      </c>
      <c r="B18" s="894" t="s">
        <v>954</v>
      </c>
      <c r="C18" s="889">
        <v>0.2</v>
      </c>
      <c r="D18" s="885"/>
      <c r="E18" s="885"/>
      <c r="F18" s="885"/>
      <c r="G18" s="885"/>
      <c r="H18" s="885"/>
      <c r="I18" s="885"/>
    </row>
    <row r="19" spans="1:9">
      <c r="A19" s="893" t="s">
        <v>955</v>
      </c>
      <c r="B19" s="894" t="s">
        <v>956</v>
      </c>
      <c r="C19" s="889">
        <v>0.1</v>
      </c>
      <c r="D19" s="885"/>
      <c r="E19" s="885"/>
      <c r="F19" s="885"/>
      <c r="G19" s="885"/>
      <c r="H19" s="885"/>
      <c r="I19" s="885"/>
    </row>
    <row r="20" spans="1:9">
      <c r="A20" s="895" t="s">
        <v>932</v>
      </c>
      <c r="B20" s="885" t="s">
        <v>920</v>
      </c>
      <c r="C20" s="889">
        <v>1.34E-2</v>
      </c>
      <c r="D20" s="885"/>
      <c r="E20" s="885"/>
      <c r="F20" s="885"/>
      <c r="G20" s="885"/>
      <c r="H20" s="885"/>
      <c r="I20" s="885"/>
    </row>
    <row r="21" spans="1:9">
      <c r="A21" s="895" t="s">
        <v>933</v>
      </c>
      <c r="B21" s="885" t="s">
        <v>928</v>
      </c>
      <c r="C21" s="889">
        <v>1.6299999999999999E-2</v>
      </c>
      <c r="D21" s="885"/>
      <c r="E21" s="885"/>
      <c r="F21" s="885"/>
      <c r="G21" s="885"/>
      <c r="H21" s="885"/>
      <c r="I21" s="885"/>
    </row>
    <row r="22" spans="1:9">
      <c r="A22" s="895" t="s">
        <v>934</v>
      </c>
      <c r="B22" s="885" t="s">
        <v>929</v>
      </c>
      <c r="C22" s="896">
        <v>2.0199999999999999E-2</v>
      </c>
      <c r="D22" s="885"/>
      <c r="E22" s="885"/>
      <c r="F22" s="885"/>
      <c r="G22" s="885"/>
      <c r="H22" s="885"/>
      <c r="I22" s="885"/>
    </row>
    <row r="23" spans="1:9">
      <c r="A23" s="895" t="s">
        <v>935</v>
      </c>
      <c r="B23" s="885" t="s">
        <v>930</v>
      </c>
      <c r="C23" s="896">
        <v>1.61E-2</v>
      </c>
      <c r="D23" s="885"/>
      <c r="E23" s="885"/>
      <c r="F23" s="885"/>
      <c r="G23" s="885"/>
      <c r="H23" s="885"/>
      <c r="I23" s="885"/>
    </row>
    <row r="24" spans="1:9">
      <c r="A24" s="895" t="s">
        <v>936</v>
      </c>
      <c r="B24" s="885" t="s">
        <v>931</v>
      </c>
      <c r="C24" s="896">
        <v>1.8599999999999998E-2</v>
      </c>
      <c r="D24" s="885"/>
      <c r="E24" s="885"/>
      <c r="F24" s="885"/>
      <c r="G24" s="885"/>
      <c r="H24" s="885"/>
      <c r="I24" s="885"/>
    </row>
    <row r="25" spans="1:9">
      <c r="A25" s="895" t="s">
        <v>957</v>
      </c>
      <c r="B25" s="894" t="s">
        <v>958</v>
      </c>
      <c r="C25" s="896">
        <v>0.05</v>
      </c>
      <c r="E25" s="897"/>
      <c r="F25" s="897"/>
      <c r="G25" s="897"/>
    </row>
    <row r="26" spans="1:9">
      <c r="A26" s="895" t="s">
        <v>959</v>
      </c>
      <c r="B26" s="894" t="s">
        <v>960</v>
      </c>
      <c r="C26" s="896">
        <v>6.6699999999999995E-2</v>
      </c>
      <c r="E26" s="898"/>
      <c r="F26" s="898"/>
      <c r="G26" s="898"/>
    </row>
    <row r="27" spans="1:9">
      <c r="A27" s="895" t="s">
        <v>961</v>
      </c>
      <c r="B27" s="894" t="s">
        <v>962</v>
      </c>
      <c r="C27" s="896">
        <v>0.2</v>
      </c>
      <c r="E27" s="898"/>
      <c r="F27" s="898"/>
      <c r="G27" s="898"/>
    </row>
    <row r="28" spans="1:9">
      <c r="A28" s="895" t="s">
        <v>963</v>
      </c>
      <c r="B28" s="894" t="s">
        <v>964</v>
      </c>
      <c r="C28" s="896">
        <v>0.04</v>
      </c>
      <c r="E28" s="898"/>
      <c r="F28" s="898"/>
      <c r="G28" s="898"/>
    </row>
    <row r="29" spans="1:9">
      <c r="A29" s="895" t="s">
        <v>965</v>
      </c>
      <c r="B29" s="894" t="s">
        <v>966</v>
      </c>
      <c r="C29" s="896">
        <v>0.04</v>
      </c>
      <c r="E29" s="898"/>
      <c r="F29" s="898"/>
      <c r="G29" s="898"/>
    </row>
    <row r="30" spans="1:9">
      <c r="A30" s="895" t="s">
        <v>967</v>
      </c>
      <c r="B30" s="894" t="s">
        <v>968</v>
      </c>
      <c r="C30" s="896">
        <v>0.05</v>
      </c>
      <c r="E30" s="897"/>
      <c r="F30" s="897"/>
      <c r="G30" s="897"/>
    </row>
    <row r="31" spans="1:9">
      <c r="A31" s="895" t="s">
        <v>969</v>
      </c>
      <c r="B31" s="894" t="s">
        <v>970</v>
      </c>
      <c r="C31" s="896">
        <v>6.6699999999999995E-2</v>
      </c>
      <c r="E31" s="897"/>
      <c r="F31" s="897"/>
      <c r="G31" s="897"/>
    </row>
    <row r="32" spans="1:9">
      <c r="A32" s="895" t="s">
        <v>971</v>
      </c>
      <c r="B32" s="894" t="s">
        <v>972</v>
      </c>
      <c r="C32" s="896">
        <v>0.05</v>
      </c>
      <c r="E32" s="897"/>
      <c r="F32" s="897"/>
      <c r="G32" s="897"/>
    </row>
    <row r="33" spans="1:7">
      <c r="E33" s="897"/>
      <c r="F33" s="897"/>
      <c r="G33" s="897"/>
    </row>
    <row r="34" spans="1:7">
      <c r="A34" s="899" t="s">
        <v>363</v>
      </c>
      <c r="C34" s="900"/>
      <c r="E34" s="897"/>
      <c r="F34" s="897"/>
      <c r="G34" s="897"/>
    </row>
    <row r="35" spans="1:7">
      <c r="A35" s="901" t="s">
        <v>927</v>
      </c>
      <c r="B35" s="902" t="s">
        <v>924</v>
      </c>
      <c r="C35" s="902"/>
      <c r="D35" s="902"/>
      <c r="E35" s="897"/>
      <c r="F35" s="897"/>
      <c r="G35" s="897"/>
    </row>
    <row r="36" spans="1:7">
      <c r="E36" s="897"/>
      <c r="F36" s="897"/>
      <c r="G36" s="897"/>
    </row>
    <row r="37" spans="1:7">
      <c r="E37" s="897"/>
      <c r="F37" s="897"/>
      <c r="G37" s="897"/>
    </row>
    <row r="38" spans="1:7">
      <c r="E38" s="897"/>
      <c r="F38" s="897"/>
      <c r="G38" s="897"/>
    </row>
    <row r="39" spans="1:7">
      <c r="E39" s="897"/>
      <c r="F39" s="897"/>
      <c r="G39" s="897"/>
    </row>
    <row r="40" spans="1:7">
      <c r="E40" s="897"/>
      <c r="F40" s="897"/>
      <c r="G40" s="897"/>
    </row>
    <row r="41" spans="1:7">
      <c r="E41" s="897"/>
      <c r="F41" s="897"/>
      <c r="G41" s="897"/>
    </row>
    <row r="42" spans="1:7">
      <c r="E42" s="897"/>
      <c r="F42" s="897"/>
      <c r="G42" s="897"/>
    </row>
    <row r="43" spans="1:7">
      <c r="E43" s="897"/>
      <c r="F43" s="897"/>
      <c r="G43" s="897"/>
    </row>
    <row r="44" spans="1:7">
      <c r="E44" s="897"/>
      <c r="F44" s="897"/>
      <c r="G44" s="897"/>
    </row>
    <row r="45" spans="1:7">
      <c r="E45" s="897"/>
      <c r="F45" s="897"/>
      <c r="G45" s="897"/>
    </row>
    <row r="46" spans="1:7">
      <c r="E46" s="897"/>
      <c r="F46" s="897"/>
      <c r="G46" s="897"/>
    </row>
    <row r="47" spans="1:7">
      <c r="E47" s="897"/>
      <c r="F47" s="897"/>
      <c r="G47" s="897"/>
    </row>
    <row r="48" spans="1:7">
      <c r="E48" s="897"/>
      <c r="F48" s="897"/>
      <c r="G48" s="897"/>
    </row>
    <row r="49" spans="5:7">
      <c r="E49" s="897"/>
      <c r="F49" s="897"/>
      <c r="G49" s="897"/>
    </row>
    <row r="50" spans="5:7">
      <c r="E50" s="897"/>
      <c r="F50" s="897"/>
      <c r="G50" s="897"/>
    </row>
    <row r="51" spans="5:7">
      <c r="E51" s="897"/>
      <c r="F51" s="897"/>
      <c r="G51" s="897"/>
    </row>
    <row r="52" spans="5:7">
      <c r="E52" s="897"/>
      <c r="F52" s="897"/>
      <c r="G52" s="897"/>
    </row>
    <row r="53" spans="5:7">
      <c r="E53" s="897"/>
      <c r="F53" s="897"/>
      <c r="G53" s="897"/>
    </row>
    <row r="54" spans="5:7">
      <c r="E54" s="897"/>
      <c r="F54" s="897"/>
      <c r="G54" s="897"/>
    </row>
    <row r="55" spans="5:7">
      <c r="E55" s="897"/>
      <c r="F55" s="897"/>
      <c r="G55" s="897"/>
    </row>
    <row r="56" spans="5:7">
      <c r="E56" s="897"/>
      <c r="F56" s="897"/>
      <c r="G56" s="897"/>
    </row>
    <row r="57" spans="5:7">
      <c r="E57" s="897"/>
      <c r="F57" s="897"/>
      <c r="G57" s="897"/>
    </row>
    <row r="58" spans="5:7">
      <c r="E58" s="897"/>
      <c r="F58" s="897"/>
      <c r="G58" s="897"/>
    </row>
    <row r="59" spans="5:7">
      <c r="E59" s="897"/>
      <c r="F59" s="897"/>
      <c r="G59" s="897"/>
    </row>
    <row r="60" spans="5:7">
      <c r="E60" s="897"/>
      <c r="F60" s="897"/>
      <c r="G60" s="897"/>
    </row>
    <row r="61" spans="5:7">
      <c r="E61" s="897"/>
      <c r="F61" s="897"/>
      <c r="G61" s="897"/>
    </row>
    <row r="62" spans="5:7">
      <c r="E62" s="897"/>
      <c r="F62" s="897"/>
      <c r="G62" s="897"/>
    </row>
    <row r="63" spans="5:7">
      <c r="E63" s="897"/>
      <c r="F63" s="897"/>
      <c r="G63" s="897"/>
    </row>
    <row r="64" spans="5:7">
      <c r="E64" s="897"/>
      <c r="F64" s="897"/>
      <c r="G64" s="897"/>
    </row>
    <row r="65" spans="5:7">
      <c r="E65" s="897"/>
      <c r="F65" s="897"/>
      <c r="G65" s="897"/>
    </row>
    <row r="66" spans="5:7">
      <c r="E66" s="897"/>
      <c r="F66" s="897"/>
      <c r="G66" s="897"/>
    </row>
    <row r="67" spans="5:7">
      <c r="E67" s="897"/>
      <c r="F67" s="897"/>
      <c r="G67" s="897"/>
    </row>
    <row r="68" spans="5:7">
      <c r="E68" s="897"/>
      <c r="F68" s="897"/>
      <c r="G68" s="897"/>
    </row>
    <row r="69" spans="5:7">
      <c r="E69" s="897"/>
      <c r="F69" s="897"/>
      <c r="G69" s="897"/>
    </row>
    <row r="70" spans="5:7">
      <c r="E70" s="897"/>
      <c r="F70" s="897"/>
      <c r="G70" s="897"/>
    </row>
    <row r="71" spans="5:7">
      <c r="E71" s="897"/>
      <c r="F71" s="897"/>
      <c r="G71" s="897"/>
    </row>
    <row r="72" spans="5:7">
      <c r="E72" s="897"/>
      <c r="F72" s="897"/>
      <c r="G72" s="897"/>
    </row>
    <row r="73" spans="5:7">
      <c r="E73" s="897"/>
      <c r="F73" s="897"/>
      <c r="G73" s="897"/>
    </row>
    <row r="74" spans="5:7">
      <c r="E74" s="897"/>
      <c r="F74" s="897"/>
      <c r="G74" s="897"/>
    </row>
    <row r="75" spans="5:7">
      <c r="E75" s="897"/>
      <c r="F75" s="897"/>
      <c r="G75" s="897"/>
    </row>
    <row r="76" spans="5:7">
      <c r="E76" s="897"/>
      <c r="F76" s="897"/>
      <c r="G76" s="897"/>
    </row>
    <row r="77" spans="5:7">
      <c r="E77" s="897"/>
      <c r="F77" s="897"/>
      <c r="G77" s="897"/>
    </row>
    <row r="78" spans="5:7">
      <c r="E78" s="897"/>
      <c r="F78" s="897"/>
      <c r="G78" s="897"/>
    </row>
    <row r="79" spans="5:7">
      <c r="E79" s="897"/>
      <c r="F79" s="897"/>
      <c r="G79" s="897"/>
    </row>
    <row r="80" spans="5:7">
      <c r="E80" s="897"/>
      <c r="F80" s="897"/>
      <c r="G80" s="897"/>
    </row>
    <row r="81" spans="5:7">
      <c r="E81" s="897"/>
      <c r="F81" s="897"/>
      <c r="G81" s="897"/>
    </row>
    <row r="82" spans="5:7">
      <c r="E82" s="897"/>
      <c r="F82" s="897"/>
      <c r="G82" s="897"/>
    </row>
    <row r="83" spans="5:7">
      <c r="E83" s="897"/>
      <c r="F83" s="897"/>
      <c r="G83" s="897"/>
    </row>
    <row r="84" spans="5:7">
      <c r="E84" s="897"/>
      <c r="F84" s="897"/>
      <c r="G84" s="897"/>
    </row>
    <row r="85" spans="5:7">
      <c r="E85" s="897"/>
      <c r="F85" s="897"/>
      <c r="G85" s="897"/>
    </row>
    <row r="86" spans="5:7">
      <c r="E86" s="897"/>
      <c r="F86" s="897"/>
      <c r="G86" s="897"/>
    </row>
    <row r="87" spans="5:7">
      <c r="E87" s="897"/>
      <c r="F87" s="897"/>
      <c r="G87" s="897"/>
    </row>
    <row r="88" spans="5:7">
      <c r="E88" s="897"/>
      <c r="F88" s="897"/>
      <c r="G88" s="897"/>
    </row>
    <row r="89" spans="5:7">
      <c r="E89" s="897"/>
      <c r="F89" s="897"/>
      <c r="G89" s="897"/>
    </row>
    <row r="90" spans="5:7">
      <c r="E90" s="897"/>
      <c r="F90" s="897"/>
      <c r="G90" s="897"/>
    </row>
    <row r="91" spans="5:7">
      <c r="E91" s="897"/>
      <c r="F91" s="897"/>
      <c r="G91" s="897"/>
    </row>
    <row r="92" spans="5:7">
      <c r="E92" s="897"/>
      <c r="F92" s="897"/>
      <c r="G92" s="897"/>
    </row>
    <row r="93" spans="5:7">
      <c r="E93" s="897"/>
      <c r="F93" s="897"/>
      <c r="G93" s="897"/>
    </row>
    <row r="94" spans="5:7">
      <c r="E94" s="897"/>
      <c r="F94" s="897"/>
      <c r="G94" s="897"/>
    </row>
    <row r="95" spans="5:7">
      <c r="E95" s="897"/>
      <c r="F95" s="897"/>
      <c r="G95" s="897"/>
    </row>
    <row r="96" spans="5:7">
      <c r="E96" s="897"/>
      <c r="F96" s="897"/>
      <c r="G96" s="897"/>
    </row>
    <row r="97" spans="5:7">
      <c r="E97" s="897"/>
      <c r="F97" s="897"/>
      <c r="G97" s="897"/>
    </row>
    <row r="98" spans="5:7">
      <c r="E98" s="897"/>
      <c r="F98" s="897"/>
      <c r="G98" s="897"/>
    </row>
    <row r="99" spans="5:7">
      <c r="E99" s="897"/>
      <c r="F99" s="897"/>
      <c r="G99" s="897"/>
    </row>
    <row r="100" spans="5:7">
      <c r="E100" s="897"/>
      <c r="F100" s="897"/>
      <c r="G100" s="897"/>
    </row>
    <row r="101" spans="5:7">
      <c r="E101" s="897"/>
      <c r="F101" s="897"/>
      <c r="G101" s="897"/>
    </row>
    <row r="102" spans="5:7">
      <c r="E102" s="897"/>
      <c r="F102" s="897"/>
      <c r="G102" s="897"/>
    </row>
    <row r="103" spans="5:7">
      <c r="E103" s="897"/>
      <c r="F103" s="897"/>
      <c r="G103" s="897"/>
    </row>
    <row r="104" spans="5:7">
      <c r="E104" s="897"/>
      <c r="F104" s="897"/>
      <c r="G104" s="897"/>
    </row>
    <row r="105" spans="5:7">
      <c r="E105" s="897"/>
      <c r="F105" s="897"/>
      <c r="G105" s="897"/>
    </row>
    <row r="106" spans="5:7">
      <c r="E106" s="897"/>
      <c r="F106" s="897"/>
      <c r="G106" s="897"/>
    </row>
    <row r="107" spans="5:7">
      <c r="E107" s="897"/>
      <c r="F107" s="897"/>
      <c r="G107" s="897"/>
    </row>
    <row r="108" spans="5:7">
      <c r="E108" s="897"/>
      <c r="F108" s="897"/>
      <c r="G108" s="897"/>
    </row>
    <row r="109" spans="5:7">
      <c r="E109" s="897"/>
      <c r="F109" s="897"/>
      <c r="G109" s="897"/>
    </row>
    <row r="110" spans="5:7">
      <c r="E110" s="897"/>
      <c r="F110" s="897"/>
      <c r="G110" s="897"/>
    </row>
    <row r="111" spans="5:7">
      <c r="E111" s="897"/>
      <c r="F111" s="897"/>
      <c r="G111" s="897"/>
    </row>
    <row r="112" spans="5:7">
      <c r="E112" s="897"/>
      <c r="F112" s="897"/>
      <c r="G112" s="897"/>
    </row>
    <row r="113" spans="5:7">
      <c r="E113" s="897"/>
      <c r="F113" s="897"/>
      <c r="G113" s="897"/>
    </row>
    <row r="114" spans="5:7">
      <c r="E114" s="897"/>
      <c r="F114" s="897"/>
      <c r="G114" s="897"/>
    </row>
    <row r="115" spans="5:7">
      <c r="E115" s="897"/>
      <c r="F115" s="897"/>
      <c r="G115" s="897"/>
    </row>
    <row r="116" spans="5:7">
      <c r="E116" s="897"/>
      <c r="F116" s="897"/>
      <c r="G116" s="897"/>
    </row>
    <row r="117" spans="5:7">
      <c r="E117" s="897"/>
      <c r="F117" s="897"/>
      <c r="G117" s="897"/>
    </row>
    <row r="118" spans="5:7">
      <c r="E118" s="897"/>
      <c r="F118" s="897"/>
      <c r="G118" s="897"/>
    </row>
    <row r="119" spans="5:7">
      <c r="E119" s="897"/>
      <c r="F119" s="897"/>
      <c r="G119" s="897"/>
    </row>
    <row r="120" spans="5:7">
      <c r="E120" s="897"/>
      <c r="F120" s="897"/>
      <c r="G120" s="897"/>
    </row>
    <row r="121" spans="5:7">
      <c r="E121" s="897"/>
      <c r="F121" s="897"/>
      <c r="G121" s="897"/>
    </row>
    <row r="122" spans="5:7">
      <c r="E122" s="897"/>
      <c r="F122" s="897"/>
      <c r="G122" s="897"/>
    </row>
    <row r="123" spans="5:7">
      <c r="E123" s="897"/>
      <c r="F123" s="897"/>
      <c r="G123" s="897"/>
    </row>
    <row r="124" spans="5:7">
      <c r="E124" s="897"/>
      <c r="F124" s="897"/>
      <c r="G124" s="897"/>
    </row>
    <row r="125" spans="5:7">
      <c r="E125" s="897"/>
      <c r="F125" s="897"/>
      <c r="G125" s="897"/>
    </row>
    <row r="126" spans="5:7">
      <c r="E126" s="897"/>
      <c r="F126" s="897"/>
      <c r="G126" s="897"/>
    </row>
    <row r="127" spans="5:7">
      <c r="E127" s="897"/>
      <c r="F127" s="897"/>
      <c r="G127" s="897"/>
    </row>
    <row r="128" spans="5:7">
      <c r="E128" s="897"/>
      <c r="F128" s="897"/>
      <c r="G128" s="897"/>
    </row>
    <row r="129" spans="5:7">
      <c r="E129" s="897"/>
      <c r="F129" s="897"/>
      <c r="G129" s="897"/>
    </row>
    <row r="130" spans="5:7">
      <c r="E130" s="897"/>
      <c r="F130" s="897"/>
      <c r="G130" s="897"/>
    </row>
    <row r="131" spans="5:7">
      <c r="E131" s="897"/>
      <c r="F131" s="897"/>
      <c r="G131" s="897"/>
    </row>
    <row r="132" spans="5:7">
      <c r="E132" s="897"/>
      <c r="F132" s="897"/>
      <c r="G132" s="897"/>
    </row>
    <row r="133" spans="5:7">
      <c r="E133" s="897"/>
      <c r="F133" s="897"/>
      <c r="G133" s="897"/>
    </row>
    <row r="134" spans="5:7">
      <c r="E134" s="897"/>
      <c r="F134" s="897"/>
      <c r="G134" s="897"/>
    </row>
    <row r="135" spans="5:7">
      <c r="E135" s="897"/>
      <c r="F135" s="897"/>
      <c r="G135" s="897"/>
    </row>
    <row r="136" spans="5:7">
      <c r="E136" s="897"/>
      <c r="F136" s="897"/>
      <c r="G136" s="897"/>
    </row>
    <row r="137" spans="5:7">
      <c r="E137" s="897"/>
      <c r="F137" s="897"/>
      <c r="G137" s="897"/>
    </row>
    <row r="138" spans="5:7">
      <c r="E138" s="897"/>
      <c r="F138" s="897"/>
      <c r="G138" s="897"/>
    </row>
    <row r="139" spans="5:7">
      <c r="E139" s="897"/>
      <c r="F139" s="897"/>
      <c r="G139" s="897"/>
    </row>
    <row r="140" spans="5:7">
      <c r="E140" s="897"/>
      <c r="F140" s="897"/>
      <c r="G140" s="897"/>
    </row>
    <row r="141" spans="5:7">
      <c r="E141" s="897"/>
      <c r="F141" s="897"/>
      <c r="G141" s="897"/>
    </row>
    <row r="142" spans="5:7">
      <c r="E142" s="897"/>
      <c r="F142" s="897"/>
      <c r="G142" s="897"/>
    </row>
    <row r="143" spans="5:7">
      <c r="E143" s="897"/>
      <c r="F143" s="897"/>
      <c r="G143" s="897"/>
    </row>
    <row r="144" spans="5:7">
      <c r="E144" s="897"/>
      <c r="F144" s="897"/>
      <c r="G144" s="897"/>
    </row>
    <row r="145" spans="5:7">
      <c r="E145" s="897"/>
      <c r="F145" s="897"/>
      <c r="G145" s="897"/>
    </row>
    <row r="146" spans="5:7">
      <c r="E146" s="897"/>
      <c r="F146" s="897"/>
      <c r="G146" s="897"/>
    </row>
    <row r="147" spans="5:7">
      <c r="E147" s="897"/>
      <c r="F147" s="897"/>
      <c r="G147" s="897"/>
    </row>
    <row r="148" spans="5:7">
      <c r="E148" s="897"/>
      <c r="F148" s="897"/>
      <c r="G148" s="897"/>
    </row>
    <row r="149" spans="5:7">
      <c r="E149" s="897"/>
      <c r="F149" s="897"/>
      <c r="G149" s="897"/>
    </row>
    <row r="150" spans="5:7">
      <c r="E150" s="897"/>
      <c r="F150" s="897"/>
      <c r="G150" s="897"/>
    </row>
    <row r="151" spans="5:7">
      <c r="E151" s="897"/>
      <c r="F151" s="897"/>
      <c r="G151" s="897"/>
    </row>
    <row r="152" spans="5:7">
      <c r="E152" s="897"/>
      <c r="F152" s="897"/>
      <c r="G152" s="897"/>
    </row>
    <row r="153" spans="5:7">
      <c r="E153" s="897"/>
      <c r="F153" s="897"/>
      <c r="G153" s="897"/>
    </row>
    <row r="154" spans="5:7">
      <c r="E154" s="897"/>
      <c r="F154" s="897"/>
      <c r="G154" s="897"/>
    </row>
    <row r="155" spans="5:7">
      <c r="E155" s="897"/>
      <c r="F155" s="897"/>
      <c r="G155" s="897"/>
    </row>
    <row r="156" spans="5:7">
      <c r="E156" s="897"/>
      <c r="F156" s="897"/>
      <c r="G156" s="897"/>
    </row>
    <row r="157" spans="5:7">
      <c r="E157" s="897"/>
      <c r="F157" s="897"/>
      <c r="G157" s="897"/>
    </row>
    <row r="158" spans="5:7">
      <c r="E158" s="897"/>
      <c r="F158" s="897"/>
      <c r="G158" s="897"/>
    </row>
    <row r="159" spans="5:7">
      <c r="E159" s="897"/>
      <c r="F159" s="897"/>
      <c r="G159" s="897"/>
    </row>
    <row r="160" spans="5:7">
      <c r="E160" s="897"/>
      <c r="F160" s="897"/>
      <c r="G160" s="897"/>
    </row>
    <row r="161" spans="5:7">
      <c r="E161" s="897"/>
      <c r="F161" s="897"/>
      <c r="G161" s="897"/>
    </row>
    <row r="162" spans="5:7">
      <c r="E162" s="897"/>
      <c r="F162" s="897"/>
      <c r="G162" s="897"/>
    </row>
    <row r="163" spans="5:7">
      <c r="E163" s="897"/>
      <c r="F163" s="897"/>
      <c r="G163" s="897"/>
    </row>
    <row r="164" spans="5:7">
      <c r="E164" s="897"/>
      <c r="F164" s="897"/>
      <c r="G164" s="897"/>
    </row>
    <row r="165" spans="5:7">
      <c r="E165" s="897"/>
      <c r="F165" s="897"/>
      <c r="G165" s="897"/>
    </row>
    <row r="166" spans="5:7">
      <c r="E166" s="897"/>
      <c r="F166" s="897"/>
      <c r="G166" s="897"/>
    </row>
    <row r="167" spans="5:7">
      <c r="E167" s="897"/>
      <c r="F167" s="897"/>
      <c r="G167" s="897"/>
    </row>
    <row r="168" spans="5:7">
      <c r="E168" s="897"/>
      <c r="F168" s="897"/>
      <c r="G168" s="897"/>
    </row>
    <row r="169" spans="5:7">
      <c r="E169" s="897"/>
      <c r="F169" s="897"/>
      <c r="G169" s="897"/>
    </row>
    <row r="170" spans="5:7">
      <c r="E170" s="897"/>
      <c r="F170" s="897"/>
      <c r="G170" s="897"/>
    </row>
    <row r="171" spans="5:7">
      <c r="E171" s="897"/>
      <c r="F171" s="897"/>
      <c r="G171" s="897"/>
    </row>
    <row r="172" spans="5:7">
      <c r="E172" s="897"/>
      <c r="F172" s="897"/>
      <c r="G172" s="897"/>
    </row>
    <row r="173" spans="5:7">
      <c r="E173" s="897"/>
      <c r="F173" s="897"/>
      <c r="G173" s="897"/>
    </row>
    <row r="174" spans="5:7">
      <c r="E174" s="897"/>
      <c r="F174" s="897"/>
      <c r="G174" s="897"/>
    </row>
    <row r="175" spans="5:7">
      <c r="E175" s="897"/>
      <c r="F175" s="897"/>
      <c r="G175" s="897"/>
    </row>
    <row r="176" spans="5:7">
      <c r="E176" s="897"/>
      <c r="F176" s="897"/>
      <c r="G176" s="897"/>
    </row>
    <row r="177" spans="5:7">
      <c r="E177" s="897"/>
      <c r="F177" s="897"/>
      <c r="G177" s="897"/>
    </row>
    <row r="178" spans="5:7">
      <c r="E178" s="897"/>
      <c r="F178" s="897"/>
      <c r="G178" s="897"/>
    </row>
    <row r="179" spans="5:7">
      <c r="E179" s="897"/>
      <c r="F179" s="897"/>
      <c r="G179" s="897"/>
    </row>
    <row r="180" spans="5:7">
      <c r="E180" s="897"/>
      <c r="F180" s="897"/>
      <c r="G180" s="897"/>
    </row>
    <row r="181" spans="5:7">
      <c r="E181" s="897"/>
      <c r="F181" s="897"/>
      <c r="G181" s="897"/>
    </row>
    <row r="182" spans="5:7">
      <c r="E182" s="897"/>
      <c r="F182" s="897"/>
      <c r="G182" s="897"/>
    </row>
    <row r="183" spans="5:7">
      <c r="E183" s="897"/>
      <c r="F183" s="897"/>
      <c r="G183" s="897"/>
    </row>
    <row r="184" spans="5:7">
      <c r="E184" s="897"/>
      <c r="F184" s="897"/>
      <c r="G184" s="897"/>
    </row>
    <row r="185" spans="5:7">
      <c r="E185" s="897"/>
      <c r="F185" s="897"/>
      <c r="G185" s="897"/>
    </row>
    <row r="186" spans="5:7">
      <c r="E186" s="897"/>
      <c r="F186" s="897"/>
      <c r="G186" s="897"/>
    </row>
    <row r="187" spans="5:7">
      <c r="E187" s="897"/>
      <c r="F187" s="897"/>
      <c r="G187" s="897"/>
    </row>
    <row r="188" spans="5:7">
      <c r="E188" s="897"/>
      <c r="F188" s="897"/>
      <c r="G188" s="897"/>
    </row>
    <row r="189" spans="5:7">
      <c r="E189" s="897"/>
      <c r="F189" s="897"/>
      <c r="G189" s="897"/>
    </row>
    <row r="190" spans="5:7">
      <c r="E190" s="897"/>
      <c r="F190" s="897"/>
      <c r="G190" s="897"/>
    </row>
    <row r="191" spans="5:7">
      <c r="E191" s="897"/>
      <c r="F191" s="897"/>
      <c r="G191" s="897"/>
    </row>
    <row r="192" spans="5:7">
      <c r="E192" s="897"/>
      <c r="F192" s="897"/>
      <c r="G192" s="897"/>
    </row>
    <row r="193" spans="5:7">
      <c r="E193" s="897"/>
      <c r="F193" s="897"/>
      <c r="G193" s="897"/>
    </row>
    <row r="194" spans="5:7">
      <c r="E194" s="897"/>
      <c r="F194" s="897"/>
      <c r="G194" s="897"/>
    </row>
    <row r="195" spans="5:7">
      <c r="E195" s="897"/>
      <c r="F195" s="897"/>
      <c r="G195" s="897"/>
    </row>
    <row r="196" spans="5:7">
      <c r="E196" s="897"/>
      <c r="F196" s="897"/>
      <c r="G196" s="897"/>
    </row>
    <row r="197" spans="5:7">
      <c r="E197" s="897"/>
      <c r="F197" s="897"/>
      <c r="G197" s="897"/>
    </row>
    <row r="198" spans="5:7">
      <c r="E198" s="897"/>
      <c r="F198" s="897"/>
      <c r="G198" s="897"/>
    </row>
    <row r="199" spans="5:7">
      <c r="E199" s="897"/>
      <c r="F199" s="897"/>
      <c r="G199" s="897"/>
    </row>
    <row r="200" spans="5:7">
      <c r="E200" s="897"/>
      <c r="F200" s="897"/>
      <c r="G200" s="897"/>
    </row>
    <row r="201" spans="5:7">
      <c r="E201" s="897"/>
      <c r="F201" s="897"/>
      <c r="G201" s="897"/>
    </row>
    <row r="202" spans="5:7">
      <c r="E202" s="897"/>
      <c r="F202" s="897"/>
      <c r="G202" s="897"/>
    </row>
    <row r="203" spans="5:7">
      <c r="E203" s="897"/>
      <c r="F203" s="897"/>
      <c r="G203" s="897"/>
    </row>
    <row r="204" spans="5:7">
      <c r="E204" s="897"/>
      <c r="F204" s="897"/>
      <c r="G204" s="897"/>
    </row>
    <row r="205" spans="5:7">
      <c r="E205" s="897"/>
      <c r="F205" s="897"/>
      <c r="G205" s="897"/>
    </row>
    <row r="206" spans="5:7">
      <c r="E206" s="897"/>
      <c r="F206" s="897"/>
      <c r="G206" s="897"/>
    </row>
    <row r="207" spans="5:7">
      <c r="E207" s="897"/>
      <c r="F207" s="897"/>
      <c r="G207" s="897"/>
    </row>
    <row r="208" spans="5:7">
      <c r="E208" s="897"/>
      <c r="F208" s="897"/>
      <c r="G208" s="897"/>
    </row>
    <row r="209" spans="5:7">
      <c r="E209" s="897"/>
      <c r="F209" s="897"/>
      <c r="G209" s="897"/>
    </row>
    <row r="210" spans="5:7">
      <c r="E210" s="897"/>
      <c r="F210" s="897"/>
      <c r="G210" s="897"/>
    </row>
    <row r="211" spans="5:7">
      <c r="E211" s="897"/>
      <c r="F211" s="897"/>
      <c r="G211" s="897"/>
    </row>
    <row r="212" spans="5:7">
      <c r="E212" s="897"/>
      <c r="F212" s="897"/>
      <c r="G212" s="897"/>
    </row>
    <row r="213" spans="5:7">
      <c r="E213" s="897"/>
      <c r="F213" s="897"/>
      <c r="G213" s="897"/>
    </row>
    <row r="214" spans="5:7">
      <c r="E214" s="897"/>
      <c r="F214" s="897"/>
      <c r="G214" s="897"/>
    </row>
    <row r="215" spans="5:7">
      <c r="E215" s="897"/>
      <c r="F215" s="897"/>
      <c r="G215" s="897"/>
    </row>
    <row r="216" spans="5:7">
      <c r="E216" s="897"/>
      <c r="F216" s="897"/>
      <c r="G216" s="897"/>
    </row>
    <row r="217" spans="5:7">
      <c r="E217" s="897"/>
      <c r="F217" s="897"/>
      <c r="G217" s="897"/>
    </row>
    <row r="218" spans="5:7">
      <c r="E218" s="897"/>
      <c r="F218" s="897"/>
      <c r="G218" s="897"/>
    </row>
    <row r="219" spans="5:7">
      <c r="E219" s="897"/>
      <c r="F219" s="897"/>
      <c r="G219" s="897"/>
    </row>
    <row r="220" spans="5:7">
      <c r="E220" s="897"/>
      <c r="F220" s="897"/>
      <c r="G220" s="897"/>
    </row>
    <row r="221" spans="5:7">
      <c r="E221" s="897"/>
      <c r="F221" s="897"/>
      <c r="G221" s="897"/>
    </row>
    <row r="222" spans="5:7">
      <c r="E222" s="897"/>
      <c r="F222" s="897"/>
      <c r="G222" s="897"/>
    </row>
    <row r="223" spans="5:7">
      <c r="E223" s="897"/>
      <c r="F223" s="897"/>
      <c r="G223" s="897"/>
    </row>
    <row r="224" spans="5:7">
      <c r="E224" s="897"/>
      <c r="F224" s="897"/>
      <c r="G224" s="897"/>
    </row>
    <row r="225" spans="5:7">
      <c r="E225" s="897"/>
      <c r="F225" s="897"/>
      <c r="G225" s="897"/>
    </row>
    <row r="226" spans="5:7">
      <c r="E226" s="897"/>
      <c r="F226" s="897"/>
      <c r="G226" s="897"/>
    </row>
    <row r="227" spans="5:7">
      <c r="E227" s="897"/>
      <c r="F227" s="897"/>
      <c r="G227" s="897"/>
    </row>
    <row r="228" spans="5:7">
      <c r="E228" s="897"/>
      <c r="F228" s="897"/>
      <c r="G228" s="897"/>
    </row>
    <row r="229" spans="5:7">
      <c r="E229" s="897"/>
      <c r="F229" s="897"/>
      <c r="G229" s="897"/>
    </row>
    <row r="230" spans="5:7">
      <c r="E230" s="897"/>
      <c r="F230" s="897"/>
      <c r="G230" s="897"/>
    </row>
    <row r="231" spans="5:7">
      <c r="E231" s="897"/>
      <c r="F231" s="897"/>
      <c r="G231" s="897"/>
    </row>
    <row r="232" spans="5:7">
      <c r="E232" s="897"/>
      <c r="F232" s="897"/>
      <c r="G232" s="897"/>
    </row>
    <row r="233" spans="5:7">
      <c r="E233" s="897"/>
      <c r="F233" s="897"/>
      <c r="G233" s="897"/>
    </row>
    <row r="234" spans="5:7">
      <c r="E234" s="897"/>
      <c r="F234" s="897"/>
      <c r="G234" s="897"/>
    </row>
    <row r="235" spans="5:7">
      <c r="E235" s="897"/>
      <c r="F235" s="897"/>
      <c r="G235" s="897"/>
    </row>
    <row r="236" spans="5:7">
      <c r="E236" s="897"/>
      <c r="F236" s="897"/>
      <c r="G236" s="897"/>
    </row>
    <row r="237" spans="5:7">
      <c r="E237" s="897"/>
      <c r="F237" s="897"/>
      <c r="G237" s="897"/>
    </row>
    <row r="238" spans="5:7">
      <c r="E238" s="897"/>
      <c r="F238" s="897"/>
      <c r="G238" s="897"/>
    </row>
    <row r="239" spans="5:7">
      <c r="E239" s="897"/>
      <c r="F239" s="897"/>
      <c r="G239" s="897"/>
    </row>
    <row r="240" spans="5:7">
      <c r="E240" s="897"/>
      <c r="F240" s="897"/>
      <c r="G240" s="897"/>
    </row>
    <row r="241" spans="5:7">
      <c r="E241" s="897"/>
      <c r="F241" s="897"/>
      <c r="G241" s="897"/>
    </row>
    <row r="242" spans="5:7">
      <c r="E242" s="897"/>
      <c r="F242" s="897"/>
      <c r="G242" s="897"/>
    </row>
    <row r="243" spans="5:7">
      <c r="E243" s="897"/>
      <c r="F243" s="897"/>
      <c r="G243" s="897"/>
    </row>
    <row r="244" spans="5:7">
      <c r="E244" s="897"/>
      <c r="F244" s="897"/>
      <c r="G244" s="897"/>
    </row>
    <row r="245" spans="5:7">
      <c r="E245" s="897"/>
      <c r="F245" s="897"/>
      <c r="G245" s="897"/>
    </row>
    <row r="246" spans="5:7">
      <c r="E246" s="897"/>
      <c r="F246" s="897"/>
      <c r="G246" s="897"/>
    </row>
    <row r="247" spans="5:7">
      <c r="E247" s="897"/>
      <c r="F247" s="897"/>
      <c r="G247" s="897"/>
    </row>
    <row r="248" spans="5:7">
      <c r="E248" s="897"/>
      <c r="F248" s="897"/>
      <c r="G248" s="897"/>
    </row>
    <row r="249" spans="5:7">
      <c r="E249" s="897"/>
      <c r="F249" s="897"/>
      <c r="G249" s="897"/>
    </row>
    <row r="250" spans="5:7">
      <c r="E250" s="897"/>
      <c r="F250" s="897"/>
      <c r="G250" s="897"/>
    </row>
    <row r="251" spans="5:7">
      <c r="E251" s="897"/>
      <c r="F251" s="897"/>
      <c r="G251" s="897"/>
    </row>
    <row r="252" spans="5:7">
      <c r="E252" s="897"/>
      <c r="F252" s="897"/>
      <c r="G252" s="897"/>
    </row>
    <row r="253" spans="5:7">
      <c r="E253" s="897"/>
      <c r="F253" s="897"/>
      <c r="G253" s="897"/>
    </row>
    <row r="254" spans="5:7">
      <c r="E254" s="897"/>
      <c r="F254" s="897"/>
      <c r="G254" s="897"/>
    </row>
    <row r="255" spans="5:7">
      <c r="E255" s="897"/>
      <c r="F255" s="897"/>
      <c r="G255" s="897"/>
    </row>
    <row r="256" spans="5:7">
      <c r="E256" s="897"/>
      <c r="F256" s="897"/>
      <c r="G256" s="897"/>
    </row>
    <row r="257" spans="5:7">
      <c r="E257" s="897"/>
      <c r="F257" s="897"/>
      <c r="G257" s="897"/>
    </row>
    <row r="258" spans="5:7">
      <c r="E258" s="897"/>
      <c r="F258" s="897"/>
      <c r="G258" s="897"/>
    </row>
    <row r="259" spans="5:7">
      <c r="E259" s="897"/>
      <c r="F259" s="897"/>
      <c r="G259" s="897"/>
    </row>
    <row r="260" spans="5:7">
      <c r="E260" s="897"/>
      <c r="F260" s="897"/>
      <c r="G260" s="897"/>
    </row>
    <row r="261" spans="5:7">
      <c r="E261" s="897"/>
      <c r="F261" s="897"/>
      <c r="G261" s="897"/>
    </row>
    <row r="262" spans="5:7">
      <c r="E262" s="897"/>
      <c r="F262" s="897"/>
      <c r="G262" s="897"/>
    </row>
    <row r="263" spans="5:7">
      <c r="E263" s="897"/>
      <c r="F263" s="897"/>
      <c r="G263" s="897"/>
    </row>
    <row r="264" spans="5:7">
      <c r="E264" s="897"/>
      <c r="F264" s="897"/>
      <c r="G264" s="897"/>
    </row>
    <row r="265" spans="5:7">
      <c r="E265" s="897"/>
      <c r="F265" s="897"/>
      <c r="G265" s="897"/>
    </row>
    <row r="266" spans="5:7">
      <c r="E266" s="897"/>
      <c r="F266" s="897"/>
      <c r="G266" s="897"/>
    </row>
    <row r="267" spans="5:7">
      <c r="E267" s="897"/>
      <c r="F267" s="897"/>
      <c r="G267" s="897"/>
    </row>
    <row r="268" spans="5:7">
      <c r="E268" s="897"/>
      <c r="F268" s="897"/>
      <c r="G268" s="897"/>
    </row>
    <row r="269" spans="5:7">
      <c r="E269" s="897"/>
      <c r="F269" s="897"/>
      <c r="G269" s="897"/>
    </row>
    <row r="270" spans="5:7">
      <c r="E270" s="897"/>
      <c r="F270" s="897"/>
      <c r="G270" s="897"/>
    </row>
    <row r="271" spans="5:7">
      <c r="E271" s="897"/>
      <c r="F271" s="897"/>
      <c r="G271" s="897"/>
    </row>
    <row r="272" spans="5:7">
      <c r="E272" s="897"/>
      <c r="F272" s="897"/>
      <c r="G272" s="897"/>
    </row>
    <row r="273" spans="5:7">
      <c r="E273" s="897"/>
      <c r="F273" s="897"/>
      <c r="G273" s="897"/>
    </row>
    <row r="274" spans="5:7">
      <c r="E274" s="897"/>
      <c r="F274" s="897"/>
      <c r="G274" s="897"/>
    </row>
    <row r="275" spans="5:7">
      <c r="E275" s="897"/>
      <c r="F275" s="897"/>
      <c r="G275" s="897"/>
    </row>
    <row r="276" spans="5:7">
      <c r="E276" s="897"/>
      <c r="F276" s="897"/>
      <c r="G276" s="897"/>
    </row>
    <row r="277" spans="5:7">
      <c r="E277" s="897"/>
      <c r="F277" s="897"/>
      <c r="G277" s="897"/>
    </row>
    <row r="278" spans="5:7">
      <c r="E278" s="897"/>
      <c r="F278" s="897"/>
      <c r="G278" s="897"/>
    </row>
    <row r="279" spans="5:7">
      <c r="E279" s="897"/>
      <c r="F279" s="897"/>
      <c r="G279" s="897"/>
    </row>
    <row r="280" spans="5:7">
      <c r="E280" s="897"/>
      <c r="F280" s="897"/>
      <c r="G280" s="897"/>
    </row>
    <row r="281" spans="5:7">
      <c r="E281" s="897"/>
      <c r="F281" s="897"/>
      <c r="G281" s="897"/>
    </row>
    <row r="282" spans="5:7">
      <c r="E282" s="897"/>
      <c r="F282" s="897"/>
      <c r="G282" s="897"/>
    </row>
    <row r="283" spans="5:7">
      <c r="E283" s="897"/>
      <c r="F283" s="897"/>
      <c r="G283" s="897"/>
    </row>
    <row r="284" spans="5:7">
      <c r="E284" s="897"/>
      <c r="F284" s="897"/>
      <c r="G284" s="897"/>
    </row>
    <row r="285" spans="5:7">
      <c r="E285" s="897"/>
      <c r="F285" s="897"/>
      <c r="G285" s="897"/>
    </row>
    <row r="286" spans="5:7">
      <c r="E286" s="897"/>
      <c r="F286" s="897"/>
      <c r="G286" s="897"/>
    </row>
    <row r="287" spans="5:7">
      <c r="E287" s="897"/>
      <c r="F287" s="897"/>
      <c r="G287" s="897"/>
    </row>
    <row r="288" spans="5:7">
      <c r="E288" s="897"/>
      <c r="F288" s="897"/>
      <c r="G288" s="897"/>
    </row>
    <row r="289" spans="5:7">
      <c r="E289" s="897"/>
      <c r="F289" s="897"/>
      <c r="G289" s="897"/>
    </row>
    <row r="290" spans="5:7">
      <c r="E290" s="897"/>
      <c r="F290" s="897"/>
      <c r="G290" s="897"/>
    </row>
    <row r="291" spans="5:7">
      <c r="E291" s="897"/>
      <c r="F291" s="897"/>
      <c r="G291" s="897"/>
    </row>
    <row r="292" spans="5:7">
      <c r="E292" s="897"/>
      <c r="F292" s="897"/>
      <c r="G292" s="897"/>
    </row>
    <row r="293" spans="5:7">
      <c r="E293" s="897"/>
      <c r="F293" s="897"/>
      <c r="G293" s="897"/>
    </row>
    <row r="294" spans="5:7">
      <c r="E294" s="897"/>
      <c r="F294" s="897"/>
      <c r="G294" s="897"/>
    </row>
    <row r="295" spans="5:7">
      <c r="E295" s="897"/>
      <c r="F295" s="897"/>
      <c r="G295" s="897"/>
    </row>
    <row r="296" spans="5:7">
      <c r="E296" s="897"/>
      <c r="F296" s="897"/>
      <c r="G296" s="897"/>
    </row>
    <row r="297" spans="5:7">
      <c r="E297" s="897"/>
      <c r="F297" s="897"/>
      <c r="G297" s="897"/>
    </row>
    <row r="298" spans="5:7">
      <c r="E298" s="897"/>
      <c r="F298" s="897"/>
      <c r="G298" s="897"/>
    </row>
    <row r="299" spans="5:7">
      <c r="E299" s="897"/>
      <c r="F299" s="897"/>
      <c r="G299" s="897"/>
    </row>
    <row r="300" spans="5:7">
      <c r="E300" s="897"/>
      <c r="F300" s="897"/>
      <c r="G300" s="897"/>
    </row>
    <row r="301" spans="5:7">
      <c r="E301" s="897"/>
      <c r="F301" s="897"/>
      <c r="G301" s="897"/>
    </row>
    <row r="302" spans="5:7">
      <c r="E302" s="897"/>
      <c r="F302" s="897"/>
      <c r="G302" s="897"/>
    </row>
    <row r="303" spans="5:7">
      <c r="E303" s="897"/>
      <c r="F303" s="897"/>
      <c r="G303" s="897"/>
    </row>
    <row r="304" spans="5:7">
      <c r="E304" s="897"/>
      <c r="F304" s="897"/>
      <c r="G304" s="897"/>
    </row>
    <row r="305" spans="5:7">
      <c r="E305" s="897"/>
      <c r="F305" s="897"/>
      <c r="G305" s="897"/>
    </row>
    <row r="306" spans="5:7">
      <c r="E306" s="897"/>
      <c r="F306" s="897"/>
      <c r="G306" s="897"/>
    </row>
    <row r="307" spans="5:7">
      <c r="E307" s="897"/>
      <c r="F307" s="897"/>
      <c r="G307" s="897"/>
    </row>
    <row r="308" spans="5:7">
      <c r="E308" s="897"/>
      <c r="F308" s="897"/>
      <c r="G308" s="897"/>
    </row>
    <row r="309" spans="5:7">
      <c r="E309" s="897"/>
      <c r="F309" s="897"/>
      <c r="G309" s="897"/>
    </row>
    <row r="310" spans="5:7">
      <c r="E310" s="897"/>
      <c r="F310" s="897"/>
      <c r="G310" s="897"/>
    </row>
    <row r="311" spans="5:7">
      <c r="E311" s="897"/>
      <c r="F311" s="897"/>
      <c r="G311" s="897"/>
    </row>
    <row r="312" spans="5:7">
      <c r="E312" s="897"/>
      <c r="F312" s="897"/>
      <c r="G312" s="897"/>
    </row>
    <row r="313" spans="5:7">
      <c r="E313" s="897"/>
      <c r="F313" s="897"/>
      <c r="G313" s="897"/>
    </row>
    <row r="314" spans="5:7">
      <c r="E314" s="897"/>
      <c r="F314" s="897"/>
      <c r="G314" s="897"/>
    </row>
    <row r="315" spans="5:7">
      <c r="E315" s="897"/>
      <c r="F315" s="897"/>
      <c r="G315" s="897"/>
    </row>
    <row r="316" spans="5:7">
      <c r="E316" s="897"/>
      <c r="F316" s="897"/>
      <c r="G316" s="897"/>
    </row>
    <row r="317" spans="5:7">
      <c r="E317" s="897"/>
      <c r="F317" s="897"/>
      <c r="G317" s="897"/>
    </row>
    <row r="318" spans="5:7">
      <c r="E318" s="897"/>
      <c r="F318" s="897"/>
      <c r="G318" s="897"/>
    </row>
    <row r="319" spans="5:7">
      <c r="E319" s="897"/>
      <c r="F319" s="897"/>
      <c r="G319" s="897"/>
    </row>
    <row r="320" spans="5:7">
      <c r="E320" s="897"/>
      <c r="F320" s="897"/>
      <c r="G320" s="897"/>
    </row>
    <row r="321" spans="5:7">
      <c r="E321" s="897"/>
      <c r="F321" s="897"/>
      <c r="G321" s="897"/>
    </row>
    <row r="322" spans="5:7">
      <c r="E322" s="897"/>
      <c r="F322" s="897"/>
      <c r="G322" s="897"/>
    </row>
    <row r="323" spans="5:7">
      <c r="E323" s="897"/>
      <c r="F323" s="897"/>
      <c r="G323" s="897"/>
    </row>
    <row r="324" spans="5:7">
      <c r="E324" s="897"/>
      <c r="F324" s="897"/>
      <c r="G324" s="897"/>
    </row>
    <row r="325" spans="5:7">
      <c r="E325" s="897"/>
      <c r="F325" s="897"/>
      <c r="G325" s="897"/>
    </row>
    <row r="326" spans="5:7">
      <c r="E326" s="897"/>
      <c r="F326" s="897"/>
      <c r="G326" s="897"/>
    </row>
    <row r="327" spans="5:7">
      <c r="E327" s="897"/>
      <c r="F327" s="897"/>
      <c r="G327" s="897"/>
    </row>
    <row r="328" spans="5:7">
      <c r="E328" s="897"/>
      <c r="F328" s="897"/>
      <c r="G328" s="897"/>
    </row>
    <row r="329" spans="5:7">
      <c r="E329" s="897"/>
      <c r="F329" s="897"/>
      <c r="G329" s="897"/>
    </row>
    <row r="330" spans="5:7">
      <c r="E330" s="897"/>
      <c r="F330" s="897"/>
      <c r="G330" s="897"/>
    </row>
    <row r="331" spans="5:7">
      <c r="E331" s="897"/>
      <c r="F331" s="897"/>
      <c r="G331" s="897"/>
    </row>
    <row r="332" spans="5:7">
      <c r="E332" s="897"/>
      <c r="F332" s="897"/>
      <c r="G332" s="897"/>
    </row>
    <row r="333" spans="5:7">
      <c r="E333" s="897"/>
      <c r="F333" s="897"/>
      <c r="G333" s="897"/>
    </row>
    <row r="334" spans="5:7">
      <c r="E334" s="897"/>
      <c r="F334" s="897"/>
      <c r="G334" s="897"/>
    </row>
    <row r="335" spans="5:7">
      <c r="E335" s="897"/>
      <c r="F335" s="897"/>
      <c r="G335" s="897"/>
    </row>
    <row r="336" spans="5:7">
      <c r="E336" s="897"/>
      <c r="F336" s="897"/>
      <c r="G336" s="897"/>
    </row>
    <row r="337" spans="5:7">
      <c r="E337" s="897"/>
      <c r="F337" s="897"/>
      <c r="G337" s="897"/>
    </row>
    <row r="338" spans="5:7">
      <c r="E338" s="897"/>
      <c r="F338" s="897"/>
      <c r="G338" s="897"/>
    </row>
    <row r="339" spans="5:7">
      <c r="E339" s="897"/>
      <c r="F339" s="897"/>
      <c r="G339" s="897"/>
    </row>
    <row r="340" spans="5:7">
      <c r="E340" s="897"/>
      <c r="F340" s="897"/>
      <c r="G340" s="897"/>
    </row>
    <row r="341" spans="5:7">
      <c r="E341" s="897"/>
      <c r="F341" s="897"/>
      <c r="G341" s="897"/>
    </row>
    <row r="342" spans="5:7">
      <c r="E342" s="897"/>
      <c r="F342" s="897"/>
      <c r="G342" s="897"/>
    </row>
    <row r="343" spans="5:7">
      <c r="E343" s="897"/>
      <c r="F343" s="897"/>
      <c r="G343" s="897"/>
    </row>
    <row r="344" spans="5:7">
      <c r="E344" s="897"/>
      <c r="F344" s="897"/>
      <c r="G344" s="897"/>
    </row>
    <row r="345" spans="5:7">
      <c r="E345" s="897"/>
      <c r="F345" s="897"/>
      <c r="G345" s="897"/>
    </row>
    <row r="346" spans="5:7">
      <c r="E346" s="897"/>
      <c r="F346" s="897"/>
      <c r="G346" s="897"/>
    </row>
    <row r="347" spans="5:7">
      <c r="E347" s="897"/>
      <c r="F347" s="897"/>
      <c r="G347" s="897"/>
    </row>
    <row r="348" spans="5:7">
      <c r="E348" s="897"/>
      <c r="F348" s="897"/>
      <c r="G348" s="897"/>
    </row>
    <row r="349" spans="5:7">
      <c r="E349" s="897"/>
      <c r="F349" s="897"/>
      <c r="G349" s="897"/>
    </row>
    <row r="350" spans="5:7">
      <c r="E350" s="897"/>
      <c r="F350" s="897"/>
      <c r="G350" s="897"/>
    </row>
    <row r="351" spans="5:7">
      <c r="E351" s="897"/>
      <c r="F351" s="897"/>
      <c r="G351" s="897"/>
    </row>
    <row r="352" spans="5:7">
      <c r="E352" s="897"/>
      <c r="F352" s="897"/>
      <c r="G352" s="897"/>
    </row>
    <row r="353" spans="5:7">
      <c r="E353" s="897"/>
      <c r="F353" s="897"/>
      <c r="G353" s="897"/>
    </row>
    <row r="354" spans="5:7">
      <c r="E354" s="897"/>
      <c r="F354" s="897"/>
      <c r="G354" s="897"/>
    </row>
    <row r="355" spans="5:7">
      <c r="E355" s="897"/>
      <c r="F355" s="897"/>
      <c r="G355" s="897"/>
    </row>
    <row r="356" spans="5:7">
      <c r="E356" s="897"/>
      <c r="F356" s="897"/>
      <c r="G356" s="897"/>
    </row>
    <row r="357" spans="5:7">
      <c r="E357" s="897"/>
      <c r="F357" s="897"/>
      <c r="G357" s="897"/>
    </row>
    <row r="358" spans="5:7">
      <c r="E358" s="897"/>
      <c r="F358" s="897"/>
      <c r="G358" s="897"/>
    </row>
    <row r="359" spans="5:7">
      <c r="E359" s="897"/>
      <c r="F359" s="897"/>
      <c r="G359" s="897"/>
    </row>
    <row r="360" spans="5:7">
      <c r="E360" s="897"/>
      <c r="F360" s="897"/>
      <c r="G360" s="897"/>
    </row>
    <row r="361" spans="5:7">
      <c r="E361" s="897"/>
      <c r="F361" s="897"/>
      <c r="G361" s="897"/>
    </row>
    <row r="362" spans="5:7">
      <c r="E362" s="897"/>
      <c r="F362" s="897"/>
      <c r="G362" s="897"/>
    </row>
    <row r="363" spans="5:7">
      <c r="E363" s="897"/>
      <c r="F363" s="897"/>
      <c r="G363" s="897"/>
    </row>
    <row r="364" spans="5:7">
      <c r="E364" s="897"/>
      <c r="F364" s="897"/>
      <c r="G364" s="897"/>
    </row>
    <row r="365" spans="5:7">
      <c r="E365" s="897"/>
      <c r="F365" s="897"/>
      <c r="G365" s="897"/>
    </row>
    <row r="366" spans="5:7">
      <c r="E366" s="897"/>
      <c r="F366" s="897"/>
      <c r="G366" s="897"/>
    </row>
    <row r="367" spans="5:7">
      <c r="E367" s="897"/>
      <c r="F367" s="897"/>
      <c r="G367" s="897"/>
    </row>
    <row r="368" spans="5:7">
      <c r="E368" s="897"/>
      <c r="F368" s="897"/>
      <c r="G368" s="897"/>
    </row>
    <row r="369" spans="5:7">
      <c r="E369" s="897"/>
      <c r="F369" s="897"/>
      <c r="G369" s="897"/>
    </row>
    <row r="370" spans="5:7">
      <c r="E370" s="897"/>
      <c r="F370" s="897"/>
      <c r="G370" s="897"/>
    </row>
    <row r="371" spans="5:7">
      <c r="E371" s="897"/>
      <c r="F371" s="897"/>
      <c r="G371" s="897"/>
    </row>
    <row r="372" spans="5:7">
      <c r="E372" s="897"/>
      <c r="F372" s="897"/>
      <c r="G372" s="897"/>
    </row>
    <row r="373" spans="5:7">
      <c r="E373" s="897"/>
      <c r="F373" s="897"/>
      <c r="G373" s="897"/>
    </row>
    <row r="374" spans="5:7">
      <c r="E374" s="897"/>
      <c r="F374" s="897"/>
      <c r="G374" s="897"/>
    </row>
    <row r="375" spans="5:7">
      <c r="E375" s="897"/>
      <c r="F375" s="897"/>
      <c r="G375" s="897"/>
    </row>
    <row r="376" spans="5:7">
      <c r="E376" s="897"/>
      <c r="F376" s="897"/>
      <c r="G376" s="897"/>
    </row>
    <row r="377" spans="5:7">
      <c r="E377" s="897"/>
      <c r="F377" s="897"/>
      <c r="G377" s="897"/>
    </row>
    <row r="378" spans="5:7">
      <c r="E378" s="897"/>
      <c r="F378" s="897"/>
      <c r="G378" s="897"/>
    </row>
    <row r="379" spans="5:7">
      <c r="E379" s="897"/>
      <c r="F379" s="897"/>
      <c r="G379" s="897"/>
    </row>
    <row r="380" spans="5:7">
      <c r="E380" s="897"/>
      <c r="F380" s="897"/>
      <c r="G380" s="897"/>
    </row>
    <row r="381" spans="5:7">
      <c r="E381" s="897"/>
      <c r="F381" s="897"/>
      <c r="G381" s="897"/>
    </row>
    <row r="382" spans="5:7">
      <c r="E382" s="897"/>
      <c r="F382" s="897"/>
      <c r="G382" s="897"/>
    </row>
    <row r="383" spans="5:7">
      <c r="E383" s="897"/>
      <c r="F383" s="897"/>
      <c r="G383" s="897"/>
    </row>
    <row r="384" spans="5:7">
      <c r="E384" s="897"/>
      <c r="F384" s="897"/>
      <c r="G384" s="897"/>
    </row>
    <row r="385" spans="5:7">
      <c r="E385" s="897"/>
      <c r="F385" s="897"/>
      <c r="G385" s="897"/>
    </row>
    <row r="386" spans="5:7">
      <c r="E386" s="897"/>
      <c r="F386" s="897"/>
      <c r="G386" s="897"/>
    </row>
    <row r="387" spans="5:7">
      <c r="E387" s="897"/>
      <c r="F387" s="897"/>
      <c r="G387" s="897"/>
    </row>
    <row r="388" spans="5:7">
      <c r="E388" s="897"/>
      <c r="F388" s="897"/>
      <c r="G388" s="897"/>
    </row>
    <row r="389" spans="5:7">
      <c r="E389" s="897"/>
      <c r="F389" s="897"/>
      <c r="G389" s="897"/>
    </row>
    <row r="390" spans="5:7">
      <c r="E390" s="897"/>
      <c r="F390" s="897"/>
      <c r="G390" s="897"/>
    </row>
    <row r="391" spans="5:7">
      <c r="E391" s="897"/>
      <c r="F391" s="897"/>
      <c r="G391" s="897"/>
    </row>
    <row r="392" spans="5:7">
      <c r="E392" s="897"/>
      <c r="F392" s="897"/>
      <c r="G392" s="897"/>
    </row>
    <row r="393" spans="5:7">
      <c r="E393" s="897"/>
      <c r="F393" s="897"/>
      <c r="G393" s="897"/>
    </row>
    <row r="394" spans="5:7">
      <c r="E394" s="897"/>
      <c r="F394" s="897"/>
      <c r="G394" s="897"/>
    </row>
    <row r="395" spans="5:7">
      <c r="E395" s="897"/>
      <c r="F395" s="897"/>
      <c r="G395" s="897"/>
    </row>
    <row r="396" spans="5:7">
      <c r="E396" s="897"/>
      <c r="F396" s="897"/>
      <c r="G396" s="897"/>
    </row>
    <row r="397" spans="5:7">
      <c r="E397" s="897"/>
      <c r="F397" s="897"/>
      <c r="G397" s="897"/>
    </row>
    <row r="398" spans="5:7">
      <c r="E398" s="897"/>
      <c r="F398" s="897"/>
      <c r="G398" s="897"/>
    </row>
    <row r="399" spans="5:7">
      <c r="E399" s="897"/>
      <c r="F399" s="897"/>
      <c r="G399" s="897"/>
    </row>
    <row r="400" spans="5:7">
      <c r="E400" s="897"/>
      <c r="F400" s="897"/>
      <c r="G400" s="897"/>
    </row>
    <row r="401" spans="5:7">
      <c r="E401" s="897"/>
      <c r="F401" s="897"/>
      <c r="G401" s="897"/>
    </row>
    <row r="402" spans="5:7">
      <c r="E402" s="897"/>
      <c r="F402" s="897"/>
      <c r="G402" s="897"/>
    </row>
    <row r="403" spans="5:7">
      <c r="E403" s="897"/>
      <c r="F403" s="897"/>
      <c r="G403" s="897"/>
    </row>
    <row r="404" spans="5:7">
      <c r="E404" s="897"/>
      <c r="F404" s="897"/>
      <c r="G404" s="897"/>
    </row>
    <row r="405" spans="5:7">
      <c r="E405" s="897"/>
      <c r="F405" s="897"/>
      <c r="G405" s="897"/>
    </row>
    <row r="406" spans="5:7">
      <c r="E406" s="897"/>
      <c r="F406" s="897"/>
      <c r="G406" s="897"/>
    </row>
    <row r="407" spans="5:7">
      <c r="E407" s="897"/>
      <c r="F407" s="897"/>
      <c r="G407" s="897"/>
    </row>
    <row r="408" spans="5:7">
      <c r="E408" s="897"/>
      <c r="F408" s="897"/>
      <c r="G408" s="897"/>
    </row>
    <row r="409" spans="5:7">
      <c r="E409" s="897"/>
      <c r="F409" s="897"/>
      <c r="G409" s="897"/>
    </row>
  </sheetData>
  <mergeCells count="3">
    <mergeCell ref="A1:H1"/>
    <mergeCell ref="A2:H2"/>
    <mergeCell ref="A3:H3"/>
  </mergeCells>
  <printOptions horizontalCentered="1"/>
  <pageMargins left="0.75" right="0.5" top="0.5" bottom="1" header="0.5" footer="0.5"/>
  <pageSetup firstPageNumber="28" orientation="landscape" useFirstPageNumber="1"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pageSetUpPr fitToPage="1"/>
  </sheetPr>
  <dimension ref="A1:I36"/>
  <sheetViews>
    <sheetView zoomScale="80" zoomScaleNormal="80" zoomScaleSheetLayoutView="70" workbookViewId="0">
      <selection activeCell="I22" sqref="I22"/>
    </sheetView>
  </sheetViews>
  <sheetFormatPr defaultColWidth="8.6640625" defaultRowHeight="15.75"/>
  <cols>
    <col min="1" max="1" width="8.6640625" style="158"/>
    <col min="2" max="2" width="51.6640625" style="158" customWidth="1"/>
    <col min="3" max="3" width="15.6640625" style="158" customWidth="1"/>
    <col min="4" max="4" width="14.6640625" style="158" bestFit="1" customWidth="1"/>
    <col min="5" max="5" width="1.6640625" style="158" customWidth="1"/>
    <col min="6" max="6" width="47.88671875" style="158" bestFit="1" customWidth="1"/>
    <col min="7" max="7" width="1.44140625" style="158" customWidth="1"/>
    <col min="8" max="8" width="8.6640625" style="158"/>
    <col min="9" max="9" width="35.21875" style="158" customWidth="1"/>
    <col min="10" max="10" width="16.109375" style="158" customWidth="1"/>
    <col min="11" max="11" width="9.109375" style="158" bestFit="1" customWidth="1"/>
    <col min="12" max="12" width="10.109375" style="158" bestFit="1" customWidth="1"/>
    <col min="13" max="13" width="10.6640625" style="158" customWidth="1"/>
    <col min="14" max="257" width="8.6640625" style="158"/>
    <col min="258" max="258" width="35.21875" style="158" customWidth="1"/>
    <col min="259" max="259" width="15.6640625" style="158" customWidth="1"/>
    <col min="260" max="260" width="14.6640625" style="158" bestFit="1" customWidth="1"/>
    <col min="261" max="261" width="1.6640625" style="158" customWidth="1"/>
    <col min="262" max="262" width="15.88671875" style="158" customWidth="1"/>
    <col min="263" max="263" width="1.44140625" style="158" customWidth="1"/>
    <col min="264" max="264" width="8.6640625" style="158"/>
    <col min="265" max="265" width="35.21875" style="158" customWidth="1"/>
    <col min="266" max="266" width="16.109375" style="158" customWidth="1"/>
    <col min="267" max="267" width="9.109375" style="158" bestFit="1" customWidth="1"/>
    <col min="268" max="268" width="10.109375" style="158" bestFit="1" customWidth="1"/>
    <col min="269" max="269" width="10.6640625" style="158" customWidth="1"/>
    <col min="270" max="513" width="8.6640625" style="158"/>
    <col min="514" max="514" width="35.21875" style="158" customWidth="1"/>
    <col min="515" max="515" width="15.6640625" style="158" customWidth="1"/>
    <col min="516" max="516" width="14.6640625" style="158" bestFit="1" customWidth="1"/>
    <col min="517" max="517" width="1.6640625" style="158" customWidth="1"/>
    <col min="518" max="518" width="15.88671875" style="158" customWidth="1"/>
    <col min="519" max="519" width="1.44140625" style="158" customWidth="1"/>
    <col min="520" max="520" width="8.6640625" style="158"/>
    <col min="521" max="521" width="35.21875" style="158" customWidth="1"/>
    <col min="522" max="522" width="16.109375" style="158" customWidth="1"/>
    <col min="523" max="523" width="9.109375" style="158" bestFit="1" customWidth="1"/>
    <col min="524" max="524" width="10.109375" style="158" bestFit="1" customWidth="1"/>
    <col min="525" max="525" width="10.6640625" style="158" customWidth="1"/>
    <col min="526" max="769" width="8.6640625" style="158"/>
    <col min="770" max="770" width="35.21875" style="158" customWidth="1"/>
    <col min="771" max="771" width="15.6640625" style="158" customWidth="1"/>
    <col min="772" max="772" width="14.6640625" style="158" bestFit="1" customWidth="1"/>
    <col min="773" max="773" width="1.6640625" style="158" customWidth="1"/>
    <col min="774" max="774" width="15.88671875" style="158" customWidth="1"/>
    <col min="775" max="775" width="1.44140625" style="158" customWidth="1"/>
    <col min="776" max="776" width="8.6640625" style="158"/>
    <col min="777" max="777" width="35.21875" style="158" customWidth="1"/>
    <col min="778" max="778" width="16.109375" style="158" customWidth="1"/>
    <col min="779" max="779" width="9.109375" style="158" bestFit="1" customWidth="1"/>
    <col min="780" max="780" width="10.109375" style="158" bestFit="1" customWidth="1"/>
    <col min="781" max="781" width="10.6640625" style="158" customWidth="1"/>
    <col min="782" max="1025" width="8.6640625" style="158"/>
    <col min="1026" max="1026" width="35.21875" style="158" customWidth="1"/>
    <col min="1027" max="1027" width="15.6640625" style="158" customWidth="1"/>
    <col min="1028" max="1028" width="14.6640625" style="158" bestFit="1" customWidth="1"/>
    <col min="1029" max="1029" width="1.6640625" style="158" customWidth="1"/>
    <col min="1030" max="1030" width="15.88671875" style="158" customWidth="1"/>
    <col min="1031" max="1031" width="1.44140625" style="158" customWidth="1"/>
    <col min="1032" max="1032" width="8.6640625" style="158"/>
    <col min="1033" max="1033" width="35.21875" style="158" customWidth="1"/>
    <col min="1034" max="1034" width="16.109375" style="158" customWidth="1"/>
    <col min="1035" max="1035" width="9.109375" style="158" bestFit="1" customWidth="1"/>
    <col min="1036" max="1036" width="10.109375" style="158" bestFit="1" customWidth="1"/>
    <col min="1037" max="1037" width="10.6640625" style="158" customWidth="1"/>
    <col min="1038" max="1281" width="8.6640625" style="158"/>
    <col min="1282" max="1282" width="35.21875" style="158" customWidth="1"/>
    <col min="1283" max="1283" width="15.6640625" style="158" customWidth="1"/>
    <col min="1284" max="1284" width="14.6640625" style="158" bestFit="1" customWidth="1"/>
    <col min="1285" max="1285" width="1.6640625" style="158" customWidth="1"/>
    <col min="1286" max="1286" width="15.88671875" style="158" customWidth="1"/>
    <col min="1287" max="1287" width="1.44140625" style="158" customWidth="1"/>
    <col min="1288" max="1288" width="8.6640625" style="158"/>
    <col min="1289" max="1289" width="35.21875" style="158" customWidth="1"/>
    <col min="1290" max="1290" width="16.109375" style="158" customWidth="1"/>
    <col min="1291" max="1291" width="9.109375" style="158" bestFit="1" customWidth="1"/>
    <col min="1292" max="1292" width="10.109375" style="158" bestFit="1" customWidth="1"/>
    <col min="1293" max="1293" width="10.6640625" style="158" customWidth="1"/>
    <col min="1294" max="1537" width="8.6640625" style="158"/>
    <col min="1538" max="1538" width="35.21875" style="158" customWidth="1"/>
    <col min="1539" max="1539" width="15.6640625" style="158" customWidth="1"/>
    <col min="1540" max="1540" width="14.6640625" style="158" bestFit="1" customWidth="1"/>
    <col min="1541" max="1541" width="1.6640625" style="158" customWidth="1"/>
    <col min="1542" max="1542" width="15.88671875" style="158" customWidth="1"/>
    <col min="1543" max="1543" width="1.44140625" style="158" customWidth="1"/>
    <col min="1544" max="1544" width="8.6640625" style="158"/>
    <col min="1545" max="1545" width="35.21875" style="158" customWidth="1"/>
    <col min="1546" max="1546" width="16.109375" style="158" customWidth="1"/>
    <col min="1547" max="1547" width="9.109375" style="158" bestFit="1" customWidth="1"/>
    <col min="1548" max="1548" width="10.109375" style="158" bestFit="1" customWidth="1"/>
    <col min="1549" max="1549" width="10.6640625" style="158" customWidth="1"/>
    <col min="1550" max="1793" width="8.6640625" style="158"/>
    <col min="1794" max="1794" width="35.21875" style="158" customWidth="1"/>
    <col min="1795" max="1795" width="15.6640625" style="158" customWidth="1"/>
    <col min="1796" max="1796" width="14.6640625" style="158" bestFit="1" customWidth="1"/>
    <col min="1797" max="1797" width="1.6640625" style="158" customWidth="1"/>
    <col min="1798" max="1798" width="15.88671875" style="158" customWidth="1"/>
    <col min="1799" max="1799" width="1.44140625" style="158" customWidth="1"/>
    <col min="1800" max="1800" width="8.6640625" style="158"/>
    <col min="1801" max="1801" width="35.21875" style="158" customWidth="1"/>
    <col min="1802" max="1802" width="16.109375" style="158" customWidth="1"/>
    <col min="1803" max="1803" width="9.109375" style="158" bestFit="1" customWidth="1"/>
    <col min="1804" max="1804" width="10.109375" style="158" bestFit="1" customWidth="1"/>
    <col min="1805" max="1805" width="10.6640625" style="158" customWidth="1"/>
    <col min="1806" max="2049" width="8.6640625" style="158"/>
    <col min="2050" max="2050" width="35.21875" style="158" customWidth="1"/>
    <col min="2051" max="2051" width="15.6640625" style="158" customWidth="1"/>
    <col min="2052" max="2052" width="14.6640625" style="158" bestFit="1" customWidth="1"/>
    <col min="2053" max="2053" width="1.6640625" style="158" customWidth="1"/>
    <col min="2054" max="2054" width="15.88671875" style="158" customWidth="1"/>
    <col min="2055" max="2055" width="1.44140625" style="158" customWidth="1"/>
    <col min="2056" max="2056" width="8.6640625" style="158"/>
    <col min="2057" max="2057" width="35.21875" style="158" customWidth="1"/>
    <col min="2058" max="2058" width="16.109375" style="158" customWidth="1"/>
    <col min="2059" max="2059" width="9.109375" style="158" bestFit="1" customWidth="1"/>
    <col min="2060" max="2060" width="10.109375" style="158" bestFit="1" customWidth="1"/>
    <col min="2061" max="2061" width="10.6640625" style="158" customWidth="1"/>
    <col min="2062" max="2305" width="8.6640625" style="158"/>
    <col min="2306" max="2306" width="35.21875" style="158" customWidth="1"/>
    <col min="2307" max="2307" width="15.6640625" style="158" customWidth="1"/>
    <col min="2308" max="2308" width="14.6640625" style="158" bestFit="1" customWidth="1"/>
    <col min="2309" max="2309" width="1.6640625" style="158" customWidth="1"/>
    <col min="2310" max="2310" width="15.88671875" style="158" customWidth="1"/>
    <col min="2311" max="2311" width="1.44140625" style="158" customWidth="1"/>
    <col min="2312" max="2312" width="8.6640625" style="158"/>
    <col min="2313" max="2313" width="35.21875" style="158" customWidth="1"/>
    <col min="2314" max="2314" width="16.109375" style="158" customWidth="1"/>
    <col min="2315" max="2315" width="9.109375" style="158" bestFit="1" customWidth="1"/>
    <col min="2316" max="2316" width="10.109375" style="158" bestFit="1" customWidth="1"/>
    <col min="2317" max="2317" width="10.6640625" style="158" customWidth="1"/>
    <col min="2318" max="2561" width="8.6640625" style="158"/>
    <col min="2562" max="2562" width="35.21875" style="158" customWidth="1"/>
    <col min="2563" max="2563" width="15.6640625" style="158" customWidth="1"/>
    <col min="2564" max="2564" width="14.6640625" style="158" bestFit="1" customWidth="1"/>
    <col min="2565" max="2565" width="1.6640625" style="158" customWidth="1"/>
    <col min="2566" max="2566" width="15.88671875" style="158" customWidth="1"/>
    <col min="2567" max="2567" width="1.44140625" style="158" customWidth="1"/>
    <col min="2568" max="2568" width="8.6640625" style="158"/>
    <col min="2569" max="2569" width="35.21875" style="158" customWidth="1"/>
    <col min="2570" max="2570" width="16.109375" style="158" customWidth="1"/>
    <col min="2571" max="2571" width="9.109375" style="158" bestFit="1" customWidth="1"/>
    <col min="2572" max="2572" width="10.109375" style="158" bestFit="1" customWidth="1"/>
    <col min="2573" max="2573" width="10.6640625" style="158" customWidth="1"/>
    <col min="2574" max="2817" width="8.6640625" style="158"/>
    <col min="2818" max="2818" width="35.21875" style="158" customWidth="1"/>
    <col min="2819" max="2819" width="15.6640625" style="158" customWidth="1"/>
    <col min="2820" max="2820" width="14.6640625" style="158" bestFit="1" customWidth="1"/>
    <col min="2821" max="2821" width="1.6640625" style="158" customWidth="1"/>
    <col min="2822" max="2822" width="15.88671875" style="158" customWidth="1"/>
    <col min="2823" max="2823" width="1.44140625" style="158" customWidth="1"/>
    <col min="2824" max="2824" width="8.6640625" style="158"/>
    <col min="2825" max="2825" width="35.21875" style="158" customWidth="1"/>
    <col min="2826" max="2826" width="16.109375" style="158" customWidth="1"/>
    <col min="2827" max="2827" width="9.109375" style="158" bestFit="1" customWidth="1"/>
    <col min="2828" max="2828" width="10.109375" style="158" bestFit="1" customWidth="1"/>
    <col min="2829" max="2829" width="10.6640625" style="158" customWidth="1"/>
    <col min="2830" max="3073" width="8.6640625" style="158"/>
    <col min="3074" max="3074" width="35.21875" style="158" customWidth="1"/>
    <col min="3075" max="3075" width="15.6640625" style="158" customWidth="1"/>
    <col min="3076" max="3076" width="14.6640625" style="158" bestFit="1" customWidth="1"/>
    <col min="3077" max="3077" width="1.6640625" style="158" customWidth="1"/>
    <col min="3078" max="3078" width="15.88671875" style="158" customWidth="1"/>
    <col min="3079" max="3079" width="1.44140625" style="158" customWidth="1"/>
    <col min="3080" max="3080" width="8.6640625" style="158"/>
    <col min="3081" max="3081" width="35.21875" style="158" customWidth="1"/>
    <col min="3082" max="3082" width="16.109375" style="158" customWidth="1"/>
    <col min="3083" max="3083" width="9.109375" style="158" bestFit="1" customWidth="1"/>
    <col min="3084" max="3084" width="10.109375" style="158" bestFit="1" customWidth="1"/>
    <col min="3085" max="3085" width="10.6640625" style="158" customWidth="1"/>
    <col min="3086" max="3329" width="8.6640625" style="158"/>
    <col min="3330" max="3330" width="35.21875" style="158" customWidth="1"/>
    <col min="3331" max="3331" width="15.6640625" style="158" customWidth="1"/>
    <col min="3332" max="3332" width="14.6640625" style="158" bestFit="1" customWidth="1"/>
    <col min="3333" max="3333" width="1.6640625" style="158" customWidth="1"/>
    <col min="3334" max="3334" width="15.88671875" style="158" customWidth="1"/>
    <col min="3335" max="3335" width="1.44140625" style="158" customWidth="1"/>
    <col min="3336" max="3336" width="8.6640625" style="158"/>
    <col min="3337" max="3337" width="35.21875" style="158" customWidth="1"/>
    <col min="3338" max="3338" width="16.109375" style="158" customWidth="1"/>
    <col min="3339" max="3339" width="9.109375" style="158" bestFit="1" customWidth="1"/>
    <col min="3340" max="3340" width="10.109375" style="158" bestFit="1" customWidth="1"/>
    <col min="3341" max="3341" width="10.6640625" style="158" customWidth="1"/>
    <col min="3342" max="3585" width="8.6640625" style="158"/>
    <col min="3586" max="3586" width="35.21875" style="158" customWidth="1"/>
    <col min="3587" max="3587" width="15.6640625" style="158" customWidth="1"/>
    <col min="3588" max="3588" width="14.6640625" style="158" bestFit="1" customWidth="1"/>
    <col min="3589" max="3589" width="1.6640625" style="158" customWidth="1"/>
    <col min="3590" max="3590" width="15.88671875" style="158" customWidth="1"/>
    <col min="3591" max="3591" width="1.44140625" style="158" customWidth="1"/>
    <col min="3592" max="3592" width="8.6640625" style="158"/>
    <col min="3593" max="3593" width="35.21875" style="158" customWidth="1"/>
    <col min="3594" max="3594" width="16.109375" style="158" customWidth="1"/>
    <col min="3595" max="3595" width="9.109375" style="158" bestFit="1" customWidth="1"/>
    <col min="3596" max="3596" width="10.109375" style="158" bestFit="1" customWidth="1"/>
    <col min="3597" max="3597" width="10.6640625" style="158" customWidth="1"/>
    <col min="3598" max="3841" width="8.6640625" style="158"/>
    <col min="3842" max="3842" width="35.21875" style="158" customWidth="1"/>
    <col min="3843" max="3843" width="15.6640625" style="158" customWidth="1"/>
    <col min="3844" max="3844" width="14.6640625" style="158" bestFit="1" customWidth="1"/>
    <col min="3845" max="3845" width="1.6640625" style="158" customWidth="1"/>
    <col min="3846" max="3846" width="15.88671875" style="158" customWidth="1"/>
    <col min="3847" max="3847" width="1.44140625" style="158" customWidth="1"/>
    <col min="3848" max="3848" width="8.6640625" style="158"/>
    <col min="3849" max="3849" width="35.21875" style="158" customWidth="1"/>
    <col min="3850" max="3850" width="16.109375" style="158" customWidth="1"/>
    <col min="3851" max="3851" width="9.109375" style="158" bestFit="1" customWidth="1"/>
    <col min="3852" max="3852" width="10.109375" style="158" bestFit="1" customWidth="1"/>
    <col min="3853" max="3853" width="10.6640625" style="158" customWidth="1"/>
    <col min="3854" max="4097" width="8.6640625" style="158"/>
    <col min="4098" max="4098" width="35.21875" style="158" customWidth="1"/>
    <col min="4099" max="4099" width="15.6640625" style="158" customWidth="1"/>
    <col min="4100" max="4100" width="14.6640625" style="158" bestFit="1" customWidth="1"/>
    <col min="4101" max="4101" width="1.6640625" style="158" customWidth="1"/>
    <col min="4102" max="4102" width="15.88671875" style="158" customWidth="1"/>
    <col min="4103" max="4103" width="1.44140625" style="158" customWidth="1"/>
    <col min="4104" max="4104" width="8.6640625" style="158"/>
    <col min="4105" max="4105" width="35.21875" style="158" customWidth="1"/>
    <col min="4106" max="4106" width="16.109375" style="158" customWidth="1"/>
    <col min="4107" max="4107" width="9.109375" style="158" bestFit="1" customWidth="1"/>
    <col min="4108" max="4108" width="10.109375" style="158" bestFit="1" customWidth="1"/>
    <col min="4109" max="4109" width="10.6640625" style="158" customWidth="1"/>
    <col min="4110" max="4353" width="8.6640625" style="158"/>
    <col min="4354" max="4354" width="35.21875" style="158" customWidth="1"/>
    <col min="4355" max="4355" width="15.6640625" style="158" customWidth="1"/>
    <col min="4356" max="4356" width="14.6640625" style="158" bestFit="1" customWidth="1"/>
    <col min="4357" max="4357" width="1.6640625" style="158" customWidth="1"/>
    <col min="4358" max="4358" width="15.88671875" style="158" customWidth="1"/>
    <col min="4359" max="4359" width="1.44140625" style="158" customWidth="1"/>
    <col min="4360" max="4360" width="8.6640625" style="158"/>
    <col min="4361" max="4361" width="35.21875" style="158" customWidth="1"/>
    <col min="4362" max="4362" width="16.109375" style="158" customWidth="1"/>
    <col min="4363" max="4363" width="9.109375" style="158" bestFit="1" customWidth="1"/>
    <col min="4364" max="4364" width="10.109375" style="158" bestFit="1" customWidth="1"/>
    <col min="4365" max="4365" width="10.6640625" style="158" customWidth="1"/>
    <col min="4366" max="4609" width="8.6640625" style="158"/>
    <col min="4610" max="4610" width="35.21875" style="158" customWidth="1"/>
    <col min="4611" max="4611" width="15.6640625" style="158" customWidth="1"/>
    <col min="4612" max="4612" width="14.6640625" style="158" bestFit="1" customWidth="1"/>
    <col min="4613" max="4613" width="1.6640625" style="158" customWidth="1"/>
    <col min="4614" max="4614" width="15.88671875" style="158" customWidth="1"/>
    <col min="4615" max="4615" width="1.44140625" style="158" customWidth="1"/>
    <col min="4616" max="4616" width="8.6640625" style="158"/>
    <col min="4617" max="4617" width="35.21875" style="158" customWidth="1"/>
    <col min="4618" max="4618" width="16.109375" style="158" customWidth="1"/>
    <col min="4619" max="4619" width="9.109375" style="158" bestFit="1" customWidth="1"/>
    <col min="4620" max="4620" width="10.109375" style="158" bestFit="1" customWidth="1"/>
    <col min="4621" max="4621" width="10.6640625" style="158" customWidth="1"/>
    <col min="4622" max="4865" width="8.6640625" style="158"/>
    <col min="4866" max="4866" width="35.21875" style="158" customWidth="1"/>
    <col min="4867" max="4867" width="15.6640625" style="158" customWidth="1"/>
    <col min="4868" max="4868" width="14.6640625" style="158" bestFit="1" customWidth="1"/>
    <col min="4869" max="4869" width="1.6640625" style="158" customWidth="1"/>
    <col min="4870" max="4870" width="15.88671875" style="158" customWidth="1"/>
    <col min="4871" max="4871" width="1.44140625" style="158" customWidth="1"/>
    <col min="4872" max="4872" width="8.6640625" style="158"/>
    <col min="4873" max="4873" width="35.21875" style="158" customWidth="1"/>
    <col min="4874" max="4874" width="16.109375" style="158" customWidth="1"/>
    <col min="4875" max="4875" width="9.109375" style="158" bestFit="1" customWidth="1"/>
    <col min="4876" max="4876" width="10.109375" style="158" bestFit="1" customWidth="1"/>
    <col min="4877" max="4877" width="10.6640625" style="158" customWidth="1"/>
    <col min="4878" max="5121" width="8.6640625" style="158"/>
    <col min="5122" max="5122" width="35.21875" style="158" customWidth="1"/>
    <col min="5123" max="5123" width="15.6640625" style="158" customWidth="1"/>
    <col min="5124" max="5124" width="14.6640625" style="158" bestFit="1" customWidth="1"/>
    <col min="5125" max="5125" width="1.6640625" style="158" customWidth="1"/>
    <col min="5126" max="5126" width="15.88671875" style="158" customWidth="1"/>
    <col min="5127" max="5127" width="1.44140625" style="158" customWidth="1"/>
    <col min="5128" max="5128" width="8.6640625" style="158"/>
    <col min="5129" max="5129" width="35.21875" style="158" customWidth="1"/>
    <col min="5130" max="5130" width="16.109375" style="158" customWidth="1"/>
    <col min="5131" max="5131" width="9.109375" style="158" bestFit="1" customWidth="1"/>
    <col min="5132" max="5132" width="10.109375" style="158" bestFit="1" customWidth="1"/>
    <col min="5133" max="5133" width="10.6640625" style="158" customWidth="1"/>
    <col min="5134" max="5377" width="8.6640625" style="158"/>
    <col min="5378" max="5378" width="35.21875" style="158" customWidth="1"/>
    <col min="5379" max="5379" width="15.6640625" style="158" customWidth="1"/>
    <col min="5380" max="5380" width="14.6640625" style="158" bestFit="1" customWidth="1"/>
    <col min="5381" max="5381" width="1.6640625" style="158" customWidth="1"/>
    <col min="5382" max="5382" width="15.88671875" style="158" customWidth="1"/>
    <col min="5383" max="5383" width="1.44140625" style="158" customWidth="1"/>
    <col min="5384" max="5384" width="8.6640625" style="158"/>
    <col min="5385" max="5385" width="35.21875" style="158" customWidth="1"/>
    <col min="5386" max="5386" width="16.109375" style="158" customWidth="1"/>
    <col min="5387" max="5387" width="9.109375" style="158" bestFit="1" customWidth="1"/>
    <col min="5388" max="5388" width="10.109375" style="158" bestFit="1" customWidth="1"/>
    <col min="5389" max="5389" width="10.6640625" style="158" customWidth="1"/>
    <col min="5390" max="5633" width="8.6640625" style="158"/>
    <col min="5634" max="5634" width="35.21875" style="158" customWidth="1"/>
    <col min="5635" max="5635" width="15.6640625" style="158" customWidth="1"/>
    <col min="5636" max="5636" width="14.6640625" style="158" bestFit="1" customWidth="1"/>
    <col min="5637" max="5637" width="1.6640625" style="158" customWidth="1"/>
    <col min="5638" max="5638" width="15.88671875" style="158" customWidth="1"/>
    <col min="5639" max="5639" width="1.44140625" style="158" customWidth="1"/>
    <col min="5640" max="5640" width="8.6640625" style="158"/>
    <col min="5641" max="5641" width="35.21875" style="158" customWidth="1"/>
    <col min="5642" max="5642" width="16.109375" style="158" customWidth="1"/>
    <col min="5643" max="5643" width="9.109375" style="158" bestFit="1" customWidth="1"/>
    <col min="5644" max="5644" width="10.109375" style="158" bestFit="1" customWidth="1"/>
    <col min="5645" max="5645" width="10.6640625" style="158" customWidth="1"/>
    <col min="5646" max="5889" width="8.6640625" style="158"/>
    <col min="5890" max="5890" width="35.21875" style="158" customWidth="1"/>
    <col min="5891" max="5891" width="15.6640625" style="158" customWidth="1"/>
    <col min="5892" max="5892" width="14.6640625" style="158" bestFit="1" customWidth="1"/>
    <col min="5893" max="5893" width="1.6640625" style="158" customWidth="1"/>
    <col min="5894" max="5894" width="15.88671875" style="158" customWidth="1"/>
    <col min="5895" max="5895" width="1.44140625" style="158" customWidth="1"/>
    <col min="5896" max="5896" width="8.6640625" style="158"/>
    <col min="5897" max="5897" width="35.21875" style="158" customWidth="1"/>
    <col min="5898" max="5898" width="16.109375" style="158" customWidth="1"/>
    <col min="5899" max="5899" width="9.109375" style="158" bestFit="1" customWidth="1"/>
    <col min="5900" max="5900" width="10.109375" style="158" bestFit="1" customWidth="1"/>
    <col min="5901" max="5901" width="10.6640625" style="158" customWidth="1"/>
    <col min="5902" max="6145" width="8.6640625" style="158"/>
    <col min="6146" max="6146" width="35.21875" style="158" customWidth="1"/>
    <col min="6147" max="6147" width="15.6640625" style="158" customWidth="1"/>
    <col min="6148" max="6148" width="14.6640625" style="158" bestFit="1" customWidth="1"/>
    <col min="6149" max="6149" width="1.6640625" style="158" customWidth="1"/>
    <col min="6150" max="6150" width="15.88671875" style="158" customWidth="1"/>
    <col min="6151" max="6151" width="1.44140625" style="158" customWidth="1"/>
    <col min="6152" max="6152" width="8.6640625" style="158"/>
    <col min="6153" max="6153" width="35.21875" style="158" customWidth="1"/>
    <col min="6154" max="6154" width="16.109375" style="158" customWidth="1"/>
    <col min="6155" max="6155" width="9.109375" style="158" bestFit="1" customWidth="1"/>
    <col min="6156" max="6156" width="10.109375" style="158" bestFit="1" customWidth="1"/>
    <col min="6157" max="6157" width="10.6640625" style="158" customWidth="1"/>
    <col min="6158" max="6401" width="8.6640625" style="158"/>
    <col min="6402" max="6402" width="35.21875" style="158" customWidth="1"/>
    <col min="6403" max="6403" width="15.6640625" style="158" customWidth="1"/>
    <col min="6404" max="6404" width="14.6640625" style="158" bestFit="1" customWidth="1"/>
    <col min="6405" max="6405" width="1.6640625" style="158" customWidth="1"/>
    <col min="6406" max="6406" width="15.88671875" style="158" customWidth="1"/>
    <col min="6407" max="6407" width="1.44140625" style="158" customWidth="1"/>
    <col min="6408" max="6408" width="8.6640625" style="158"/>
    <col min="6409" max="6409" width="35.21875" style="158" customWidth="1"/>
    <col min="6410" max="6410" width="16.109375" style="158" customWidth="1"/>
    <col min="6411" max="6411" width="9.109375" style="158" bestFit="1" customWidth="1"/>
    <col min="6412" max="6412" width="10.109375" style="158" bestFit="1" customWidth="1"/>
    <col min="6413" max="6413" width="10.6640625" style="158" customWidth="1"/>
    <col min="6414" max="6657" width="8.6640625" style="158"/>
    <col min="6658" max="6658" width="35.21875" style="158" customWidth="1"/>
    <col min="6659" max="6659" width="15.6640625" style="158" customWidth="1"/>
    <col min="6660" max="6660" width="14.6640625" style="158" bestFit="1" customWidth="1"/>
    <col min="6661" max="6661" width="1.6640625" style="158" customWidth="1"/>
    <col min="6662" max="6662" width="15.88671875" style="158" customWidth="1"/>
    <col min="6663" max="6663" width="1.44140625" style="158" customWidth="1"/>
    <col min="6664" max="6664" width="8.6640625" style="158"/>
    <col min="6665" max="6665" width="35.21875" style="158" customWidth="1"/>
    <col min="6666" max="6666" width="16.109375" style="158" customWidth="1"/>
    <col min="6667" max="6667" width="9.109375" style="158" bestFit="1" customWidth="1"/>
    <col min="6668" max="6668" width="10.109375" style="158" bestFit="1" customWidth="1"/>
    <col min="6669" max="6669" width="10.6640625" style="158" customWidth="1"/>
    <col min="6670" max="6913" width="8.6640625" style="158"/>
    <col min="6914" max="6914" width="35.21875" style="158" customWidth="1"/>
    <col min="6915" max="6915" width="15.6640625" style="158" customWidth="1"/>
    <col min="6916" max="6916" width="14.6640625" style="158" bestFit="1" customWidth="1"/>
    <col min="6917" max="6917" width="1.6640625" style="158" customWidth="1"/>
    <col min="6918" max="6918" width="15.88671875" style="158" customWidth="1"/>
    <col min="6919" max="6919" width="1.44140625" style="158" customWidth="1"/>
    <col min="6920" max="6920" width="8.6640625" style="158"/>
    <col min="6921" max="6921" width="35.21875" style="158" customWidth="1"/>
    <col min="6922" max="6922" width="16.109375" style="158" customWidth="1"/>
    <col min="6923" max="6923" width="9.109375" style="158" bestFit="1" customWidth="1"/>
    <col min="6924" max="6924" width="10.109375" style="158" bestFit="1" customWidth="1"/>
    <col min="6925" max="6925" width="10.6640625" style="158" customWidth="1"/>
    <col min="6926" max="7169" width="8.6640625" style="158"/>
    <col min="7170" max="7170" width="35.21875" style="158" customWidth="1"/>
    <col min="7171" max="7171" width="15.6640625" style="158" customWidth="1"/>
    <col min="7172" max="7172" width="14.6640625" style="158" bestFit="1" customWidth="1"/>
    <col min="7173" max="7173" width="1.6640625" style="158" customWidth="1"/>
    <col min="7174" max="7174" width="15.88671875" style="158" customWidth="1"/>
    <col min="7175" max="7175" width="1.44140625" style="158" customWidth="1"/>
    <col min="7176" max="7176" width="8.6640625" style="158"/>
    <col min="7177" max="7177" width="35.21875" style="158" customWidth="1"/>
    <col min="7178" max="7178" width="16.109375" style="158" customWidth="1"/>
    <col min="7179" max="7179" width="9.109375" style="158" bestFit="1" customWidth="1"/>
    <col min="7180" max="7180" width="10.109375" style="158" bestFit="1" customWidth="1"/>
    <col min="7181" max="7181" width="10.6640625" style="158" customWidth="1"/>
    <col min="7182" max="7425" width="8.6640625" style="158"/>
    <col min="7426" max="7426" width="35.21875" style="158" customWidth="1"/>
    <col min="7427" max="7427" width="15.6640625" style="158" customWidth="1"/>
    <col min="7428" max="7428" width="14.6640625" style="158" bestFit="1" customWidth="1"/>
    <col min="7429" max="7429" width="1.6640625" style="158" customWidth="1"/>
    <col min="7430" max="7430" width="15.88671875" style="158" customWidth="1"/>
    <col min="7431" max="7431" width="1.44140625" style="158" customWidth="1"/>
    <col min="7432" max="7432" width="8.6640625" style="158"/>
    <col min="7433" max="7433" width="35.21875" style="158" customWidth="1"/>
    <col min="7434" max="7434" width="16.109375" style="158" customWidth="1"/>
    <col min="7435" max="7435" width="9.109375" style="158" bestFit="1" customWidth="1"/>
    <col min="7436" max="7436" width="10.109375" style="158" bestFit="1" customWidth="1"/>
    <col min="7437" max="7437" width="10.6640625" style="158" customWidth="1"/>
    <col min="7438" max="7681" width="8.6640625" style="158"/>
    <col min="7682" max="7682" width="35.21875" style="158" customWidth="1"/>
    <col min="7683" max="7683" width="15.6640625" style="158" customWidth="1"/>
    <col min="7684" max="7684" width="14.6640625" style="158" bestFit="1" customWidth="1"/>
    <col min="7685" max="7685" width="1.6640625" style="158" customWidth="1"/>
    <col min="7686" max="7686" width="15.88671875" style="158" customWidth="1"/>
    <col min="7687" max="7687" width="1.44140625" style="158" customWidth="1"/>
    <col min="7688" max="7688" width="8.6640625" style="158"/>
    <col min="7689" max="7689" width="35.21875" style="158" customWidth="1"/>
    <col min="7690" max="7690" width="16.109375" style="158" customWidth="1"/>
    <col min="7691" max="7691" width="9.109375" style="158" bestFit="1" customWidth="1"/>
    <col min="7692" max="7692" width="10.109375" style="158" bestFit="1" customWidth="1"/>
    <col min="7693" max="7693" width="10.6640625" style="158" customWidth="1"/>
    <col min="7694" max="7937" width="8.6640625" style="158"/>
    <col min="7938" max="7938" width="35.21875" style="158" customWidth="1"/>
    <col min="7939" max="7939" width="15.6640625" style="158" customWidth="1"/>
    <col min="7940" max="7940" width="14.6640625" style="158" bestFit="1" customWidth="1"/>
    <col min="7941" max="7941" width="1.6640625" style="158" customWidth="1"/>
    <col min="7942" max="7942" width="15.88671875" style="158" customWidth="1"/>
    <col min="7943" max="7943" width="1.44140625" style="158" customWidth="1"/>
    <col min="7944" max="7944" width="8.6640625" style="158"/>
    <col min="7945" max="7945" width="35.21875" style="158" customWidth="1"/>
    <col min="7946" max="7946" width="16.109375" style="158" customWidth="1"/>
    <col min="7947" max="7947" width="9.109375" style="158" bestFit="1" customWidth="1"/>
    <col min="7948" max="7948" width="10.109375" style="158" bestFit="1" customWidth="1"/>
    <col min="7949" max="7949" width="10.6640625" style="158" customWidth="1"/>
    <col min="7950" max="8193" width="8.6640625" style="158"/>
    <col min="8194" max="8194" width="35.21875" style="158" customWidth="1"/>
    <col min="8195" max="8195" width="15.6640625" style="158" customWidth="1"/>
    <col min="8196" max="8196" width="14.6640625" style="158" bestFit="1" customWidth="1"/>
    <col min="8197" max="8197" width="1.6640625" style="158" customWidth="1"/>
    <col min="8198" max="8198" width="15.88671875" style="158" customWidth="1"/>
    <col min="8199" max="8199" width="1.44140625" style="158" customWidth="1"/>
    <col min="8200" max="8200" width="8.6640625" style="158"/>
    <col min="8201" max="8201" width="35.21875" style="158" customWidth="1"/>
    <col min="8202" max="8202" width="16.109375" style="158" customWidth="1"/>
    <col min="8203" max="8203" width="9.109375" style="158" bestFit="1" customWidth="1"/>
    <col min="8204" max="8204" width="10.109375" style="158" bestFit="1" customWidth="1"/>
    <col min="8205" max="8205" width="10.6640625" style="158" customWidth="1"/>
    <col min="8206" max="8449" width="8.6640625" style="158"/>
    <col min="8450" max="8450" width="35.21875" style="158" customWidth="1"/>
    <col min="8451" max="8451" width="15.6640625" style="158" customWidth="1"/>
    <col min="8452" max="8452" width="14.6640625" style="158" bestFit="1" customWidth="1"/>
    <col min="8453" max="8453" width="1.6640625" style="158" customWidth="1"/>
    <col min="8454" max="8454" width="15.88671875" style="158" customWidth="1"/>
    <col min="8455" max="8455" width="1.44140625" style="158" customWidth="1"/>
    <col min="8456" max="8456" width="8.6640625" style="158"/>
    <col min="8457" max="8457" width="35.21875" style="158" customWidth="1"/>
    <col min="8458" max="8458" width="16.109375" style="158" customWidth="1"/>
    <col min="8459" max="8459" width="9.109375" style="158" bestFit="1" customWidth="1"/>
    <col min="8460" max="8460" width="10.109375" style="158" bestFit="1" customWidth="1"/>
    <col min="8461" max="8461" width="10.6640625" style="158" customWidth="1"/>
    <col min="8462" max="8705" width="8.6640625" style="158"/>
    <col min="8706" max="8706" width="35.21875" style="158" customWidth="1"/>
    <col min="8707" max="8707" width="15.6640625" style="158" customWidth="1"/>
    <col min="8708" max="8708" width="14.6640625" style="158" bestFit="1" customWidth="1"/>
    <col min="8709" max="8709" width="1.6640625" style="158" customWidth="1"/>
    <col min="8710" max="8710" width="15.88671875" style="158" customWidth="1"/>
    <col min="8711" max="8711" width="1.44140625" style="158" customWidth="1"/>
    <col min="8712" max="8712" width="8.6640625" style="158"/>
    <col min="8713" max="8713" width="35.21875" style="158" customWidth="1"/>
    <col min="8714" max="8714" width="16.109375" style="158" customWidth="1"/>
    <col min="8715" max="8715" width="9.109375" style="158" bestFit="1" customWidth="1"/>
    <col min="8716" max="8716" width="10.109375" style="158" bestFit="1" customWidth="1"/>
    <col min="8717" max="8717" width="10.6640625" style="158" customWidth="1"/>
    <col min="8718" max="8961" width="8.6640625" style="158"/>
    <col min="8962" max="8962" width="35.21875" style="158" customWidth="1"/>
    <col min="8963" max="8963" width="15.6640625" style="158" customWidth="1"/>
    <col min="8964" max="8964" width="14.6640625" style="158" bestFit="1" customWidth="1"/>
    <col min="8965" max="8965" width="1.6640625" style="158" customWidth="1"/>
    <col min="8966" max="8966" width="15.88671875" style="158" customWidth="1"/>
    <col min="8967" max="8967" width="1.44140625" style="158" customWidth="1"/>
    <col min="8968" max="8968" width="8.6640625" style="158"/>
    <col min="8969" max="8969" width="35.21875" style="158" customWidth="1"/>
    <col min="8970" max="8970" width="16.109375" style="158" customWidth="1"/>
    <col min="8971" max="8971" width="9.109375" style="158" bestFit="1" customWidth="1"/>
    <col min="8972" max="8972" width="10.109375" style="158" bestFit="1" customWidth="1"/>
    <col min="8973" max="8973" width="10.6640625" style="158" customWidth="1"/>
    <col min="8974" max="9217" width="8.6640625" style="158"/>
    <col min="9218" max="9218" width="35.21875" style="158" customWidth="1"/>
    <col min="9219" max="9219" width="15.6640625" style="158" customWidth="1"/>
    <col min="9220" max="9220" width="14.6640625" style="158" bestFit="1" customWidth="1"/>
    <col min="9221" max="9221" width="1.6640625" style="158" customWidth="1"/>
    <col min="9222" max="9222" width="15.88671875" style="158" customWidth="1"/>
    <col min="9223" max="9223" width="1.44140625" style="158" customWidth="1"/>
    <col min="9224" max="9224" width="8.6640625" style="158"/>
    <col min="9225" max="9225" width="35.21875" style="158" customWidth="1"/>
    <col min="9226" max="9226" width="16.109375" style="158" customWidth="1"/>
    <col min="9227" max="9227" width="9.109375" style="158" bestFit="1" customWidth="1"/>
    <col min="9228" max="9228" width="10.109375" style="158" bestFit="1" customWidth="1"/>
    <col min="9229" max="9229" width="10.6640625" style="158" customWidth="1"/>
    <col min="9230" max="9473" width="8.6640625" style="158"/>
    <col min="9474" max="9474" width="35.21875" style="158" customWidth="1"/>
    <col min="9475" max="9475" width="15.6640625" style="158" customWidth="1"/>
    <col min="9476" max="9476" width="14.6640625" style="158" bestFit="1" customWidth="1"/>
    <col min="9477" max="9477" width="1.6640625" style="158" customWidth="1"/>
    <col min="9478" max="9478" width="15.88671875" style="158" customWidth="1"/>
    <col min="9479" max="9479" width="1.44140625" style="158" customWidth="1"/>
    <col min="9480" max="9480" width="8.6640625" style="158"/>
    <col min="9481" max="9481" width="35.21875" style="158" customWidth="1"/>
    <col min="9482" max="9482" width="16.109375" style="158" customWidth="1"/>
    <col min="9483" max="9483" width="9.109375" style="158" bestFit="1" customWidth="1"/>
    <col min="9484" max="9484" width="10.109375" style="158" bestFit="1" customWidth="1"/>
    <col min="9485" max="9485" width="10.6640625" style="158" customWidth="1"/>
    <col min="9486" max="9729" width="8.6640625" style="158"/>
    <col min="9730" max="9730" width="35.21875" style="158" customWidth="1"/>
    <col min="9731" max="9731" width="15.6640625" style="158" customWidth="1"/>
    <col min="9732" max="9732" width="14.6640625" style="158" bestFit="1" customWidth="1"/>
    <col min="9733" max="9733" width="1.6640625" style="158" customWidth="1"/>
    <col min="9734" max="9734" width="15.88671875" style="158" customWidth="1"/>
    <col min="9735" max="9735" width="1.44140625" style="158" customWidth="1"/>
    <col min="9736" max="9736" width="8.6640625" style="158"/>
    <col min="9737" max="9737" width="35.21875" style="158" customWidth="1"/>
    <col min="9738" max="9738" width="16.109375" style="158" customWidth="1"/>
    <col min="9739" max="9739" width="9.109375" style="158" bestFit="1" customWidth="1"/>
    <col min="9740" max="9740" width="10.109375" style="158" bestFit="1" customWidth="1"/>
    <col min="9741" max="9741" width="10.6640625" style="158" customWidth="1"/>
    <col min="9742" max="9985" width="8.6640625" style="158"/>
    <col min="9986" max="9986" width="35.21875" style="158" customWidth="1"/>
    <col min="9987" max="9987" width="15.6640625" style="158" customWidth="1"/>
    <col min="9988" max="9988" width="14.6640625" style="158" bestFit="1" customWidth="1"/>
    <col min="9989" max="9989" width="1.6640625" style="158" customWidth="1"/>
    <col min="9990" max="9990" width="15.88671875" style="158" customWidth="1"/>
    <col min="9991" max="9991" width="1.44140625" style="158" customWidth="1"/>
    <col min="9992" max="9992" width="8.6640625" style="158"/>
    <col min="9993" max="9993" width="35.21875" style="158" customWidth="1"/>
    <col min="9994" max="9994" width="16.109375" style="158" customWidth="1"/>
    <col min="9995" max="9995" width="9.109375" style="158" bestFit="1" customWidth="1"/>
    <col min="9996" max="9996" width="10.109375" style="158" bestFit="1" customWidth="1"/>
    <col min="9997" max="9997" width="10.6640625" style="158" customWidth="1"/>
    <col min="9998" max="10241" width="8.6640625" style="158"/>
    <col min="10242" max="10242" width="35.21875" style="158" customWidth="1"/>
    <col min="10243" max="10243" width="15.6640625" style="158" customWidth="1"/>
    <col min="10244" max="10244" width="14.6640625" style="158" bestFit="1" customWidth="1"/>
    <col min="10245" max="10245" width="1.6640625" style="158" customWidth="1"/>
    <col min="10246" max="10246" width="15.88671875" style="158" customWidth="1"/>
    <col min="10247" max="10247" width="1.44140625" style="158" customWidth="1"/>
    <col min="10248" max="10248" width="8.6640625" style="158"/>
    <col min="10249" max="10249" width="35.21875" style="158" customWidth="1"/>
    <col min="10250" max="10250" width="16.109375" style="158" customWidth="1"/>
    <col min="10251" max="10251" width="9.109375" style="158" bestFit="1" customWidth="1"/>
    <col min="10252" max="10252" width="10.109375" style="158" bestFit="1" customWidth="1"/>
    <col min="10253" max="10253" width="10.6640625" style="158" customWidth="1"/>
    <col min="10254" max="10497" width="8.6640625" style="158"/>
    <col min="10498" max="10498" width="35.21875" style="158" customWidth="1"/>
    <col min="10499" max="10499" width="15.6640625" style="158" customWidth="1"/>
    <col min="10500" max="10500" width="14.6640625" style="158" bestFit="1" customWidth="1"/>
    <col min="10501" max="10501" width="1.6640625" style="158" customWidth="1"/>
    <col min="10502" max="10502" width="15.88671875" style="158" customWidth="1"/>
    <col min="10503" max="10503" width="1.44140625" style="158" customWidth="1"/>
    <col min="10504" max="10504" width="8.6640625" style="158"/>
    <col min="10505" max="10505" width="35.21875" style="158" customWidth="1"/>
    <col min="10506" max="10506" width="16.109375" style="158" customWidth="1"/>
    <col min="10507" max="10507" width="9.109375" style="158" bestFit="1" customWidth="1"/>
    <col min="10508" max="10508" width="10.109375" style="158" bestFit="1" customWidth="1"/>
    <col min="10509" max="10509" width="10.6640625" style="158" customWidth="1"/>
    <col min="10510" max="10753" width="8.6640625" style="158"/>
    <col min="10754" max="10754" width="35.21875" style="158" customWidth="1"/>
    <col min="10755" max="10755" width="15.6640625" style="158" customWidth="1"/>
    <col min="10756" max="10756" width="14.6640625" style="158" bestFit="1" customWidth="1"/>
    <col min="10757" max="10757" width="1.6640625" style="158" customWidth="1"/>
    <col min="10758" max="10758" width="15.88671875" style="158" customWidth="1"/>
    <col min="10759" max="10759" width="1.44140625" style="158" customWidth="1"/>
    <col min="10760" max="10760" width="8.6640625" style="158"/>
    <col min="10761" max="10761" width="35.21875" style="158" customWidth="1"/>
    <col min="10762" max="10762" width="16.109375" style="158" customWidth="1"/>
    <col min="10763" max="10763" width="9.109375" style="158" bestFit="1" customWidth="1"/>
    <col min="10764" max="10764" width="10.109375" style="158" bestFit="1" customWidth="1"/>
    <col min="10765" max="10765" width="10.6640625" style="158" customWidth="1"/>
    <col min="10766" max="11009" width="8.6640625" style="158"/>
    <col min="11010" max="11010" width="35.21875" style="158" customWidth="1"/>
    <col min="11011" max="11011" width="15.6640625" style="158" customWidth="1"/>
    <col min="11012" max="11012" width="14.6640625" style="158" bestFit="1" customWidth="1"/>
    <col min="11013" max="11013" width="1.6640625" style="158" customWidth="1"/>
    <col min="11014" max="11014" width="15.88671875" style="158" customWidth="1"/>
    <col min="11015" max="11015" width="1.44140625" style="158" customWidth="1"/>
    <col min="11016" max="11016" width="8.6640625" style="158"/>
    <col min="11017" max="11017" width="35.21875" style="158" customWidth="1"/>
    <col min="11018" max="11018" width="16.109375" style="158" customWidth="1"/>
    <col min="11019" max="11019" width="9.109375" style="158" bestFit="1" customWidth="1"/>
    <col min="11020" max="11020" width="10.109375" style="158" bestFit="1" customWidth="1"/>
    <col min="11021" max="11021" width="10.6640625" style="158" customWidth="1"/>
    <col min="11022" max="11265" width="8.6640625" style="158"/>
    <col min="11266" max="11266" width="35.21875" style="158" customWidth="1"/>
    <col min="11267" max="11267" width="15.6640625" style="158" customWidth="1"/>
    <col min="11268" max="11268" width="14.6640625" style="158" bestFit="1" customWidth="1"/>
    <col min="11269" max="11269" width="1.6640625" style="158" customWidth="1"/>
    <col min="11270" max="11270" width="15.88671875" style="158" customWidth="1"/>
    <col min="11271" max="11271" width="1.44140625" style="158" customWidth="1"/>
    <col min="11272" max="11272" width="8.6640625" style="158"/>
    <col min="11273" max="11273" width="35.21875" style="158" customWidth="1"/>
    <col min="11274" max="11274" width="16.109375" style="158" customWidth="1"/>
    <col min="11275" max="11275" width="9.109375" style="158" bestFit="1" customWidth="1"/>
    <col min="11276" max="11276" width="10.109375" style="158" bestFit="1" customWidth="1"/>
    <col min="11277" max="11277" width="10.6640625" style="158" customWidth="1"/>
    <col min="11278" max="11521" width="8.6640625" style="158"/>
    <col min="11522" max="11522" width="35.21875" style="158" customWidth="1"/>
    <col min="11523" max="11523" width="15.6640625" style="158" customWidth="1"/>
    <col min="11524" max="11524" width="14.6640625" style="158" bestFit="1" customWidth="1"/>
    <col min="11525" max="11525" width="1.6640625" style="158" customWidth="1"/>
    <col min="11526" max="11526" width="15.88671875" style="158" customWidth="1"/>
    <col min="11527" max="11527" width="1.44140625" style="158" customWidth="1"/>
    <col min="11528" max="11528" width="8.6640625" style="158"/>
    <col min="11529" max="11529" width="35.21875" style="158" customWidth="1"/>
    <col min="11530" max="11530" width="16.109375" style="158" customWidth="1"/>
    <col min="11531" max="11531" width="9.109375" style="158" bestFit="1" customWidth="1"/>
    <col min="11532" max="11532" width="10.109375" style="158" bestFit="1" customWidth="1"/>
    <col min="11533" max="11533" width="10.6640625" style="158" customWidth="1"/>
    <col min="11534" max="11777" width="8.6640625" style="158"/>
    <col min="11778" max="11778" width="35.21875" style="158" customWidth="1"/>
    <col min="11779" max="11779" width="15.6640625" style="158" customWidth="1"/>
    <col min="11780" max="11780" width="14.6640625" style="158" bestFit="1" customWidth="1"/>
    <col min="11781" max="11781" width="1.6640625" style="158" customWidth="1"/>
    <col min="11782" max="11782" width="15.88671875" style="158" customWidth="1"/>
    <col min="11783" max="11783" width="1.44140625" style="158" customWidth="1"/>
    <col min="11784" max="11784" width="8.6640625" style="158"/>
    <col min="11785" max="11785" width="35.21875" style="158" customWidth="1"/>
    <col min="11786" max="11786" width="16.109375" style="158" customWidth="1"/>
    <col min="11787" max="11787" width="9.109375" style="158" bestFit="1" customWidth="1"/>
    <col min="11788" max="11788" width="10.109375" style="158" bestFit="1" customWidth="1"/>
    <col min="11789" max="11789" width="10.6640625" style="158" customWidth="1"/>
    <col min="11790" max="12033" width="8.6640625" style="158"/>
    <col min="12034" max="12034" width="35.21875" style="158" customWidth="1"/>
    <col min="12035" max="12035" width="15.6640625" style="158" customWidth="1"/>
    <col min="12036" max="12036" width="14.6640625" style="158" bestFit="1" customWidth="1"/>
    <col min="12037" max="12037" width="1.6640625" style="158" customWidth="1"/>
    <col min="12038" max="12038" width="15.88671875" style="158" customWidth="1"/>
    <col min="12039" max="12039" width="1.44140625" style="158" customWidth="1"/>
    <col min="12040" max="12040" width="8.6640625" style="158"/>
    <col min="12041" max="12041" width="35.21875" style="158" customWidth="1"/>
    <col min="12042" max="12042" width="16.109375" style="158" customWidth="1"/>
    <col min="12043" max="12043" width="9.109375" style="158" bestFit="1" customWidth="1"/>
    <col min="12044" max="12044" width="10.109375" style="158" bestFit="1" customWidth="1"/>
    <col min="12045" max="12045" width="10.6640625" style="158" customWidth="1"/>
    <col min="12046" max="12289" width="8.6640625" style="158"/>
    <col min="12290" max="12290" width="35.21875" style="158" customWidth="1"/>
    <col min="12291" max="12291" width="15.6640625" style="158" customWidth="1"/>
    <col min="12292" max="12292" width="14.6640625" style="158" bestFit="1" customWidth="1"/>
    <col min="12293" max="12293" width="1.6640625" style="158" customWidth="1"/>
    <col min="12294" max="12294" width="15.88671875" style="158" customWidth="1"/>
    <col min="12295" max="12295" width="1.44140625" style="158" customWidth="1"/>
    <col min="12296" max="12296" width="8.6640625" style="158"/>
    <col min="12297" max="12297" width="35.21875" style="158" customWidth="1"/>
    <col min="12298" max="12298" width="16.109375" style="158" customWidth="1"/>
    <col min="12299" max="12299" width="9.109375" style="158" bestFit="1" customWidth="1"/>
    <col min="12300" max="12300" width="10.109375" style="158" bestFit="1" customWidth="1"/>
    <col min="12301" max="12301" width="10.6640625" style="158" customWidth="1"/>
    <col min="12302" max="12545" width="8.6640625" style="158"/>
    <col min="12546" max="12546" width="35.21875" style="158" customWidth="1"/>
    <col min="12547" max="12547" width="15.6640625" style="158" customWidth="1"/>
    <col min="12548" max="12548" width="14.6640625" style="158" bestFit="1" customWidth="1"/>
    <col min="12549" max="12549" width="1.6640625" style="158" customWidth="1"/>
    <col min="12550" max="12550" width="15.88671875" style="158" customWidth="1"/>
    <col min="12551" max="12551" width="1.44140625" style="158" customWidth="1"/>
    <col min="12552" max="12552" width="8.6640625" style="158"/>
    <col min="12553" max="12553" width="35.21875" style="158" customWidth="1"/>
    <col min="12554" max="12554" width="16.109375" style="158" customWidth="1"/>
    <col min="12555" max="12555" width="9.109375" style="158" bestFit="1" customWidth="1"/>
    <col min="12556" max="12556" width="10.109375" style="158" bestFit="1" customWidth="1"/>
    <col min="12557" max="12557" width="10.6640625" style="158" customWidth="1"/>
    <col min="12558" max="12801" width="8.6640625" style="158"/>
    <col min="12802" max="12802" width="35.21875" style="158" customWidth="1"/>
    <col min="12803" max="12803" width="15.6640625" style="158" customWidth="1"/>
    <col min="12804" max="12804" width="14.6640625" style="158" bestFit="1" customWidth="1"/>
    <col min="12805" max="12805" width="1.6640625" style="158" customWidth="1"/>
    <col min="12806" max="12806" width="15.88671875" style="158" customWidth="1"/>
    <col min="12807" max="12807" width="1.44140625" style="158" customWidth="1"/>
    <col min="12808" max="12808" width="8.6640625" style="158"/>
    <col min="12809" max="12809" width="35.21875" style="158" customWidth="1"/>
    <col min="12810" max="12810" width="16.109375" style="158" customWidth="1"/>
    <col min="12811" max="12811" width="9.109375" style="158" bestFit="1" customWidth="1"/>
    <col min="12812" max="12812" width="10.109375" style="158" bestFit="1" customWidth="1"/>
    <col min="12813" max="12813" width="10.6640625" style="158" customWidth="1"/>
    <col min="12814" max="13057" width="8.6640625" style="158"/>
    <col min="13058" max="13058" width="35.21875" style="158" customWidth="1"/>
    <col min="13059" max="13059" width="15.6640625" style="158" customWidth="1"/>
    <col min="13060" max="13060" width="14.6640625" style="158" bestFit="1" customWidth="1"/>
    <col min="13061" max="13061" width="1.6640625" style="158" customWidth="1"/>
    <col min="13062" max="13062" width="15.88671875" style="158" customWidth="1"/>
    <col min="13063" max="13063" width="1.44140625" style="158" customWidth="1"/>
    <col min="13064" max="13064" width="8.6640625" style="158"/>
    <col min="13065" max="13065" width="35.21875" style="158" customWidth="1"/>
    <col min="13066" max="13066" width="16.109375" style="158" customWidth="1"/>
    <col min="13067" max="13067" width="9.109375" style="158" bestFit="1" customWidth="1"/>
    <col min="13068" max="13068" width="10.109375" style="158" bestFit="1" customWidth="1"/>
    <col min="13069" max="13069" width="10.6640625" style="158" customWidth="1"/>
    <col min="13070" max="13313" width="8.6640625" style="158"/>
    <col min="13314" max="13314" width="35.21875" style="158" customWidth="1"/>
    <col min="13315" max="13315" width="15.6640625" style="158" customWidth="1"/>
    <col min="13316" max="13316" width="14.6640625" style="158" bestFit="1" customWidth="1"/>
    <col min="13317" max="13317" width="1.6640625" style="158" customWidth="1"/>
    <col min="13318" max="13318" width="15.88671875" style="158" customWidth="1"/>
    <col min="13319" max="13319" width="1.44140625" style="158" customWidth="1"/>
    <col min="13320" max="13320" width="8.6640625" style="158"/>
    <col min="13321" max="13321" width="35.21875" style="158" customWidth="1"/>
    <col min="13322" max="13322" width="16.109375" style="158" customWidth="1"/>
    <col min="13323" max="13323" width="9.109375" style="158" bestFit="1" customWidth="1"/>
    <col min="13324" max="13324" width="10.109375" style="158" bestFit="1" customWidth="1"/>
    <col min="13325" max="13325" width="10.6640625" style="158" customWidth="1"/>
    <col min="13326" max="13569" width="8.6640625" style="158"/>
    <col min="13570" max="13570" width="35.21875" style="158" customWidth="1"/>
    <col min="13571" max="13571" width="15.6640625" style="158" customWidth="1"/>
    <col min="13572" max="13572" width="14.6640625" style="158" bestFit="1" customWidth="1"/>
    <col min="13573" max="13573" width="1.6640625" style="158" customWidth="1"/>
    <col min="13574" max="13574" width="15.88671875" style="158" customWidth="1"/>
    <col min="13575" max="13575" width="1.44140625" style="158" customWidth="1"/>
    <col min="13576" max="13576" width="8.6640625" style="158"/>
    <col min="13577" max="13577" width="35.21875" style="158" customWidth="1"/>
    <col min="13578" max="13578" width="16.109375" style="158" customWidth="1"/>
    <col min="13579" max="13579" width="9.109375" style="158" bestFit="1" customWidth="1"/>
    <col min="13580" max="13580" width="10.109375" style="158" bestFit="1" customWidth="1"/>
    <col min="13581" max="13581" width="10.6640625" style="158" customWidth="1"/>
    <col min="13582" max="13825" width="8.6640625" style="158"/>
    <col min="13826" max="13826" width="35.21875" style="158" customWidth="1"/>
    <col min="13827" max="13827" width="15.6640625" style="158" customWidth="1"/>
    <col min="13828" max="13828" width="14.6640625" style="158" bestFit="1" customWidth="1"/>
    <col min="13829" max="13829" width="1.6640625" style="158" customWidth="1"/>
    <col min="13830" max="13830" width="15.88671875" style="158" customWidth="1"/>
    <col min="13831" max="13831" width="1.44140625" style="158" customWidth="1"/>
    <col min="13832" max="13832" width="8.6640625" style="158"/>
    <col min="13833" max="13833" width="35.21875" style="158" customWidth="1"/>
    <col min="13834" max="13834" width="16.109375" style="158" customWidth="1"/>
    <col min="13835" max="13835" width="9.109375" style="158" bestFit="1" customWidth="1"/>
    <col min="13836" max="13836" width="10.109375" style="158" bestFit="1" customWidth="1"/>
    <col min="13837" max="13837" width="10.6640625" style="158" customWidth="1"/>
    <col min="13838" max="14081" width="8.6640625" style="158"/>
    <col min="14082" max="14082" width="35.21875" style="158" customWidth="1"/>
    <col min="14083" max="14083" width="15.6640625" style="158" customWidth="1"/>
    <col min="14084" max="14084" width="14.6640625" style="158" bestFit="1" customWidth="1"/>
    <col min="14085" max="14085" width="1.6640625" style="158" customWidth="1"/>
    <col min="14086" max="14086" width="15.88671875" style="158" customWidth="1"/>
    <col min="14087" max="14087" width="1.44140625" style="158" customWidth="1"/>
    <col min="14088" max="14088" width="8.6640625" style="158"/>
    <col min="14089" max="14089" width="35.21875" style="158" customWidth="1"/>
    <col min="14090" max="14090" width="16.109375" style="158" customWidth="1"/>
    <col min="14091" max="14091" width="9.109375" style="158" bestFit="1" customWidth="1"/>
    <col min="14092" max="14092" width="10.109375" style="158" bestFit="1" customWidth="1"/>
    <col min="14093" max="14093" width="10.6640625" style="158" customWidth="1"/>
    <col min="14094" max="14337" width="8.6640625" style="158"/>
    <col min="14338" max="14338" width="35.21875" style="158" customWidth="1"/>
    <col min="14339" max="14339" width="15.6640625" style="158" customWidth="1"/>
    <col min="14340" max="14340" width="14.6640625" style="158" bestFit="1" customWidth="1"/>
    <col min="14341" max="14341" width="1.6640625" style="158" customWidth="1"/>
    <col min="14342" max="14342" width="15.88671875" style="158" customWidth="1"/>
    <col min="14343" max="14343" width="1.44140625" style="158" customWidth="1"/>
    <col min="14344" max="14344" width="8.6640625" style="158"/>
    <col min="14345" max="14345" width="35.21875" style="158" customWidth="1"/>
    <col min="14346" max="14346" width="16.109375" style="158" customWidth="1"/>
    <col min="14347" max="14347" width="9.109375" style="158" bestFit="1" customWidth="1"/>
    <col min="14348" max="14348" width="10.109375" style="158" bestFit="1" customWidth="1"/>
    <col min="14349" max="14349" width="10.6640625" style="158" customWidth="1"/>
    <col min="14350" max="14593" width="8.6640625" style="158"/>
    <col min="14594" max="14594" width="35.21875" style="158" customWidth="1"/>
    <col min="14595" max="14595" width="15.6640625" style="158" customWidth="1"/>
    <col min="14596" max="14596" width="14.6640625" style="158" bestFit="1" customWidth="1"/>
    <col min="14597" max="14597" width="1.6640625" style="158" customWidth="1"/>
    <col min="14598" max="14598" width="15.88671875" style="158" customWidth="1"/>
    <col min="14599" max="14599" width="1.44140625" style="158" customWidth="1"/>
    <col min="14600" max="14600" width="8.6640625" style="158"/>
    <col min="14601" max="14601" width="35.21875" style="158" customWidth="1"/>
    <col min="14602" max="14602" width="16.109375" style="158" customWidth="1"/>
    <col min="14603" max="14603" width="9.109375" style="158" bestFit="1" customWidth="1"/>
    <col min="14604" max="14604" width="10.109375" style="158" bestFit="1" customWidth="1"/>
    <col min="14605" max="14605" width="10.6640625" style="158" customWidth="1"/>
    <col min="14606" max="14849" width="8.6640625" style="158"/>
    <col min="14850" max="14850" width="35.21875" style="158" customWidth="1"/>
    <col min="14851" max="14851" width="15.6640625" style="158" customWidth="1"/>
    <col min="14852" max="14852" width="14.6640625" style="158" bestFit="1" customWidth="1"/>
    <col min="14853" max="14853" width="1.6640625" style="158" customWidth="1"/>
    <col min="14854" max="14854" width="15.88671875" style="158" customWidth="1"/>
    <col min="14855" max="14855" width="1.44140625" style="158" customWidth="1"/>
    <col min="14856" max="14856" width="8.6640625" style="158"/>
    <col min="14857" max="14857" width="35.21875" style="158" customWidth="1"/>
    <col min="14858" max="14858" width="16.109375" style="158" customWidth="1"/>
    <col min="14859" max="14859" width="9.109375" style="158" bestFit="1" customWidth="1"/>
    <col min="14860" max="14860" width="10.109375" style="158" bestFit="1" customWidth="1"/>
    <col min="14861" max="14861" width="10.6640625" style="158" customWidth="1"/>
    <col min="14862" max="15105" width="8.6640625" style="158"/>
    <col min="15106" max="15106" width="35.21875" style="158" customWidth="1"/>
    <col min="15107" max="15107" width="15.6640625" style="158" customWidth="1"/>
    <col min="15108" max="15108" width="14.6640625" style="158" bestFit="1" customWidth="1"/>
    <col min="15109" max="15109" width="1.6640625" style="158" customWidth="1"/>
    <col min="15110" max="15110" width="15.88671875" style="158" customWidth="1"/>
    <col min="15111" max="15111" width="1.44140625" style="158" customWidth="1"/>
    <col min="15112" max="15112" width="8.6640625" style="158"/>
    <col min="15113" max="15113" width="35.21875" style="158" customWidth="1"/>
    <col min="15114" max="15114" width="16.109375" style="158" customWidth="1"/>
    <col min="15115" max="15115" width="9.109375" style="158" bestFit="1" customWidth="1"/>
    <col min="15116" max="15116" width="10.109375" style="158" bestFit="1" customWidth="1"/>
    <col min="15117" max="15117" width="10.6640625" style="158" customWidth="1"/>
    <col min="15118" max="15361" width="8.6640625" style="158"/>
    <col min="15362" max="15362" width="35.21875" style="158" customWidth="1"/>
    <col min="15363" max="15363" width="15.6640625" style="158" customWidth="1"/>
    <col min="15364" max="15364" width="14.6640625" style="158" bestFit="1" customWidth="1"/>
    <col min="15365" max="15365" width="1.6640625" style="158" customWidth="1"/>
    <col min="15366" max="15366" width="15.88671875" style="158" customWidth="1"/>
    <col min="15367" max="15367" width="1.44140625" style="158" customWidth="1"/>
    <col min="15368" max="15368" width="8.6640625" style="158"/>
    <col min="15369" max="15369" width="35.21875" style="158" customWidth="1"/>
    <col min="15370" max="15370" width="16.109375" style="158" customWidth="1"/>
    <col min="15371" max="15371" width="9.109375" style="158" bestFit="1" customWidth="1"/>
    <col min="15372" max="15372" width="10.109375" style="158" bestFit="1" customWidth="1"/>
    <col min="15373" max="15373" width="10.6640625" style="158" customWidth="1"/>
    <col min="15374" max="15617" width="8.6640625" style="158"/>
    <col min="15618" max="15618" width="35.21875" style="158" customWidth="1"/>
    <col min="15619" max="15619" width="15.6640625" style="158" customWidth="1"/>
    <col min="15620" max="15620" width="14.6640625" style="158" bestFit="1" customWidth="1"/>
    <col min="15621" max="15621" width="1.6640625" style="158" customWidth="1"/>
    <col min="15622" max="15622" width="15.88671875" style="158" customWidth="1"/>
    <col min="15623" max="15623" width="1.44140625" style="158" customWidth="1"/>
    <col min="15624" max="15624" width="8.6640625" style="158"/>
    <col min="15625" max="15625" width="35.21875" style="158" customWidth="1"/>
    <col min="15626" max="15626" width="16.109375" style="158" customWidth="1"/>
    <col min="15627" max="15627" width="9.109375" style="158" bestFit="1" customWidth="1"/>
    <col min="15628" max="15628" width="10.109375" style="158" bestFit="1" customWidth="1"/>
    <col min="15629" max="15629" width="10.6640625" style="158" customWidth="1"/>
    <col min="15630" max="15873" width="8.6640625" style="158"/>
    <col min="15874" max="15874" width="35.21875" style="158" customWidth="1"/>
    <col min="15875" max="15875" width="15.6640625" style="158" customWidth="1"/>
    <col min="15876" max="15876" width="14.6640625" style="158" bestFit="1" customWidth="1"/>
    <col min="15877" max="15877" width="1.6640625" style="158" customWidth="1"/>
    <col min="15878" max="15878" width="15.88671875" style="158" customWidth="1"/>
    <col min="15879" max="15879" width="1.44140625" style="158" customWidth="1"/>
    <col min="15880" max="15880" width="8.6640625" style="158"/>
    <col min="15881" max="15881" width="35.21875" style="158" customWidth="1"/>
    <col min="15882" max="15882" width="16.109375" style="158" customWidth="1"/>
    <col min="15883" max="15883" width="9.109375" style="158" bestFit="1" customWidth="1"/>
    <col min="15884" max="15884" width="10.109375" style="158" bestFit="1" customWidth="1"/>
    <col min="15885" max="15885" width="10.6640625" style="158" customWidth="1"/>
    <col min="15886" max="16129" width="8.6640625" style="158"/>
    <col min="16130" max="16130" width="35.21875" style="158" customWidth="1"/>
    <col min="16131" max="16131" width="15.6640625" style="158" customWidth="1"/>
    <col min="16132" max="16132" width="14.6640625" style="158" bestFit="1" customWidth="1"/>
    <col min="16133" max="16133" width="1.6640625" style="158" customWidth="1"/>
    <col min="16134" max="16134" width="15.88671875" style="158" customWidth="1"/>
    <col min="16135" max="16135" width="1.44140625" style="158" customWidth="1"/>
    <col min="16136" max="16136" width="8.6640625" style="158"/>
    <col min="16137" max="16137" width="35.21875" style="158" customWidth="1"/>
    <col min="16138" max="16138" width="16.109375" style="158" customWidth="1"/>
    <col min="16139" max="16139" width="9.109375" style="158" bestFit="1" customWidth="1"/>
    <col min="16140" max="16140" width="10.109375" style="158" bestFit="1" customWidth="1"/>
    <col min="16141" max="16141" width="10.6640625" style="158" customWidth="1"/>
    <col min="16142" max="16384" width="8.6640625" style="158"/>
  </cols>
  <sheetData>
    <row r="1" spans="1:9">
      <c r="A1" s="991" t="s">
        <v>297</v>
      </c>
      <c r="B1" s="991"/>
      <c r="C1" s="991"/>
      <c r="D1" s="991"/>
      <c r="E1" s="991"/>
      <c r="F1" s="991"/>
      <c r="G1" s="991"/>
      <c r="H1" s="16"/>
    </row>
    <row r="2" spans="1:9">
      <c r="A2" s="1028" t="s">
        <v>510</v>
      </c>
      <c r="B2" s="1028"/>
      <c r="C2" s="1028"/>
      <c r="D2" s="1028"/>
      <c r="E2" s="1028"/>
      <c r="F2" s="1028"/>
      <c r="G2" s="1028"/>
      <c r="H2" s="151"/>
    </row>
    <row r="3" spans="1:9">
      <c r="A3" s="1029" t="str">
        <f>+'Attachment H-39A'!D5</f>
        <v>Valley Link Transmission West Virginia, LLC</v>
      </c>
      <c r="B3" s="1029"/>
      <c r="C3" s="1029"/>
      <c r="D3" s="1029"/>
      <c r="E3" s="1029"/>
      <c r="F3" s="1029"/>
      <c r="G3" s="1029"/>
      <c r="H3" s="409"/>
    </row>
    <row r="4" spans="1:9">
      <c r="A4" s="391"/>
      <c r="F4" s="392"/>
    </row>
    <row r="5" spans="1:9">
      <c r="A5" s="391"/>
    </row>
    <row r="6" spans="1:9">
      <c r="A6" s="391"/>
    </row>
    <row r="7" spans="1:9">
      <c r="A7" s="393"/>
      <c r="B7" s="394"/>
      <c r="C7" s="393"/>
      <c r="D7" s="405" t="s">
        <v>178</v>
      </c>
      <c r="E7" s="393"/>
      <c r="F7" s="405" t="s">
        <v>179</v>
      </c>
      <c r="G7" s="393"/>
    </row>
    <row r="8" spans="1:9">
      <c r="F8" s="395" t="s">
        <v>339</v>
      </c>
      <c r="G8" s="394"/>
    </row>
    <row r="9" spans="1:9">
      <c r="D9" s="395" t="s">
        <v>254</v>
      </c>
      <c r="F9" s="461">
        <v>2026</v>
      </c>
    </row>
    <row r="10" spans="1:9">
      <c r="A10" s="395" t="s">
        <v>8</v>
      </c>
      <c r="D10" s="395" t="s">
        <v>340</v>
      </c>
      <c r="F10" s="395" t="s">
        <v>254</v>
      </c>
    </row>
    <row r="11" spans="1:9">
      <c r="A11" s="396" t="s">
        <v>10</v>
      </c>
      <c r="B11" s="397" t="s">
        <v>327</v>
      </c>
      <c r="C11" s="396" t="s">
        <v>187</v>
      </c>
      <c r="D11" s="396" t="s">
        <v>331</v>
      </c>
      <c r="F11" s="396" t="s">
        <v>273</v>
      </c>
      <c r="I11" s="588"/>
    </row>
    <row r="12" spans="1:9">
      <c r="F12" s="396"/>
      <c r="I12" s="588"/>
    </row>
    <row r="13" spans="1:9">
      <c r="A13" s="398">
        <v>1</v>
      </c>
      <c r="B13" s="399" t="s">
        <v>344</v>
      </c>
      <c r="D13" s="185"/>
      <c r="E13" s="185"/>
      <c r="F13" s="462" t="s">
        <v>1039</v>
      </c>
      <c r="I13" s="588"/>
    </row>
    <row r="14" spans="1:9">
      <c r="A14" s="398">
        <f>+A13+1</f>
        <v>2</v>
      </c>
      <c r="B14" s="158" t="s">
        <v>452</v>
      </c>
      <c r="D14" s="185"/>
      <c r="E14" s="185"/>
      <c r="F14" s="463">
        <v>0</v>
      </c>
      <c r="I14" s="588"/>
    </row>
    <row r="15" spans="1:9">
      <c r="A15" s="398">
        <f t="shared" ref="A15:A30" si="0">+A14+1</f>
        <v>3</v>
      </c>
      <c r="D15" s="401"/>
      <c r="E15" s="401"/>
      <c r="F15" s="401"/>
      <c r="I15" s="588"/>
    </row>
    <row r="16" spans="1:9" ht="21.6" customHeight="1">
      <c r="A16" s="398">
        <f t="shared" si="0"/>
        <v>4</v>
      </c>
      <c r="B16" s="464" t="s">
        <v>1038</v>
      </c>
      <c r="D16"/>
      <c r="E16" s="185"/>
      <c r="F16" s="402">
        <v>0</v>
      </c>
      <c r="I16" s="588"/>
    </row>
    <row r="17" spans="1:9">
      <c r="A17" s="398">
        <f t="shared" si="0"/>
        <v>5</v>
      </c>
      <c r="B17" s="464" t="s">
        <v>345</v>
      </c>
      <c r="D17"/>
      <c r="E17" s="185"/>
      <c r="F17" s="400"/>
    </row>
    <row r="18" spans="1:9">
      <c r="A18" s="398">
        <f t="shared" si="0"/>
        <v>6</v>
      </c>
      <c r="D18"/>
      <c r="E18" s="185"/>
      <c r="F18" s="185"/>
    </row>
    <row r="19" spans="1:9">
      <c r="A19" s="398">
        <f t="shared" si="0"/>
        <v>7</v>
      </c>
      <c r="B19" s="158" t="s">
        <v>346</v>
      </c>
      <c r="C19" s="158" t="s">
        <v>454</v>
      </c>
      <c r="D19"/>
      <c r="E19" s="185"/>
      <c r="F19" s="403">
        <f>+F16+F17</f>
        <v>0</v>
      </c>
    </row>
    <row r="20" spans="1:9">
      <c r="A20" s="398">
        <f t="shared" si="0"/>
        <v>8</v>
      </c>
      <c r="D20" s="185"/>
      <c r="E20" s="185"/>
      <c r="F20" s="185"/>
      <c r="I20" s="404"/>
    </row>
    <row r="21" spans="1:9">
      <c r="A21" s="398">
        <f t="shared" si="0"/>
        <v>9</v>
      </c>
      <c r="B21" s="158" t="s">
        <v>341</v>
      </c>
      <c r="C21" s="158" t="s">
        <v>455</v>
      </c>
      <c r="D21" s="185"/>
      <c r="E21" s="185"/>
      <c r="F21" s="185">
        <f>+F14+F19</f>
        <v>0</v>
      </c>
    </row>
    <row r="22" spans="1:9">
      <c r="A22" s="398">
        <f t="shared" si="0"/>
        <v>10</v>
      </c>
      <c r="D22" s="185"/>
      <c r="E22" s="185"/>
      <c r="F22" s="185"/>
    </row>
    <row r="23" spans="1:9">
      <c r="A23" s="398">
        <f t="shared" si="0"/>
        <v>11</v>
      </c>
      <c r="D23" s="185"/>
      <c r="E23" s="185"/>
      <c r="F23" s="185"/>
    </row>
    <row r="24" spans="1:9">
      <c r="A24" s="398">
        <f t="shared" si="0"/>
        <v>12</v>
      </c>
      <c r="B24" s="158" t="s">
        <v>346</v>
      </c>
      <c r="C24" s="158" t="s">
        <v>453</v>
      </c>
      <c r="D24" s="185"/>
      <c r="E24" s="185"/>
      <c r="F24" s="185">
        <f>+F19</f>
        <v>0</v>
      </c>
    </row>
    <row r="25" spans="1:9">
      <c r="A25" s="398">
        <f t="shared" si="0"/>
        <v>13</v>
      </c>
    </row>
    <row r="26" spans="1:9">
      <c r="A26" s="398">
        <f t="shared" si="0"/>
        <v>14</v>
      </c>
      <c r="B26" s="158" t="s">
        <v>461</v>
      </c>
      <c r="C26" s="158" t="s">
        <v>264</v>
      </c>
      <c r="F26" s="456">
        <v>0</v>
      </c>
    </row>
    <row r="27" spans="1:9">
      <c r="A27" s="398">
        <f t="shared" si="0"/>
        <v>15</v>
      </c>
      <c r="B27" s="158" t="s">
        <v>459</v>
      </c>
      <c r="C27" s="158" t="s">
        <v>265</v>
      </c>
      <c r="F27" s="402">
        <v>0</v>
      </c>
    </row>
    <row r="28" spans="1:9">
      <c r="A28" s="398">
        <f t="shared" si="0"/>
        <v>16</v>
      </c>
      <c r="B28" s="158" t="s">
        <v>347</v>
      </c>
      <c r="C28" s="158" t="s">
        <v>460</v>
      </c>
      <c r="F28" s="403">
        <f>+F24*F26*F27</f>
        <v>0</v>
      </c>
    </row>
    <row r="29" spans="1:9">
      <c r="A29" s="398">
        <f t="shared" si="0"/>
        <v>17</v>
      </c>
    </row>
    <row r="30" spans="1:9">
      <c r="A30" s="398">
        <f t="shared" si="0"/>
        <v>18</v>
      </c>
      <c r="B30" s="158" t="s">
        <v>456</v>
      </c>
      <c r="C30" s="158" t="s">
        <v>457</v>
      </c>
      <c r="F30" s="185">
        <f>+F24+F28</f>
        <v>0</v>
      </c>
    </row>
    <row r="31" spans="1:9">
      <c r="A31" s="398"/>
    </row>
    <row r="33" spans="1:8">
      <c r="A33" s="407" t="s">
        <v>168</v>
      </c>
    </row>
    <row r="34" spans="1:8" ht="56.25" customHeight="1">
      <c r="A34" s="408" t="s">
        <v>57</v>
      </c>
      <c r="B34" s="1030" t="s">
        <v>451</v>
      </c>
      <c r="C34" s="1030"/>
      <c r="D34" s="1030"/>
      <c r="E34" s="1030"/>
      <c r="F34" s="1030"/>
      <c r="G34" s="441"/>
      <c r="H34" s="441"/>
    </row>
    <row r="35" spans="1:8" ht="86.25" customHeight="1">
      <c r="A35" s="408" t="s">
        <v>58</v>
      </c>
      <c r="B35" s="1030" t="s">
        <v>458</v>
      </c>
      <c r="C35" s="1030"/>
      <c r="D35" s="1030"/>
      <c r="E35" s="1030"/>
      <c r="F35" s="1030"/>
      <c r="G35" s="441"/>
      <c r="H35" s="441"/>
    </row>
    <row r="36" spans="1:8">
      <c r="A36" s="406"/>
    </row>
  </sheetData>
  <mergeCells count="5">
    <mergeCell ref="B34:F34"/>
    <mergeCell ref="B35:F35"/>
    <mergeCell ref="A1:G1"/>
    <mergeCell ref="A2:G2"/>
    <mergeCell ref="A3:G3"/>
  </mergeCells>
  <pageMargins left="1" right="0.7" top="1" bottom="0.75" header="0.3" footer="0.3"/>
  <pageSetup scale="7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N255"/>
  <sheetViews>
    <sheetView zoomScaleNormal="100" zoomScaleSheetLayoutView="100" workbookViewId="0">
      <selection activeCell="G8" sqref="G8"/>
    </sheetView>
  </sheetViews>
  <sheetFormatPr defaultColWidth="8.88671875" defaultRowHeight="15.75"/>
  <cols>
    <col min="1" max="1" width="7.21875" style="200" customWidth="1"/>
    <col min="2" max="2" width="45.6640625" style="200" customWidth="1"/>
    <col min="3" max="3" width="17" style="200" customWidth="1"/>
    <col min="4" max="4" width="11.6640625" style="200" customWidth="1"/>
    <col min="5" max="5" width="10.88671875" style="435" bestFit="1" customWidth="1"/>
    <col min="6" max="6" width="10.44140625" style="200" customWidth="1"/>
    <col min="7" max="8" width="8.88671875" style="200"/>
    <col min="9" max="9" width="9.33203125" style="200" bestFit="1" customWidth="1"/>
    <col min="10" max="16384" width="8.88671875" style="200"/>
  </cols>
  <sheetData>
    <row r="1" spans="1:11" ht="12.75">
      <c r="A1" s="991" t="s">
        <v>298</v>
      </c>
      <c r="B1" s="991"/>
      <c r="C1" s="991"/>
      <c r="D1" s="991"/>
      <c r="E1" s="991"/>
      <c r="F1" s="991"/>
      <c r="G1" s="991"/>
      <c r="H1" s="15"/>
      <c r="I1" s="15"/>
    </row>
    <row r="2" spans="1:11" ht="12.75">
      <c r="A2" s="1028" t="s">
        <v>478</v>
      </c>
      <c r="B2" s="1028"/>
      <c r="C2" s="1028"/>
      <c r="D2" s="1028"/>
      <c r="E2" s="1028"/>
      <c r="F2" s="1028"/>
      <c r="G2" s="1028"/>
      <c r="H2" s="410"/>
      <c r="I2" s="410"/>
    </row>
    <row r="3" spans="1:11" ht="12.75">
      <c r="A3" s="1029" t="str">
        <f>+'Attachment H-39A'!D5</f>
        <v>Valley Link Transmission West Virginia, LLC</v>
      </c>
      <c r="B3" s="1029"/>
      <c r="C3" s="1029"/>
      <c r="D3" s="1029"/>
      <c r="E3" s="1029"/>
      <c r="F3" s="1029"/>
      <c r="G3" s="1029"/>
      <c r="H3" s="221"/>
      <c r="I3" s="221"/>
    </row>
    <row r="4" spans="1:11" ht="12.75">
      <c r="A4" s="409"/>
      <c r="B4" s="409"/>
      <c r="C4" s="409"/>
      <c r="D4" s="409"/>
      <c r="E4" s="409"/>
      <c r="F4" s="409"/>
      <c r="G4" s="409"/>
      <c r="H4" s="221"/>
      <c r="I4" s="221"/>
    </row>
    <row r="5" spans="1:11">
      <c r="A5" s="421"/>
      <c r="D5" s="422"/>
      <c r="E5" s="423"/>
      <c r="F5" s="421"/>
    </row>
    <row r="6" spans="1:11" ht="12.75">
      <c r="A6" s="375" t="s">
        <v>141</v>
      </c>
      <c r="B6" s="12" t="s">
        <v>491</v>
      </c>
      <c r="C6" s="12"/>
      <c r="D6" s="149" t="s">
        <v>178</v>
      </c>
      <c r="E6" s="149" t="s">
        <v>179</v>
      </c>
      <c r="F6" s="222" t="s">
        <v>489</v>
      </c>
      <c r="G6" s="424"/>
      <c r="H6" s="424"/>
      <c r="I6" s="424"/>
    </row>
    <row r="7" spans="1:11" ht="25.5">
      <c r="A7" s="148">
        <v>1</v>
      </c>
      <c r="B7" s="213" t="s">
        <v>471</v>
      </c>
      <c r="C7" s="229" t="s">
        <v>187</v>
      </c>
      <c r="D7" s="437" t="s">
        <v>18</v>
      </c>
      <c r="E7" s="217" t="s">
        <v>488</v>
      </c>
      <c r="F7" s="217" t="s">
        <v>487</v>
      </c>
    </row>
    <row r="8" spans="1:11" ht="12.75">
      <c r="A8" s="148">
        <f t="shared" ref="A8:A14" si="0">+A7+1</f>
        <v>2</v>
      </c>
      <c r="B8" s="200" t="s">
        <v>473</v>
      </c>
      <c r="C8" s="200" t="s">
        <v>480</v>
      </c>
      <c r="D8" s="427">
        <v>0</v>
      </c>
      <c r="E8" s="427">
        <v>0</v>
      </c>
      <c r="F8" s="214">
        <f>+D8-E8</f>
        <v>0</v>
      </c>
    </row>
    <row r="9" spans="1:11" ht="12.75">
      <c r="A9" s="148">
        <f t="shared" si="0"/>
        <v>3</v>
      </c>
      <c r="B9" s="200" t="s">
        <v>474</v>
      </c>
      <c r="C9" s="200" t="s">
        <v>480</v>
      </c>
      <c r="D9" s="427">
        <v>0</v>
      </c>
      <c r="E9" s="427">
        <v>0</v>
      </c>
      <c r="F9" s="214">
        <f t="shared" ref="F9:F14" si="1">+D9-E9</f>
        <v>0</v>
      </c>
      <c r="H9" s="579"/>
      <c r="I9" s="579"/>
      <c r="J9" s="579"/>
      <c r="K9" s="579"/>
    </row>
    <row r="10" spans="1:11" ht="12.75">
      <c r="A10" s="148">
        <f t="shared" si="0"/>
        <v>4</v>
      </c>
      <c r="B10" s="200" t="s">
        <v>475</v>
      </c>
      <c r="C10" s="200" t="s">
        <v>480</v>
      </c>
      <c r="D10" s="427">
        <v>0</v>
      </c>
      <c r="E10" s="427">
        <v>0</v>
      </c>
      <c r="F10" s="214">
        <f t="shared" si="1"/>
        <v>0</v>
      </c>
      <c r="H10" s="579"/>
      <c r="I10" s="579"/>
      <c r="J10" s="579"/>
      <c r="K10" s="579"/>
    </row>
    <row r="11" spans="1:11" ht="12.75">
      <c r="A11" s="148">
        <f t="shared" si="0"/>
        <v>5</v>
      </c>
      <c r="B11" s="200" t="s">
        <v>476</v>
      </c>
      <c r="C11" s="200" t="s">
        <v>480</v>
      </c>
      <c r="D11" s="427">
        <v>0</v>
      </c>
      <c r="E11" s="427">
        <v>0</v>
      </c>
      <c r="F11" s="214">
        <f t="shared" si="1"/>
        <v>0</v>
      </c>
      <c r="H11" s="579"/>
      <c r="I11" s="579"/>
      <c r="J11" s="579"/>
      <c r="K11" s="579"/>
    </row>
    <row r="12" spans="1:11" ht="12.75">
      <c r="A12" s="148">
        <f t="shared" si="0"/>
        <v>6</v>
      </c>
      <c r="B12" s="200" t="s">
        <v>477</v>
      </c>
      <c r="C12" s="200" t="s">
        <v>480</v>
      </c>
      <c r="D12" s="428">
        <v>0</v>
      </c>
      <c r="E12" s="428">
        <v>0</v>
      </c>
      <c r="F12" s="214">
        <f t="shared" si="1"/>
        <v>0</v>
      </c>
      <c r="H12" s="579"/>
      <c r="I12" s="579"/>
      <c r="J12" s="579"/>
      <c r="K12" s="579"/>
    </row>
    <row r="13" spans="1:11" ht="12.75">
      <c r="A13" s="148">
        <f t="shared" si="0"/>
        <v>7</v>
      </c>
      <c r="B13" s="200" t="s">
        <v>477</v>
      </c>
      <c r="C13" s="200" t="s">
        <v>480</v>
      </c>
      <c r="D13" s="428">
        <v>0</v>
      </c>
      <c r="E13" s="428">
        <v>0</v>
      </c>
      <c r="F13" s="214">
        <f t="shared" si="1"/>
        <v>0</v>
      </c>
      <c r="H13" s="579"/>
      <c r="I13" s="579"/>
      <c r="J13" s="579"/>
      <c r="K13" s="579"/>
    </row>
    <row r="14" spans="1:11" ht="12.75">
      <c r="A14" s="148">
        <f t="shared" si="0"/>
        <v>8</v>
      </c>
      <c r="B14" s="213" t="s">
        <v>486</v>
      </c>
      <c r="C14" s="200" t="s">
        <v>484</v>
      </c>
      <c r="D14" s="429">
        <f>+SUM(D8:D13)</f>
        <v>0</v>
      </c>
      <c r="E14" s="429">
        <f>+SUM(E8:E13)</f>
        <v>0</v>
      </c>
      <c r="F14" s="438">
        <f t="shared" si="1"/>
        <v>0</v>
      </c>
      <c r="H14" s="579"/>
      <c r="I14" s="579"/>
      <c r="J14" s="579"/>
      <c r="K14" s="579"/>
    </row>
    <row r="15" spans="1:11" ht="12.75">
      <c r="A15" s="148"/>
      <c r="B15" s="213"/>
      <c r="C15" s="213"/>
      <c r="D15" s="431"/>
      <c r="E15" s="431"/>
      <c r="H15" s="579"/>
      <c r="I15" s="579"/>
      <c r="J15" s="579"/>
      <c r="K15" s="579"/>
    </row>
    <row r="16" spans="1:11" ht="12.75">
      <c r="A16" s="148"/>
      <c r="B16" s="213"/>
      <c r="C16" s="213"/>
      <c r="D16" s="431"/>
      <c r="E16" s="431"/>
      <c r="H16" s="579"/>
      <c r="I16" s="579"/>
      <c r="J16" s="579"/>
      <c r="K16" s="579"/>
    </row>
    <row r="17" spans="1:14" ht="12.75">
      <c r="A17" s="148"/>
      <c r="B17" s="213"/>
      <c r="C17" s="213"/>
      <c r="D17" s="431"/>
      <c r="E17" s="431"/>
      <c r="H17" s="579"/>
      <c r="I17" s="579"/>
      <c r="J17" s="579"/>
      <c r="K17" s="579"/>
    </row>
    <row r="18" spans="1:14" ht="12.75">
      <c r="A18" s="148"/>
      <c r="B18" s="213" t="s">
        <v>535</v>
      </c>
      <c r="C18" s="425"/>
      <c r="D18" s="426"/>
      <c r="E18" s="200"/>
    </row>
    <row r="19" spans="1:14" ht="12.75">
      <c r="A19" s="148">
        <f>+A14+1</f>
        <v>9</v>
      </c>
      <c r="B19" s="200" t="s">
        <v>302</v>
      </c>
      <c r="C19" s="200" t="s">
        <v>480</v>
      </c>
      <c r="D19" s="427">
        <v>0</v>
      </c>
      <c r="E19" s="427">
        <v>0</v>
      </c>
      <c r="F19" s="214">
        <f t="shared" ref="F19" si="2">+D19-E19</f>
        <v>0</v>
      </c>
    </row>
    <row r="20" spans="1:14" ht="12.75">
      <c r="A20" s="148">
        <f>+A19+1</f>
        <v>10</v>
      </c>
      <c r="B20" s="200" t="s">
        <v>302</v>
      </c>
      <c r="C20" s="200" t="s">
        <v>480</v>
      </c>
      <c r="D20" s="427">
        <v>0</v>
      </c>
      <c r="E20" s="427">
        <v>0</v>
      </c>
      <c r="F20" s="214">
        <f t="shared" ref="F20:F21" si="3">+D20-E20</f>
        <v>0</v>
      </c>
    </row>
    <row r="21" spans="1:14" ht="12.75">
      <c r="A21" s="148">
        <f t="shared" ref="A21" si="4">+A20+1</f>
        <v>11</v>
      </c>
      <c r="B21" s="213" t="s">
        <v>539</v>
      </c>
      <c r="C21" s="200" t="s">
        <v>536</v>
      </c>
      <c r="D21" s="429">
        <f>+SUM(D19:D20)</f>
        <v>0</v>
      </c>
      <c r="E21" s="429">
        <f>+SUM(E19:E20)</f>
        <v>0</v>
      </c>
      <c r="F21" s="438">
        <f t="shared" si="3"/>
        <v>0</v>
      </c>
    </row>
    <row r="22" spans="1:14" ht="12.75">
      <c r="A22" s="148"/>
      <c r="B22" s="213"/>
      <c r="D22" s="431"/>
      <c r="E22" s="431"/>
      <c r="F22" s="214"/>
    </row>
    <row r="23" spans="1:14" ht="12.75">
      <c r="A23" s="148"/>
      <c r="B23" s="213" t="s">
        <v>537</v>
      </c>
      <c r="C23" s="425"/>
      <c r="D23" s="426"/>
      <c r="E23" s="200"/>
    </row>
    <row r="24" spans="1:14" ht="12.75">
      <c r="A24" s="148">
        <f>+A21+1</f>
        <v>12</v>
      </c>
      <c r="B24" s="200" t="s">
        <v>482</v>
      </c>
      <c r="C24" s="200" t="s">
        <v>480</v>
      </c>
      <c r="D24" s="427">
        <v>0</v>
      </c>
      <c r="E24" s="427">
        <v>0</v>
      </c>
      <c r="F24" s="214">
        <f t="shared" ref="F24:F31" si="5">+D24-E24</f>
        <v>0</v>
      </c>
    </row>
    <row r="25" spans="1:14" ht="12.75">
      <c r="A25" s="148">
        <f t="shared" ref="A25:A32" si="6">+A24+1</f>
        <v>13</v>
      </c>
      <c r="B25" s="200" t="s">
        <v>483</v>
      </c>
      <c r="C25" s="200" t="s">
        <v>480</v>
      </c>
      <c r="D25" s="427">
        <v>0</v>
      </c>
      <c r="E25" s="427">
        <v>0</v>
      </c>
      <c r="F25" s="214">
        <f t="shared" si="5"/>
        <v>0</v>
      </c>
    </row>
    <row r="26" spans="1:14" ht="15">
      <c r="A26" s="148">
        <f t="shared" si="6"/>
        <v>14</v>
      </c>
      <c r="B26" s="200" t="s">
        <v>481</v>
      </c>
      <c r="C26" s="200" t="s">
        <v>480</v>
      </c>
      <c r="D26" s="427">
        <v>0</v>
      </c>
      <c r="E26" s="427">
        <v>0</v>
      </c>
      <c r="F26" s="214">
        <f t="shared" si="5"/>
        <v>0</v>
      </c>
      <c r="H26"/>
      <c r="I26"/>
      <c r="J26"/>
      <c r="K26"/>
      <c r="L26"/>
      <c r="M26"/>
      <c r="N26"/>
    </row>
    <row r="27" spans="1:14" ht="15">
      <c r="A27" s="148">
        <f t="shared" si="6"/>
        <v>15</v>
      </c>
      <c r="B27" s="200" t="s">
        <v>490</v>
      </c>
      <c r="C27" s="200" t="s">
        <v>480</v>
      </c>
      <c r="D27" s="427">
        <v>0</v>
      </c>
      <c r="E27" s="427">
        <v>0</v>
      </c>
      <c r="F27" s="214">
        <f>+D27-E27</f>
        <v>0</v>
      </c>
      <c r="G27"/>
      <c r="H27"/>
      <c r="I27"/>
      <c r="J27"/>
      <c r="K27"/>
      <c r="L27"/>
      <c r="M27"/>
      <c r="N27"/>
    </row>
    <row r="28" spans="1:14" ht="15">
      <c r="A28" s="148">
        <f t="shared" si="6"/>
        <v>16</v>
      </c>
      <c r="B28" s="200" t="s">
        <v>302</v>
      </c>
      <c r="C28" s="200" t="s">
        <v>480</v>
      </c>
      <c r="D28" s="428">
        <v>0</v>
      </c>
      <c r="E28" s="428">
        <v>0</v>
      </c>
      <c r="F28" s="214">
        <f t="shared" si="5"/>
        <v>0</v>
      </c>
      <c r="H28"/>
      <c r="I28"/>
      <c r="J28"/>
      <c r="K28"/>
      <c r="L28"/>
      <c r="M28"/>
      <c r="N28"/>
    </row>
    <row r="29" spans="1:14" ht="15">
      <c r="A29" s="148">
        <f t="shared" si="6"/>
        <v>17</v>
      </c>
      <c r="B29" s="200" t="s">
        <v>493</v>
      </c>
      <c r="C29" s="200" t="s">
        <v>485</v>
      </c>
      <c r="D29" s="429">
        <f>+SUM(D24:D28)</f>
        <v>0</v>
      </c>
      <c r="E29" s="429">
        <f>+SUM(E24:E28)</f>
        <v>0</v>
      </c>
      <c r="F29" s="438">
        <f t="shared" si="5"/>
        <v>0</v>
      </c>
      <c r="H29"/>
      <c r="I29"/>
      <c r="J29"/>
      <c r="K29"/>
      <c r="L29"/>
      <c r="M29"/>
      <c r="N29"/>
    </row>
    <row r="30" spans="1:14" ht="15">
      <c r="A30" s="148">
        <f t="shared" si="6"/>
        <v>18</v>
      </c>
      <c r="B30" s="200" t="s">
        <v>492</v>
      </c>
      <c r="C30" s="200" t="s">
        <v>480</v>
      </c>
      <c r="D30" s="430">
        <f>D27</f>
        <v>0</v>
      </c>
      <c r="E30" s="430"/>
      <c r="F30" s="214">
        <f>+D30-E30</f>
        <v>0</v>
      </c>
      <c r="H30"/>
      <c r="I30"/>
      <c r="J30"/>
      <c r="K30"/>
      <c r="L30"/>
      <c r="M30"/>
      <c r="N30"/>
    </row>
    <row r="31" spans="1:14" ht="15">
      <c r="A31" s="148">
        <f t="shared" si="6"/>
        <v>19</v>
      </c>
      <c r="B31" s="200" t="s">
        <v>495</v>
      </c>
      <c r="C31" s="200" t="s">
        <v>480</v>
      </c>
      <c r="D31" s="430"/>
      <c r="E31" s="430"/>
      <c r="F31" s="214">
        <f t="shared" si="5"/>
        <v>0</v>
      </c>
      <c r="H31"/>
      <c r="I31"/>
      <c r="J31"/>
      <c r="K31"/>
      <c r="L31"/>
      <c r="M31"/>
      <c r="N31"/>
    </row>
    <row r="32" spans="1:14" ht="15">
      <c r="A32" s="148">
        <f t="shared" si="6"/>
        <v>20</v>
      </c>
      <c r="B32" s="213" t="s">
        <v>494</v>
      </c>
      <c r="C32" s="24" t="str">
        <f>"(Line "&amp;A29&amp;" - line "&amp;A30&amp;" - line "&amp;A31&amp;")"</f>
        <v>(Line 17 - line 18 - line 19)</v>
      </c>
      <c r="D32" s="429">
        <f>+D29-D30-D31</f>
        <v>0</v>
      </c>
      <c r="E32" s="429">
        <f>+E29-E30-E31</f>
        <v>0</v>
      </c>
      <c r="F32" s="438">
        <f>+D32-E32</f>
        <v>0</v>
      </c>
      <c r="H32"/>
      <c r="I32"/>
      <c r="J32"/>
      <c r="K32"/>
      <c r="L32"/>
      <c r="M32"/>
      <c r="N32"/>
    </row>
    <row r="33" spans="1:14" ht="15">
      <c r="A33" s="148"/>
      <c r="B33" s="213"/>
      <c r="C33" s="213"/>
      <c r="D33" s="431"/>
      <c r="E33" s="431"/>
      <c r="H33"/>
      <c r="I33"/>
      <c r="J33"/>
      <c r="K33"/>
      <c r="L33"/>
      <c r="M33"/>
      <c r="N33"/>
    </row>
    <row r="34" spans="1:14" ht="15">
      <c r="A34" s="148">
        <f>+A32+1</f>
        <v>21</v>
      </c>
      <c r="B34" s="213" t="s">
        <v>538</v>
      </c>
      <c r="C34" s="24" t="str">
        <f>"(Line "&amp;A21&amp;" + line "&amp;A32&amp;")"</f>
        <v>(Line 11 + line 20)</v>
      </c>
      <c r="D34" s="214">
        <f>+D21+D32</f>
        <v>0</v>
      </c>
      <c r="E34" s="214">
        <f>+E21+E32</f>
        <v>0</v>
      </c>
      <c r="F34" s="214">
        <f>+F21+F32</f>
        <v>0</v>
      </c>
      <c r="H34"/>
      <c r="I34"/>
      <c r="J34"/>
      <c r="K34"/>
      <c r="L34"/>
      <c r="M34"/>
      <c r="N34"/>
    </row>
    <row r="35" spans="1:14" ht="14.25" customHeight="1">
      <c r="E35" s="436"/>
      <c r="F35" s="148"/>
      <c r="H35"/>
      <c r="I35"/>
      <c r="J35"/>
      <c r="K35"/>
      <c r="L35"/>
      <c r="M35"/>
      <c r="N35"/>
    </row>
    <row r="36" spans="1:14" s="432" customFormat="1" ht="15">
      <c r="A36" s="200"/>
      <c r="B36" s="200"/>
      <c r="C36" s="200"/>
      <c r="D36" s="200"/>
      <c r="E36" s="214"/>
      <c r="F36" s="431"/>
      <c r="H36"/>
      <c r="I36"/>
      <c r="J36"/>
      <c r="K36"/>
      <c r="L36"/>
      <c r="M36"/>
      <c r="N36"/>
    </row>
    <row r="37" spans="1:14" ht="41.25" customHeight="1">
      <c r="A37" s="433" t="s">
        <v>472</v>
      </c>
      <c r="B37" s="1031" t="s">
        <v>540</v>
      </c>
      <c r="C37" s="1031"/>
      <c r="D37" s="1031"/>
      <c r="E37" s="1031"/>
      <c r="F37" s="1031"/>
      <c r="G37" s="1031"/>
    </row>
    <row r="38" spans="1:14" ht="12.75">
      <c r="A38" s="12"/>
      <c r="B38" s="12"/>
      <c r="C38" s="12"/>
      <c r="D38" s="12"/>
      <c r="E38" s="12"/>
      <c r="F38" s="12"/>
      <c r="G38" s="12"/>
      <c r="H38" s="12"/>
      <c r="I38" s="12"/>
    </row>
    <row r="42" spans="1:14" ht="12.75">
      <c r="A42" s="148"/>
      <c r="D42" s="434"/>
      <c r="E42" s="200"/>
    </row>
    <row r="113" spans="5:5">
      <c r="E113" s="158"/>
    </row>
    <row r="232" spans="4:8">
      <c r="D232" s="421"/>
      <c r="F232" s="421"/>
      <c r="G232" s="421"/>
      <c r="H232" s="421"/>
    </row>
    <row r="233" spans="4:8" ht="99.75" customHeight="1">
      <c r="D233" s="421"/>
      <c r="F233" s="421"/>
      <c r="G233" s="421"/>
      <c r="H233" s="421"/>
    </row>
    <row r="234" spans="4:8">
      <c r="D234" s="421"/>
      <c r="F234" s="421"/>
      <c r="G234" s="421"/>
      <c r="H234" s="421"/>
    </row>
    <row r="235" spans="4:8">
      <c r="D235" s="421"/>
      <c r="F235" s="421"/>
      <c r="G235" s="421"/>
      <c r="H235" s="421"/>
    </row>
    <row r="236" spans="4:8">
      <c r="D236" s="421"/>
      <c r="F236" s="421"/>
      <c r="G236" s="421"/>
      <c r="H236" s="421"/>
    </row>
    <row r="237" spans="4:8">
      <c r="D237" s="421"/>
      <c r="F237" s="421"/>
      <c r="G237" s="421"/>
      <c r="H237" s="421"/>
    </row>
    <row r="238" spans="4:8">
      <c r="D238" s="421"/>
      <c r="F238" s="421"/>
      <c r="G238" s="421"/>
      <c r="H238" s="421"/>
    </row>
    <row r="239" spans="4:8">
      <c r="D239" s="421"/>
      <c r="F239" s="421"/>
      <c r="G239" s="421"/>
      <c r="H239" s="421"/>
    </row>
    <row r="240" spans="4:8">
      <c r="D240" s="421"/>
      <c r="F240" s="421"/>
      <c r="G240" s="421"/>
      <c r="H240" s="421"/>
    </row>
    <row r="241" spans="4:8">
      <c r="D241" s="421"/>
      <c r="F241" s="421"/>
      <c r="G241" s="421"/>
      <c r="H241" s="421"/>
    </row>
    <row r="242" spans="4:8">
      <c r="D242" s="421"/>
      <c r="F242" s="421"/>
      <c r="G242" s="421"/>
      <c r="H242" s="421"/>
    </row>
    <row r="243" spans="4:8">
      <c r="D243" s="421"/>
      <c r="F243" s="421"/>
      <c r="G243" s="421"/>
      <c r="H243" s="421"/>
    </row>
    <row r="244" spans="4:8">
      <c r="D244" s="421"/>
      <c r="F244" s="421"/>
      <c r="G244" s="421"/>
      <c r="H244" s="421"/>
    </row>
    <row r="245" spans="4:8">
      <c r="D245" s="421"/>
      <c r="F245" s="421"/>
      <c r="G245" s="421"/>
      <c r="H245" s="421"/>
    </row>
    <row r="246" spans="4:8">
      <c r="D246" s="421"/>
      <c r="F246" s="421"/>
      <c r="G246" s="421"/>
      <c r="H246" s="421"/>
    </row>
    <row r="247" spans="4:8">
      <c r="D247" s="421"/>
      <c r="F247" s="421"/>
      <c r="G247" s="421"/>
      <c r="H247" s="421"/>
    </row>
    <row r="248" spans="4:8">
      <c r="D248" s="421"/>
      <c r="F248" s="421"/>
      <c r="G248" s="421"/>
      <c r="H248" s="421"/>
    </row>
    <row r="249" spans="4:8">
      <c r="D249" s="421"/>
      <c r="F249" s="421"/>
      <c r="G249" s="421"/>
      <c r="H249" s="421"/>
    </row>
    <row r="250" spans="4:8">
      <c r="D250" s="421"/>
      <c r="F250" s="421"/>
      <c r="G250" s="421"/>
      <c r="H250" s="421"/>
    </row>
    <row r="251" spans="4:8">
      <c r="D251" s="421"/>
      <c r="F251" s="421"/>
      <c r="G251" s="421"/>
      <c r="H251" s="421"/>
    </row>
    <row r="252" spans="4:8">
      <c r="D252" s="421"/>
      <c r="F252" s="421"/>
      <c r="G252" s="421"/>
      <c r="H252" s="421"/>
    </row>
    <row r="253" spans="4:8">
      <c r="D253" s="421"/>
      <c r="F253" s="421"/>
      <c r="G253" s="421"/>
      <c r="H253" s="421"/>
    </row>
    <row r="254" spans="4:8" ht="40.5" customHeight="1">
      <c r="D254" s="421"/>
      <c r="F254" s="421"/>
      <c r="G254" s="421"/>
      <c r="H254" s="421"/>
    </row>
    <row r="255" spans="4:8">
      <c r="D255" s="421"/>
      <c r="F255" s="421"/>
      <c r="G255" s="421"/>
      <c r="H255" s="421"/>
    </row>
  </sheetData>
  <mergeCells count="4">
    <mergeCell ref="B37:G37"/>
    <mergeCell ref="A1:G1"/>
    <mergeCell ref="A2:G2"/>
    <mergeCell ref="A3:G3"/>
  </mergeCells>
  <pageMargins left="0.75" right="0.75" top="1.28" bottom="1" header="0.5" footer="0.5"/>
  <pageSetup scale="82" orientation="landscape" r:id="rId1"/>
  <headerFooter alignWithMargins="0"/>
  <rowBreaks count="1" manualBreakCount="1">
    <brk id="56"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89"/>
  <sheetViews>
    <sheetView zoomScale="70" zoomScaleNormal="70" zoomScaleSheetLayoutView="85" workbookViewId="0">
      <selection activeCell="M46" sqref="M46"/>
    </sheetView>
  </sheetViews>
  <sheetFormatPr defaultColWidth="8.88671875" defaultRowHeight="12.75"/>
  <cols>
    <col min="1" max="1" width="6" style="20" customWidth="1"/>
    <col min="2" max="2" width="1.44140625" style="20" customWidth="1"/>
    <col min="3" max="3" width="20.5546875" style="20" customWidth="1"/>
    <col min="4" max="4" width="13.5546875" style="20" customWidth="1"/>
    <col min="5" max="5" width="24.6640625" style="20" customWidth="1"/>
    <col min="6" max="6" width="17.21875" style="20" customWidth="1"/>
    <col min="7" max="7" width="10.21875" style="20" customWidth="1"/>
    <col min="8" max="8" width="16" style="20" customWidth="1"/>
    <col min="9" max="9" width="11.21875" style="20" bestFit="1" customWidth="1"/>
    <col min="10" max="10" width="9.109375" style="20" customWidth="1"/>
    <col min="11" max="11" width="10.21875" style="20" customWidth="1"/>
    <col min="12" max="12" width="5.6640625" style="20" customWidth="1"/>
    <col min="13" max="13" width="13.5546875" style="20" customWidth="1"/>
    <col min="14" max="14" width="12.5546875" style="20" customWidth="1"/>
    <col min="15" max="15" width="12.44140625" style="20" bestFit="1" customWidth="1"/>
    <col min="16" max="17" width="12.44140625" style="20" customWidth="1"/>
    <col min="18" max="18" width="11.6640625" style="20" bestFit="1" customWidth="1"/>
    <col min="19" max="19" width="11" style="20" customWidth="1"/>
    <col min="20" max="20" width="11.6640625" style="20" customWidth="1"/>
    <col min="21" max="22" width="9.21875" style="20" customWidth="1"/>
    <col min="23" max="24" width="10.6640625" style="20" customWidth="1"/>
    <col min="25" max="25" width="8.88671875" style="20"/>
    <col min="26" max="26" width="40.109375" style="20" bestFit="1" customWidth="1"/>
    <col min="27" max="16384" width="8.88671875" style="20"/>
  </cols>
  <sheetData>
    <row r="1" spans="1:26">
      <c r="T1" s="42"/>
    </row>
    <row r="2" spans="1:26">
      <c r="K2" s="20" t="s">
        <v>271</v>
      </c>
      <c r="T2" s="42"/>
    </row>
    <row r="3" spans="1:26">
      <c r="F3" s="16" t="s">
        <v>171</v>
      </c>
      <c r="T3" s="42"/>
    </row>
    <row r="4" spans="1:26">
      <c r="E4" s="15"/>
      <c r="F4" s="16" t="s">
        <v>399</v>
      </c>
      <c r="G4" s="15"/>
      <c r="I4" s="15"/>
      <c r="J4" s="15"/>
      <c r="K4" s="15"/>
      <c r="L4" s="15"/>
      <c r="M4" s="15"/>
      <c r="N4" s="36"/>
      <c r="O4" s="43"/>
      <c r="P4" s="43"/>
      <c r="Q4" s="43"/>
      <c r="R4" s="43"/>
      <c r="S4" s="43"/>
      <c r="T4" s="43"/>
      <c r="U4" s="21"/>
      <c r="V4" s="21"/>
      <c r="W4" s="21"/>
      <c r="X4" s="21"/>
      <c r="Y4" s="21"/>
      <c r="Z4" s="21"/>
    </row>
    <row r="5" spans="1:26">
      <c r="E5" s="15"/>
      <c r="F5" s="85" t="str">
        <f>+'Attachment H-39A'!D5</f>
        <v>Valley Link Transmission West Virginia, LLC</v>
      </c>
      <c r="G5" s="18"/>
      <c r="I5" s="18"/>
      <c r="J5" s="18"/>
      <c r="K5" s="18"/>
      <c r="L5" s="18"/>
      <c r="M5" s="15"/>
      <c r="S5" s="21"/>
      <c r="T5" s="15"/>
      <c r="U5" s="21"/>
      <c r="V5" s="21"/>
      <c r="W5" s="45"/>
      <c r="X5" s="45"/>
      <c r="Y5" s="21"/>
      <c r="Z5" s="21"/>
    </row>
    <row r="6" spans="1:26">
      <c r="C6" s="21"/>
      <c r="D6" s="21"/>
      <c r="E6" s="21"/>
      <c r="G6" s="21"/>
      <c r="I6" s="21"/>
      <c r="J6" s="21"/>
      <c r="K6" s="21"/>
      <c r="L6" s="21"/>
      <c r="M6" s="21"/>
      <c r="S6" s="21"/>
      <c r="T6" s="21"/>
      <c r="U6" s="21"/>
      <c r="V6" s="21"/>
      <c r="W6" s="21"/>
      <c r="X6" s="21"/>
      <c r="Y6" s="21"/>
      <c r="Z6" s="21"/>
    </row>
    <row r="7" spans="1:26">
      <c r="A7" s="16"/>
      <c r="C7" s="21"/>
      <c r="D7" s="21"/>
      <c r="E7" s="21"/>
      <c r="F7" s="21"/>
      <c r="G7" s="21"/>
      <c r="H7" s="44"/>
      <c r="I7" s="21"/>
      <c r="J7" s="21"/>
      <c r="K7" s="21"/>
      <c r="L7" s="21"/>
      <c r="M7" s="21"/>
      <c r="N7" s="21"/>
      <c r="O7" s="21"/>
      <c r="P7" s="21"/>
      <c r="Q7" s="21"/>
      <c r="R7" s="21"/>
      <c r="S7" s="21"/>
      <c r="T7" s="21"/>
      <c r="U7" s="21"/>
      <c r="V7" s="21"/>
      <c r="W7" s="21"/>
      <c r="X7" s="21"/>
      <c r="Y7" s="21"/>
      <c r="Z7" s="21"/>
    </row>
    <row r="8" spans="1:26">
      <c r="A8" s="16"/>
      <c r="C8" s="21" t="s">
        <v>1002</v>
      </c>
      <c r="D8" s="21"/>
      <c r="E8" s="21"/>
      <c r="F8" s="21"/>
      <c r="G8" s="21"/>
      <c r="H8" s="44"/>
      <c r="I8" s="21"/>
      <c r="J8" s="21"/>
      <c r="K8" s="21"/>
      <c r="L8" s="21"/>
      <c r="M8" s="21"/>
      <c r="N8" s="21"/>
      <c r="O8" s="21"/>
      <c r="P8" s="21"/>
      <c r="Q8" s="21"/>
      <c r="R8" s="21"/>
      <c r="S8" s="21"/>
      <c r="T8" s="21"/>
      <c r="U8" s="21"/>
      <c r="V8" s="21"/>
      <c r="W8" s="21"/>
      <c r="X8" s="21"/>
      <c r="Y8" s="21"/>
      <c r="Z8" s="21"/>
    </row>
    <row r="9" spans="1:26">
      <c r="A9" s="16"/>
      <c r="C9" s="21"/>
      <c r="D9" s="21"/>
      <c r="E9" s="21"/>
      <c r="F9" s="21"/>
      <c r="G9" s="21"/>
      <c r="H9" s="21"/>
      <c r="N9" s="18"/>
      <c r="O9" s="18"/>
      <c r="P9" s="18"/>
      <c r="Q9" s="18"/>
      <c r="R9" s="18"/>
      <c r="S9" s="21"/>
      <c r="T9" s="21"/>
      <c r="U9" s="21"/>
      <c r="V9" s="21"/>
      <c r="W9" s="21"/>
      <c r="X9" s="21"/>
      <c r="Y9" s="21"/>
      <c r="Z9" s="21"/>
    </row>
    <row r="10" spans="1:26">
      <c r="C10" s="45" t="s">
        <v>3</v>
      </c>
      <c r="D10" s="45"/>
      <c r="E10" s="45"/>
      <c r="F10" s="45" t="s">
        <v>4</v>
      </c>
      <c r="G10" s="45"/>
      <c r="I10" s="45" t="s">
        <v>5</v>
      </c>
      <c r="K10" s="46" t="s">
        <v>6</v>
      </c>
      <c r="L10" s="46"/>
      <c r="O10" s="46"/>
      <c r="P10" s="46"/>
      <c r="Q10" s="46"/>
      <c r="R10" s="46"/>
      <c r="S10" s="18"/>
      <c r="T10" s="46"/>
      <c r="U10" s="18"/>
      <c r="V10" s="18"/>
      <c r="W10" s="46"/>
      <c r="X10" s="46"/>
      <c r="Y10" s="18"/>
      <c r="Z10" s="21"/>
    </row>
    <row r="11" spans="1:26">
      <c r="C11" s="21"/>
      <c r="D11" s="21"/>
      <c r="E11" s="21"/>
      <c r="F11" s="47" t="s">
        <v>1003</v>
      </c>
      <c r="G11" s="47"/>
      <c r="I11" s="18"/>
      <c r="S11" s="18"/>
      <c r="U11" s="18"/>
      <c r="V11" s="18"/>
      <c r="W11" s="45"/>
      <c r="X11" s="45"/>
      <c r="Y11" s="45"/>
      <c r="Z11" s="21"/>
    </row>
    <row r="12" spans="1:26">
      <c r="A12" s="16" t="s">
        <v>8</v>
      </c>
      <c r="C12" s="21"/>
      <c r="D12" s="21"/>
      <c r="E12" s="21"/>
      <c r="F12" s="48" t="s">
        <v>17</v>
      </c>
      <c r="G12" s="48"/>
      <c r="I12" s="49" t="s">
        <v>16</v>
      </c>
      <c r="K12" s="49" t="s">
        <v>14</v>
      </c>
      <c r="L12" s="49"/>
      <c r="O12" s="49"/>
      <c r="P12" s="49"/>
      <c r="Q12" s="49"/>
      <c r="R12" s="49"/>
      <c r="S12" s="18"/>
      <c r="U12" s="21"/>
      <c r="V12" s="21"/>
      <c r="W12" s="50"/>
      <c r="X12" s="50"/>
      <c r="Y12" s="45"/>
      <c r="Z12" s="21"/>
    </row>
    <row r="13" spans="1:26">
      <c r="A13" s="16" t="s">
        <v>10</v>
      </c>
      <c r="C13" s="51"/>
      <c r="D13" s="51"/>
      <c r="E13" s="51"/>
      <c r="F13" s="18"/>
      <c r="G13" s="18"/>
      <c r="I13" s="18"/>
      <c r="K13" s="18"/>
      <c r="L13" s="18"/>
      <c r="O13" s="18"/>
      <c r="P13" s="18"/>
      <c r="Q13" s="18"/>
      <c r="R13" s="18"/>
      <c r="S13" s="18"/>
      <c r="T13" s="18"/>
      <c r="U13" s="21"/>
      <c r="V13" s="21"/>
      <c r="W13" s="18"/>
      <c r="X13" s="18"/>
      <c r="Y13" s="18"/>
      <c r="Z13" s="21"/>
    </row>
    <row r="14" spans="1:26">
      <c r="A14" s="52"/>
      <c r="C14" s="21"/>
      <c r="D14" s="21"/>
      <c r="E14" s="21"/>
      <c r="F14" s="18"/>
      <c r="G14" s="18"/>
      <c r="I14" s="18"/>
      <c r="K14" s="18"/>
      <c r="L14" s="18"/>
      <c r="O14" s="18"/>
      <c r="P14" s="18"/>
      <c r="Q14" s="18"/>
      <c r="R14" s="18"/>
      <c r="S14" s="18"/>
      <c r="T14" s="18"/>
      <c r="U14" s="21"/>
      <c r="V14" s="21"/>
      <c r="W14" s="18"/>
      <c r="X14" s="18"/>
      <c r="Y14" s="18"/>
      <c r="Z14" s="21"/>
    </row>
    <row r="15" spans="1:26">
      <c r="A15" s="19">
        <v>1</v>
      </c>
      <c r="C15" s="21" t="s">
        <v>349</v>
      </c>
      <c r="D15" s="21"/>
      <c r="E15" s="21"/>
      <c r="F15" s="53" t="str">
        <f>"Attach H-39A, p 2, line "&amp;'Attachment H-39A'!A63&amp;" col 5 plus line "&amp;'Attachment H-39A'!A89&amp;" col 5 (Note A)"</f>
        <v>Attach H-39A, p 2, line 2 col 5 plus line 25 col 5 (Note A)</v>
      </c>
      <c r="G15" s="19"/>
      <c r="I15" s="39">
        <f>+'Attachment H-39A'!I63+'Attachment H-39A'!I89</f>
        <v>18249727.324184652</v>
      </c>
      <c r="S15" s="18"/>
      <c r="T15" s="18"/>
      <c r="U15" s="21"/>
      <c r="V15" s="21"/>
      <c r="W15" s="18"/>
      <c r="X15" s="18"/>
      <c r="Y15" s="18"/>
      <c r="Z15" s="21"/>
    </row>
    <row r="16" spans="1:26">
      <c r="A16" s="19">
        <v>2</v>
      </c>
      <c r="C16" s="21" t="s">
        <v>350</v>
      </c>
      <c r="D16" s="21"/>
      <c r="E16" s="21"/>
      <c r="F16" s="53" t="str">
        <f>"Attach H-39A, p 2, line "&amp;'Attachment H-39A'!A77&amp;" col 5 plus line "&amp;'Attachment H-39A'!A89&amp;" &amp; "&amp;'Attachment H-39A'!A91&amp;" col 5 (Note B)"</f>
        <v>Attach H-39A, p 2, line 14 col 5 plus line 25 &amp; 27 col 5 (Note B)</v>
      </c>
      <c r="G16" s="19"/>
      <c r="I16" s="39">
        <f>+'Attachment H-39A'!I77+'Attachment H-39A'!I89+'Attachment H-39A'!I91</f>
        <v>18249727.324184652</v>
      </c>
      <c r="S16" s="18"/>
      <c r="T16" s="18"/>
      <c r="U16" s="21"/>
      <c r="V16" s="21"/>
      <c r="W16" s="18"/>
      <c r="X16" s="18"/>
      <c r="Y16" s="18"/>
      <c r="Z16" s="21"/>
    </row>
    <row r="17" spans="1:26">
      <c r="A17" s="19"/>
      <c r="F17" s="53"/>
      <c r="G17" s="19"/>
      <c r="S17" s="18"/>
      <c r="T17" s="18"/>
      <c r="U17" s="21"/>
      <c r="V17" s="21"/>
      <c r="W17" s="18"/>
      <c r="X17" s="18"/>
      <c r="Y17" s="18"/>
      <c r="Z17" s="21"/>
    </row>
    <row r="18" spans="1:26">
      <c r="A18" s="19"/>
      <c r="C18" s="21" t="s">
        <v>114</v>
      </c>
      <c r="D18" s="21"/>
      <c r="E18" s="21"/>
      <c r="F18" s="53"/>
      <c r="G18" s="19"/>
      <c r="I18" s="18"/>
      <c r="K18" s="18"/>
      <c r="L18" s="18"/>
      <c r="O18" s="18"/>
      <c r="P18" s="18"/>
      <c r="Q18" s="18"/>
      <c r="R18" s="18"/>
      <c r="S18" s="18"/>
      <c r="T18" s="18"/>
      <c r="U18" s="18"/>
      <c r="V18" s="18"/>
      <c r="W18" s="18"/>
      <c r="X18" s="18"/>
      <c r="Y18" s="18"/>
      <c r="Z18" s="21"/>
    </row>
    <row r="19" spans="1:26">
      <c r="A19" s="19">
        <v>3</v>
      </c>
      <c r="C19" s="21" t="s">
        <v>115</v>
      </c>
      <c r="D19" s="21"/>
      <c r="E19" s="21"/>
      <c r="F19" s="53" t="str">
        <f>"Attach H-39A, p 3, line "&amp;'Attachment H-39A'!A130&amp;" col. 5, less line 14 col. 5"</f>
        <v>Attach H-39A, p 3, line 15 col. 5, less line 14 col. 5</v>
      </c>
      <c r="G19" s="19"/>
      <c r="I19" s="39">
        <f>+'Attachment H-39A'!I130</f>
        <v>1064538.0925286659</v>
      </c>
      <c r="S19" s="18"/>
      <c r="T19" s="18"/>
      <c r="U19" s="18"/>
      <c r="V19" s="18"/>
      <c r="W19" s="18"/>
      <c r="X19" s="18"/>
      <c r="Y19" s="18"/>
      <c r="Z19" s="21"/>
    </row>
    <row r="20" spans="1:26">
      <c r="A20" s="19">
        <v>4</v>
      </c>
      <c r="C20" s="21" t="s">
        <v>116</v>
      </c>
      <c r="D20" s="21"/>
      <c r="E20" s="21"/>
      <c r="F20" s="53" t="s">
        <v>117</v>
      </c>
      <c r="G20" s="19"/>
      <c r="I20" s="301">
        <f>IF(I19=0,0,+I19/I15)</f>
        <v>5.8331725927648979E-2</v>
      </c>
      <c r="J20" s="226"/>
      <c r="K20" s="301">
        <f>I20</f>
        <v>5.8331725927648979E-2</v>
      </c>
      <c r="L20" s="227"/>
      <c r="M20" s="573"/>
      <c r="N20" s="573"/>
      <c r="O20" s="573"/>
      <c r="P20" s="573"/>
      <c r="Q20" s="573"/>
      <c r="R20" s="301"/>
      <c r="S20" s="18"/>
      <c r="T20" s="54"/>
      <c r="U20" s="55"/>
      <c r="V20" s="55"/>
      <c r="W20" s="56"/>
      <c r="X20" s="56"/>
      <c r="Y20" s="18"/>
      <c r="Z20" s="21"/>
    </row>
    <row r="21" spans="1:26">
      <c r="A21" s="19"/>
      <c r="C21" s="21"/>
      <c r="D21" s="21"/>
      <c r="E21" s="21"/>
      <c r="F21" s="53"/>
      <c r="G21" s="19"/>
      <c r="I21" s="57"/>
      <c r="K21" s="301"/>
      <c r="L21" s="227"/>
      <c r="M21" s="573"/>
      <c r="N21" s="573"/>
      <c r="O21" s="573"/>
      <c r="P21" s="573"/>
      <c r="Q21" s="573"/>
      <c r="R21" s="301"/>
      <c r="S21" s="18"/>
      <c r="T21" s="54"/>
      <c r="U21" s="55"/>
      <c r="V21" s="55"/>
      <c r="W21" s="56"/>
      <c r="X21" s="56"/>
      <c r="Y21" s="18"/>
      <c r="Z21" s="21"/>
    </row>
    <row r="22" spans="1:26">
      <c r="A22" s="46"/>
      <c r="C22" s="21" t="s">
        <v>359</v>
      </c>
      <c r="D22" s="21"/>
      <c r="E22" s="21"/>
      <c r="F22" s="146"/>
      <c r="G22" s="41"/>
      <c r="I22" s="18"/>
      <c r="K22" s="301"/>
      <c r="L22" s="227"/>
      <c r="M22" s="573"/>
      <c r="N22" s="573"/>
      <c r="O22" s="573"/>
      <c r="P22" s="573"/>
      <c r="Q22" s="573"/>
      <c r="R22" s="18"/>
      <c r="S22" s="18"/>
      <c r="T22" s="54"/>
      <c r="U22" s="55"/>
      <c r="V22" s="55"/>
      <c r="W22" s="56"/>
      <c r="X22" s="56"/>
      <c r="Y22" s="18"/>
      <c r="Z22" s="21"/>
    </row>
    <row r="23" spans="1:26">
      <c r="A23" s="46" t="s">
        <v>118</v>
      </c>
      <c r="C23" s="21" t="s">
        <v>358</v>
      </c>
      <c r="D23" s="21"/>
      <c r="E23" s="21"/>
      <c r="F23" s="53" t="str">
        <f>"Attach H-39A, p 3, line "&amp;'Attachment H-39A'!A134&amp;", col 5 (Note C)"</f>
        <v>Attach H-39A, p 3, line 18, col 5 (Note C)</v>
      </c>
      <c r="G23" s="19"/>
      <c r="I23" s="39">
        <f>+'Attachment H-39A'!I134</f>
        <v>0</v>
      </c>
      <c r="K23" s="301"/>
      <c r="L23" s="227"/>
      <c r="M23" s="573"/>
      <c r="N23" s="573"/>
      <c r="O23" s="573"/>
      <c r="P23" s="573"/>
      <c r="Q23" s="573"/>
      <c r="S23" s="18"/>
      <c r="T23" s="54"/>
      <c r="U23" s="55"/>
      <c r="V23" s="55"/>
      <c r="W23" s="56"/>
      <c r="X23" s="56"/>
      <c r="Y23" s="18"/>
      <c r="Z23" s="21"/>
    </row>
    <row r="24" spans="1:26">
      <c r="A24" s="46" t="s">
        <v>119</v>
      </c>
      <c r="C24" s="21" t="s">
        <v>508</v>
      </c>
      <c r="D24" s="21"/>
      <c r="E24" s="21"/>
      <c r="F24" s="53" t="s">
        <v>120</v>
      </c>
      <c r="G24" s="19"/>
      <c r="I24" s="301">
        <f>IF(I23=0,0,I23/I15)</f>
        <v>0</v>
      </c>
      <c r="J24" s="40"/>
      <c r="K24" s="301">
        <f>I24</f>
        <v>0</v>
      </c>
      <c r="L24" s="227"/>
      <c r="M24" s="573"/>
      <c r="N24" s="573"/>
      <c r="O24" s="573"/>
      <c r="P24" s="573"/>
      <c r="Q24" s="573"/>
      <c r="R24" s="301"/>
      <c r="S24" s="18"/>
      <c r="T24" s="54"/>
      <c r="U24" s="55"/>
      <c r="V24" s="55"/>
      <c r="W24" s="56"/>
      <c r="X24" s="56"/>
      <c r="Y24" s="18"/>
      <c r="Z24" s="21"/>
    </row>
    <row r="25" spans="1:26">
      <c r="A25" s="19"/>
      <c r="C25" s="21"/>
      <c r="D25" s="21"/>
      <c r="E25" s="21"/>
      <c r="F25" s="53"/>
      <c r="G25" s="19"/>
      <c r="I25" s="40"/>
      <c r="J25" s="40"/>
      <c r="K25" s="301"/>
      <c r="L25" s="227"/>
      <c r="M25" s="573"/>
      <c r="N25" s="573"/>
      <c r="O25" s="573"/>
      <c r="P25" s="573"/>
      <c r="Q25" s="573"/>
      <c r="R25" s="301"/>
      <c r="S25" s="18"/>
      <c r="T25" s="54"/>
      <c r="U25" s="55"/>
      <c r="V25" s="55"/>
      <c r="W25" s="56"/>
      <c r="X25" s="56"/>
      <c r="Y25" s="18"/>
      <c r="Z25" s="21"/>
    </row>
    <row r="26" spans="1:26">
      <c r="A26" s="46"/>
      <c r="C26" s="21" t="s">
        <v>121</v>
      </c>
      <c r="D26" s="21"/>
      <c r="E26" s="21"/>
      <c r="F26" s="146"/>
      <c r="G26" s="41"/>
      <c r="I26" s="40"/>
      <c r="J26" s="40"/>
      <c r="K26" s="301"/>
      <c r="L26" s="227"/>
      <c r="M26" s="573"/>
      <c r="N26" s="573"/>
      <c r="O26" s="573"/>
      <c r="P26" s="573"/>
      <c r="Q26" s="573"/>
      <c r="R26" s="18"/>
      <c r="S26" s="18"/>
      <c r="T26" s="18"/>
      <c r="U26" s="18"/>
      <c r="V26" s="18"/>
      <c r="W26" s="18"/>
      <c r="X26" s="18"/>
      <c r="Y26" s="18"/>
      <c r="Z26" s="21"/>
    </row>
    <row r="27" spans="1:26">
      <c r="A27" s="46" t="s">
        <v>122</v>
      </c>
      <c r="C27" s="21" t="s">
        <v>123</v>
      </c>
      <c r="D27" s="21"/>
      <c r="E27" s="21"/>
      <c r="F27" s="53" t="str">
        <f>"Attach H-39A, p 3, line "&amp;'Attachment H-39A'!A147&amp;" col 5"</f>
        <v>Attach H-39A, p 3, line 30 col 5</v>
      </c>
      <c r="G27" s="19"/>
      <c r="I27" s="39">
        <f>+'Attachment H-39A'!I147</f>
        <v>0</v>
      </c>
      <c r="J27" s="40"/>
      <c r="K27" s="301"/>
      <c r="L27" s="227"/>
      <c r="M27" s="573"/>
      <c r="N27" s="573"/>
      <c r="O27" s="573"/>
      <c r="P27" s="573"/>
      <c r="Q27" s="573"/>
      <c r="S27" s="18"/>
      <c r="T27" s="50"/>
      <c r="U27" s="18"/>
      <c r="V27" s="18"/>
      <c r="W27" s="19"/>
      <c r="X27" s="19"/>
      <c r="Y27" s="45"/>
      <c r="Z27" s="21"/>
    </row>
    <row r="28" spans="1:26">
      <c r="A28" s="46" t="s">
        <v>124</v>
      </c>
      <c r="C28" s="21" t="s">
        <v>125</v>
      </c>
      <c r="D28" s="21"/>
      <c r="E28" s="21"/>
      <c r="F28" s="53" t="s">
        <v>126</v>
      </c>
      <c r="G28" s="19"/>
      <c r="I28" s="301">
        <f>IF(I27=0,0,I27/I15)</f>
        <v>0</v>
      </c>
      <c r="J28" s="40"/>
      <c r="K28" s="301">
        <f>I28</f>
        <v>0</v>
      </c>
      <c r="L28" s="227"/>
      <c r="M28" s="573"/>
      <c r="N28" s="573"/>
      <c r="O28" s="573"/>
      <c r="P28" s="573"/>
      <c r="Q28" s="573"/>
      <c r="R28" s="301"/>
      <c r="S28" s="18"/>
      <c r="T28" s="54"/>
      <c r="U28" s="18"/>
      <c r="V28" s="18"/>
      <c r="W28" s="56"/>
      <c r="X28" s="56"/>
      <c r="Y28" s="45"/>
      <c r="Z28" s="21"/>
    </row>
    <row r="29" spans="1:26">
      <c r="A29" s="46"/>
      <c r="C29" s="21"/>
      <c r="D29" s="21"/>
      <c r="E29" s="21"/>
      <c r="F29" s="53"/>
      <c r="G29" s="19"/>
      <c r="I29" s="18"/>
      <c r="K29" s="301"/>
      <c r="L29" s="227"/>
      <c r="O29" s="18"/>
      <c r="P29" s="18"/>
      <c r="Q29" s="18"/>
      <c r="R29" s="18"/>
      <c r="S29" s="18"/>
      <c r="Y29" s="18"/>
      <c r="Z29" s="21"/>
    </row>
    <row r="30" spans="1:26">
      <c r="A30" s="46" t="s">
        <v>127</v>
      </c>
      <c r="C30" s="21" t="s">
        <v>167</v>
      </c>
      <c r="D30" s="21"/>
      <c r="E30" s="21"/>
      <c r="F30" s="53" t="str">
        <f>"Attach H-39A, p 1, line "&amp;'Attachment H-39A'!A16&amp;" col 5"</f>
        <v>Attach H-39A, p 1, line 4 col 5</v>
      </c>
      <c r="G30" s="19"/>
      <c r="I30" s="39">
        <f>-'Attachment H-39A'!I16</f>
        <v>0</v>
      </c>
      <c r="K30" s="301"/>
      <c r="L30" s="227"/>
      <c r="O30" s="18"/>
      <c r="P30" s="18"/>
      <c r="Q30" s="18"/>
      <c r="R30" s="18"/>
      <c r="S30" s="18"/>
      <c r="Y30" s="18"/>
      <c r="Z30" s="21"/>
    </row>
    <row r="31" spans="1:26">
      <c r="A31" s="46" t="s">
        <v>130</v>
      </c>
      <c r="C31" s="21" t="s">
        <v>294</v>
      </c>
      <c r="D31" s="21"/>
      <c r="E31" s="21"/>
      <c r="F31" s="53" t="s">
        <v>162</v>
      </c>
      <c r="G31" s="19"/>
      <c r="I31" s="300">
        <f>IF(I30=0,0,I30/I15)</f>
        <v>0</v>
      </c>
      <c r="K31" s="301">
        <f>+I31</f>
        <v>0</v>
      </c>
      <c r="L31" s="227"/>
      <c r="O31" s="18"/>
      <c r="P31" s="18"/>
      <c r="Q31" s="18"/>
      <c r="R31" s="18"/>
      <c r="S31" s="18"/>
      <c r="Y31" s="18"/>
      <c r="Z31" s="21"/>
    </row>
    <row r="32" spans="1:26">
      <c r="A32" s="46"/>
      <c r="C32" s="21"/>
      <c r="D32" s="21"/>
      <c r="E32" s="21"/>
      <c r="F32" s="53"/>
      <c r="G32" s="19"/>
      <c r="I32" s="18"/>
      <c r="K32" s="301"/>
      <c r="L32" s="227"/>
      <c r="O32" s="18"/>
      <c r="P32" s="18"/>
      <c r="Q32" s="18"/>
      <c r="R32" s="18"/>
      <c r="S32" s="18"/>
      <c r="Y32" s="18"/>
      <c r="Z32" s="21"/>
    </row>
    <row r="33" spans="1:26">
      <c r="A33" s="58" t="s">
        <v>131</v>
      </c>
      <c r="B33" s="59"/>
      <c r="C33" s="51" t="s">
        <v>128</v>
      </c>
      <c r="D33" s="51"/>
      <c r="E33" s="51"/>
      <c r="F33" s="60" t="s">
        <v>163</v>
      </c>
      <c r="G33" s="47"/>
      <c r="I33" s="55"/>
      <c r="K33" s="61">
        <f>K20+K24+K28+K31</f>
        <v>5.8331725927648979E-2</v>
      </c>
      <c r="L33" s="228"/>
      <c r="O33" s="61"/>
      <c r="P33" s="61"/>
      <c r="Q33" s="61"/>
      <c r="R33" s="61"/>
      <c r="S33" s="18"/>
      <c r="Y33" s="18"/>
      <c r="Z33" s="21"/>
    </row>
    <row r="34" spans="1:26">
      <c r="A34" s="46"/>
      <c r="C34" s="21"/>
      <c r="D34" s="21"/>
      <c r="E34" s="21"/>
      <c r="F34" s="53"/>
      <c r="G34" s="19"/>
      <c r="I34" s="18"/>
      <c r="K34" s="301"/>
      <c r="L34" s="227"/>
      <c r="O34" s="18"/>
      <c r="P34" s="18"/>
      <c r="Q34" s="18"/>
      <c r="R34" s="18"/>
      <c r="S34" s="18"/>
      <c r="T34" s="18"/>
      <c r="U34" s="18"/>
      <c r="V34" s="18"/>
      <c r="W34" s="62"/>
      <c r="X34" s="62"/>
      <c r="Y34" s="18"/>
      <c r="Z34" s="21"/>
    </row>
    <row r="35" spans="1:26">
      <c r="A35" s="46"/>
      <c r="C35" s="18" t="s">
        <v>129</v>
      </c>
      <c r="D35" s="18"/>
      <c r="E35" s="18"/>
      <c r="F35" s="53"/>
      <c r="G35" s="19"/>
      <c r="I35" s="18"/>
      <c r="K35" s="301"/>
      <c r="L35" s="227"/>
      <c r="O35" s="18"/>
      <c r="P35" s="18"/>
      <c r="Q35" s="18"/>
      <c r="R35" s="18"/>
      <c r="S35" s="18"/>
      <c r="Y35" s="45"/>
      <c r="Z35" s="18" t="s">
        <v>2</v>
      </c>
    </row>
    <row r="36" spans="1:26">
      <c r="A36" s="46" t="s">
        <v>133</v>
      </c>
      <c r="C36" s="18" t="s">
        <v>39</v>
      </c>
      <c r="D36" s="18"/>
      <c r="E36" s="18"/>
      <c r="F36" s="53" t="str">
        <f>"Attach H-39A, p 3, line "&amp;'Attachment H-39A'!A162&amp;" col 5"</f>
        <v>Attach H-39A, p 3, line 44 col 5</v>
      </c>
      <c r="G36" s="19"/>
      <c r="I36" s="39">
        <f>+'Attachment H-39A'!I162</f>
        <v>444888.76486162498</v>
      </c>
      <c r="K36" s="301"/>
      <c r="L36" s="227"/>
      <c r="O36" s="18"/>
      <c r="P36" s="18"/>
      <c r="Q36" s="18"/>
      <c r="R36" s="18"/>
      <c r="S36" s="18"/>
      <c r="Y36" s="45"/>
      <c r="Z36" s="18"/>
    </row>
    <row r="37" spans="1:26">
      <c r="A37" s="46" t="s">
        <v>135</v>
      </c>
      <c r="C37" s="18" t="s">
        <v>132</v>
      </c>
      <c r="D37" s="18"/>
      <c r="E37" s="18"/>
      <c r="F37" s="53" t="s">
        <v>137</v>
      </c>
      <c r="G37" s="19"/>
      <c r="I37" s="301">
        <f>IF(I16=0,0,I36/I16)</f>
        <v>2.4377830800356978E-2</v>
      </c>
      <c r="K37" s="301">
        <f>I37</f>
        <v>2.4377830800356978E-2</v>
      </c>
      <c r="L37" s="227"/>
      <c r="O37" s="301"/>
      <c r="P37" s="301"/>
      <c r="Q37" s="301"/>
      <c r="R37" s="301"/>
      <c r="S37" s="18"/>
      <c r="U37" s="18"/>
      <c r="V37" s="18"/>
      <c r="W37" s="18"/>
      <c r="X37" s="18"/>
      <c r="Y37" s="45"/>
      <c r="Z37" s="18"/>
    </row>
    <row r="38" spans="1:26">
      <c r="A38" s="46"/>
      <c r="C38" s="18"/>
      <c r="D38" s="18"/>
      <c r="E38" s="18"/>
      <c r="F38" s="53"/>
      <c r="G38" s="19"/>
      <c r="I38" s="18"/>
      <c r="K38" s="301"/>
      <c r="L38" s="227"/>
      <c r="O38" s="18"/>
      <c r="P38" s="18"/>
      <c r="Q38" s="18"/>
      <c r="R38" s="18"/>
      <c r="S38" s="18"/>
      <c r="U38" s="21"/>
      <c r="V38" s="21"/>
      <c r="W38" s="18"/>
      <c r="X38" s="18"/>
      <c r="Y38" s="21"/>
      <c r="Z38" s="21"/>
    </row>
    <row r="39" spans="1:26">
      <c r="A39" s="46"/>
      <c r="C39" s="21" t="s">
        <v>40</v>
      </c>
      <c r="D39" s="21"/>
      <c r="E39" s="21"/>
      <c r="F39" s="63"/>
      <c r="G39" s="64"/>
      <c r="K39" s="301"/>
      <c r="L39" s="227"/>
      <c r="S39" s="18"/>
      <c r="U39" s="18"/>
      <c r="V39" s="18"/>
      <c r="W39" s="18"/>
      <c r="X39" s="18"/>
      <c r="Y39" s="18"/>
      <c r="Z39" s="21"/>
    </row>
    <row r="40" spans="1:26">
      <c r="A40" s="46" t="s">
        <v>138</v>
      </c>
      <c r="C40" s="21" t="s">
        <v>134</v>
      </c>
      <c r="D40" s="21"/>
      <c r="E40" s="21"/>
      <c r="F40" s="53" t="str">
        <f>"Attach H-39A, p 3, line "&amp;'Attachment H-39A'!A165&amp;" col 5"</f>
        <v>Attach H-39A, p 3, line 46 col 5</v>
      </c>
      <c r="G40" s="19"/>
      <c r="I40" s="39">
        <f>+'Attachment H-39A'!I165</f>
        <v>1630670.8304785027</v>
      </c>
      <c r="K40" s="301"/>
      <c r="L40" s="227"/>
      <c r="O40" s="18"/>
      <c r="P40" s="18"/>
      <c r="Q40" s="18"/>
      <c r="R40" s="18"/>
      <c r="S40" s="18"/>
      <c r="U40" s="18"/>
      <c r="V40" s="18"/>
      <c r="W40" s="18"/>
      <c r="X40" s="18"/>
      <c r="Y40" s="18"/>
      <c r="Z40" s="21"/>
    </row>
    <row r="41" spans="1:26">
      <c r="A41" s="46" t="s">
        <v>160</v>
      </c>
      <c r="C41" s="18" t="s">
        <v>136</v>
      </c>
      <c r="D41" s="18"/>
      <c r="E41" s="18"/>
      <c r="F41" s="53" t="s">
        <v>286</v>
      </c>
      <c r="G41" s="19"/>
      <c r="I41" s="301">
        <f>IF(I16=0,0,I40/I16)</f>
        <v>8.9353161365733264E-2</v>
      </c>
      <c r="K41" s="301">
        <f>I41</f>
        <v>8.9353161365733264E-2</v>
      </c>
      <c r="L41" s="227"/>
      <c r="O41" s="301"/>
      <c r="P41" s="301"/>
      <c r="Q41" s="301"/>
      <c r="R41" s="301"/>
      <c r="S41" s="18"/>
      <c r="W41" s="65"/>
      <c r="X41" s="65"/>
      <c r="Y41" s="45"/>
      <c r="Z41" s="18"/>
    </row>
    <row r="42" spans="1:26">
      <c r="A42" s="46"/>
      <c r="C42" s="21"/>
      <c r="D42" s="21"/>
      <c r="E42" s="21"/>
      <c r="F42" s="53"/>
      <c r="G42" s="19"/>
      <c r="I42" s="226"/>
      <c r="K42" s="301"/>
      <c r="L42" s="227"/>
      <c r="O42" s="18"/>
      <c r="P42" s="18"/>
      <c r="Q42" s="18"/>
      <c r="R42" s="18"/>
      <c r="S42" s="18"/>
      <c r="T42" s="64"/>
      <c r="U42" s="18"/>
      <c r="V42" s="18"/>
      <c r="W42" s="18"/>
      <c r="X42" s="18"/>
      <c r="Y42" s="18"/>
      <c r="Z42" s="21"/>
    </row>
    <row r="43" spans="1:26">
      <c r="A43" s="58" t="s">
        <v>161</v>
      </c>
      <c r="B43" s="59"/>
      <c r="C43" s="51" t="s">
        <v>139</v>
      </c>
      <c r="D43" s="51"/>
      <c r="E43" s="51"/>
      <c r="F43" s="60" t="s">
        <v>164</v>
      </c>
      <c r="G43" s="47"/>
      <c r="I43" s="301">
        <f>+I41+I37</f>
        <v>0.11373099216609024</v>
      </c>
      <c r="K43" s="61">
        <f>K37+K41</f>
        <v>0.11373099216609024</v>
      </c>
      <c r="L43" s="228"/>
      <c r="O43" s="61"/>
      <c r="P43" s="61"/>
      <c r="Q43" s="61"/>
      <c r="R43" s="61"/>
      <c r="S43" s="18"/>
      <c r="T43" s="64"/>
      <c r="U43" s="18"/>
      <c r="V43" s="18"/>
      <c r="W43" s="18"/>
      <c r="X43" s="18"/>
      <c r="Y43" s="18"/>
      <c r="Z43" s="21"/>
    </row>
    <row r="44" spans="1:26">
      <c r="S44" s="21"/>
      <c r="T44" s="21"/>
      <c r="U44" s="18"/>
      <c r="V44" s="18"/>
      <c r="W44" s="18"/>
      <c r="X44" s="18"/>
      <c r="Y44" s="18"/>
      <c r="Z44" s="21"/>
    </row>
    <row r="45" spans="1:26">
      <c r="A45" s="16"/>
      <c r="H45" s="18"/>
      <c r="S45" s="18"/>
      <c r="T45" s="18"/>
      <c r="U45" s="18"/>
      <c r="V45" s="18"/>
      <c r="W45" s="18"/>
      <c r="X45" s="18"/>
      <c r="Y45" s="45"/>
      <c r="Z45" s="18" t="s">
        <v>2</v>
      </c>
    </row>
    <row r="46" spans="1:26">
      <c r="T46" s="42"/>
    </row>
    <row r="47" spans="1:26">
      <c r="K47" s="20" t="s">
        <v>282</v>
      </c>
      <c r="T47" s="42"/>
      <c r="V47" s="20" t="s">
        <v>281</v>
      </c>
    </row>
    <row r="48" spans="1:26">
      <c r="A48" s="16"/>
      <c r="C48" s="21"/>
      <c r="D48" s="21"/>
      <c r="E48" s="21"/>
      <c r="F48" s="41" t="str">
        <f>+F3</f>
        <v>Attachment 1</v>
      </c>
      <c r="I48" s="41"/>
      <c r="P48" s="41" t="str">
        <f>+F48</f>
        <v>Attachment 1</v>
      </c>
      <c r="Q48" s="41"/>
      <c r="S48" s="18"/>
      <c r="T48" s="42"/>
      <c r="U48" s="18"/>
      <c r="V48" s="18"/>
      <c r="W48" s="21"/>
      <c r="X48" s="21"/>
      <c r="Y48" s="18"/>
      <c r="Z48" s="21"/>
    </row>
    <row r="49" spans="1:29">
      <c r="A49" s="16"/>
      <c r="C49" s="21"/>
      <c r="D49" s="21"/>
      <c r="E49" s="21"/>
      <c r="F49" s="41" t="str">
        <f>+F4</f>
        <v>Project Revenue Requirement Worksheet</v>
      </c>
      <c r="I49" s="41"/>
      <c r="N49" s="18"/>
      <c r="O49" s="18"/>
      <c r="P49" s="41" t="str">
        <f>+F49</f>
        <v>Project Revenue Requirement Worksheet</v>
      </c>
      <c r="Q49" s="41"/>
      <c r="R49" s="18"/>
      <c r="S49" s="18"/>
      <c r="U49" s="18"/>
      <c r="V49" s="18"/>
      <c r="W49" s="21"/>
      <c r="X49" s="21"/>
      <c r="Y49" s="18"/>
      <c r="Z49" s="21"/>
    </row>
    <row r="50" spans="1:29" ht="14.25" customHeight="1">
      <c r="A50" s="16"/>
      <c r="F50" s="41" t="str">
        <f>+F5</f>
        <v>Valley Link Transmission West Virginia, LLC</v>
      </c>
      <c r="P50" s="41" t="str">
        <f>+F50</f>
        <v>Valley Link Transmission West Virginia, LLC</v>
      </c>
      <c r="Q50" s="41"/>
      <c r="S50" s="18"/>
      <c r="U50" s="18"/>
      <c r="V50" s="18"/>
      <c r="W50" s="21"/>
      <c r="X50" s="21"/>
      <c r="Y50" s="18"/>
      <c r="Z50" s="21"/>
    </row>
    <row r="51" spans="1:29">
      <c r="A51" s="16"/>
      <c r="F51" s="51"/>
      <c r="G51" s="51"/>
      <c r="I51" s="21"/>
      <c r="J51" s="21"/>
      <c r="K51" s="21"/>
      <c r="L51" s="21"/>
      <c r="M51" s="21"/>
      <c r="N51" s="21"/>
      <c r="O51" s="21"/>
      <c r="P51" s="21"/>
      <c r="Q51" s="21"/>
      <c r="R51" s="21"/>
      <c r="S51" s="18"/>
      <c r="T51" s="18"/>
      <c r="U51" s="18"/>
      <c r="V51" s="18"/>
      <c r="W51" s="21"/>
      <c r="X51" s="21"/>
      <c r="Y51" s="18"/>
      <c r="Z51" s="21"/>
    </row>
    <row r="52" spans="1:29" ht="53.25" customHeight="1">
      <c r="A52" s="16"/>
      <c r="C52" s="977" t="s">
        <v>1004</v>
      </c>
      <c r="D52" s="977"/>
      <c r="E52" s="977"/>
      <c r="F52" s="977"/>
      <c r="G52" s="977"/>
      <c r="H52" s="977"/>
      <c r="I52" s="977"/>
      <c r="J52" s="977"/>
      <c r="K52" s="977"/>
      <c r="L52" s="258"/>
      <c r="M52" s="21"/>
      <c r="N52" s="21"/>
      <c r="O52" s="21"/>
      <c r="P52" s="21"/>
      <c r="Q52" s="21"/>
      <c r="R52" s="21"/>
      <c r="S52" s="18"/>
      <c r="T52" s="18"/>
      <c r="U52" s="18"/>
      <c r="V52" s="18"/>
      <c r="W52" s="21"/>
      <c r="X52" s="21"/>
      <c r="Y52" s="18"/>
      <c r="Z52" s="21"/>
    </row>
    <row r="53" spans="1:29" ht="28.5" customHeight="1">
      <c r="A53" s="16"/>
      <c r="C53" s="979" t="s">
        <v>469</v>
      </c>
      <c r="D53" s="979"/>
      <c r="E53" s="979"/>
      <c r="F53" s="979"/>
      <c r="G53" s="979"/>
      <c r="H53" s="979"/>
      <c r="I53" s="979"/>
      <c r="J53" s="979"/>
      <c r="K53" s="979"/>
      <c r="L53" s="21"/>
      <c r="M53" s="21"/>
      <c r="N53" s="21"/>
      <c r="O53" s="21"/>
      <c r="P53" s="21"/>
      <c r="Q53" s="21"/>
      <c r="R53" s="21"/>
      <c r="S53" s="18"/>
      <c r="T53" s="18"/>
      <c r="U53" s="18"/>
      <c r="V53" s="18"/>
      <c r="W53" s="21"/>
      <c r="X53" s="21"/>
      <c r="Y53" s="18"/>
      <c r="Z53" s="21"/>
    </row>
    <row r="54" spans="1:29" ht="15">
      <c r="A54" s="16"/>
      <c r="E54" s="596"/>
      <c r="F54" s="51"/>
      <c r="G54" s="51"/>
      <c r="I54" s="21"/>
      <c r="J54" s="21"/>
      <c r="K54" s="21"/>
      <c r="L54" s="21"/>
      <c r="M54" s="21"/>
      <c r="N54" s="21"/>
      <c r="O54" s="21"/>
      <c r="P54" s="21"/>
      <c r="Q54" s="21"/>
      <c r="R54" s="21"/>
      <c r="S54" s="18"/>
      <c r="T54" s="18"/>
      <c r="U54" s="18"/>
      <c r="V54" s="18"/>
      <c r="W54" s="21"/>
      <c r="X54" s="21"/>
      <c r="Y54" s="18"/>
      <c r="Z54" s="21"/>
    </row>
    <row r="55" spans="1:29" ht="15">
      <c r="A55" s="16"/>
      <c r="C55" s="66">
        <v>-1</v>
      </c>
      <c r="D55" s="66"/>
      <c r="E55" s="66">
        <v>-2</v>
      </c>
      <c r="F55" s="66">
        <v>-3</v>
      </c>
      <c r="G55" s="66">
        <v>-4</v>
      </c>
      <c r="H55" s="66">
        <v>-5</v>
      </c>
      <c r="I55" s="66">
        <v>-6</v>
      </c>
      <c r="J55" s="66">
        <v>-7</v>
      </c>
      <c r="K55" s="66">
        <v>-8</v>
      </c>
      <c r="L55" s="66"/>
      <c r="M55" s="66">
        <v>-9</v>
      </c>
      <c r="N55" s="66">
        <v>-10</v>
      </c>
      <c r="O55" s="66">
        <v>-11</v>
      </c>
      <c r="P55" s="66">
        <v>-12</v>
      </c>
      <c r="Q55" s="604" t="s">
        <v>848</v>
      </c>
      <c r="R55" s="604" t="s">
        <v>239</v>
      </c>
      <c r="S55" s="604" t="s">
        <v>240</v>
      </c>
      <c r="T55" s="604" t="s">
        <v>915</v>
      </c>
      <c r="U55" s="18"/>
      <c r="V55"/>
      <c r="W55"/>
      <c r="X55"/>
      <c r="Y55"/>
      <c r="Z55"/>
      <c r="AA55"/>
      <c r="AB55"/>
      <c r="AC55"/>
    </row>
    <row r="56" spans="1:29" ht="53.25" customHeight="1">
      <c r="A56" s="329" t="s">
        <v>141</v>
      </c>
      <c r="B56" s="67"/>
      <c r="C56" s="67" t="s">
        <v>278</v>
      </c>
      <c r="D56" s="67" t="s">
        <v>400</v>
      </c>
      <c r="E56" s="230" t="s">
        <v>378</v>
      </c>
      <c r="F56" s="68" t="s">
        <v>142</v>
      </c>
      <c r="G56" s="68" t="s">
        <v>128</v>
      </c>
      <c r="H56" s="69" t="s">
        <v>143</v>
      </c>
      <c r="I56" s="68" t="s">
        <v>144</v>
      </c>
      <c r="J56" s="68" t="s">
        <v>139</v>
      </c>
      <c r="K56" s="69" t="s">
        <v>145</v>
      </c>
      <c r="L56" s="329" t="s">
        <v>141</v>
      </c>
      <c r="M56" s="68" t="s">
        <v>165</v>
      </c>
      <c r="N56" s="70" t="s">
        <v>146</v>
      </c>
      <c r="O56" s="70" t="s">
        <v>348</v>
      </c>
      <c r="P56" s="70" t="s">
        <v>166</v>
      </c>
      <c r="Q56" s="70" t="s">
        <v>916</v>
      </c>
      <c r="R56" s="70" t="s">
        <v>170</v>
      </c>
      <c r="S56" s="70" t="s">
        <v>147</v>
      </c>
      <c r="T56" s="70" t="s">
        <v>390</v>
      </c>
      <c r="U56" s="18"/>
      <c r="V56"/>
      <c r="W56"/>
      <c r="X56"/>
      <c r="Y56"/>
      <c r="Z56"/>
      <c r="AA56"/>
      <c r="AB56"/>
      <c r="AC56"/>
    </row>
    <row r="57" spans="1:29" ht="46.5" customHeight="1">
      <c r="A57" s="330"/>
      <c r="B57" s="71"/>
      <c r="C57" s="71"/>
      <c r="D57" s="71"/>
      <c r="E57" s="71"/>
      <c r="F57" s="72" t="s">
        <v>98</v>
      </c>
      <c r="G57" s="72" t="s">
        <v>243</v>
      </c>
      <c r="H57" s="73" t="s">
        <v>148</v>
      </c>
      <c r="I57" s="72" t="s">
        <v>338</v>
      </c>
      <c r="J57" s="157" t="s">
        <v>244</v>
      </c>
      <c r="K57" s="198" t="s">
        <v>149</v>
      </c>
      <c r="L57" s="330"/>
      <c r="M57" s="72" t="s">
        <v>151</v>
      </c>
      <c r="N57" s="198" t="s">
        <v>150</v>
      </c>
      <c r="O57" s="72" t="s">
        <v>219</v>
      </c>
      <c r="P57" s="198" t="s">
        <v>261</v>
      </c>
      <c r="Q57" s="198" t="s">
        <v>379</v>
      </c>
      <c r="R57" s="590" t="s">
        <v>917</v>
      </c>
      <c r="S57" s="605" t="s">
        <v>918</v>
      </c>
      <c r="T57" s="590" t="s">
        <v>849</v>
      </c>
      <c r="U57" s="18"/>
      <c r="V57"/>
      <c r="W57"/>
      <c r="X57"/>
      <c r="Y57"/>
      <c r="Z57"/>
      <c r="AA57"/>
      <c r="AB57"/>
      <c r="AC57"/>
    </row>
    <row r="58" spans="1:29" ht="15">
      <c r="A58" s="331"/>
      <c r="B58" s="21"/>
      <c r="C58" s="21"/>
      <c r="D58" s="21"/>
      <c r="E58" s="21"/>
      <c r="F58" s="21"/>
      <c r="G58" s="21"/>
      <c r="H58" s="74"/>
      <c r="I58" s="21"/>
      <c r="J58" s="21"/>
      <c r="K58" s="74"/>
      <c r="L58" s="331"/>
      <c r="M58" s="21"/>
      <c r="N58" s="74"/>
      <c r="O58" s="195"/>
      <c r="P58" s="74"/>
      <c r="Q58" s="74"/>
      <c r="R58" s="156"/>
      <c r="S58" s="18"/>
      <c r="T58" s="75"/>
      <c r="U58" s="574"/>
      <c r="V58"/>
      <c r="W58"/>
      <c r="X58"/>
      <c r="Y58"/>
      <c r="Z58"/>
      <c r="AA58"/>
      <c r="AB58"/>
      <c r="AC58"/>
    </row>
    <row r="59" spans="1:29" ht="15" customHeight="1">
      <c r="A59" s="306" t="s">
        <v>353</v>
      </c>
      <c r="B59" s="76"/>
      <c r="C59" s="333" t="s">
        <v>1055</v>
      </c>
      <c r="D59" s="333"/>
      <c r="E59" s="334" t="s">
        <v>1047</v>
      </c>
      <c r="F59" s="107">
        <v>672663.03044705011</v>
      </c>
      <c r="G59" s="227">
        <f>$K$33</f>
        <v>5.8331725927648979E-2</v>
      </c>
      <c r="H59" s="189">
        <f>F59*G59</f>
        <v>39237.595533699125</v>
      </c>
      <c r="I59" s="77">
        <f>F59</f>
        <v>672663.03044705011</v>
      </c>
      <c r="J59" s="227">
        <f>$K$43</f>
        <v>0.11373099216609024</v>
      </c>
      <c r="K59" s="189">
        <f>I59*J59</f>
        <v>76502.63384619198</v>
      </c>
      <c r="L59" s="306" t="str">
        <f>+A59</f>
        <v>1a</v>
      </c>
      <c r="M59" s="107">
        <f>+'Attachment H-39A'!D133</f>
        <v>0</v>
      </c>
      <c r="N59" s="189">
        <f>H59+K59+M59</f>
        <v>115740.2293798911</v>
      </c>
      <c r="O59" s="196">
        <v>0</v>
      </c>
      <c r="P59" s="189">
        <f>O59/100*'2-Incentive ROE'!$J$38*I59</f>
        <v>0</v>
      </c>
      <c r="Q59" s="196"/>
      <c r="R59" s="189">
        <f>+N59+P59-Q59</f>
        <v>115740.2293798911</v>
      </c>
      <c r="S59" s="107">
        <f>'3-Project True-up'!L19</f>
        <v>0</v>
      </c>
      <c r="T59" s="189">
        <f>+R59+S59</f>
        <v>115740.2293798911</v>
      </c>
      <c r="U59" s="574"/>
      <c r="V59"/>
      <c r="W59"/>
      <c r="X59"/>
      <c r="Y59"/>
      <c r="Z59"/>
      <c r="AA59"/>
      <c r="AB59"/>
      <c r="AC59"/>
    </row>
    <row r="60" spans="1:29" ht="15" customHeight="1">
      <c r="A60" s="306" t="s">
        <v>354</v>
      </c>
      <c r="B60" s="76"/>
      <c r="C60" s="333" t="s">
        <v>1056</v>
      </c>
      <c r="D60" s="333"/>
      <c r="E60" s="334" t="s">
        <v>1048</v>
      </c>
      <c r="F60" s="107">
        <v>3251204.647160742</v>
      </c>
      <c r="G60" s="227">
        <f t="shared" ref="G60:G63" si="0">$K$33</f>
        <v>5.8331725927648979E-2</v>
      </c>
      <c r="H60" s="189">
        <f t="shared" ref="H60:H63" si="1">F60*G60</f>
        <v>189648.3784128791</v>
      </c>
      <c r="I60" s="77">
        <f t="shared" ref="I60:I63" si="2">F60</f>
        <v>3251204.647160742</v>
      </c>
      <c r="J60" s="227">
        <f t="shared" ref="J60:J63" si="3">$K$43</f>
        <v>0.11373099216609024</v>
      </c>
      <c r="K60" s="189">
        <f t="shared" ref="K60:K63" si="4">I60*J60</f>
        <v>369762.73025659454</v>
      </c>
      <c r="L60" s="306" t="str">
        <f t="shared" ref="L60:L64" si="5">+A60</f>
        <v>1b</v>
      </c>
      <c r="M60" s="107">
        <f>+'Attachment H-39A'!D134</f>
        <v>0</v>
      </c>
      <c r="N60" s="189">
        <f t="shared" ref="N60:N63" si="6">H60+K60+M60</f>
        <v>559411.10866947367</v>
      </c>
      <c r="O60" s="196">
        <v>0</v>
      </c>
      <c r="P60" s="189">
        <f>O60/100*'2-Incentive ROE'!$J$38*I60</f>
        <v>0</v>
      </c>
      <c r="Q60" s="107"/>
      <c r="R60" s="189">
        <f t="shared" ref="R60:R63" si="7">+N60+P60-Q60</f>
        <v>559411.10866947367</v>
      </c>
      <c r="S60" s="107">
        <f>'3-Project True-up'!L20</f>
        <v>0</v>
      </c>
      <c r="T60" s="189">
        <f t="shared" ref="T60:T63" si="8">+R60+S60</f>
        <v>559411.10866947367</v>
      </c>
      <c r="U60" s="574"/>
      <c r="V60"/>
      <c r="W60"/>
      <c r="X60"/>
      <c r="Y60"/>
      <c r="Z60"/>
      <c r="AA60"/>
      <c r="AB60"/>
      <c r="AC60"/>
    </row>
    <row r="61" spans="1:29" ht="15" customHeight="1">
      <c r="A61" s="306" t="s">
        <v>1043</v>
      </c>
      <c r="B61" s="76"/>
      <c r="C61" s="333" t="s">
        <v>1052</v>
      </c>
      <c r="D61" s="333"/>
      <c r="E61" s="334" t="s">
        <v>1049</v>
      </c>
      <c r="F61" s="107">
        <v>5398559.0183862206</v>
      </c>
      <c r="G61" s="227">
        <f t="shared" si="0"/>
        <v>5.8331725927648979E-2</v>
      </c>
      <c r="H61" s="189">
        <f t="shared" si="1"/>
        <v>314907.26506474271</v>
      </c>
      <c r="I61" s="77">
        <f t="shared" si="2"/>
        <v>5398559.0183862206</v>
      </c>
      <c r="J61" s="227">
        <f t="shared" si="3"/>
        <v>0.11373099216609024</v>
      </c>
      <c r="K61" s="189">
        <f t="shared" si="4"/>
        <v>613983.47342825902</v>
      </c>
      <c r="L61" s="306" t="str">
        <f t="shared" si="5"/>
        <v>1c</v>
      </c>
      <c r="M61" s="107">
        <f>+'Attachment H-39A'!D135</f>
        <v>0</v>
      </c>
      <c r="N61" s="189">
        <f t="shared" si="6"/>
        <v>928890.73849300179</v>
      </c>
      <c r="O61" s="196">
        <v>0</v>
      </c>
      <c r="P61" s="189">
        <f>O61/100*'2-Incentive ROE'!$J$38*I61</f>
        <v>0</v>
      </c>
      <c r="Q61" s="107"/>
      <c r="R61" s="189">
        <f t="shared" si="7"/>
        <v>928890.73849300179</v>
      </c>
      <c r="S61" s="107">
        <f>'3-Project True-up'!L21</f>
        <v>0</v>
      </c>
      <c r="T61" s="189">
        <f t="shared" si="8"/>
        <v>928890.73849300179</v>
      </c>
      <c r="U61" s="574"/>
      <c r="V61"/>
      <c r="W61"/>
      <c r="X61"/>
      <c r="Y61"/>
      <c r="Z61"/>
      <c r="AA61"/>
      <c r="AB61"/>
      <c r="AC61"/>
    </row>
    <row r="62" spans="1:29" ht="15" customHeight="1">
      <c r="A62" s="306" t="s">
        <v>1044</v>
      </c>
      <c r="B62" s="76"/>
      <c r="C62" s="333" t="s">
        <v>1053</v>
      </c>
      <c r="D62" s="333"/>
      <c r="E62" s="334" t="s">
        <v>1050</v>
      </c>
      <c r="F62" s="107">
        <v>7110325.7812598748</v>
      </c>
      <c r="G62" s="227">
        <f t="shared" si="0"/>
        <v>5.8331725927648979E-2</v>
      </c>
      <c r="H62" s="189">
        <f t="shared" si="1"/>
        <v>414757.5747287476</v>
      </c>
      <c r="I62" s="77">
        <f t="shared" si="2"/>
        <v>7110325.7812598748</v>
      </c>
      <c r="J62" s="227">
        <f t="shared" si="3"/>
        <v>0.11373099216609024</v>
      </c>
      <c r="K62" s="189">
        <f t="shared" si="4"/>
        <v>808664.40572681627</v>
      </c>
      <c r="L62" s="306" t="str">
        <f t="shared" si="5"/>
        <v>1d</v>
      </c>
      <c r="M62" s="107">
        <f>+'Attachment H-39A'!D136</f>
        <v>0</v>
      </c>
      <c r="N62" s="189">
        <f t="shared" si="6"/>
        <v>1223421.9804555639</v>
      </c>
      <c r="O62" s="196">
        <v>0</v>
      </c>
      <c r="P62" s="189">
        <f>O62/100*'2-Incentive ROE'!$J$38*I62</f>
        <v>0</v>
      </c>
      <c r="Q62" s="107"/>
      <c r="R62" s="189">
        <f t="shared" si="7"/>
        <v>1223421.9804555639</v>
      </c>
      <c r="S62" s="107">
        <f>'3-Project True-up'!L22</f>
        <v>0</v>
      </c>
      <c r="T62" s="189">
        <f t="shared" si="8"/>
        <v>1223421.9804555639</v>
      </c>
      <c r="U62" s="574"/>
      <c r="V62"/>
      <c r="W62"/>
      <c r="X62"/>
      <c r="Y62"/>
      <c r="Z62"/>
      <c r="AA62"/>
      <c r="AB62"/>
      <c r="AC62"/>
    </row>
    <row r="63" spans="1:29" ht="15" customHeight="1">
      <c r="A63" s="306" t="s">
        <v>1045</v>
      </c>
      <c r="B63" s="76"/>
      <c r="C63" s="333" t="s">
        <v>1054</v>
      </c>
      <c r="D63" s="333"/>
      <c r="E63" s="334" t="s">
        <v>1051</v>
      </c>
      <c r="F63" s="107">
        <v>1816974.8469307667</v>
      </c>
      <c r="G63" s="227">
        <f t="shared" si="0"/>
        <v>5.8331725927648979E-2</v>
      </c>
      <c r="H63" s="189">
        <f t="shared" si="1"/>
        <v>105987.27878859744</v>
      </c>
      <c r="I63" s="77">
        <f t="shared" si="2"/>
        <v>1816974.8469307667</v>
      </c>
      <c r="J63" s="227">
        <f t="shared" si="3"/>
        <v>0.11373099216609024</v>
      </c>
      <c r="K63" s="189">
        <f t="shared" si="4"/>
        <v>206646.35208226604</v>
      </c>
      <c r="L63" s="306" t="str">
        <f t="shared" si="5"/>
        <v>1e</v>
      </c>
      <c r="M63" s="107">
        <f>+'Attachment H-39A'!D137</f>
        <v>0</v>
      </c>
      <c r="N63" s="189">
        <f t="shared" si="6"/>
        <v>312633.63087086345</v>
      </c>
      <c r="O63" s="196">
        <v>0</v>
      </c>
      <c r="P63" s="189">
        <f>O63/100*'2-Incentive ROE'!$J$38*I63</f>
        <v>0</v>
      </c>
      <c r="Q63" s="107"/>
      <c r="R63" s="189">
        <f t="shared" si="7"/>
        <v>312633.63087086345</v>
      </c>
      <c r="S63" s="107">
        <f>'3-Project True-up'!L23</f>
        <v>0</v>
      </c>
      <c r="T63" s="189">
        <f t="shared" si="8"/>
        <v>312633.63087086345</v>
      </c>
      <c r="U63" s="574"/>
      <c r="V63"/>
      <c r="W63"/>
      <c r="X63"/>
      <c r="Y63"/>
      <c r="Z63"/>
      <c r="AA63"/>
      <c r="AB63"/>
      <c r="AC63"/>
    </row>
    <row r="64" spans="1:29" ht="15">
      <c r="A64" s="306" t="s">
        <v>1046</v>
      </c>
      <c r="B64" s="76"/>
      <c r="C64" s="333"/>
      <c r="D64" s="333"/>
      <c r="E64" s="334"/>
      <c r="F64" s="107"/>
      <c r="G64" s="227">
        <f>$K$33</f>
        <v>5.8331725927648979E-2</v>
      </c>
      <c r="H64" s="189">
        <f>F64*G64</f>
        <v>0</v>
      </c>
      <c r="I64" s="77"/>
      <c r="J64" s="227">
        <f>$K$43</f>
        <v>0.11373099216609024</v>
      </c>
      <c r="K64" s="189">
        <f>I64*J64</f>
        <v>0</v>
      </c>
      <c r="L64" s="306" t="str">
        <f t="shared" si="5"/>
        <v>1f</v>
      </c>
      <c r="M64" s="107">
        <v>0</v>
      </c>
      <c r="N64" s="189">
        <f>H64+K64+M64</f>
        <v>0</v>
      </c>
      <c r="O64" s="196">
        <v>0</v>
      </c>
      <c r="P64" s="189">
        <f>O64/100*'2-Incentive ROE'!$J$38*I64</f>
        <v>0</v>
      </c>
      <c r="Q64" s="107"/>
      <c r="R64" s="189">
        <f>+N64+P64-Q64</f>
        <v>0</v>
      </c>
      <c r="S64" s="107">
        <f>+'3-Project True-up'!L20</f>
        <v>0</v>
      </c>
      <c r="T64" s="189">
        <f>+R64+S64</f>
        <v>0</v>
      </c>
      <c r="U64" s="574"/>
      <c r="V64"/>
      <c r="W64"/>
      <c r="X64"/>
      <c r="Y64"/>
      <c r="Z64"/>
      <c r="AA64"/>
      <c r="AB64"/>
      <c r="AC64"/>
    </row>
    <row r="65" spans="1:29" ht="15">
      <c r="A65" s="310">
        <v>2</v>
      </c>
      <c r="B65" s="311"/>
      <c r="C65" s="311" t="s">
        <v>402</v>
      </c>
      <c r="D65" s="311"/>
      <c r="E65" s="326"/>
      <c r="F65" s="328">
        <f>SUM(F59:F64)</f>
        <v>18249727.324184656</v>
      </c>
      <c r="G65" s="304"/>
      <c r="H65" s="305">
        <f t="shared" ref="H65" si="9">SUM(H59:H64)</f>
        <v>1064538.0925286659</v>
      </c>
      <c r="I65" s="328">
        <f>SUM(I59:I64)</f>
        <v>18249727.324184656</v>
      </c>
      <c r="J65" s="304"/>
      <c r="K65" s="305">
        <f>SUM(K59:K64)</f>
        <v>2075559.5953401278</v>
      </c>
      <c r="L65" s="324">
        <f>+A65</f>
        <v>2</v>
      </c>
      <c r="M65" s="328">
        <f t="shared" ref="M65:N65" si="10">SUM(M59:M64)</f>
        <v>0</v>
      </c>
      <c r="N65" s="305">
        <f t="shared" si="10"/>
        <v>3140097.687868794</v>
      </c>
      <c r="O65" s="308"/>
      <c r="P65" s="305">
        <f>SUM(P59:P64)</f>
        <v>0</v>
      </c>
      <c r="Q65" s="305"/>
      <c r="R65" s="305">
        <f t="shared" ref="R65:T65" si="11">SUM(R59:R64)</f>
        <v>3140097.687868794</v>
      </c>
      <c r="S65" s="328">
        <f t="shared" si="11"/>
        <v>0</v>
      </c>
      <c r="T65" s="305">
        <f t="shared" si="11"/>
        <v>3140097.687868794</v>
      </c>
      <c r="U65" s="574"/>
      <c r="V65"/>
      <c r="W65"/>
      <c r="X65"/>
      <c r="Y65"/>
      <c r="Z65"/>
      <c r="AA65"/>
      <c r="AB65"/>
      <c r="AC65"/>
    </row>
    <row r="66" spans="1:29" ht="15">
      <c r="A66" s="306"/>
      <c r="B66" s="76"/>
      <c r="C66" s="76"/>
      <c r="D66" s="76"/>
      <c r="E66" s="321"/>
      <c r="F66" s="39"/>
      <c r="G66" s="227"/>
      <c r="H66" s="189"/>
      <c r="I66" s="596"/>
      <c r="J66" s="227"/>
      <c r="K66" s="189"/>
      <c r="L66" s="306"/>
      <c r="M66" s="39"/>
      <c r="N66" s="189"/>
      <c r="O66" s="307"/>
      <c r="P66" s="189"/>
      <c r="Q66" s="189"/>
      <c r="R66" s="189"/>
      <c r="S66" s="39"/>
      <c r="T66" s="189"/>
      <c r="U66" s="574"/>
      <c r="V66"/>
      <c r="W66"/>
      <c r="X66"/>
      <c r="Y66"/>
      <c r="Z66"/>
      <c r="AA66"/>
      <c r="AB66"/>
      <c r="AC66"/>
    </row>
    <row r="67" spans="1:29">
      <c r="A67" s="306" t="s">
        <v>287</v>
      </c>
      <c r="B67" s="76"/>
      <c r="C67" s="333"/>
      <c r="D67" s="333"/>
      <c r="E67" s="466"/>
      <c r="F67" s="107">
        <f>I67</f>
        <v>0</v>
      </c>
      <c r="G67" s="227">
        <f>$K$33</f>
        <v>5.8331725927648979E-2</v>
      </c>
      <c r="H67" s="189">
        <f>F67*G67</f>
        <v>0</v>
      </c>
      <c r="I67" s="77">
        <v>0</v>
      </c>
      <c r="J67" s="227">
        <f>$K$43</f>
        <v>0.11373099216609024</v>
      </c>
      <c r="K67" s="189">
        <f>I67*J67</f>
        <v>0</v>
      </c>
      <c r="L67" s="306" t="str">
        <f t="shared" ref="L67:L73" si="12">+A67</f>
        <v>3a</v>
      </c>
      <c r="M67" s="107">
        <v>0</v>
      </c>
      <c r="N67" s="189">
        <f>H67+K67+M67</f>
        <v>0</v>
      </c>
      <c r="O67" s="196">
        <v>0</v>
      </c>
      <c r="P67" s="189">
        <f>O67/100*'2-Incentive ROE'!$J$38*I67</f>
        <v>0</v>
      </c>
      <c r="Q67" s="589"/>
      <c r="R67" s="189">
        <f>+N67+P67-Q67</f>
        <v>0</v>
      </c>
      <c r="S67" s="107">
        <f>+'3-Project True-up'!L23</f>
        <v>0</v>
      </c>
      <c r="T67" s="189">
        <f>+R67+S67</f>
        <v>0</v>
      </c>
      <c r="U67" s="574"/>
      <c r="V67" s="575"/>
      <c r="W67" s="575"/>
      <c r="X67" s="575"/>
      <c r="Y67" s="575"/>
      <c r="Z67" s="575"/>
    </row>
    <row r="68" spans="1:29">
      <c r="A68" s="306" t="s">
        <v>288</v>
      </c>
      <c r="B68" s="76"/>
      <c r="C68" s="333"/>
      <c r="D68" s="333"/>
      <c r="E68" s="334"/>
      <c r="F68" s="107">
        <v>0</v>
      </c>
      <c r="G68" s="227">
        <f>$K$33</f>
        <v>5.8331725927648979E-2</v>
      </c>
      <c r="H68" s="189">
        <f>F68*G68</f>
        <v>0</v>
      </c>
      <c r="I68" s="77">
        <v>0</v>
      </c>
      <c r="J68" s="227">
        <f>$K$43</f>
        <v>0.11373099216609024</v>
      </c>
      <c r="K68" s="189">
        <f>I68*J68</f>
        <v>0</v>
      </c>
      <c r="L68" s="306" t="str">
        <f t="shared" si="12"/>
        <v>3b</v>
      </c>
      <c r="M68" s="107">
        <v>0</v>
      </c>
      <c r="N68" s="189">
        <f>H68+K68+M68</f>
        <v>0</v>
      </c>
      <c r="O68" s="196">
        <v>0</v>
      </c>
      <c r="P68" s="189">
        <f>O68/100*'2-Incentive ROE'!$J$38*I68</f>
        <v>0</v>
      </c>
      <c r="Q68" s="107"/>
      <c r="R68" s="189">
        <f>+N68+P68-Q68</f>
        <v>0</v>
      </c>
      <c r="S68" s="107">
        <f>+'3-Project True-up'!L24</f>
        <v>0</v>
      </c>
      <c r="T68" s="189">
        <f>+R68+S68</f>
        <v>0</v>
      </c>
    </row>
    <row r="69" spans="1:29" ht="13.15" customHeight="1">
      <c r="A69" s="310">
        <v>4</v>
      </c>
      <c r="B69" s="311"/>
      <c r="C69" s="311" t="s">
        <v>403</v>
      </c>
      <c r="D69" s="311"/>
      <c r="E69" s="326"/>
      <c r="F69" s="328">
        <f>+F67+F68</f>
        <v>0</v>
      </c>
      <c r="G69" s="304"/>
      <c r="H69" s="305">
        <f>+H67+H68</f>
        <v>0</v>
      </c>
      <c r="I69" s="327">
        <f>+I67+I68</f>
        <v>0</v>
      </c>
      <c r="J69" s="304"/>
      <c r="K69" s="305">
        <f>+K67+K68</f>
        <v>0</v>
      </c>
      <c r="L69" s="324">
        <f t="shared" si="12"/>
        <v>4</v>
      </c>
      <c r="M69" s="328">
        <f>+M67+M68</f>
        <v>0</v>
      </c>
      <c r="N69" s="305">
        <f>+N67+N68</f>
        <v>0</v>
      </c>
      <c r="O69" s="308"/>
      <c r="P69" s="305">
        <f t="shared" ref="P69:T69" si="13">+P67+P68</f>
        <v>0</v>
      </c>
      <c r="Q69" s="305"/>
      <c r="R69" s="305">
        <f>+R67+R68</f>
        <v>0</v>
      </c>
      <c r="S69" s="328">
        <f t="shared" si="13"/>
        <v>0</v>
      </c>
      <c r="T69" s="305">
        <f t="shared" si="13"/>
        <v>0</v>
      </c>
      <c r="U69" s="576"/>
      <c r="V69" s="573"/>
      <c r="W69" s="573"/>
      <c r="X69" s="573"/>
      <c r="Y69" s="573"/>
      <c r="Z69" s="573"/>
    </row>
    <row r="70" spans="1:29">
      <c r="A70" s="309"/>
      <c r="B70" s="76"/>
      <c r="C70" s="76"/>
      <c r="D70" s="76"/>
      <c r="E70" s="321"/>
      <c r="F70" s="39"/>
      <c r="G70" s="227"/>
      <c r="H70" s="189"/>
      <c r="I70" s="322"/>
      <c r="J70" s="227"/>
      <c r="K70" s="189"/>
      <c r="L70" s="332"/>
      <c r="M70" s="39"/>
      <c r="N70" s="189"/>
      <c r="O70" s="307"/>
      <c r="P70" s="189"/>
      <c r="Q70" s="189"/>
      <c r="R70" s="189"/>
      <c r="S70" s="39"/>
      <c r="T70" s="189"/>
      <c r="U70" s="576"/>
      <c r="V70" s="573"/>
      <c r="W70" s="573"/>
      <c r="X70" s="573"/>
      <c r="Y70" s="573"/>
      <c r="Z70" s="573"/>
    </row>
    <row r="71" spans="1:29">
      <c r="A71" s="309">
        <f>+A69+1</f>
        <v>5</v>
      </c>
      <c r="B71" s="76"/>
      <c r="C71" s="333" t="s">
        <v>302</v>
      </c>
      <c r="D71" s="333"/>
      <c r="E71" s="334"/>
      <c r="F71" s="107"/>
      <c r="G71" s="227"/>
      <c r="H71" s="189"/>
      <c r="I71" s="77"/>
      <c r="J71" s="227"/>
      <c r="K71" s="189"/>
      <c r="L71" s="309">
        <f t="shared" si="12"/>
        <v>5</v>
      </c>
      <c r="M71" s="107"/>
      <c r="N71" s="189"/>
      <c r="O71" s="196"/>
      <c r="P71" s="189"/>
      <c r="Q71" s="589"/>
      <c r="R71" s="189"/>
      <c r="S71" s="107"/>
      <c r="T71" s="189">
        <f>N71+S71</f>
        <v>0</v>
      </c>
      <c r="U71" s="576"/>
      <c r="V71" s="573"/>
      <c r="W71" s="573"/>
      <c r="X71" s="573"/>
      <c r="Y71" s="573"/>
      <c r="Z71" s="573"/>
    </row>
    <row r="72" spans="1:29">
      <c r="A72" s="248"/>
      <c r="B72" s="38"/>
      <c r="C72" s="38"/>
      <c r="D72" s="38"/>
      <c r="E72" s="38"/>
      <c r="F72" s="303"/>
      <c r="G72" s="38"/>
      <c r="H72" s="190"/>
      <c r="I72" s="38"/>
      <c r="J72" s="38"/>
      <c r="K72" s="190"/>
      <c r="L72" s="248"/>
      <c r="M72" s="38"/>
      <c r="N72" s="190"/>
      <c r="O72" s="197"/>
      <c r="P72" s="293"/>
      <c r="Q72" s="293"/>
      <c r="R72" s="144"/>
      <c r="S72" s="38"/>
      <c r="T72" s="190"/>
      <c r="U72" s="576"/>
      <c r="V72" s="573"/>
      <c r="W72" s="573"/>
      <c r="X72" s="573"/>
      <c r="Y72" s="573"/>
      <c r="Z72" s="573"/>
    </row>
    <row r="73" spans="1:29">
      <c r="A73" s="376">
        <f>+A71+1</f>
        <v>6</v>
      </c>
      <c r="B73" s="606"/>
      <c r="C73" s="71" t="s">
        <v>152</v>
      </c>
      <c r="D73" s="71"/>
      <c r="E73" s="71"/>
      <c r="F73" s="377">
        <f>+F65+F69+F71</f>
        <v>18249727.324184656</v>
      </c>
      <c r="G73" s="378"/>
      <c r="H73" s="381">
        <f>+H65+H69+H71</f>
        <v>1064538.0925286659</v>
      </c>
      <c r="I73" s="377">
        <f>+I65+I69+I71</f>
        <v>18249727.324184656</v>
      </c>
      <c r="J73" s="379"/>
      <c r="K73" s="381">
        <f>+K65+K69+K71</f>
        <v>2075559.5953401278</v>
      </c>
      <c r="L73" s="376">
        <f t="shared" si="12"/>
        <v>6</v>
      </c>
      <c r="M73" s="377">
        <f>+M65+M69+M71</f>
        <v>0</v>
      </c>
      <c r="N73" s="381">
        <f>+N65+N69+N71</f>
        <v>3140097.687868794</v>
      </c>
      <c r="O73" s="380"/>
      <c r="P73" s="381">
        <f t="shared" ref="P73:S73" si="14">+P65+P69+P71</f>
        <v>0</v>
      </c>
      <c r="Q73" s="381"/>
      <c r="R73" s="381">
        <f>+R65+R69+R71</f>
        <v>3140097.687868794</v>
      </c>
      <c r="S73" s="381">
        <f t="shared" si="14"/>
        <v>0</v>
      </c>
      <c r="T73" s="381">
        <f>+T65+T69+T71</f>
        <v>3140097.687868794</v>
      </c>
      <c r="U73" s="576"/>
      <c r="V73" s="573"/>
      <c r="W73" s="573"/>
      <c r="X73" s="573"/>
      <c r="Y73" s="573"/>
      <c r="Z73" s="573"/>
    </row>
    <row r="74" spans="1:29" ht="15">
      <c r="I74" s="596"/>
    </row>
    <row r="75" spans="1:29" ht="15">
      <c r="H75" s="596"/>
    </row>
    <row r="76" spans="1:29">
      <c r="A76" s="41"/>
      <c r="L76" s="41"/>
    </row>
    <row r="77" spans="1:29" ht="13.5" thickBot="1">
      <c r="A77" s="325" t="s">
        <v>363</v>
      </c>
      <c r="L77" s="325" t="str">
        <f>+A77</f>
        <v>Notes</v>
      </c>
    </row>
    <row r="78" spans="1:29" ht="27.75" customHeight="1">
      <c r="A78" s="78" t="s">
        <v>57</v>
      </c>
      <c r="C78" s="978" t="s">
        <v>1005</v>
      </c>
      <c r="D78" s="978"/>
      <c r="E78" s="978"/>
      <c r="F78" s="978"/>
      <c r="G78" s="978"/>
      <c r="H78" s="978"/>
      <c r="I78" s="978"/>
      <c r="J78" s="978"/>
      <c r="K78" s="978"/>
      <c r="L78" s="78" t="str">
        <f>+A78</f>
        <v>A</v>
      </c>
      <c r="M78" s="978" t="str">
        <f>+C78</f>
        <v>Gross Transmission Plant is that identified on page 2 line 2 of Attachment H-39A inclusive of any CWIP included in rate base when authorized by FERC order.</v>
      </c>
      <c r="N78" s="978"/>
      <c r="O78" s="978"/>
      <c r="P78" s="978"/>
      <c r="Q78" s="978"/>
      <c r="R78" s="978"/>
      <c r="S78" s="978"/>
      <c r="T78" s="978"/>
      <c r="U78" s="978"/>
      <c r="V78" s="978"/>
      <c r="W78" s="978"/>
      <c r="X78" s="963"/>
    </row>
    <row r="79" spans="1:29" ht="29.25" customHeight="1">
      <c r="A79" s="78" t="s">
        <v>58</v>
      </c>
      <c r="C79" s="978" t="s">
        <v>1006</v>
      </c>
      <c r="D79" s="978"/>
      <c r="E79" s="978"/>
      <c r="F79" s="978"/>
      <c r="G79" s="978"/>
      <c r="H79" s="978"/>
      <c r="I79" s="978"/>
      <c r="J79" s="978"/>
      <c r="K79" s="978"/>
      <c r="L79" s="78" t="str">
        <f t="shared" ref="L79:L85" si="15">+A79</f>
        <v>B</v>
      </c>
      <c r="M79" s="978" t="str">
        <f t="shared" ref="M79:M85" si="16">+C79</f>
        <v>Net Plant is that identified on page 2 line 14 of Attachment H-39A inclusive of any CWIP or unamortized Abandoned Plant included in rate base when authorized by FERC order less any prefunded AFUDC, if applicable.</v>
      </c>
      <c r="N79" s="978"/>
      <c r="O79" s="978"/>
      <c r="P79" s="978"/>
      <c r="Q79" s="978"/>
      <c r="R79" s="978"/>
      <c r="S79" s="978"/>
      <c r="T79" s="978"/>
      <c r="U79" s="978"/>
      <c r="V79" s="978"/>
      <c r="W79" s="978"/>
      <c r="X79" s="963"/>
    </row>
    <row r="80" spans="1:29" ht="15" customHeight="1">
      <c r="A80" s="78" t="s">
        <v>59</v>
      </c>
      <c r="B80" s="596"/>
      <c r="C80" s="978" t="s">
        <v>447</v>
      </c>
      <c r="D80" s="978"/>
      <c r="E80" s="978"/>
      <c r="F80" s="978"/>
      <c r="G80" s="978"/>
      <c r="H80" s="978"/>
      <c r="I80" s="978"/>
      <c r="J80" s="978"/>
      <c r="K80" s="978"/>
      <c r="L80" s="78" t="str">
        <f t="shared" si="15"/>
        <v>C</v>
      </c>
      <c r="M80" s="978" t="str">
        <f t="shared" si="16"/>
        <v>General and Intangible Depreciation and Amortization Expense includes all expense not directly associated with a project, which is entered on page 3 , column 9.</v>
      </c>
      <c r="N80" s="978"/>
      <c r="O80" s="978"/>
      <c r="P80" s="978"/>
      <c r="Q80" s="978"/>
      <c r="R80" s="978"/>
      <c r="S80" s="978"/>
      <c r="T80" s="978"/>
      <c r="U80" s="978"/>
      <c r="V80" s="978"/>
      <c r="W80" s="978"/>
      <c r="X80" s="963"/>
    </row>
    <row r="81" spans="1:24" ht="30" customHeight="1">
      <c r="A81" s="78" t="s">
        <v>60</v>
      </c>
      <c r="C81" s="978" t="s">
        <v>351</v>
      </c>
      <c r="D81" s="978"/>
      <c r="E81" s="978"/>
      <c r="F81" s="978"/>
      <c r="G81" s="978"/>
      <c r="H81" s="978"/>
      <c r="I81" s="978"/>
      <c r="J81" s="978"/>
      <c r="K81" s="978"/>
      <c r="L81" s="78" t="str">
        <f t="shared" si="15"/>
        <v>D</v>
      </c>
      <c r="M81" s="978" t="str">
        <f t="shared" si="16"/>
        <v xml:space="preserve">Project Gross Plant is the total capital investment including CWIP for the project calculated from Company books and records in the same method as the gross plant value in line 1.  This value includes subsequent capital investments required to maintain the facilities to their original capabilities. </v>
      </c>
      <c r="N81" s="978"/>
      <c r="O81" s="978"/>
      <c r="P81" s="978"/>
      <c r="Q81" s="978"/>
      <c r="R81" s="978"/>
      <c r="S81" s="978"/>
      <c r="T81" s="978"/>
      <c r="U81" s="978"/>
      <c r="V81" s="978"/>
      <c r="W81" s="978"/>
      <c r="X81" s="963"/>
    </row>
    <row r="82" spans="1:24" ht="29.25" customHeight="1">
      <c r="A82" s="78" t="s">
        <v>61</v>
      </c>
      <c r="C82" s="978" t="s">
        <v>553</v>
      </c>
      <c r="D82" s="978"/>
      <c r="E82" s="978"/>
      <c r="F82" s="978"/>
      <c r="G82" s="978"/>
      <c r="H82" s="978"/>
      <c r="I82" s="978"/>
      <c r="J82" s="978"/>
      <c r="K82" s="978"/>
      <c r="L82" s="78" t="str">
        <f t="shared" si="15"/>
        <v>E</v>
      </c>
      <c r="M82" s="978" t="str">
        <f t="shared" si="16"/>
        <v>Project Net Plant is the Project Gross Plant Identified in Column 3 less the associated Accumulated Depreciation plus CWIP in rate base, if applicable and Unamortized Abandoned Plant, if applicable.</v>
      </c>
      <c r="N82" s="978"/>
      <c r="O82" s="978"/>
      <c r="P82" s="978"/>
      <c r="Q82" s="978"/>
      <c r="R82" s="978"/>
      <c r="S82" s="978"/>
      <c r="T82" s="978"/>
      <c r="U82" s="978"/>
      <c r="V82" s="978"/>
      <c r="W82" s="978"/>
      <c r="X82" s="963"/>
    </row>
    <row r="83" spans="1:24" ht="31.9" customHeight="1">
      <c r="A83" s="78" t="s">
        <v>62</v>
      </c>
      <c r="C83" s="978" t="str">
        <f>"Project Depreciation Expense is the actual value booked for the project (excluding General and Intangible depreciation) at Attachment H-39A, page 3, line "&amp;'Attachment H-39A'!A134&amp;", plus amortization of Abandoned Plant at Attachment H-39A, page 3, line "&amp;'Attachment H-39A'!A135&amp;", if applicable."</f>
        <v>Project Depreciation Expense is the actual value booked for the project (excluding General and Intangible depreciation) at Attachment H-39A, page 3, line 18, plus amortization of Abandoned Plant at Attachment H-39A, page 3, line 19, if applicable.</v>
      </c>
      <c r="D83" s="978"/>
      <c r="E83" s="978"/>
      <c r="F83" s="978"/>
      <c r="G83" s="978"/>
      <c r="H83" s="978"/>
      <c r="I83" s="978"/>
      <c r="J83" s="978"/>
      <c r="K83" s="978"/>
      <c r="L83" s="78" t="str">
        <f t="shared" si="15"/>
        <v>F</v>
      </c>
      <c r="M83" s="978" t="str">
        <f>+C83</f>
        <v>Project Depreciation Expense is the actual value booked for the project (excluding General and Intangible depreciation) at Attachment H-39A, page 3, line 18, plus amortization of Abandoned Plant at Attachment H-39A, page 3, line 19, if applicable.</v>
      </c>
      <c r="N83" s="978"/>
      <c r="O83" s="978"/>
      <c r="P83" s="978"/>
      <c r="Q83" s="978"/>
      <c r="R83" s="978"/>
      <c r="S83" s="978"/>
      <c r="T83" s="978"/>
      <c r="U83" s="978"/>
      <c r="V83" s="978"/>
      <c r="W83" s="978"/>
      <c r="X83" s="963"/>
    </row>
    <row r="84" spans="1:24">
      <c r="A84" s="292" t="s">
        <v>63</v>
      </c>
      <c r="C84" s="291" t="s">
        <v>352</v>
      </c>
      <c r="D84" s="291"/>
      <c r="E84" s="291"/>
      <c r="F84" s="291"/>
      <c r="G84" s="291"/>
      <c r="H84" s="291"/>
      <c r="I84" s="291"/>
      <c r="J84" s="291"/>
      <c r="K84" s="291"/>
      <c r="L84" s="78" t="str">
        <f t="shared" si="15"/>
        <v>G</v>
      </c>
      <c r="M84" s="978" t="str">
        <f t="shared" si="16"/>
        <v>Requires approval by FERC of incentive return applicable to the specified project(s).</v>
      </c>
      <c r="N84" s="978"/>
      <c r="O84" s="978"/>
      <c r="P84" s="978"/>
      <c r="Q84" s="978"/>
      <c r="R84" s="978"/>
      <c r="S84" s="978"/>
      <c r="T84" s="978"/>
      <c r="U84" s="978"/>
      <c r="V84" s="978"/>
      <c r="W84" s="978"/>
      <c r="X84" s="963"/>
    </row>
    <row r="85" spans="1:24">
      <c r="A85" s="78" t="s">
        <v>64</v>
      </c>
      <c r="C85" s="980" t="s">
        <v>406</v>
      </c>
      <c r="D85" s="980"/>
      <c r="E85" s="980"/>
      <c r="F85" s="980"/>
      <c r="G85" s="980"/>
      <c r="H85" s="980"/>
      <c r="I85" s="980"/>
      <c r="J85" s="980"/>
      <c r="K85" s="980"/>
      <c r="L85" s="78" t="str">
        <f t="shared" si="15"/>
        <v>H</v>
      </c>
      <c r="M85" s="978" t="str">
        <f t="shared" si="16"/>
        <v>True-Up Adjustment is calculated on the Project True-up Schedule for the relevant true-up year.</v>
      </c>
      <c r="N85" s="978"/>
      <c r="O85" s="978"/>
      <c r="P85" s="978"/>
      <c r="Q85" s="978"/>
      <c r="R85" s="978"/>
      <c r="S85" s="978"/>
      <c r="T85" s="978"/>
      <c r="U85" s="978"/>
      <c r="V85" s="978"/>
      <c r="W85" s="978"/>
      <c r="X85" s="963"/>
    </row>
    <row r="86" spans="1:24" ht="15.75" customHeight="1">
      <c r="A86" s="78" t="s">
        <v>65</v>
      </c>
      <c r="C86" s="976"/>
      <c r="D86" s="976"/>
      <c r="E86" s="976"/>
      <c r="F86" s="976"/>
      <c r="G86" s="976"/>
      <c r="H86" s="976"/>
      <c r="I86" s="976"/>
      <c r="J86" s="976"/>
      <c r="K86" s="976"/>
      <c r="L86" s="78" t="str">
        <f>+A86</f>
        <v>I</v>
      </c>
      <c r="M86" s="591"/>
      <c r="N86" s="591"/>
      <c r="O86" s="591"/>
      <c r="P86" s="591"/>
      <c r="Q86" s="591"/>
      <c r="R86" s="591"/>
      <c r="S86" s="591"/>
      <c r="T86" s="591"/>
      <c r="U86" s="592"/>
      <c r="V86" s="592"/>
      <c r="W86" s="592"/>
      <c r="X86" s="592"/>
    </row>
    <row r="88" spans="1:24">
      <c r="C88" s="206"/>
      <c r="D88" s="206"/>
    </row>
    <row r="89" spans="1:24">
      <c r="C89" s="206"/>
      <c r="D89" s="206"/>
    </row>
  </sheetData>
  <mergeCells count="18">
    <mergeCell ref="M82:W82"/>
    <mergeCell ref="M83:W83"/>
    <mergeCell ref="M84:W84"/>
    <mergeCell ref="M85:W85"/>
    <mergeCell ref="M78:W78"/>
    <mergeCell ref="M79:W79"/>
    <mergeCell ref="M80:W80"/>
    <mergeCell ref="M81:W81"/>
    <mergeCell ref="C86:K86"/>
    <mergeCell ref="C52:K52"/>
    <mergeCell ref="C81:K81"/>
    <mergeCell ref="C80:K80"/>
    <mergeCell ref="C83:K83"/>
    <mergeCell ref="C82:K82"/>
    <mergeCell ref="C79:K79"/>
    <mergeCell ref="C78:K78"/>
    <mergeCell ref="C53:K53"/>
    <mergeCell ref="C85:K85"/>
  </mergeCells>
  <phoneticPr fontId="0" type="noConversion"/>
  <pageMargins left="0.75" right="0.25" top="0.75" bottom="0.75" header="0.3" footer="0.3"/>
  <pageSetup scale="61" fitToWidth="2" fitToHeight="2" orientation="landscape" r:id="rId1"/>
  <rowBreaks count="1" manualBreakCount="1">
    <brk id="45" max="10" man="1"/>
  </rowBreaks>
  <colBreaks count="1" manualBreakCount="1">
    <brk id="11" max="79"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A23A0-8026-4665-91DA-9A86EEB0D7A2}">
  <dimension ref="A1:J25"/>
  <sheetViews>
    <sheetView zoomScaleNormal="100" workbookViewId="0">
      <selection activeCell="M13" sqref="M13"/>
    </sheetView>
  </sheetViews>
  <sheetFormatPr defaultColWidth="9.21875" defaultRowHeight="15"/>
  <cols>
    <col min="2" max="2" width="27.77734375" customWidth="1"/>
    <col min="3" max="3" width="26.5546875" customWidth="1"/>
    <col min="4" max="4" width="11.109375" customWidth="1"/>
    <col min="5" max="5" width="12.77734375" bestFit="1" customWidth="1"/>
    <col min="6" max="6" width="23.77734375" bestFit="1" customWidth="1"/>
    <col min="7" max="7" width="9.5546875" customWidth="1"/>
    <col min="8" max="8" width="23.21875" bestFit="1" customWidth="1"/>
    <col min="10" max="10" width="12.21875" bestFit="1" customWidth="1"/>
  </cols>
  <sheetData>
    <row r="1" spans="1:10">
      <c r="C1" s="991" t="s">
        <v>342</v>
      </c>
      <c r="D1" s="991"/>
      <c r="E1" s="991"/>
      <c r="F1" s="991"/>
      <c r="G1" s="991"/>
      <c r="H1" s="991"/>
      <c r="I1" s="991"/>
      <c r="J1" s="991"/>
    </row>
    <row r="2" spans="1:10">
      <c r="C2" s="992" t="s">
        <v>875</v>
      </c>
      <c r="D2" s="992"/>
      <c r="E2" s="992"/>
      <c r="F2" s="992"/>
      <c r="G2" s="992"/>
      <c r="H2" s="992"/>
      <c r="I2" s="992"/>
      <c r="J2" s="992"/>
    </row>
    <row r="3" spans="1:10">
      <c r="C3" s="26"/>
      <c r="D3" s="26"/>
      <c r="E3" s="26"/>
      <c r="F3" s="26" t="s">
        <v>945</v>
      </c>
      <c r="G3" s="26"/>
      <c r="H3" s="26"/>
      <c r="I3" s="26"/>
      <c r="J3" s="26"/>
    </row>
    <row r="4" spans="1:10">
      <c r="C4" s="26"/>
      <c r="D4" s="26"/>
      <c r="E4" s="26"/>
      <c r="F4" s="26"/>
      <c r="G4" s="26"/>
      <c r="H4" s="26"/>
      <c r="I4" s="26"/>
      <c r="J4" s="26"/>
    </row>
    <row r="5" spans="1:10">
      <c r="E5" s="1034" t="s">
        <v>1042</v>
      </c>
      <c r="F5" s="1034"/>
    </row>
    <row r="6" spans="1:10" ht="15.75">
      <c r="A6" s="666"/>
      <c r="B6" s="903" t="s">
        <v>676</v>
      </c>
      <c r="C6" s="903" t="s">
        <v>677</v>
      </c>
      <c r="D6" s="903" t="s">
        <v>678</v>
      </c>
      <c r="E6" s="903" t="s">
        <v>679</v>
      </c>
      <c r="F6" s="904" t="s">
        <v>680</v>
      </c>
      <c r="G6" s="904" t="s">
        <v>681</v>
      </c>
      <c r="H6" s="904" t="s">
        <v>682</v>
      </c>
    </row>
    <row r="7" spans="1:10" ht="51">
      <c r="A7" s="905">
        <v>1</v>
      </c>
      <c r="B7" s="906" t="s">
        <v>864</v>
      </c>
      <c r="C7" s="907" t="s">
        <v>187</v>
      </c>
      <c r="D7" s="908" t="s">
        <v>865</v>
      </c>
      <c r="E7" s="909" t="s">
        <v>866</v>
      </c>
      <c r="F7" s="910" t="s">
        <v>867</v>
      </c>
      <c r="G7" s="910" t="s">
        <v>868</v>
      </c>
      <c r="H7" s="911" t="s">
        <v>531</v>
      </c>
    </row>
    <row r="8" spans="1:10">
      <c r="A8" s="905">
        <f t="shared" ref="A8:A21" si="0">A7+1</f>
        <v>2</v>
      </c>
      <c r="B8" s="912" t="s">
        <v>1040</v>
      </c>
      <c r="C8" s="907" t="s">
        <v>869</v>
      </c>
      <c r="D8" s="913">
        <v>60</v>
      </c>
      <c r="E8" s="914"/>
      <c r="F8" s="915"/>
      <c r="G8" s="915"/>
      <c r="H8" s="916">
        <v>0</v>
      </c>
    </row>
    <row r="9" spans="1:10">
      <c r="A9" s="905">
        <f t="shared" si="0"/>
        <v>3</v>
      </c>
      <c r="B9" s="917" t="s">
        <v>976</v>
      </c>
      <c r="C9" s="907" t="s">
        <v>870</v>
      </c>
      <c r="D9" s="918">
        <f>D8-1</f>
        <v>59</v>
      </c>
      <c r="E9" s="919">
        <f>H8</f>
        <v>0</v>
      </c>
      <c r="F9" s="920">
        <f>E9/D8</f>
        <v>0</v>
      </c>
      <c r="G9" s="921">
        <v>0</v>
      </c>
      <c r="H9" s="920">
        <f t="shared" ref="H9:H20" si="1">E9-F9+G9</f>
        <v>0</v>
      </c>
    </row>
    <row r="10" spans="1:10">
      <c r="A10" s="905">
        <f t="shared" si="0"/>
        <v>4</v>
      </c>
      <c r="B10" s="917" t="s">
        <v>79</v>
      </c>
      <c r="C10" s="907" t="s">
        <v>870</v>
      </c>
      <c r="D10" s="918">
        <f t="shared" ref="D10:D20" si="2">D9-1</f>
        <v>58</v>
      </c>
      <c r="E10" s="919">
        <f t="shared" ref="E10:E20" si="3">H9</f>
        <v>0</v>
      </c>
      <c r="F10" s="920">
        <f t="shared" ref="F10:F20" si="4">E10/D9</f>
        <v>0</v>
      </c>
      <c r="G10" s="921">
        <v>0</v>
      </c>
      <c r="H10" s="920">
        <f t="shared" si="1"/>
        <v>0</v>
      </c>
    </row>
    <row r="11" spans="1:10">
      <c r="A11" s="905">
        <f t="shared" si="0"/>
        <v>5</v>
      </c>
      <c r="B11" s="917" t="s">
        <v>78</v>
      </c>
      <c r="C11" s="907" t="s">
        <v>870</v>
      </c>
      <c r="D11" s="918">
        <f t="shared" si="2"/>
        <v>57</v>
      </c>
      <c r="E11" s="919">
        <f t="shared" si="3"/>
        <v>0</v>
      </c>
      <c r="F11" s="920">
        <f t="shared" si="4"/>
        <v>0</v>
      </c>
      <c r="G11" s="921">
        <v>0</v>
      </c>
      <c r="H11" s="920">
        <f t="shared" si="1"/>
        <v>0</v>
      </c>
    </row>
    <row r="12" spans="1:10">
      <c r="A12" s="905">
        <f t="shared" si="0"/>
        <v>6</v>
      </c>
      <c r="B12" s="917" t="s">
        <v>71</v>
      </c>
      <c r="C12" s="907" t="s">
        <v>870</v>
      </c>
      <c r="D12" s="918">
        <f t="shared" si="2"/>
        <v>56</v>
      </c>
      <c r="E12" s="919">
        <f t="shared" si="3"/>
        <v>0</v>
      </c>
      <c r="F12" s="920">
        <f t="shared" si="4"/>
        <v>0</v>
      </c>
      <c r="G12" s="921">
        <v>0</v>
      </c>
      <c r="H12" s="920">
        <f t="shared" si="1"/>
        <v>0</v>
      </c>
    </row>
    <row r="13" spans="1:10">
      <c r="A13" s="905">
        <f t="shared" si="0"/>
        <v>7</v>
      </c>
      <c r="B13" s="917" t="s">
        <v>70</v>
      </c>
      <c r="C13" s="907" t="s">
        <v>870</v>
      </c>
      <c r="D13" s="918">
        <f t="shared" si="2"/>
        <v>55</v>
      </c>
      <c r="E13" s="919">
        <f t="shared" si="3"/>
        <v>0</v>
      </c>
      <c r="F13" s="920">
        <f t="shared" si="4"/>
        <v>0</v>
      </c>
      <c r="G13" s="921">
        <v>0</v>
      </c>
      <c r="H13" s="920">
        <f t="shared" si="1"/>
        <v>0</v>
      </c>
    </row>
    <row r="14" spans="1:10">
      <c r="A14" s="905">
        <f t="shared" si="0"/>
        <v>8</v>
      </c>
      <c r="B14" s="917" t="s">
        <v>871</v>
      </c>
      <c r="C14" s="907" t="s">
        <v>870</v>
      </c>
      <c r="D14" s="918">
        <f t="shared" si="2"/>
        <v>54</v>
      </c>
      <c r="E14" s="919">
        <f t="shared" si="3"/>
        <v>0</v>
      </c>
      <c r="F14" s="920">
        <f t="shared" si="4"/>
        <v>0</v>
      </c>
      <c r="G14" s="921">
        <v>0</v>
      </c>
      <c r="H14" s="920">
        <f t="shared" si="1"/>
        <v>0</v>
      </c>
    </row>
    <row r="15" spans="1:10">
      <c r="A15" s="905">
        <f t="shared" si="0"/>
        <v>9</v>
      </c>
      <c r="B15" s="917" t="s">
        <v>77</v>
      </c>
      <c r="C15" s="907" t="s">
        <v>870</v>
      </c>
      <c r="D15" s="918">
        <f t="shared" si="2"/>
        <v>53</v>
      </c>
      <c r="E15" s="919">
        <f t="shared" si="3"/>
        <v>0</v>
      </c>
      <c r="F15" s="920">
        <f t="shared" si="4"/>
        <v>0</v>
      </c>
      <c r="G15" s="921">
        <v>0</v>
      </c>
      <c r="H15" s="920">
        <f t="shared" si="1"/>
        <v>0</v>
      </c>
    </row>
    <row r="16" spans="1:10">
      <c r="A16" s="905">
        <f t="shared" si="0"/>
        <v>10</v>
      </c>
      <c r="B16" s="917" t="s">
        <v>76</v>
      </c>
      <c r="C16" s="907" t="s">
        <v>870</v>
      </c>
      <c r="D16" s="918">
        <f t="shared" si="2"/>
        <v>52</v>
      </c>
      <c r="E16" s="919">
        <f t="shared" si="3"/>
        <v>0</v>
      </c>
      <c r="F16" s="920">
        <f t="shared" si="4"/>
        <v>0</v>
      </c>
      <c r="G16" s="921">
        <v>0</v>
      </c>
      <c r="H16" s="920">
        <f t="shared" si="1"/>
        <v>0</v>
      </c>
    </row>
    <row r="17" spans="1:9">
      <c r="A17" s="905">
        <f t="shared" si="0"/>
        <v>11</v>
      </c>
      <c r="B17" s="917" t="s">
        <v>75</v>
      </c>
      <c r="C17" s="907" t="s">
        <v>870</v>
      </c>
      <c r="D17" s="918">
        <f t="shared" si="2"/>
        <v>51</v>
      </c>
      <c r="E17" s="919">
        <f t="shared" si="3"/>
        <v>0</v>
      </c>
      <c r="F17" s="920">
        <f t="shared" si="4"/>
        <v>0</v>
      </c>
      <c r="G17" s="921">
        <v>0</v>
      </c>
      <c r="H17" s="920">
        <f t="shared" si="1"/>
        <v>0</v>
      </c>
    </row>
    <row r="18" spans="1:9">
      <c r="A18" s="905">
        <f t="shared" si="0"/>
        <v>12</v>
      </c>
      <c r="B18" s="917" t="s">
        <v>872</v>
      </c>
      <c r="C18" s="907" t="s">
        <v>870</v>
      </c>
      <c r="D18" s="918">
        <f t="shared" si="2"/>
        <v>50</v>
      </c>
      <c r="E18" s="919">
        <f t="shared" si="3"/>
        <v>0</v>
      </c>
      <c r="F18" s="920">
        <f t="shared" si="4"/>
        <v>0</v>
      </c>
      <c r="G18" s="921">
        <v>0</v>
      </c>
      <c r="H18" s="920">
        <f t="shared" si="1"/>
        <v>0</v>
      </c>
    </row>
    <row r="19" spans="1:9">
      <c r="A19" s="905">
        <f t="shared" si="0"/>
        <v>13</v>
      </c>
      <c r="B19" s="917" t="s">
        <v>74</v>
      </c>
      <c r="C19" s="907" t="s">
        <v>870</v>
      </c>
      <c r="D19" s="918">
        <f t="shared" si="2"/>
        <v>49</v>
      </c>
      <c r="E19" s="919">
        <f t="shared" si="3"/>
        <v>0</v>
      </c>
      <c r="F19" s="920">
        <f t="shared" si="4"/>
        <v>0</v>
      </c>
      <c r="G19" s="921">
        <v>0</v>
      </c>
      <c r="H19" s="920">
        <f t="shared" si="1"/>
        <v>0</v>
      </c>
    </row>
    <row r="20" spans="1:9" ht="17.25">
      <c r="A20" s="905">
        <f t="shared" si="0"/>
        <v>14</v>
      </c>
      <c r="B20" s="912" t="s">
        <v>1041</v>
      </c>
      <c r="C20" s="922" t="s">
        <v>873</v>
      </c>
      <c r="D20" s="918">
        <f t="shared" si="2"/>
        <v>48</v>
      </c>
      <c r="E20" s="919">
        <f t="shared" si="3"/>
        <v>0</v>
      </c>
      <c r="F20" s="923">
        <f t="shared" si="4"/>
        <v>0</v>
      </c>
      <c r="G20" s="921">
        <v>0</v>
      </c>
      <c r="H20" s="924">
        <f t="shared" si="1"/>
        <v>0</v>
      </c>
    </row>
    <row r="21" spans="1:9" ht="15.75" thickBot="1">
      <c r="A21" s="905">
        <f t="shared" si="0"/>
        <v>15</v>
      </c>
      <c r="B21" s="925" t="s">
        <v>874</v>
      </c>
      <c r="C21" s="907" t="str">
        <f>"(sum lines "&amp;A8&amp;"-"&amp;A20&amp;") /13"</f>
        <v>(sum lines 2-14) /13</v>
      </c>
      <c r="D21" s="926"/>
      <c r="E21" s="926"/>
      <c r="F21" s="927">
        <f>SUM(F8:F20)</f>
        <v>0</v>
      </c>
      <c r="G21" s="921"/>
      <c r="H21" s="928">
        <f>SUM(H8:H20)/13</f>
        <v>0</v>
      </c>
    </row>
    <row r="22" spans="1:9" ht="15.75" thickTop="1">
      <c r="A22" s="905"/>
      <c r="B22" s="929"/>
      <c r="C22" s="930"/>
      <c r="F22" s="931" t="str">
        <f>"Attachment H-39A, page 3, line "&amp;'Attachment H-39A'!A125&amp;""</f>
        <v>Attachment H-39A, page 3, line 10</v>
      </c>
      <c r="G22" s="921"/>
      <c r="H22" s="932" t="str">
        <f>"Attachment H-39A, page 2, Line "&amp;'Attachment H-39A'!A90&amp;""</f>
        <v>Attachment H-39A, page 2, Line 26</v>
      </c>
    </row>
    <row r="24" spans="1:9" ht="30" customHeight="1">
      <c r="A24" s="933"/>
      <c r="B24" s="1032"/>
      <c r="C24" s="1032"/>
      <c r="D24" s="1032"/>
      <c r="E24" s="1032"/>
      <c r="F24" s="1032"/>
      <c r="G24" s="1032"/>
      <c r="H24" s="1032"/>
      <c r="I24" s="1032"/>
    </row>
    <row r="25" spans="1:9" ht="15.75">
      <c r="A25" s="934"/>
      <c r="B25" s="1033"/>
      <c r="C25" s="1033"/>
      <c r="D25" s="1033"/>
      <c r="E25" s="1033"/>
      <c r="F25" s="1033"/>
      <c r="G25" s="1033"/>
      <c r="H25" s="1033"/>
      <c r="I25" s="1033"/>
    </row>
  </sheetData>
  <mergeCells count="5">
    <mergeCell ref="B24:I24"/>
    <mergeCell ref="B25:I25"/>
    <mergeCell ref="E5:F5"/>
    <mergeCell ref="C1:J1"/>
    <mergeCell ref="C2:J2"/>
  </mergeCells>
  <pageMargins left="0.7" right="0.7" top="0.75" bottom="0.75" header="0.3" footer="0.3"/>
  <pageSetup scale="62"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35A9F-8915-46B3-8897-ACA9EA6CE43A}">
  <dimension ref="A1:J24"/>
  <sheetViews>
    <sheetView zoomScaleNormal="100" workbookViewId="0">
      <selection activeCell="N22" sqref="N22"/>
    </sheetView>
  </sheetViews>
  <sheetFormatPr defaultRowHeight="15"/>
  <cols>
    <col min="1" max="1" width="4.77734375" customWidth="1"/>
    <col min="2" max="2" width="25.21875" customWidth="1"/>
    <col min="3" max="3" width="28.109375" customWidth="1"/>
    <col min="5" max="5" width="12.77734375" bestFit="1" customWidth="1"/>
    <col min="6" max="6" width="16.77734375" bestFit="1" customWidth="1"/>
    <col min="8" max="8" width="16.21875" bestFit="1" customWidth="1"/>
    <col min="9" max="9" width="13.77734375" customWidth="1"/>
    <col min="10" max="10" width="2.109375" customWidth="1"/>
  </cols>
  <sheetData>
    <row r="1" spans="1:10">
      <c r="C1" s="991" t="s">
        <v>343</v>
      </c>
      <c r="D1" s="991"/>
      <c r="E1" s="991"/>
      <c r="F1" s="991"/>
      <c r="G1" s="991"/>
      <c r="H1" s="991"/>
      <c r="I1" s="991"/>
      <c r="J1" s="991"/>
    </row>
    <row r="2" spans="1:10">
      <c r="C2" s="992" t="s">
        <v>876</v>
      </c>
      <c r="D2" s="992"/>
      <c r="E2" s="992"/>
      <c r="F2" s="992"/>
      <c r="G2" s="992"/>
      <c r="H2" s="992"/>
      <c r="I2" s="992"/>
      <c r="J2" s="992"/>
    </row>
    <row r="3" spans="1:10">
      <c r="C3" s="26"/>
      <c r="D3" s="26"/>
      <c r="E3" s="85"/>
      <c r="F3" s="85" t="s">
        <v>945</v>
      </c>
      <c r="G3" s="85"/>
      <c r="H3" s="26"/>
      <c r="I3" s="26"/>
      <c r="J3" s="26"/>
    </row>
    <row r="4" spans="1:10">
      <c r="F4" t="s">
        <v>876</v>
      </c>
    </row>
    <row r="5" spans="1:10" ht="15.75">
      <c r="A5" s="666"/>
      <c r="B5" s="903" t="s">
        <v>676</v>
      </c>
      <c r="C5" s="903" t="s">
        <v>677</v>
      </c>
      <c r="D5" s="903" t="s">
        <v>678</v>
      </c>
      <c r="E5" s="903" t="s">
        <v>679</v>
      </c>
      <c r="F5" s="904" t="s">
        <v>680</v>
      </c>
      <c r="G5" s="904" t="s">
        <v>681</v>
      </c>
      <c r="H5" s="904" t="s">
        <v>682</v>
      </c>
    </row>
    <row r="6" spans="1:10" ht="63.75">
      <c r="A6" s="905">
        <v>1</v>
      </c>
      <c r="B6" s="935" t="s">
        <v>864</v>
      </c>
      <c r="C6" s="936" t="s">
        <v>187</v>
      </c>
      <c r="D6" s="937" t="s">
        <v>865</v>
      </c>
      <c r="E6" s="938" t="s">
        <v>866</v>
      </c>
      <c r="F6" s="910" t="s">
        <v>877</v>
      </c>
      <c r="G6" s="910" t="s">
        <v>868</v>
      </c>
      <c r="H6" s="911" t="s">
        <v>531</v>
      </c>
    </row>
    <row r="7" spans="1:10">
      <c r="A7" s="905">
        <f t="shared" ref="A7:A20" si="0">A6+1</f>
        <v>2</v>
      </c>
      <c r="B7" s="939" t="s">
        <v>1040</v>
      </c>
      <c r="C7" s="936" t="s">
        <v>878</v>
      </c>
      <c r="D7" s="940">
        <v>0</v>
      </c>
      <c r="E7" s="941"/>
      <c r="F7" s="915"/>
      <c r="G7" s="915"/>
      <c r="H7" s="915">
        <v>0</v>
      </c>
    </row>
    <row r="8" spans="1:10">
      <c r="A8" s="905">
        <f t="shared" si="0"/>
        <v>3</v>
      </c>
      <c r="B8" s="942" t="s">
        <v>976</v>
      </c>
      <c r="C8" s="936" t="s">
        <v>879</v>
      </c>
      <c r="D8" s="943">
        <f>D7-1</f>
        <v>-1</v>
      </c>
      <c r="E8" s="944">
        <f>H7</f>
        <v>0</v>
      </c>
      <c r="F8" s="921">
        <f>E8/D8</f>
        <v>0</v>
      </c>
      <c r="G8" s="921">
        <v>0</v>
      </c>
      <c r="H8" s="921">
        <f t="shared" ref="H8:H19" si="1">E8-F8+G8</f>
        <v>0</v>
      </c>
    </row>
    <row r="9" spans="1:10">
      <c r="A9" s="905">
        <f t="shared" si="0"/>
        <v>4</v>
      </c>
      <c r="B9" s="942" t="s">
        <v>79</v>
      </c>
      <c r="C9" s="936" t="s">
        <v>879</v>
      </c>
      <c r="D9" s="943">
        <f t="shared" ref="D9:D19" si="2">D8-1</f>
        <v>-2</v>
      </c>
      <c r="E9" s="944">
        <f t="shared" ref="E9:E19" si="3">H8</f>
        <v>0</v>
      </c>
      <c r="F9" s="921">
        <f t="shared" ref="F9:F19" si="4">E9/D9</f>
        <v>0</v>
      </c>
      <c r="G9" s="921">
        <v>0</v>
      </c>
      <c r="H9" s="921">
        <f t="shared" si="1"/>
        <v>0</v>
      </c>
    </row>
    <row r="10" spans="1:10">
      <c r="A10" s="905">
        <f t="shared" si="0"/>
        <v>5</v>
      </c>
      <c r="B10" s="942" t="s">
        <v>78</v>
      </c>
      <c r="C10" s="936" t="s">
        <v>879</v>
      </c>
      <c r="D10" s="943">
        <f t="shared" si="2"/>
        <v>-3</v>
      </c>
      <c r="E10" s="944">
        <f t="shared" si="3"/>
        <v>0</v>
      </c>
      <c r="F10" s="921">
        <f t="shared" si="4"/>
        <v>0</v>
      </c>
      <c r="G10" s="921">
        <v>0</v>
      </c>
      <c r="H10" s="921">
        <f t="shared" si="1"/>
        <v>0</v>
      </c>
    </row>
    <row r="11" spans="1:10">
      <c r="A11" s="905">
        <f t="shared" si="0"/>
        <v>6</v>
      </c>
      <c r="B11" s="942" t="s">
        <v>71</v>
      </c>
      <c r="C11" s="936" t="s">
        <v>879</v>
      </c>
      <c r="D11" s="943">
        <f t="shared" si="2"/>
        <v>-4</v>
      </c>
      <c r="E11" s="944">
        <f t="shared" si="3"/>
        <v>0</v>
      </c>
      <c r="F11" s="921">
        <f t="shared" si="4"/>
        <v>0</v>
      </c>
      <c r="G11" s="921">
        <v>0</v>
      </c>
      <c r="H11" s="921">
        <f t="shared" si="1"/>
        <v>0</v>
      </c>
    </row>
    <row r="12" spans="1:10">
      <c r="A12" s="905">
        <f t="shared" si="0"/>
        <v>7</v>
      </c>
      <c r="B12" s="942" t="s">
        <v>70</v>
      </c>
      <c r="C12" s="936" t="s">
        <v>879</v>
      </c>
      <c r="D12" s="943">
        <f t="shared" si="2"/>
        <v>-5</v>
      </c>
      <c r="E12" s="944">
        <f t="shared" si="3"/>
        <v>0</v>
      </c>
      <c r="F12" s="921">
        <f t="shared" si="4"/>
        <v>0</v>
      </c>
      <c r="G12" s="921">
        <v>0</v>
      </c>
      <c r="H12" s="921">
        <f t="shared" si="1"/>
        <v>0</v>
      </c>
    </row>
    <row r="13" spans="1:10">
      <c r="A13" s="905">
        <f t="shared" si="0"/>
        <v>8</v>
      </c>
      <c r="B13" s="942" t="s">
        <v>871</v>
      </c>
      <c r="C13" s="936" t="s">
        <v>879</v>
      </c>
      <c r="D13" s="943">
        <f t="shared" si="2"/>
        <v>-6</v>
      </c>
      <c r="E13" s="944">
        <f t="shared" si="3"/>
        <v>0</v>
      </c>
      <c r="F13" s="921">
        <f t="shared" si="4"/>
        <v>0</v>
      </c>
      <c r="G13" s="921">
        <v>0</v>
      </c>
      <c r="H13" s="921">
        <f t="shared" si="1"/>
        <v>0</v>
      </c>
    </row>
    <row r="14" spans="1:10">
      <c r="A14" s="905">
        <f t="shared" si="0"/>
        <v>9</v>
      </c>
      <c r="B14" s="942" t="s">
        <v>77</v>
      </c>
      <c r="C14" s="936" t="s">
        <v>879</v>
      </c>
      <c r="D14" s="943">
        <f t="shared" si="2"/>
        <v>-7</v>
      </c>
      <c r="E14" s="944">
        <f t="shared" si="3"/>
        <v>0</v>
      </c>
      <c r="F14" s="921">
        <f t="shared" si="4"/>
        <v>0</v>
      </c>
      <c r="G14" s="921">
        <v>0</v>
      </c>
      <c r="H14" s="921">
        <f t="shared" si="1"/>
        <v>0</v>
      </c>
    </row>
    <row r="15" spans="1:10">
      <c r="A15" s="905">
        <f t="shared" si="0"/>
        <v>10</v>
      </c>
      <c r="B15" s="942" t="s">
        <v>76</v>
      </c>
      <c r="C15" s="936" t="s">
        <v>879</v>
      </c>
      <c r="D15" s="943">
        <f t="shared" si="2"/>
        <v>-8</v>
      </c>
      <c r="E15" s="944">
        <f t="shared" si="3"/>
        <v>0</v>
      </c>
      <c r="F15" s="921">
        <f t="shared" si="4"/>
        <v>0</v>
      </c>
      <c r="G15" s="921">
        <v>0</v>
      </c>
      <c r="H15" s="921">
        <f t="shared" si="1"/>
        <v>0</v>
      </c>
    </row>
    <row r="16" spans="1:10">
      <c r="A16" s="905">
        <f t="shared" si="0"/>
        <v>11</v>
      </c>
      <c r="B16" s="942" t="s">
        <v>75</v>
      </c>
      <c r="C16" s="936" t="s">
        <v>879</v>
      </c>
      <c r="D16" s="943">
        <f t="shared" si="2"/>
        <v>-9</v>
      </c>
      <c r="E16" s="944">
        <f t="shared" si="3"/>
        <v>0</v>
      </c>
      <c r="F16" s="921">
        <f t="shared" si="4"/>
        <v>0</v>
      </c>
      <c r="G16" s="921">
        <v>0</v>
      </c>
      <c r="H16" s="921">
        <f t="shared" si="1"/>
        <v>0</v>
      </c>
    </row>
    <row r="17" spans="1:9">
      <c r="A17" s="905">
        <f t="shared" si="0"/>
        <v>12</v>
      </c>
      <c r="B17" s="942" t="s">
        <v>872</v>
      </c>
      <c r="C17" s="936" t="s">
        <v>879</v>
      </c>
      <c r="D17" s="943">
        <f t="shared" si="2"/>
        <v>-10</v>
      </c>
      <c r="E17" s="944">
        <f t="shared" si="3"/>
        <v>0</v>
      </c>
      <c r="F17" s="921">
        <f t="shared" si="4"/>
        <v>0</v>
      </c>
      <c r="G17" s="921">
        <v>0</v>
      </c>
      <c r="H17" s="921">
        <f t="shared" si="1"/>
        <v>0</v>
      </c>
    </row>
    <row r="18" spans="1:9">
      <c r="A18" s="905">
        <f t="shared" si="0"/>
        <v>13</v>
      </c>
      <c r="B18" s="942" t="s">
        <v>74</v>
      </c>
      <c r="C18" s="936" t="s">
        <v>879</v>
      </c>
      <c r="D18" s="943">
        <f t="shared" si="2"/>
        <v>-11</v>
      </c>
      <c r="E18" s="944">
        <f t="shared" si="3"/>
        <v>0</v>
      </c>
      <c r="F18" s="921">
        <f t="shared" si="4"/>
        <v>0</v>
      </c>
      <c r="G18" s="921">
        <v>0</v>
      </c>
      <c r="H18" s="921">
        <f t="shared" si="1"/>
        <v>0</v>
      </c>
    </row>
    <row r="19" spans="1:9" ht="17.25">
      <c r="A19" s="905">
        <f t="shared" si="0"/>
        <v>14</v>
      </c>
      <c r="B19" s="939" t="s">
        <v>1041</v>
      </c>
      <c r="C19" s="945" t="s">
        <v>880</v>
      </c>
      <c r="D19" s="943">
        <f t="shared" si="2"/>
        <v>-12</v>
      </c>
      <c r="E19" s="944">
        <f t="shared" si="3"/>
        <v>0</v>
      </c>
      <c r="F19" s="946">
        <f t="shared" si="4"/>
        <v>0</v>
      </c>
      <c r="G19" s="921">
        <v>0</v>
      </c>
      <c r="H19" s="946">
        <f t="shared" si="1"/>
        <v>0</v>
      </c>
    </row>
    <row r="20" spans="1:9" ht="15.75" thickBot="1">
      <c r="A20" s="905">
        <f t="shared" si="0"/>
        <v>15</v>
      </c>
      <c r="B20" s="947" t="s">
        <v>881</v>
      </c>
      <c r="C20" s="936" t="str">
        <f>"(sum lines "&amp;A7&amp;"-"&amp;A19&amp;") /13"</f>
        <v>(sum lines 2-14) /13</v>
      </c>
      <c r="D20" s="926"/>
      <c r="E20" s="926"/>
      <c r="F20" s="948">
        <f>SUM(F7:F19)</f>
        <v>0</v>
      </c>
      <c r="G20" s="921"/>
      <c r="H20" s="948">
        <f>SUM(H7:H19)/13</f>
        <v>0</v>
      </c>
    </row>
    <row r="21" spans="1:9" ht="15.75" thickTop="1">
      <c r="A21" s="905"/>
      <c r="B21" s="947"/>
      <c r="C21" s="936"/>
      <c r="D21" s="926"/>
      <c r="E21" s="926"/>
      <c r="F21" s="931" t="str">
        <f>"Attachment H-39A, page 3, line "&amp;'Attachment H-39A'!A135&amp;""</f>
        <v>Attachment H-39A, page 3, line 19</v>
      </c>
      <c r="G21" s="921"/>
      <c r="H21" s="932" t="str">
        <f>"Attachment H-39A, page 2, Line "&amp;'Attachment H-39A'!A91&amp;""</f>
        <v>Attachment H-39A, page 2, Line 27</v>
      </c>
    </row>
    <row r="23" spans="1:9">
      <c r="A23" s="949" t="s">
        <v>882</v>
      </c>
    </row>
    <row r="24" spans="1:9" ht="15.75">
      <c r="A24" s="934"/>
      <c r="B24" s="1035" t="s">
        <v>883</v>
      </c>
      <c r="C24" s="1035"/>
      <c r="D24" s="1035"/>
      <c r="E24" s="1035"/>
      <c r="F24" s="1035"/>
      <c r="G24" s="1035"/>
      <c r="H24" s="1035"/>
      <c r="I24" s="1035"/>
    </row>
  </sheetData>
  <mergeCells count="3">
    <mergeCell ref="B24:I24"/>
    <mergeCell ref="C1:J1"/>
    <mergeCell ref="C2:J2"/>
  </mergeCells>
  <pageMargins left="0.7" right="0.7" top="0.75" bottom="0.75" header="0.3" footer="0.3"/>
  <pageSetup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J47"/>
  <sheetViews>
    <sheetView zoomScale="80" zoomScaleNormal="80" zoomScaleSheetLayoutView="75" workbookViewId="0">
      <selection activeCell="B3" sqref="B3:J3"/>
    </sheetView>
  </sheetViews>
  <sheetFormatPr defaultColWidth="8.88671875" defaultRowHeight="15.75"/>
  <cols>
    <col min="1" max="1" width="5.5546875" style="185" customWidth="1"/>
    <col min="2" max="2" width="21.5546875" style="158" customWidth="1"/>
    <col min="3" max="3" width="35.5546875" style="158" customWidth="1"/>
    <col min="4" max="4" width="29.109375" style="158" customWidth="1"/>
    <col min="5" max="5" width="12.77734375" style="158" customWidth="1"/>
    <col min="6" max="6" width="6.5546875" style="158" customWidth="1"/>
    <col min="7" max="7" width="4.6640625" style="158" customWidth="1"/>
    <col min="8" max="8" width="7.44140625" style="158" customWidth="1"/>
    <col min="9" max="9" width="10" style="164" customWidth="1"/>
    <col min="10" max="10" width="17.33203125" style="158" customWidth="1"/>
    <col min="11" max="16384" width="8.88671875" style="158"/>
  </cols>
  <sheetData>
    <row r="1" spans="1:10">
      <c r="B1" s="981" t="s">
        <v>221</v>
      </c>
      <c r="C1" s="981"/>
      <c r="D1" s="981"/>
      <c r="E1" s="981"/>
      <c r="F1" s="981"/>
      <c r="G1" s="981"/>
      <c r="H1" s="981"/>
      <c r="I1" s="981"/>
      <c r="J1" s="981"/>
    </row>
    <row r="2" spans="1:10">
      <c r="B2" s="981" t="s">
        <v>262</v>
      </c>
      <c r="C2" s="981"/>
      <c r="D2" s="981"/>
      <c r="E2" s="981"/>
      <c r="F2" s="981"/>
      <c r="G2" s="981"/>
      <c r="H2" s="981"/>
      <c r="I2" s="981"/>
      <c r="J2" s="981"/>
    </row>
    <row r="3" spans="1:10">
      <c r="B3" s="981" t="str">
        <f>+'Attachment H-39A'!D5</f>
        <v>Valley Link Transmission West Virginia, LLC</v>
      </c>
      <c r="C3" s="981"/>
      <c r="D3" s="981"/>
      <c r="E3" s="981"/>
      <c r="F3" s="981"/>
      <c r="G3" s="981"/>
      <c r="H3" s="981"/>
      <c r="I3" s="981"/>
      <c r="J3" s="981"/>
    </row>
    <row r="5" spans="1:10">
      <c r="A5" s="185">
        <v>1</v>
      </c>
      <c r="B5" s="158" t="s">
        <v>256</v>
      </c>
      <c r="C5" s="158" t="str">
        <f>"Attachment H-39A, page 2, line "&amp;'Attachment H-39A'!A103&amp;", Col.5"</f>
        <v>Attachment H-39A, page 2, line 36, Col.5</v>
      </c>
      <c r="I5" s="158"/>
      <c r="J5" s="185">
        <f>+'Attachment H-39A'!I103</f>
        <v>18382794.585750736</v>
      </c>
    </row>
    <row r="6" spans="1:10">
      <c r="I6" s="158"/>
      <c r="J6" s="164"/>
    </row>
    <row r="7" spans="1:10" ht="16.5" thickBot="1">
      <c r="A7" s="160">
        <f>+A5+1</f>
        <v>2</v>
      </c>
      <c r="B7" s="161" t="s">
        <v>222</v>
      </c>
      <c r="C7" s="162"/>
      <c r="D7" s="162"/>
      <c r="E7" s="162"/>
      <c r="F7" s="162"/>
      <c r="G7" s="162"/>
      <c r="H7" s="162"/>
      <c r="I7" s="163" t="s">
        <v>45</v>
      </c>
      <c r="J7" s="164"/>
    </row>
    <row r="8" spans="1:10">
      <c r="A8" s="160"/>
      <c r="B8" s="165"/>
      <c r="C8" s="162"/>
      <c r="D8" s="162"/>
      <c r="E8" s="162"/>
      <c r="F8" s="162"/>
      <c r="G8" s="162"/>
      <c r="H8" s="166" t="s">
        <v>54</v>
      </c>
      <c r="I8" s="162"/>
      <c r="J8" s="164"/>
    </row>
    <row r="9" spans="1:10" ht="16.5" thickBot="1">
      <c r="A9" s="160"/>
      <c r="B9" s="165"/>
      <c r="C9" s="162"/>
      <c r="D9" s="451" t="s">
        <v>187</v>
      </c>
      <c r="E9" s="167" t="s">
        <v>45</v>
      </c>
      <c r="F9" s="167" t="s">
        <v>55</v>
      </c>
      <c r="G9" s="162"/>
      <c r="H9" s="167"/>
      <c r="I9" s="167" t="s">
        <v>56</v>
      </c>
      <c r="J9" s="164"/>
    </row>
    <row r="10" spans="1:10">
      <c r="A10" s="160">
        <f>+A7+1</f>
        <v>3</v>
      </c>
      <c r="B10" s="161" t="s">
        <v>213</v>
      </c>
      <c r="C10" s="29" t="s">
        <v>943</v>
      </c>
      <c r="D10" s="168"/>
      <c r="E10" s="281">
        <f>+'Attachment H-39A'!D202</f>
        <v>8711065.3905080389</v>
      </c>
      <c r="F10" s="283">
        <f>+'Attachment H-39A'!E202</f>
        <v>0.4</v>
      </c>
      <c r="G10" s="284"/>
      <c r="H10" s="287">
        <f>+'Attachment H-39A'!G202</f>
        <v>5.0765904916125051E-2</v>
      </c>
      <c r="I10" s="285">
        <f>F10*H10</f>
        <v>2.0306361966450023E-2</v>
      </c>
      <c r="J10" s="164"/>
    </row>
    <row r="11" spans="1:10">
      <c r="A11" s="160">
        <f>+A10+1</f>
        <v>4</v>
      </c>
      <c r="B11" s="161" t="s">
        <v>257</v>
      </c>
      <c r="C11" s="29" t="s">
        <v>943</v>
      </c>
      <c r="D11" s="168"/>
      <c r="E11" s="281">
        <f>+'Attachment H-39A'!D203</f>
        <v>0</v>
      </c>
      <c r="F11" s="283">
        <f>+'Attachment H-39A'!E203</f>
        <v>0</v>
      </c>
      <c r="G11" s="284"/>
      <c r="H11" s="287">
        <f>+'Attachment H-39A'!G203</f>
        <v>0</v>
      </c>
      <c r="I11" s="285">
        <f>F11*H11</f>
        <v>0</v>
      </c>
      <c r="J11" s="164"/>
    </row>
    <row r="12" spans="1:10" ht="32.25" thickBot="1">
      <c r="A12" s="160">
        <f>+A11+1</f>
        <v>5</v>
      </c>
      <c r="B12" s="161" t="s">
        <v>241</v>
      </c>
      <c r="C12" s="29" t="s">
        <v>943</v>
      </c>
      <c r="D12" s="607" t="str">
        <f>"Cost = Attachment H-39A, page 4, Line "&amp;'Attachment H-39A'!A204&amp;", Cost plus 100 bp"</f>
        <v>Cost = Attachment H-39A, page 4, Line 15, Cost plus 100 bp</v>
      </c>
      <c r="E12" s="281">
        <f>+'Attachment H-39A'!D204</f>
        <v>13653434.1703391</v>
      </c>
      <c r="F12" s="283">
        <f>+'Attachment H-39A'!E204</f>
        <v>0.6</v>
      </c>
      <c r="G12" s="284"/>
      <c r="H12" s="287">
        <f>+'Attachment H-39A'!G204+0.01</f>
        <v>0.124</v>
      </c>
      <c r="I12" s="286">
        <f>F12*H12</f>
        <v>7.4399999999999994E-2</v>
      </c>
      <c r="J12" s="164"/>
    </row>
    <row r="13" spans="1:10">
      <c r="A13" s="160">
        <f>+A12+1</f>
        <v>6</v>
      </c>
      <c r="B13" s="165" t="s">
        <v>360</v>
      </c>
      <c r="C13" s="168"/>
      <c r="D13" s="168"/>
      <c r="E13" s="281">
        <f>SUM(E10:E12)</f>
        <v>22364499.560847141</v>
      </c>
      <c r="F13" s="159" t="s">
        <v>2</v>
      </c>
      <c r="G13" s="159"/>
      <c r="H13" s="282"/>
      <c r="I13" s="285">
        <f>SUM(I10:I12)</f>
        <v>9.470636196645002E-2</v>
      </c>
      <c r="J13" s="164"/>
    </row>
    <row r="14" spans="1:10">
      <c r="A14" s="160">
        <f t="shared" ref="A14:A38" si="0">+A13+1</f>
        <v>7</v>
      </c>
      <c r="B14" s="165" t="s">
        <v>520</v>
      </c>
      <c r="C14" s="168"/>
      <c r="D14" s="168"/>
      <c r="E14" s="169"/>
      <c r="F14" s="162"/>
      <c r="G14" s="162"/>
      <c r="H14" s="162"/>
      <c r="I14" s="294"/>
      <c r="J14" s="185">
        <f>+I13*J5</f>
        <v>1740967.5979930069</v>
      </c>
    </row>
    <row r="15" spans="1:10">
      <c r="A15" s="160"/>
      <c r="I15" s="295"/>
      <c r="J15" s="295"/>
    </row>
    <row r="16" spans="1:10">
      <c r="A16" s="160">
        <f>+A14+1</f>
        <v>8</v>
      </c>
      <c r="B16" s="165" t="s">
        <v>37</v>
      </c>
      <c r="C16" s="162"/>
      <c r="D16" s="162"/>
      <c r="E16" s="162"/>
      <c r="F16" s="162"/>
      <c r="G16" s="168"/>
      <c r="H16" s="170"/>
      <c r="I16" s="294"/>
      <c r="J16" s="295"/>
    </row>
    <row r="17" spans="1:10">
      <c r="A17" s="160">
        <f t="shared" si="0"/>
        <v>9</v>
      </c>
      <c r="B17" s="171" t="s">
        <v>509</v>
      </c>
      <c r="C17" s="162"/>
      <c r="D17" s="24"/>
      <c r="E17" s="384">
        <f>IF('Attachment H-39A'!D236&gt;0,1-(((1-'Attachment H-39A'!D237)*(1-'Attachment H-39A'!D236))/(1-'Attachment H-39A'!D236*'Attachment H-39A'!D237*'Attachment H-39A'!D238)),0)</f>
        <v>0.26134999999999997</v>
      </c>
      <c r="F17" s="384"/>
      <c r="G17" s="168"/>
      <c r="H17" s="170"/>
      <c r="I17" s="294"/>
      <c r="J17" s="295"/>
    </row>
    <row r="18" spans="1:10">
      <c r="A18" s="160">
        <f t="shared" si="0"/>
        <v>10</v>
      </c>
      <c r="B18" s="168" t="s">
        <v>38</v>
      </c>
      <c r="C18" s="162"/>
      <c r="D18" s="24"/>
      <c r="E18" s="384">
        <f>IF(I13&gt;0,(E17/(1-E17))*(1-I10/I13),0)</f>
        <v>0.27795697959600307</v>
      </c>
      <c r="F18" s="162"/>
      <c r="G18" s="168"/>
      <c r="H18" s="170"/>
      <c r="I18" s="294"/>
      <c r="J18" s="295"/>
    </row>
    <row r="19" spans="1:10">
      <c r="A19" s="160">
        <f t="shared" si="0"/>
        <v>11</v>
      </c>
      <c r="B19" s="162" t="s">
        <v>258</v>
      </c>
      <c r="C19" s="162"/>
      <c r="D19" s="24"/>
      <c r="E19" s="162"/>
      <c r="F19" s="162"/>
      <c r="G19" s="168"/>
      <c r="H19" s="170"/>
      <c r="I19" s="294"/>
      <c r="J19" s="295"/>
    </row>
    <row r="20" spans="1:10">
      <c r="A20" s="160">
        <f t="shared" si="0"/>
        <v>12</v>
      </c>
      <c r="B20" s="165" t="s">
        <v>1007</v>
      </c>
      <c r="C20" s="162"/>
      <c r="D20" s="162"/>
      <c r="E20" s="162"/>
      <c r="F20" s="162"/>
      <c r="G20" s="168"/>
      <c r="H20" s="170"/>
      <c r="I20" s="294"/>
      <c r="J20" s="295"/>
    </row>
    <row r="21" spans="1:10">
      <c r="A21" s="160">
        <f t="shared" si="0"/>
        <v>13</v>
      </c>
      <c r="B21" s="171" t="str">
        <f>"      1 / (1 - T)  =  (from line "&amp;A17&amp;")"</f>
        <v xml:space="preserve">      1 / (1 - T)  =  (from line 9)</v>
      </c>
      <c r="C21" s="162"/>
      <c r="D21" s="162"/>
      <c r="E21" s="384">
        <f>IF(E17&gt;0,1/(1-E17),0)</f>
        <v>1.3538211602247343</v>
      </c>
      <c r="F21" s="162"/>
      <c r="G21" s="168"/>
      <c r="H21" s="170"/>
      <c r="I21" s="294"/>
      <c r="J21" s="295"/>
    </row>
    <row r="22" spans="1:10">
      <c r="A22" s="160">
        <f t="shared" si="0"/>
        <v>14</v>
      </c>
      <c r="B22" s="165" t="s">
        <v>223</v>
      </c>
      <c r="C22" s="162"/>
      <c r="D22" s="162" t="str">
        <f>"Attachment H-39A, Page 3, Line "&amp;'Attachment H-39A'!A155&amp;""</f>
        <v>Attachment H-39A, Page 3, Line 37</v>
      </c>
      <c r="E22" s="172">
        <f>+'Attachment H-39A'!D155</f>
        <v>0</v>
      </c>
      <c r="F22" s="162"/>
      <c r="G22" s="168"/>
      <c r="H22" s="170"/>
      <c r="I22" s="294"/>
      <c r="J22" s="295"/>
    </row>
    <row r="23" spans="1:10">
      <c r="A23" s="160">
        <f t="shared" si="0"/>
        <v>15</v>
      </c>
      <c r="B23" s="165" t="s">
        <v>1008</v>
      </c>
      <c r="C23" s="162"/>
      <c r="D23" s="162" t="str">
        <f>"Attachment H-39A, Page 3, Line "&amp;'Attachment H-39A'!A156&amp;""</f>
        <v>Attachment H-39A, Page 3, Line 38</v>
      </c>
      <c r="E23" s="172">
        <f>+'Attachment H-39A'!D156</f>
        <v>0</v>
      </c>
      <c r="F23" s="162"/>
      <c r="G23" s="168"/>
      <c r="H23" s="173"/>
      <c r="I23" s="294"/>
      <c r="J23" s="295"/>
    </row>
    <row r="24" spans="1:10">
      <c r="A24" s="160">
        <f t="shared" si="0"/>
        <v>16</v>
      </c>
      <c r="B24" s="165" t="s">
        <v>259</v>
      </c>
      <c r="C24" s="162"/>
      <c r="D24" s="162" t="str">
        <f>"Attachment H-39A, Page 3, Line "&amp;'Attachment H-39A'!A157&amp;""</f>
        <v>Attachment H-39A, Page 3, Line 39</v>
      </c>
      <c r="E24" s="298">
        <f>+'Attachment H-39A'!D157</f>
        <v>0</v>
      </c>
      <c r="F24" s="162"/>
      <c r="G24" s="168"/>
      <c r="H24" s="170"/>
      <c r="I24" s="294"/>
      <c r="J24" s="295"/>
    </row>
    <row r="25" spans="1:10">
      <c r="A25" s="160">
        <f t="shared" si="0"/>
        <v>17</v>
      </c>
      <c r="B25" s="171" t="str">
        <f>"Income Tax Calculation = line "&amp;A14&amp;" * line "&amp;A18&amp;""</f>
        <v>Income Tax Calculation = line 7 * line 10</v>
      </c>
      <c r="C25" s="174"/>
      <c r="E25" s="188"/>
      <c r="F25" s="175"/>
      <c r="G25" s="175"/>
      <c r="H25" s="176"/>
      <c r="I25" s="296">
        <f>+E18*J14</f>
        <v>483914.09511264472</v>
      </c>
      <c r="J25" s="295"/>
    </row>
    <row r="26" spans="1:10">
      <c r="A26" s="160">
        <f t="shared" si="0"/>
        <v>18</v>
      </c>
      <c r="B26" s="168" t="str">
        <f>"ITC adjustment (line "&amp;A21&amp;" * line "&amp;A22&amp;")"</f>
        <v>ITC adjustment (line 13 * line 14)</v>
      </c>
      <c r="C26" s="174"/>
      <c r="D26" s="174"/>
      <c r="E26" s="188">
        <f>+E$21*E22</f>
        <v>0</v>
      </c>
      <c r="F26" s="175"/>
      <c r="G26" s="177" t="s">
        <v>25</v>
      </c>
      <c r="H26" s="159">
        <f>+'Attachment H-39A'!G80</f>
        <v>1</v>
      </c>
      <c r="I26" s="296">
        <f>+E26*H26</f>
        <v>0</v>
      </c>
      <c r="J26" s="295"/>
    </row>
    <row r="27" spans="1:10">
      <c r="A27" s="160">
        <f t="shared" si="0"/>
        <v>19</v>
      </c>
      <c r="B27" s="168" t="str">
        <f>"Excess/Deficient Deferred Income Tax Adjustment (line "&amp;A21&amp;" * line "&amp;A23&amp;")"</f>
        <v>Excess/Deficient Deferred Income Tax Adjustment (line 13 * line 15)</v>
      </c>
      <c r="C27" s="174"/>
      <c r="D27" s="174"/>
      <c r="E27" s="188">
        <f>+E$21*E23</f>
        <v>0</v>
      </c>
      <c r="F27" s="175"/>
      <c r="G27" s="177" t="s">
        <v>25</v>
      </c>
      <c r="H27" s="159">
        <f>H26</f>
        <v>1</v>
      </c>
      <c r="I27" s="296">
        <f>+E27*H27</f>
        <v>0</v>
      </c>
      <c r="J27" s="295"/>
    </row>
    <row r="28" spans="1:10">
      <c r="A28" s="160">
        <f t="shared" si="0"/>
        <v>20</v>
      </c>
      <c r="B28" s="168" t="str">
        <f>"Permanent Differences Tax Adjustment (line "&amp;A21&amp;" * "&amp;A24&amp;")"</f>
        <v>Permanent Differences Tax Adjustment (line 13 * 16)</v>
      </c>
      <c r="C28" s="174"/>
      <c r="D28" s="174"/>
      <c r="E28" s="297">
        <f>+E$21*E24</f>
        <v>0</v>
      </c>
      <c r="F28" s="175"/>
      <c r="G28" s="177" t="s">
        <v>25</v>
      </c>
      <c r="H28" s="159">
        <f>H27</f>
        <v>1</v>
      </c>
      <c r="I28" s="297">
        <f>+E28*H28</f>
        <v>0</v>
      </c>
      <c r="J28" s="295"/>
    </row>
    <row r="29" spans="1:10">
      <c r="A29" s="160">
        <f t="shared" si="0"/>
        <v>21</v>
      </c>
      <c r="B29" s="178" t="str">
        <f>"Total Income Taxes (sum lines "&amp;A25&amp;" - "&amp;A28&amp;")"</f>
        <v>Total Income Taxes (sum lines 17 - 20)</v>
      </c>
      <c r="C29" s="168"/>
      <c r="D29" s="168"/>
      <c r="E29" s="172"/>
      <c r="F29" s="175"/>
      <c r="G29" s="175" t="s">
        <v>2</v>
      </c>
      <c r="H29" s="176" t="s">
        <v>2</v>
      </c>
      <c r="I29" s="298">
        <f>SUM(I25:I28)</f>
        <v>483914.09511264472</v>
      </c>
      <c r="J29" s="185">
        <f>+I29</f>
        <v>483914.09511264472</v>
      </c>
    </row>
    <row r="30" spans="1:10">
      <c r="A30" s="160"/>
      <c r="I30" s="295"/>
      <c r="J30" s="295"/>
    </row>
    <row r="31" spans="1:10">
      <c r="A31" s="160">
        <f>+A29+1</f>
        <v>22</v>
      </c>
      <c r="B31" s="168" t="s">
        <v>514</v>
      </c>
      <c r="D31" s="162" t="str">
        <f>"(line "&amp;A14&amp;" + line "&amp;A29&amp;")"</f>
        <v>(line 7 + line 21)</v>
      </c>
      <c r="I31" s="295"/>
      <c r="J31" s="185">
        <f>+J29+J14</f>
        <v>2224881.6931056515</v>
      </c>
    </row>
    <row r="32" spans="1:10">
      <c r="A32" s="160"/>
      <c r="I32" s="295"/>
      <c r="J32" s="295"/>
    </row>
    <row r="33" spans="1:10">
      <c r="A33" s="160">
        <f>+A31+1</f>
        <v>23</v>
      </c>
      <c r="B33" s="158" t="str">
        <f>"Return    (Attach. H-39A, page 3 line "&amp;'Attachment H-39A'!A165&amp;" col 5)"</f>
        <v>Return    (Attach. H-39A, page 3 line 46 col 5)</v>
      </c>
      <c r="I33" s="295"/>
      <c r="J33" s="185">
        <f>+'Attachment H-39A'!I165</f>
        <v>1630670.8304785027</v>
      </c>
    </row>
    <row r="34" spans="1:10">
      <c r="A34" s="160">
        <f t="shared" si="0"/>
        <v>24</v>
      </c>
      <c r="B34" s="158" t="str">
        <f>"Income Tax    (Attach. H-39A, page 3 line "&amp;'Attachment H-39A'!A162&amp;" col 5)"</f>
        <v>Income Tax    (Attach. H-39A, page 3 line 44 col 5)</v>
      </c>
      <c r="I34" s="295"/>
      <c r="J34" s="185">
        <f>+'Attachment H-39A'!I162</f>
        <v>444888.76486162498</v>
      </c>
    </row>
    <row r="35" spans="1:10">
      <c r="A35" s="160">
        <f t="shared" si="0"/>
        <v>25</v>
      </c>
      <c r="B35" s="168" t="s">
        <v>515</v>
      </c>
      <c r="D35" s="162" t="str">
        <f>"(line "&amp;A33&amp;" + line "&amp;A34&amp;")"</f>
        <v>(line 23 + line 24)</v>
      </c>
      <c r="I35" s="295"/>
      <c r="J35" s="403">
        <f>SUM(J33:J34)</f>
        <v>2075559.5953401276</v>
      </c>
    </row>
    <row r="36" spans="1:10">
      <c r="A36" s="160">
        <f t="shared" si="0"/>
        <v>26</v>
      </c>
      <c r="B36" s="168" t="s">
        <v>516</v>
      </c>
      <c r="D36" s="162" t="str">
        <f>"(line "&amp;A31&amp;" - line "&amp;A35&amp;")"</f>
        <v>(line 22 - line 25)</v>
      </c>
      <c r="I36" s="158"/>
      <c r="J36" s="450">
        <f>+J31-J35</f>
        <v>149322.09776552394</v>
      </c>
    </row>
    <row r="37" spans="1:10">
      <c r="A37" s="160">
        <f t="shared" si="0"/>
        <v>27</v>
      </c>
      <c r="B37" s="158" t="s">
        <v>260</v>
      </c>
      <c r="I37" s="158"/>
      <c r="J37" s="193">
        <f>+J5</f>
        <v>18382794.585750736</v>
      </c>
    </row>
    <row r="38" spans="1:10">
      <c r="A38" s="160">
        <f t="shared" si="0"/>
        <v>28</v>
      </c>
      <c r="B38" s="158" t="s">
        <v>517</v>
      </c>
      <c r="I38" s="158"/>
      <c r="J38" s="194">
        <f>IF(J37=0,0,J36/J37)</f>
        <v>8.1229269613483941E-3</v>
      </c>
    </row>
    <row r="39" spans="1:10">
      <c r="I39" s="158"/>
      <c r="J39" s="164"/>
    </row>
    <row r="40" spans="1:10">
      <c r="A40" s="386" t="s">
        <v>245</v>
      </c>
      <c r="I40" s="158"/>
      <c r="J40" s="164"/>
    </row>
    <row r="41" spans="1:10">
      <c r="A41" s="385" t="s">
        <v>57</v>
      </c>
      <c r="B41" s="185" t="s">
        <v>518</v>
      </c>
      <c r="I41" s="158"/>
      <c r="J41" s="164"/>
    </row>
    <row r="42" spans="1:10">
      <c r="A42" s="385"/>
      <c r="B42" s="158" t="s">
        <v>519</v>
      </c>
      <c r="I42" s="158"/>
      <c r="J42" s="164"/>
    </row>
    <row r="43" spans="1:10">
      <c r="A43" s="385"/>
      <c r="B43" s="158" t="s">
        <v>448</v>
      </c>
      <c r="I43" s="158"/>
      <c r="J43" s="164"/>
    </row>
    <row r="44" spans="1:10">
      <c r="A44" s="385"/>
      <c r="B44" s="158" t="s">
        <v>449</v>
      </c>
      <c r="I44" s="158"/>
      <c r="J44" s="164"/>
    </row>
    <row r="45" spans="1:10">
      <c r="A45" s="385" t="s">
        <v>58</v>
      </c>
      <c r="B45" s="158" t="s">
        <v>246</v>
      </c>
      <c r="I45" s="158"/>
      <c r="J45" s="164"/>
    </row>
    <row r="46" spans="1:10">
      <c r="B46" s="158" t="s">
        <v>1009</v>
      </c>
      <c r="I46" s="158"/>
      <c r="J46" s="164"/>
    </row>
    <row r="47" spans="1:10">
      <c r="A47" s="385"/>
    </row>
  </sheetData>
  <mergeCells count="3">
    <mergeCell ref="B1:J1"/>
    <mergeCell ref="B2:J2"/>
    <mergeCell ref="B3:J3"/>
  </mergeCells>
  <phoneticPr fontId="0" type="noConversion"/>
  <pageMargins left="0.7" right="0.7" top="0.75" bottom="0.75" header="0.3" footer="0.3"/>
  <pageSetup scale="6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U48"/>
  <sheetViews>
    <sheetView zoomScale="85" zoomScaleNormal="85" zoomScaleSheetLayoutView="85" workbookViewId="0">
      <selection activeCell="H32" sqref="H32"/>
    </sheetView>
  </sheetViews>
  <sheetFormatPr defaultColWidth="8.88671875" defaultRowHeight="12.75"/>
  <cols>
    <col min="1" max="1" width="6" style="251" customWidth="1"/>
    <col min="2" max="2" width="28.21875" style="20" customWidth="1"/>
    <col min="3" max="3" width="12.109375" style="20" customWidth="1"/>
    <col min="4" max="4" width="21.6640625" style="20" customWidth="1"/>
    <col min="5" max="5" width="14.6640625" style="20" customWidth="1"/>
    <col min="6" max="6" width="14.5546875" style="20" customWidth="1"/>
    <col min="7" max="7" width="15.21875" style="20" customWidth="1"/>
    <col min="8" max="8" width="13.6640625" style="20" customWidth="1"/>
    <col min="9" max="9" width="12" style="20" customWidth="1"/>
    <col min="10" max="10" width="9.5546875" style="20" customWidth="1"/>
    <col min="11" max="11" width="12" style="20" customWidth="1"/>
    <col min="12" max="12" width="10.21875" style="20" customWidth="1"/>
    <col min="13" max="13" width="13.5546875" style="20" customWidth="1"/>
    <col min="14" max="16384" width="8.88671875" style="20"/>
  </cols>
  <sheetData>
    <row r="1" spans="1:16">
      <c r="L1" s="15" t="s">
        <v>303</v>
      </c>
      <c r="M1" s="15"/>
    </row>
    <row r="2" spans="1:16">
      <c r="F2" s="16" t="s">
        <v>172</v>
      </c>
    </row>
    <row r="3" spans="1:16">
      <c r="F3" s="234" t="s">
        <v>380</v>
      </c>
    </row>
    <row r="4" spans="1:16">
      <c r="E4" s="15"/>
      <c r="F4" s="85" t="str">
        <f>+'Attachment H-39A'!D5</f>
        <v>Valley Link Transmission West Virginia, LLC</v>
      </c>
      <c r="G4" s="15"/>
      <c r="H4" s="15"/>
      <c r="J4" s="15"/>
      <c r="K4" s="15"/>
      <c r="L4" s="15"/>
      <c r="M4" s="15"/>
    </row>
    <row r="5" spans="1:16">
      <c r="E5" s="15"/>
      <c r="G5" s="18"/>
      <c r="H5" s="18"/>
      <c r="J5" s="18"/>
      <c r="K5" s="18"/>
      <c r="L5" s="18"/>
      <c r="M5" s="15"/>
    </row>
    <row r="6" spans="1:16" ht="70.5" customHeight="1">
      <c r="B6" s="966" t="s">
        <v>407</v>
      </c>
      <c r="C6" s="966"/>
      <c r="D6" s="966"/>
      <c r="E6" s="966"/>
      <c r="F6" s="966"/>
      <c r="G6" s="966"/>
      <c r="H6" s="966"/>
      <c r="I6" s="966"/>
      <c r="J6" s="966"/>
      <c r="K6" s="966"/>
      <c r="L6" s="966"/>
      <c r="M6" s="257"/>
    </row>
    <row r="7" spans="1:16" s="233" customFormat="1" ht="27" customHeight="1">
      <c r="A7" s="252"/>
      <c r="B7" s="979" t="s">
        <v>469</v>
      </c>
      <c r="C7" s="979"/>
      <c r="D7" s="979"/>
      <c r="E7" s="979"/>
      <c r="F7" s="979"/>
      <c r="G7" s="979"/>
      <c r="H7" s="979"/>
      <c r="I7" s="979"/>
      <c r="J7" s="979"/>
      <c r="K7" s="12"/>
      <c r="L7" s="12"/>
      <c r="M7" s="12"/>
    </row>
    <row r="8" spans="1:16" s="233" customFormat="1" ht="18" customHeight="1">
      <c r="A8" s="252"/>
      <c r="B8" s="223"/>
      <c r="C8" s="223"/>
      <c r="D8" s="223"/>
      <c r="E8" s="223"/>
      <c r="F8" s="223"/>
      <c r="G8" s="223"/>
      <c r="H8" s="223"/>
      <c r="I8" s="223"/>
      <c r="J8" s="223"/>
      <c r="K8" s="12"/>
      <c r="L8" s="12"/>
      <c r="M8" s="12"/>
    </row>
    <row r="9" spans="1:16" s="233" customFormat="1" ht="15.75" customHeight="1">
      <c r="A9" s="319" t="s">
        <v>412</v>
      </c>
      <c r="B9" s="12"/>
      <c r="C9" s="12"/>
      <c r="D9" s="12"/>
      <c r="E9" s="988" t="s">
        <v>337</v>
      </c>
      <c r="F9" s="989"/>
      <c r="G9" s="983" t="s">
        <v>1010</v>
      </c>
      <c r="H9" s="237" t="s">
        <v>336</v>
      </c>
      <c r="I9" s="235"/>
      <c r="J9" s="238"/>
      <c r="K9" s="238"/>
      <c r="L9" s="236"/>
    </row>
    <row r="10" spans="1:16" s="233" customFormat="1" ht="15.75" customHeight="1">
      <c r="A10" s="252">
        <v>1</v>
      </c>
      <c r="B10" s="12" t="s">
        <v>502</v>
      </c>
      <c r="C10" s="12"/>
      <c r="D10" s="12"/>
      <c r="E10" s="985" t="s">
        <v>272</v>
      </c>
      <c r="F10" s="987"/>
      <c r="G10" s="984"/>
      <c r="H10" s="239" t="s">
        <v>381</v>
      </c>
      <c r="I10" s="985" t="s">
        <v>274</v>
      </c>
      <c r="J10" s="986"/>
      <c r="K10" s="986"/>
      <c r="L10" s="987"/>
    </row>
    <row r="11" spans="1:16" s="233" customFormat="1" ht="13.9" customHeight="1">
      <c r="A11" s="252">
        <v>2</v>
      </c>
      <c r="B11" s="452"/>
      <c r="C11" s="335"/>
      <c r="D11" s="12"/>
      <c r="E11" s="240"/>
      <c r="F11" s="240"/>
      <c r="G11" s="608">
        <f>'3a- PJM Billings (PTRR)'!L20</f>
        <v>0</v>
      </c>
      <c r="H11" s="241"/>
      <c r="I11" s="240"/>
      <c r="J11" s="240"/>
      <c r="K11" s="240"/>
      <c r="L11" s="240"/>
      <c r="M11" s="584"/>
      <c r="N11" s="585"/>
      <c r="O11" s="585"/>
      <c r="P11" s="585"/>
    </row>
    <row r="12" spans="1:16" s="233" customFormat="1">
      <c r="B12" s="242" t="s">
        <v>57</v>
      </c>
      <c r="C12" s="242"/>
      <c r="D12" s="242" t="s">
        <v>58</v>
      </c>
      <c r="E12" s="239" t="s">
        <v>59</v>
      </c>
      <c r="F12" s="239" t="s">
        <v>60</v>
      </c>
      <c r="G12" s="237" t="s">
        <v>61</v>
      </c>
      <c r="H12" s="243" t="s">
        <v>62</v>
      </c>
      <c r="I12" s="243" t="s">
        <v>63</v>
      </c>
      <c r="J12" s="243" t="s">
        <v>64</v>
      </c>
      <c r="K12" s="243" t="s">
        <v>65</v>
      </c>
      <c r="L12" s="243" t="s">
        <v>66</v>
      </c>
      <c r="M12" s="584"/>
      <c r="N12" s="585"/>
      <c r="O12" s="585"/>
      <c r="P12" s="585"/>
    </row>
    <row r="13" spans="1:16" s="233" customFormat="1">
      <c r="A13" s="252"/>
      <c r="B13" s="240"/>
      <c r="C13" s="240"/>
      <c r="D13" s="237"/>
      <c r="E13" s="237"/>
      <c r="F13" s="255" t="s">
        <v>275</v>
      </c>
      <c r="G13" s="237" t="s">
        <v>385</v>
      </c>
      <c r="H13" s="237"/>
      <c r="I13" s="240"/>
      <c r="J13" s="237" t="s">
        <v>332</v>
      </c>
      <c r="K13" s="240"/>
      <c r="L13" s="240"/>
      <c r="M13" s="584"/>
      <c r="N13" s="585"/>
      <c r="O13" s="585"/>
      <c r="P13" s="585"/>
    </row>
    <row r="14" spans="1:16" s="233" customFormat="1">
      <c r="A14" s="252"/>
      <c r="B14" s="241"/>
      <c r="C14" s="241"/>
      <c r="D14" s="243" t="s">
        <v>280</v>
      </c>
      <c r="E14" s="243"/>
      <c r="F14" s="253" t="s">
        <v>13</v>
      </c>
      <c r="G14" s="243" t="s">
        <v>295</v>
      </c>
      <c r="H14" s="243" t="s">
        <v>332</v>
      </c>
      <c r="I14" s="243" t="s">
        <v>296</v>
      </c>
      <c r="J14" s="243" t="s">
        <v>248</v>
      </c>
      <c r="K14" s="243" t="s">
        <v>283</v>
      </c>
      <c r="L14" s="243"/>
      <c r="M14" s="584"/>
      <c r="N14" s="585"/>
      <c r="O14" s="585"/>
      <c r="P14" s="585"/>
    </row>
    <row r="15" spans="1:16" s="233" customFormat="1">
      <c r="A15" s="252"/>
      <c r="B15" s="243"/>
      <c r="C15" s="243"/>
      <c r="D15" s="243" t="s">
        <v>404</v>
      </c>
      <c r="E15" s="243" t="s">
        <v>276</v>
      </c>
      <c r="F15" s="253" t="s">
        <v>254</v>
      </c>
      <c r="G15" s="243" t="s">
        <v>279</v>
      </c>
      <c r="H15" s="243" t="s">
        <v>276</v>
      </c>
      <c r="I15" s="243" t="s">
        <v>255</v>
      </c>
      <c r="J15" s="243" t="s">
        <v>277</v>
      </c>
      <c r="K15" s="260" t="s">
        <v>329</v>
      </c>
      <c r="L15" s="243" t="s">
        <v>289</v>
      </c>
      <c r="M15" s="584"/>
      <c r="N15" s="585"/>
      <c r="O15" s="585"/>
      <c r="P15" s="585"/>
    </row>
    <row r="16" spans="1:16" s="233" customFormat="1" ht="15.75">
      <c r="A16" s="252"/>
      <c r="B16" s="239" t="s">
        <v>278</v>
      </c>
      <c r="C16" s="239" t="s">
        <v>400</v>
      </c>
      <c r="D16" s="239" t="s">
        <v>405</v>
      </c>
      <c r="E16" s="239" t="s">
        <v>1011</v>
      </c>
      <c r="F16" s="253" t="s">
        <v>273</v>
      </c>
      <c r="G16" s="256" t="s">
        <v>382</v>
      </c>
      <c r="H16" s="239" t="s">
        <v>1012</v>
      </c>
      <c r="I16" s="239" t="s">
        <v>383</v>
      </c>
      <c r="J16" s="239" t="s">
        <v>333</v>
      </c>
      <c r="K16" s="259" t="s">
        <v>334</v>
      </c>
      <c r="L16" s="239" t="s">
        <v>384</v>
      </c>
      <c r="M16" s="584"/>
      <c r="N16" s="585"/>
      <c r="O16" s="585"/>
      <c r="P16" s="585"/>
    </row>
    <row r="17" spans="1:16" s="233" customFormat="1">
      <c r="A17" s="252">
        <v>3</v>
      </c>
      <c r="B17" s="278" t="s">
        <v>944</v>
      </c>
      <c r="C17" s="278"/>
      <c r="D17" s="249"/>
      <c r="E17" s="261">
        <v>0</v>
      </c>
      <c r="F17" s="274">
        <f>IF(E$29=0,0,E17/E$29)</f>
        <v>0</v>
      </c>
      <c r="G17" s="265">
        <f>IF(G$11=0,0,F17*G$11)</f>
        <v>0</v>
      </c>
      <c r="H17" s="266">
        <v>0</v>
      </c>
      <c r="I17" s="269">
        <f>+H17-G17</f>
        <v>0</v>
      </c>
      <c r="J17" s="269">
        <f>+$J$31*F17</f>
        <v>0</v>
      </c>
      <c r="K17" s="270"/>
      <c r="L17" s="323">
        <f>+I17+J17+K17</f>
        <v>0</v>
      </c>
      <c r="M17" s="584"/>
      <c r="N17" s="585"/>
      <c r="O17" s="585"/>
      <c r="P17" s="585"/>
    </row>
    <row r="18" spans="1:16" s="233" customFormat="1">
      <c r="A18" s="250"/>
      <c r="B18" s="243"/>
      <c r="C18" s="243"/>
      <c r="D18" s="241"/>
      <c r="E18" s="312"/>
      <c r="F18" s="313"/>
      <c r="G18" s="314"/>
      <c r="H18" s="314"/>
      <c r="I18" s="315"/>
      <c r="J18" s="315"/>
      <c r="K18" s="315"/>
      <c r="L18" s="315"/>
    </row>
    <row r="19" spans="1:16" s="233" customFormat="1">
      <c r="A19" s="252" t="s">
        <v>408</v>
      </c>
      <c r="B19" s="278"/>
      <c r="C19" s="278"/>
      <c r="D19" s="334"/>
      <c r="E19" s="262">
        <v>0</v>
      </c>
      <c r="F19" s="275">
        <f>IF(E$29=0,0,E19/E$29)</f>
        <v>0</v>
      </c>
      <c r="G19" s="265">
        <f>IF(G$11=0,0,F19*G$11)</f>
        <v>0</v>
      </c>
      <c r="H19" s="267">
        <v>0</v>
      </c>
      <c r="I19" s="271">
        <f>+H19-G19</f>
        <v>0</v>
      </c>
      <c r="J19" s="269">
        <f>+$J$31*F19</f>
        <v>0</v>
      </c>
      <c r="K19" s="272">
        <f>D38</f>
        <v>0</v>
      </c>
      <c r="L19" s="269">
        <f>+I19+J19+K19</f>
        <v>0</v>
      </c>
    </row>
    <row r="20" spans="1:16" s="233" customFormat="1">
      <c r="A20" s="252" t="s">
        <v>409</v>
      </c>
      <c r="B20" s="278"/>
      <c r="C20" s="278"/>
      <c r="D20" s="249"/>
      <c r="E20" s="262">
        <v>0</v>
      </c>
      <c r="F20" s="275">
        <f>IF(E$29=0,0,E20/E$29)</f>
        <v>0</v>
      </c>
      <c r="G20" s="265">
        <f>IF(G$11=0,0,F20*G$11)</f>
        <v>0</v>
      </c>
      <c r="H20" s="267">
        <f>+'1-Project Rev Req'!R64</f>
        <v>0</v>
      </c>
      <c r="I20" s="271">
        <f>+H20-G20</f>
        <v>0</v>
      </c>
      <c r="J20" s="269">
        <f>+$J$31*F20</f>
        <v>0</v>
      </c>
      <c r="K20" s="272">
        <v>0</v>
      </c>
      <c r="L20" s="269">
        <f>+I20+J20+K20</f>
        <v>0</v>
      </c>
    </row>
    <row r="21" spans="1:16" s="233" customFormat="1">
      <c r="A21" s="250">
        <v>5</v>
      </c>
      <c r="B21" s="237" t="s">
        <v>402</v>
      </c>
      <c r="C21" s="237"/>
      <c r="D21" s="240"/>
      <c r="E21" s="317">
        <f>+E19+E20</f>
        <v>0</v>
      </c>
      <c r="F21" s="318"/>
      <c r="G21" s="317">
        <f t="shared" ref="G21:L21" si="0">+G19+G20</f>
        <v>0</v>
      </c>
      <c r="H21" s="317">
        <f t="shared" si="0"/>
        <v>0</v>
      </c>
      <c r="I21" s="317">
        <f t="shared" si="0"/>
        <v>0</v>
      </c>
      <c r="J21" s="317">
        <f t="shared" si="0"/>
        <v>0</v>
      </c>
      <c r="K21" s="317">
        <f t="shared" si="0"/>
        <v>0</v>
      </c>
      <c r="L21" s="320">
        <f t="shared" si="0"/>
        <v>0</v>
      </c>
    </row>
    <row r="22" spans="1:16" s="233" customFormat="1">
      <c r="A22" s="250"/>
      <c r="B22" s="243"/>
      <c r="C22" s="243"/>
      <c r="D22" s="241"/>
      <c r="E22" s="312"/>
      <c r="F22" s="313"/>
      <c r="G22" s="314"/>
      <c r="H22" s="314"/>
      <c r="I22" s="316"/>
      <c r="J22" s="315"/>
      <c r="K22" s="316"/>
      <c r="L22" s="315"/>
    </row>
    <row r="23" spans="1:16" s="233" customFormat="1">
      <c r="A23" s="252" t="s">
        <v>410</v>
      </c>
      <c r="B23" s="278"/>
      <c r="C23" s="278" t="s">
        <v>401</v>
      </c>
      <c r="D23" s="249"/>
      <c r="E23" s="262">
        <v>0</v>
      </c>
      <c r="F23" s="275">
        <f>IF(E$29=0,0,E23/E$29)</f>
        <v>0</v>
      </c>
      <c r="G23" s="265">
        <f>IF(G$11=0,0,F23*G$11)</f>
        <v>0</v>
      </c>
      <c r="H23" s="267">
        <v>0</v>
      </c>
      <c r="I23" s="271">
        <f>+H23-G23</f>
        <v>0</v>
      </c>
      <c r="J23" s="269">
        <f>+$J$31*F23</f>
        <v>0</v>
      </c>
      <c r="K23" s="272">
        <v>0</v>
      </c>
      <c r="L23" s="269">
        <f>+I23+J23+K23</f>
        <v>0</v>
      </c>
    </row>
    <row r="24" spans="1:16" s="233" customFormat="1">
      <c r="A24" s="252" t="s">
        <v>411</v>
      </c>
      <c r="B24" s="278"/>
      <c r="C24" s="278"/>
      <c r="D24" s="249"/>
      <c r="E24" s="262">
        <v>0</v>
      </c>
      <c r="F24" s="275">
        <f>IF(E$29=0,0,E24/E$29)</f>
        <v>0</v>
      </c>
      <c r="G24" s="265">
        <f>IF(G$11=0,0,F24*G$11)</f>
        <v>0</v>
      </c>
      <c r="H24" s="267">
        <f>+'1-Project Rev Req'!R68</f>
        <v>0</v>
      </c>
      <c r="I24" s="271">
        <f>+H24-G24</f>
        <v>0</v>
      </c>
      <c r="J24" s="269">
        <f>+$J$31*F24</f>
        <v>0</v>
      </c>
      <c r="K24" s="272">
        <v>0</v>
      </c>
      <c r="L24" s="269">
        <f>+I24+J24+K24</f>
        <v>0</v>
      </c>
    </row>
    <row r="25" spans="1:16" s="233" customFormat="1">
      <c r="A25" s="250">
        <v>7</v>
      </c>
      <c r="B25" s="237" t="s">
        <v>403</v>
      </c>
      <c r="C25" s="237"/>
      <c r="D25" s="240"/>
      <c r="E25" s="317">
        <f>+E23+E24</f>
        <v>0</v>
      </c>
      <c r="F25" s="318"/>
      <c r="G25" s="320">
        <f t="shared" ref="G25:L25" si="1">+G23+G24</f>
        <v>0</v>
      </c>
      <c r="H25" s="218">
        <f t="shared" si="1"/>
        <v>0</v>
      </c>
      <c r="I25" s="317">
        <f t="shared" si="1"/>
        <v>0</v>
      </c>
      <c r="J25" s="317">
        <f t="shared" si="1"/>
        <v>0</v>
      </c>
      <c r="K25" s="317">
        <f t="shared" si="1"/>
        <v>0</v>
      </c>
      <c r="L25" s="320">
        <f t="shared" si="1"/>
        <v>0</v>
      </c>
    </row>
    <row r="26" spans="1:16" s="233" customFormat="1">
      <c r="A26" s="250"/>
      <c r="B26" s="243"/>
      <c r="C26" s="243"/>
      <c r="D26" s="241"/>
      <c r="E26" s="312"/>
      <c r="F26" s="313"/>
      <c r="G26" s="316"/>
      <c r="H26" s="314"/>
      <c r="I26" s="316"/>
      <c r="J26" s="315"/>
      <c r="K26" s="316"/>
      <c r="L26" s="315"/>
    </row>
    <row r="27" spans="1:16" s="233" customFormat="1">
      <c r="A27" s="252">
        <f>+A25+1</f>
        <v>8</v>
      </c>
      <c r="B27" s="278" t="s">
        <v>302</v>
      </c>
      <c r="C27" s="278"/>
      <c r="D27" s="249"/>
      <c r="E27" s="262"/>
      <c r="F27" s="275"/>
      <c r="G27" s="271"/>
      <c r="H27" s="267"/>
      <c r="I27" s="271"/>
      <c r="J27" s="269"/>
      <c r="K27" s="272"/>
      <c r="L27" s="269"/>
    </row>
    <row r="28" spans="1:16">
      <c r="A28" s="252"/>
      <c r="B28" s="244"/>
      <c r="C28" s="244"/>
      <c r="D28" s="244"/>
      <c r="E28" s="263"/>
      <c r="F28" s="276"/>
      <c r="G28" s="273"/>
      <c r="H28" s="268"/>
      <c r="I28" s="273"/>
      <c r="J28" s="273"/>
      <c r="K28" s="273"/>
      <c r="L28" s="273"/>
    </row>
    <row r="29" spans="1:16">
      <c r="A29" s="252">
        <f>+A27+1</f>
        <v>9</v>
      </c>
      <c r="B29" s="12" t="s">
        <v>328</v>
      </c>
      <c r="C29" s="12"/>
      <c r="D29" s="12"/>
      <c r="E29" s="264">
        <f>+E17+E21+E25+E27</f>
        <v>0</v>
      </c>
      <c r="F29" s="277">
        <f>SUM(F17:F28)</f>
        <v>0</v>
      </c>
      <c r="G29" s="264">
        <f t="shared" ref="G29:L29" si="2">+G17+G21+G25+G27</f>
        <v>0</v>
      </c>
      <c r="H29" s="264">
        <f t="shared" si="2"/>
        <v>0</v>
      </c>
      <c r="I29" s="264">
        <f t="shared" si="2"/>
        <v>0</v>
      </c>
      <c r="J29" s="264">
        <f t="shared" si="2"/>
        <v>0</v>
      </c>
      <c r="K29" s="264">
        <f t="shared" si="2"/>
        <v>0</v>
      </c>
      <c r="L29" s="264">
        <f t="shared" si="2"/>
        <v>0</v>
      </c>
    </row>
    <row r="30" spans="1:16">
      <c r="A30" s="252"/>
      <c r="B30" s="12"/>
      <c r="C30" s="12"/>
      <c r="D30" s="12"/>
      <c r="E30" s="245"/>
      <c r="F30" s="245"/>
      <c r="G30" s="245"/>
      <c r="H30" s="264"/>
      <c r="I30" s="245"/>
      <c r="J30" s="245"/>
      <c r="K30" s="245"/>
      <c r="L30" s="245"/>
    </row>
    <row r="31" spans="1:16">
      <c r="A31" s="252">
        <f>+A29+1</f>
        <v>10</v>
      </c>
      <c r="B31" s="12"/>
      <c r="C31" s="12"/>
      <c r="D31" s="12"/>
      <c r="E31" s="245"/>
      <c r="F31" s="245"/>
      <c r="G31" s="444"/>
      <c r="H31" s="444" t="s">
        <v>439</v>
      </c>
      <c r="I31" s="444"/>
      <c r="J31" s="449">
        <f>+'6 - True-Up Interest'!I57</f>
        <v>0</v>
      </c>
      <c r="K31" s="245"/>
      <c r="L31" s="245"/>
    </row>
    <row r="32" spans="1:16">
      <c r="A32" s="252"/>
      <c r="B32" s="12"/>
      <c r="C32" s="12"/>
      <c r="D32" s="12"/>
      <c r="E32" s="245"/>
      <c r="F32" s="245"/>
      <c r="G32" s="245"/>
      <c r="H32" s="245"/>
      <c r="I32" s="245"/>
      <c r="J32" s="245"/>
      <c r="K32" s="245"/>
      <c r="L32" s="245"/>
      <c r="M32" s="245"/>
    </row>
    <row r="33" spans="1:21">
      <c r="A33" s="252"/>
      <c r="E33" s="22"/>
      <c r="F33" s="22"/>
      <c r="G33" s="22"/>
      <c r="H33" s="22"/>
      <c r="I33" s="22"/>
    </row>
    <row r="34" spans="1:21">
      <c r="A34" s="254" t="s">
        <v>285</v>
      </c>
      <c r="E34" s="22"/>
      <c r="F34" s="22"/>
      <c r="G34" s="22"/>
      <c r="H34" s="22"/>
      <c r="I34" s="22"/>
    </row>
    <row r="35" spans="1:21" ht="15">
      <c r="A35" s="250"/>
      <c r="B35" s="231" t="s">
        <v>57</v>
      </c>
      <c r="C35" s="231"/>
      <c r="D35" s="231" t="s">
        <v>58</v>
      </c>
      <c r="E35" s="596"/>
      <c r="F35" s="596"/>
      <c r="G35" s="596"/>
      <c r="H35" s="596"/>
    </row>
    <row r="36" spans="1:21" ht="15">
      <c r="A36" s="250"/>
      <c r="B36" s="246" t="str">
        <f>+A34</f>
        <v>Prior Period Adjustment</v>
      </c>
      <c r="C36" s="246"/>
      <c r="D36" s="247" t="s">
        <v>330</v>
      </c>
      <c r="E36" s="596"/>
      <c r="F36" s="596"/>
      <c r="G36" s="596"/>
      <c r="H36" s="596"/>
    </row>
    <row r="37" spans="1:21" ht="15">
      <c r="A37" s="250"/>
      <c r="B37" s="248" t="s">
        <v>335</v>
      </c>
      <c r="C37" s="248" t="s">
        <v>187</v>
      </c>
      <c r="D37" s="383" t="s">
        <v>11</v>
      </c>
      <c r="E37" s="596"/>
      <c r="F37" s="596"/>
      <c r="G37" s="596"/>
      <c r="H37" s="596"/>
    </row>
    <row r="38" spans="1:21" ht="15">
      <c r="A38" s="250">
        <f>+A31+1</f>
        <v>11</v>
      </c>
      <c r="B38" s="460"/>
      <c r="C38" s="609" t="s">
        <v>297</v>
      </c>
      <c r="D38" s="189">
        <f>+'8-Corrections'!F30</f>
        <v>0</v>
      </c>
      <c r="E38" s="596"/>
      <c r="F38" s="596"/>
      <c r="H38" s="596"/>
    </row>
    <row r="39" spans="1:21" ht="15">
      <c r="A39" s="250"/>
      <c r="B39" s="248"/>
      <c r="C39" s="248"/>
      <c r="D39" s="232"/>
      <c r="E39" s="596"/>
      <c r="F39" s="596"/>
      <c r="G39" s="596"/>
      <c r="H39" s="596"/>
    </row>
    <row r="40" spans="1:21" ht="15">
      <c r="A40" s="250"/>
      <c r="E40" s="596"/>
      <c r="F40" s="596"/>
      <c r="G40" s="596"/>
      <c r="H40" s="596"/>
      <c r="I40" s="14"/>
    </row>
    <row r="41" spans="1:21" ht="14.25" customHeight="1">
      <c r="A41" s="319" t="s">
        <v>168</v>
      </c>
      <c r="B41" s="382"/>
      <c r="C41" s="12"/>
      <c r="D41" s="12"/>
      <c r="E41" s="12"/>
      <c r="F41" s="12"/>
      <c r="G41" s="12"/>
      <c r="H41" s="12"/>
      <c r="I41" s="12"/>
      <c r="J41" s="12"/>
      <c r="K41" s="12"/>
      <c r="L41" s="12"/>
      <c r="M41" s="12"/>
    </row>
    <row r="42" spans="1:21">
      <c r="A42" s="443" t="s">
        <v>462</v>
      </c>
      <c r="B42" s="184" t="s">
        <v>850</v>
      </c>
      <c r="C42" s="184"/>
      <c r="D42" s="184"/>
      <c r="E42" s="184"/>
      <c r="F42" s="184"/>
      <c r="G42" s="184"/>
      <c r="H42" s="184"/>
      <c r="I42" s="184"/>
      <c r="J42" s="184"/>
      <c r="K42" s="184"/>
      <c r="L42" s="184"/>
      <c r="M42" s="12"/>
    </row>
    <row r="43" spans="1:21">
      <c r="A43" s="443" t="s">
        <v>463</v>
      </c>
      <c r="B43" s="184" t="s">
        <v>511</v>
      </c>
      <c r="C43" s="184"/>
      <c r="D43" s="184"/>
      <c r="E43" s="184"/>
      <c r="F43" s="184"/>
      <c r="G43" s="184"/>
      <c r="H43" s="184"/>
      <c r="I43" s="184"/>
      <c r="J43" s="184"/>
      <c r="K43" s="184"/>
      <c r="L43" s="184"/>
      <c r="M43" s="12"/>
    </row>
    <row r="44" spans="1:21">
      <c r="A44" s="443" t="s">
        <v>464</v>
      </c>
      <c r="B44" s="184" t="s">
        <v>512</v>
      </c>
      <c r="C44" s="184"/>
      <c r="D44" s="184"/>
      <c r="E44" s="184"/>
      <c r="F44" s="184"/>
      <c r="G44" s="184"/>
      <c r="H44" s="184"/>
      <c r="I44" s="184"/>
      <c r="J44" s="184"/>
      <c r="K44" s="184"/>
      <c r="L44" s="184"/>
      <c r="M44" s="12"/>
    </row>
    <row r="45" spans="1:21" ht="28.5" customHeight="1">
      <c r="A45" s="443" t="s">
        <v>465</v>
      </c>
      <c r="B45" s="966" t="s">
        <v>513</v>
      </c>
      <c r="C45" s="966"/>
      <c r="D45" s="966"/>
      <c r="E45" s="966"/>
      <c r="F45" s="966"/>
      <c r="G45" s="966"/>
      <c r="H45" s="966"/>
      <c r="I45" s="966"/>
      <c r="J45" s="966"/>
      <c r="K45" s="966"/>
      <c r="L45" s="966"/>
      <c r="M45" s="572"/>
      <c r="N45" s="572"/>
      <c r="O45" s="572"/>
      <c r="P45" s="572"/>
      <c r="Q45" s="572"/>
      <c r="R45" s="572"/>
      <c r="S45" s="572"/>
      <c r="T45" s="572"/>
      <c r="U45" s="572"/>
    </row>
    <row r="46" spans="1:21" ht="20.25" customHeight="1">
      <c r="A46" s="443" t="s">
        <v>466</v>
      </c>
      <c r="B46" s="982" t="s">
        <v>467</v>
      </c>
      <c r="C46" s="982"/>
      <c r="D46" s="982"/>
      <c r="E46" s="982"/>
      <c r="F46" s="982"/>
      <c r="G46" s="982"/>
      <c r="H46" s="982"/>
      <c r="I46" s="982"/>
      <c r="J46" s="982"/>
      <c r="K46" s="982"/>
      <c r="L46" s="982"/>
      <c r="M46" s="12"/>
    </row>
    <row r="47" spans="1:21">
      <c r="A47" s="252"/>
      <c r="B47" s="12"/>
      <c r="C47" s="12"/>
      <c r="D47" s="12"/>
      <c r="E47" s="12"/>
      <c r="F47" s="12"/>
      <c r="G47" s="12"/>
      <c r="H47" s="12"/>
      <c r="I47" s="12"/>
      <c r="J47" s="12"/>
      <c r="K47" s="12"/>
      <c r="L47" s="12"/>
      <c r="M47" s="12"/>
    </row>
    <row r="48" spans="1:21">
      <c r="A48" s="252"/>
      <c r="B48" s="12"/>
      <c r="C48" s="12"/>
      <c r="D48" s="12"/>
      <c r="E48" s="12"/>
      <c r="F48" s="12"/>
      <c r="G48" s="12"/>
      <c r="H48" s="12"/>
      <c r="I48" s="12"/>
      <c r="J48" s="12"/>
      <c r="K48" s="12"/>
      <c r="L48" s="12"/>
      <c r="M48" s="12"/>
    </row>
  </sheetData>
  <mergeCells count="8">
    <mergeCell ref="B46:L46"/>
    <mergeCell ref="B6:L6"/>
    <mergeCell ref="G9:G10"/>
    <mergeCell ref="I10:L10"/>
    <mergeCell ref="E9:F9"/>
    <mergeCell ref="E10:F10"/>
    <mergeCell ref="B45:L45"/>
    <mergeCell ref="B7:J7"/>
  </mergeCells>
  <pageMargins left="0.25" right="0.25" top="0.75" bottom="0.75" header="0.3" footer="0.3"/>
  <pageSetup scale="6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39058-ADE4-41CD-84DD-658B46171DB7}">
  <dimension ref="B1:Y88"/>
  <sheetViews>
    <sheetView zoomScale="80" zoomScaleNormal="80" workbookViewId="0">
      <selection activeCell="O23" sqref="O23"/>
    </sheetView>
  </sheetViews>
  <sheetFormatPr defaultColWidth="8.77734375" defaultRowHeight="15.75"/>
  <cols>
    <col min="1" max="1" width="1.44140625" style="158" customWidth="1"/>
    <col min="2" max="2" width="4.21875" style="610" bestFit="1" customWidth="1"/>
    <col min="3" max="3" width="1.44140625" style="158" customWidth="1"/>
    <col min="4" max="4" width="8.77734375" style="611"/>
    <col min="5" max="5" width="1.44140625" style="158" customWidth="1"/>
    <col min="6" max="6" width="18.77734375" style="185" customWidth="1"/>
    <col min="7" max="7" width="1.44140625" style="158" customWidth="1"/>
    <col min="8" max="8" width="12.21875" style="185" bestFit="1" customWidth="1"/>
    <col min="9" max="9" width="1.44140625" style="158" customWidth="1"/>
    <col min="10" max="10" width="12.21875" style="185" bestFit="1" customWidth="1"/>
    <col min="11" max="11" width="1.44140625" style="158" customWidth="1"/>
    <col min="12" max="12" width="14.21875" style="185" customWidth="1"/>
    <col min="13" max="14" width="8.77734375" style="158"/>
    <col min="15" max="15" width="13.44140625" style="158" bestFit="1" customWidth="1"/>
    <col min="16" max="16384" width="8.77734375" style="158"/>
  </cols>
  <sheetData>
    <row r="1" spans="2:12">
      <c r="E1" s="991" t="s">
        <v>782</v>
      </c>
      <c r="F1" s="991"/>
      <c r="G1" s="991"/>
      <c r="H1" s="991"/>
      <c r="I1" s="991"/>
      <c r="J1" s="991"/>
      <c r="K1" s="991"/>
      <c r="L1" s="991"/>
    </row>
    <row r="2" spans="2:12">
      <c r="E2" s="992" t="s">
        <v>783</v>
      </c>
      <c r="F2" s="992"/>
      <c r="G2" s="992"/>
      <c r="H2" s="992"/>
      <c r="I2" s="992"/>
      <c r="J2" s="992"/>
      <c r="K2" s="992"/>
      <c r="L2" s="992"/>
    </row>
    <row r="3" spans="2:12">
      <c r="E3" s="993" t="str">
        <f>'Attachment H-39A'!D5</f>
        <v>Valley Link Transmission West Virginia, LLC</v>
      </c>
      <c r="F3" s="993"/>
      <c r="G3" s="993"/>
      <c r="H3" s="993"/>
      <c r="I3" s="993"/>
      <c r="J3" s="993"/>
      <c r="K3" s="993"/>
      <c r="L3" s="993"/>
    </row>
    <row r="4" spans="2:12">
      <c r="F4" s="401"/>
    </row>
    <row r="5" spans="2:12">
      <c r="D5" s="612" t="s">
        <v>545</v>
      </c>
      <c r="E5" s="613"/>
      <c r="F5" s="612" t="str">
        <f>"("&amp;CHAR(CODE(MID(D5,2,1))+1)&amp;")"</f>
        <v>(B)</v>
      </c>
      <c r="H5" s="612" t="str">
        <f t="shared" ref="H5" si="0">"("&amp;CHAR(CODE(MID(F5,2,1))+1)&amp;")"</f>
        <v>(C)</v>
      </c>
      <c r="J5" s="612" t="str">
        <f t="shared" ref="J5" si="1">"("&amp;CHAR(CODE(MID(H5,2,1))+1)&amp;")"</f>
        <v>(D)</v>
      </c>
      <c r="L5" s="612" t="str">
        <f>"("&amp;CHAR(CODE(MID(J5,2,1))+1)&amp;")"</f>
        <v>(E)</v>
      </c>
    </row>
    <row r="6" spans="2:12">
      <c r="F6" s="614" t="s">
        <v>775</v>
      </c>
      <c r="G6" s="615"/>
      <c r="H6" s="616"/>
      <c r="I6" s="616"/>
      <c r="J6" s="616"/>
    </row>
    <row r="7" spans="2:12">
      <c r="B7" s="617"/>
      <c r="D7" s="618" t="s">
        <v>153</v>
      </c>
      <c r="F7" s="619" t="s">
        <v>779</v>
      </c>
      <c r="G7" s="399" t="s">
        <v>776</v>
      </c>
      <c r="H7" s="619" t="s">
        <v>777</v>
      </c>
      <c r="I7" s="399" t="s">
        <v>776</v>
      </c>
      <c r="J7" s="619" t="s">
        <v>778</v>
      </c>
      <c r="K7" s="399" t="s">
        <v>51</v>
      </c>
      <c r="L7" s="618" t="s">
        <v>13</v>
      </c>
    </row>
    <row r="8" spans="2:12">
      <c r="B8" s="610">
        <v>1</v>
      </c>
      <c r="D8" s="611" t="s">
        <v>80</v>
      </c>
      <c r="F8" s="402"/>
      <c r="H8" s="401"/>
      <c r="J8" s="401"/>
      <c r="L8" s="401">
        <f>F8-H8-J8</f>
        <v>0</v>
      </c>
    </row>
    <row r="9" spans="2:12">
      <c r="B9" s="610">
        <f>B8+1</f>
        <v>2</v>
      </c>
      <c r="D9" s="611" t="s">
        <v>79</v>
      </c>
      <c r="F9" s="402"/>
      <c r="H9" s="401"/>
      <c r="J9" s="401"/>
      <c r="L9" s="401">
        <f t="shared" ref="L9:L19" si="2">F9-H9-J9</f>
        <v>0</v>
      </c>
    </row>
    <row r="10" spans="2:12">
      <c r="B10" s="610">
        <f>B9+1</f>
        <v>3</v>
      </c>
      <c r="D10" s="611" t="s">
        <v>78</v>
      </c>
      <c r="F10" s="402"/>
      <c r="H10" s="401"/>
      <c r="J10" s="401"/>
      <c r="L10" s="401">
        <f t="shared" si="2"/>
        <v>0</v>
      </c>
    </row>
    <row r="11" spans="2:12">
      <c r="B11" s="610">
        <f t="shared" ref="B11:B20" si="3">B10+1</f>
        <v>4</v>
      </c>
      <c r="D11" s="611" t="s">
        <v>71</v>
      </c>
      <c r="F11" s="402"/>
      <c r="H11" s="401"/>
      <c r="J11" s="401"/>
      <c r="L11" s="401">
        <f t="shared" si="2"/>
        <v>0</v>
      </c>
    </row>
    <row r="12" spans="2:12">
      <c r="B12" s="610">
        <f t="shared" si="3"/>
        <v>5</v>
      </c>
      <c r="D12" s="611" t="s">
        <v>70</v>
      </c>
      <c r="F12" s="402"/>
      <c r="H12" s="401"/>
      <c r="J12" s="401"/>
      <c r="L12" s="401">
        <f>F12-H12-J12</f>
        <v>0</v>
      </c>
    </row>
    <row r="13" spans="2:12">
      <c r="B13" s="610">
        <f t="shared" si="3"/>
        <v>6</v>
      </c>
      <c r="D13" s="611" t="s">
        <v>87</v>
      </c>
      <c r="F13" s="402"/>
      <c r="H13" s="401"/>
      <c r="J13" s="401"/>
      <c r="L13" s="401">
        <f t="shared" si="2"/>
        <v>0</v>
      </c>
    </row>
    <row r="14" spans="2:12">
      <c r="B14" s="610">
        <f t="shared" si="3"/>
        <v>7</v>
      </c>
      <c r="D14" s="611" t="s">
        <v>77</v>
      </c>
      <c r="F14" s="402"/>
      <c r="H14" s="401"/>
      <c r="J14" s="401"/>
      <c r="L14" s="401">
        <f t="shared" si="2"/>
        <v>0</v>
      </c>
    </row>
    <row r="15" spans="2:12">
      <c r="B15" s="610">
        <f t="shared" si="3"/>
        <v>8</v>
      </c>
      <c r="D15" s="611" t="s">
        <v>76</v>
      </c>
      <c r="F15" s="402"/>
      <c r="H15" s="401"/>
      <c r="J15" s="401"/>
      <c r="L15" s="401">
        <f t="shared" si="2"/>
        <v>0</v>
      </c>
    </row>
    <row r="16" spans="2:12">
      <c r="B16" s="610">
        <f t="shared" si="3"/>
        <v>9</v>
      </c>
      <c r="D16" s="611" t="s">
        <v>75</v>
      </c>
      <c r="F16" s="402"/>
      <c r="H16" s="401"/>
      <c r="J16" s="401"/>
      <c r="L16" s="401">
        <f t="shared" si="2"/>
        <v>0</v>
      </c>
    </row>
    <row r="17" spans="2:25">
      <c r="B17" s="610">
        <f t="shared" si="3"/>
        <v>10</v>
      </c>
      <c r="D17" s="611" t="s">
        <v>81</v>
      </c>
      <c r="F17" s="402"/>
      <c r="H17" s="401"/>
      <c r="J17" s="401"/>
      <c r="L17" s="401">
        <f t="shared" si="2"/>
        <v>0</v>
      </c>
    </row>
    <row r="18" spans="2:25">
      <c r="B18" s="610">
        <f t="shared" si="3"/>
        <v>11</v>
      </c>
      <c r="D18" s="611" t="s">
        <v>74</v>
      </c>
      <c r="F18" s="402"/>
      <c r="H18" s="401"/>
      <c r="J18" s="401"/>
      <c r="L18" s="401">
        <f t="shared" si="2"/>
        <v>0</v>
      </c>
    </row>
    <row r="19" spans="2:25">
      <c r="B19" s="610">
        <f t="shared" si="3"/>
        <v>12</v>
      </c>
      <c r="D19" s="611" t="s">
        <v>73</v>
      </c>
      <c r="F19" s="402"/>
      <c r="H19" s="620"/>
      <c r="J19" s="620"/>
      <c r="L19" s="401">
        <f t="shared" si="2"/>
        <v>0</v>
      </c>
    </row>
    <row r="20" spans="2:25">
      <c r="B20" s="610">
        <f t="shared" si="3"/>
        <v>13</v>
      </c>
      <c r="D20" s="611" t="s">
        <v>13</v>
      </c>
      <c r="F20" s="621">
        <f>SUM(F8:F19)</f>
        <v>0</v>
      </c>
      <c r="H20" s="402">
        <v>0</v>
      </c>
      <c r="J20" s="402">
        <v>0</v>
      </c>
      <c r="L20" s="621">
        <f>F20-H20-J20</f>
        <v>0</v>
      </c>
    </row>
    <row r="21" spans="2:25">
      <c r="F21" s="173"/>
      <c r="H21" s="401"/>
      <c r="J21" s="401"/>
      <c r="L21" s="173"/>
    </row>
    <row r="22" spans="2:25">
      <c r="F22" s="173"/>
      <c r="H22" s="401"/>
      <c r="J22" s="401"/>
      <c r="L22" s="173"/>
    </row>
    <row r="23" spans="2:25" ht="15.6" customHeight="1">
      <c r="D23" s="622" t="s">
        <v>363</v>
      </c>
      <c r="F23" s="623"/>
      <c r="H23" s="624"/>
      <c r="I23" s="624"/>
      <c r="J23" s="624"/>
    </row>
    <row r="24" spans="2:25" ht="33.6" customHeight="1">
      <c r="D24" s="990" t="s">
        <v>780</v>
      </c>
      <c r="E24" s="990"/>
      <c r="F24" s="990"/>
      <c r="G24" s="990"/>
      <c r="H24" s="990"/>
      <c r="I24" s="990"/>
      <c r="J24" s="990"/>
      <c r="K24" s="990"/>
      <c r="L24" s="990"/>
    </row>
    <row r="25" spans="2:25" ht="15.6" customHeight="1">
      <c r="D25" s="990" t="s">
        <v>949</v>
      </c>
      <c r="E25" s="990"/>
      <c r="F25" s="990"/>
      <c r="G25" s="990"/>
      <c r="H25" s="990"/>
      <c r="I25" s="990"/>
      <c r="J25" s="990"/>
      <c r="K25" s="990"/>
      <c r="L25" s="990"/>
    </row>
    <row r="26" spans="2:25">
      <c r="D26" s="990"/>
      <c r="E26" s="990"/>
      <c r="F26" s="990"/>
      <c r="G26" s="990"/>
      <c r="H26" s="990"/>
      <c r="I26" s="990"/>
      <c r="J26" s="990"/>
      <c r="K26" s="990"/>
      <c r="L26" s="990"/>
    </row>
    <row r="27" spans="2:25">
      <c r="D27" s="990"/>
      <c r="E27" s="990"/>
      <c r="F27" s="990"/>
      <c r="G27" s="990"/>
      <c r="H27" s="990"/>
      <c r="I27" s="990"/>
      <c r="J27" s="990"/>
      <c r="K27" s="990"/>
      <c r="L27" s="990"/>
      <c r="N27" s="404"/>
      <c r="O27" s="404"/>
      <c r="P27" s="404"/>
      <c r="Q27" s="404"/>
      <c r="R27" s="404"/>
      <c r="S27" s="404"/>
      <c r="T27" s="404"/>
      <c r="U27" s="404"/>
      <c r="V27" s="404"/>
      <c r="W27" s="404"/>
      <c r="X27" s="404"/>
      <c r="Y27" s="404"/>
    </row>
    <row r="28" spans="2:25">
      <c r="F28" s="623"/>
      <c r="H28" s="624"/>
      <c r="I28" s="624"/>
      <c r="J28" s="624"/>
      <c r="N28" s="404"/>
      <c r="O28" s="404"/>
      <c r="P28" s="404"/>
      <c r="Q28" s="404"/>
      <c r="R28" s="404"/>
      <c r="S28" s="404"/>
      <c r="T28" s="404"/>
      <c r="U28" s="404"/>
      <c r="V28" s="404"/>
      <c r="W28" s="404"/>
      <c r="X28" s="404"/>
      <c r="Y28" s="404"/>
    </row>
    <row r="29" spans="2:25">
      <c r="F29" s="623"/>
      <c r="H29" s="624"/>
      <c r="I29" s="624"/>
      <c r="J29" s="624"/>
    </row>
    <row r="30" spans="2:25">
      <c r="F30" s="623"/>
      <c r="H30" s="624"/>
      <c r="I30" s="624"/>
      <c r="J30" s="624"/>
    </row>
    <row r="31" spans="2:25">
      <c r="F31" s="623"/>
      <c r="H31" s="624"/>
      <c r="I31" s="624"/>
      <c r="J31" s="624"/>
    </row>
    <row r="32" spans="2:25">
      <c r="F32" s="623"/>
      <c r="H32" s="624"/>
      <c r="I32" s="624"/>
      <c r="J32" s="624"/>
    </row>
    <row r="33" spans="6:6">
      <c r="F33" s="623"/>
    </row>
    <row r="34" spans="6:6">
      <c r="F34"/>
    </row>
    <row r="35" spans="6:6">
      <c r="F35"/>
    </row>
    <row r="36" spans="6:6">
      <c r="F36"/>
    </row>
    <row r="37" spans="6:6">
      <c r="F37"/>
    </row>
    <row r="38" spans="6:6">
      <c r="F38"/>
    </row>
    <row r="39" spans="6:6">
      <c r="F39"/>
    </row>
    <row r="40" spans="6:6">
      <c r="F40"/>
    </row>
    <row r="41" spans="6:6">
      <c r="F41"/>
    </row>
    <row r="42" spans="6:6">
      <c r="F42"/>
    </row>
    <row r="43" spans="6:6">
      <c r="F43"/>
    </row>
    <row r="44" spans="6:6">
      <c r="F44"/>
    </row>
    <row r="45" spans="6:6">
      <c r="F45"/>
    </row>
    <row r="46" spans="6:6">
      <c r="F46"/>
    </row>
    <row r="47" spans="6:6">
      <c r="F47"/>
    </row>
    <row r="48" spans="6:6">
      <c r="F48"/>
    </row>
    <row r="49" spans="6:6">
      <c r="F49"/>
    </row>
    <row r="50" spans="6:6">
      <c r="F50"/>
    </row>
    <row r="51" spans="6:6">
      <c r="F51"/>
    </row>
    <row r="52" spans="6:6">
      <c r="F52"/>
    </row>
    <row r="53" spans="6:6">
      <c r="F53"/>
    </row>
    <row r="54" spans="6:6">
      <c r="F54"/>
    </row>
    <row r="55" spans="6:6">
      <c r="F55"/>
    </row>
    <row r="56" spans="6:6">
      <c r="F56"/>
    </row>
    <row r="57" spans="6:6">
      <c r="F57"/>
    </row>
    <row r="58" spans="6:6">
      <c r="F58"/>
    </row>
    <row r="59" spans="6:6">
      <c r="F59"/>
    </row>
    <row r="60" spans="6:6">
      <c r="F60"/>
    </row>
    <row r="61" spans="6:6">
      <c r="F61"/>
    </row>
    <row r="62" spans="6:6">
      <c r="F62"/>
    </row>
    <row r="63" spans="6:6">
      <c r="F63"/>
    </row>
    <row r="64" spans="6:6">
      <c r="F64"/>
    </row>
    <row r="65" spans="6:6">
      <c r="F65"/>
    </row>
    <row r="66" spans="6:6">
      <c r="F66"/>
    </row>
    <row r="67" spans="6:6">
      <c r="F67"/>
    </row>
    <row r="68" spans="6:6">
      <c r="F68"/>
    </row>
    <row r="69" spans="6:6">
      <c r="F69"/>
    </row>
    <row r="70" spans="6:6">
      <c r="F70"/>
    </row>
    <row r="71" spans="6:6">
      <c r="F71"/>
    </row>
    <row r="72" spans="6:6">
      <c r="F72"/>
    </row>
    <row r="73" spans="6:6">
      <c r="F73"/>
    </row>
    <row r="74" spans="6:6">
      <c r="F74"/>
    </row>
    <row r="75" spans="6:6">
      <c r="F75" s="625"/>
    </row>
    <row r="76" spans="6:6">
      <c r="F76" s="625"/>
    </row>
    <row r="77" spans="6:6">
      <c r="F77" s="625"/>
    </row>
    <row r="78" spans="6:6">
      <c r="F78" s="625"/>
    </row>
    <row r="79" spans="6:6">
      <c r="F79" s="625"/>
    </row>
    <row r="80" spans="6:6">
      <c r="F80" s="625"/>
    </row>
    <row r="81" spans="6:6">
      <c r="F81" s="625"/>
    </row>
    <row r="82" spans="6:6">
      <c r="F82" s="625"/>
    </row>
    <row r="83" spans="6:6">
      <c r="F83" s="625"/>
    </row>
    <row r="84" spans="6:6">
      <c r="F84" s="625"/>
    </row>
    <row r="85" spans="6:6">
      <c r="F85" s="625"/>
    </row>
    <row r="86" spans="6:6">
      <c r="F86" s="625"/>
    </row>
    <row r="87" spans="6:6">
      <c r="F87" s="625"/>
    </row>
    <row r="88" spans="6:6">
      <c r="F88" s="625"/>
    </row>
  </sheetData>
  <mergeCells count="5">
    <mergeCell ref="D24:L24"/>
    <mergeCell ref="E1:L1"/>
    <mergeCell ref="E2:L2"/>
    <mergeCell ref="E3:L3"/>
    <mergeCell ref="D25:L27"/>
  </mergeCell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84"/>
  <sheetViews>
    <sheetView zoomScale="85" zoomScaleNormal="85" zoomScaleSheetLayoutView="70" workbookViewId="0">
      <selection activeCell="C53" sqref="C53:C65"/>
    </sheetView>
  </sheetViews>
  <sheetFormatPr defaultColWidth="8.88671875" defaultRowHeight="12.75"/>
  <cols>
    <col min="1" max="1" width="8" style="151" customWidth="1"/>
    <col min="2" max="2" width="34.6640625" style="12" customWidth="1"/>
    <col min="3" max="3" width="17.88671875" style="12" customWidth="1"/>
    <col min="4" max="4" width="17" style="12" customWidth="1"/>
    <col min="5" max="5" width="19.88671875" style="12" customWidth="1"/>
    <col min="6" max="6" width="19.5546875" style="12" customWidth="1"/>
    <col min="7" max="7" width="21.21875" style="12" customWidth="1"/>
    <col min="8" max="8" width="18" style="12" customWidth="1"/>
    <col min="9" max="9" width="16.6640625" style="12" customWidth="1"/>
    <col min="10" max="10" width="17" style="12" customWidth="1"/>
    <col min="11" max="14" width="11.6640625" style="12" customWidth="1"/>
    <col min="15" max="16384" width="8.88671875" style="12"/>
  </cols>
  <sheetData>
    <row r="1" spans="1:18">
      <c r="B1" s="991" t="s">
        <v>173</v>
      </c>
      <c r="C1" s="991"/>
      <c r="D1" s="991"/>
      <c r="E1" s="991"/>
      <c r="F1" s="991"/>
      <c r="G1" s="991"/>
      <c r="H1" s="991"/>
      <c r="I1" s="991"/>
      <c r="J1" s="1" t="s">
        <v>417</v>
      </c>
    </row>
    <row r="2" spans="1:18">
      <c r="B2" s="992" t="s">
        <v>224</v>
      </c>
      <c r="C2" s="992"/>
      <c r="D2" s="992"/>
      <c r="E2" s="992"/>
      <c r="F2" s="992"/>
      <c r="G2" s="992"/>
      <c r="H2" s="992"/>
      <c r="I2" s="992"/>
      <c r="J2" s="1"/>
      <c r="K2" s="570"/>
      <c r="L2" s="570"/>
      <c r="M2" s="570"/>
      <c r="N2" s="570"/>
    </row>
    <row r="3" spans="1:18">
      <c r="B3" s="993" t="str">
        <f>+'Attachment H-39A'!D5</f>
        <v>Valley Link Transmission West Virginia, LLC</v>
      </c>
      <c r="C3" s="993"/>
      <c r="D3" s="993"/>
      <c r="E3" s="993"/>
      <c r="F3" s="993"/>
      <c r="G3" s="993"/>
      <c r="H3" s="993"/>
      <c r="I3" s="993"/>
      <c r="J3" s="1"/>
      <c r="K3" s="570"/>
      <c r="L3" s="570"/>
      <c r="M3" s="570"/>
      <c r="N3" s="570"/>
    </row>
    <row r="4" spans="1:18">
      <c r="C4" s="1"/>
      <c r="D4" s="1"/>
      <c r="E4" s="1"/>
      <c r="F4" s="1"/>
      <c r="G4" s="1"/>
      <c r="H4" s="1"/>
      <c r="I4" s="1"/>
      <c r="J4" s="1"/>
      <c r="K4" s="570"/>
      <c r="L4" s="570"/>
      <c r="M4" s="570"/>
      <c r="N4" s="570"/>
    </row>
    <row r="5" spans="1:18">
      <c r="B5" s="2"/>
      <c r="C5" s="2"/>
      <c r="D5" s="2"/>
      <c r="E5" s="2"/>
      <c r="F5" s="448"/>
      <c r="G5" s="2"/>
      <c r="H5" s="2"/>
      <c r="I5" s="2"/>
      <c r="J5" s="2"/>
      <c r="K5" s="570"/>
      <c r="L5" s="570"/>
      <c r="M5" s="570"/>
      <c r="N5" s="570"/>
    </row>
    <row r="6" spans="1:18">
      <c r="B6" s="2"/>
      <c r="C6" s="997" t="s">
        <v>189</v>
      </c>
      <c r="D6" s="997"/>
      <c r="E6" s="997"/>
      <c r="F6" s="10"/>
      <c r="G6" s="10" t="s">
        <v>191</v>
      </c>
      <c r="I6" s="997" t="s">
        <v>190</v>
      </c>
      <c r="J6" s="997"/>
      <c r="K6" s="995" t="s">
        <v>188</v>
      </c>
      <c r="L6" s="995" t="s">
        <v>188</v>
      </c>
      <c r="M6" s="995" t="s">
        <v>188</v>
      </c>
      <c r="N6" s="995" t="s">
        <v>188</v>
      </c>
      <c r="O6" s="570"/>
    </row>
    <row r="7" spans="1:18" s="11" customFormat="1" ht="25.5">
      <c r="A7" s="152" t="s">
        <v>503</v>
      </c>
      <c r="B7" s="3" t="s">
        <v>153</v>
      </c>
      <c r="C7" s="3" t="s">
        <v>851</v>
      </c>
      <c r="D7" s="3" t="s">
        <v>16</v>
      </c>
      <c r="E7" s="3" t="s">
        <v>852</v>
      </c>
      <c r="F7" s="3" t="s">
        <v>159</v>
      </c>
      <c r="G7" s="3" t="s">
        <v>292</v>
      </c>
      <c r="H7" s="3" t="s">
        <v>154</v>
      </c>
      <c r="I7" s="3" t="s">
        <v>155</v>
      </c>
      <c r="J7" s="3" t="s">
        <v>156</v>
      </c>
      <c r="K7" s="3" t="s">
        <v>851</v>
      </c>
      <c r="L7" s="3" t="s">
        <v>16</v>
      </c>
      <c r="M7" s="3" t="s">
        <v>852</v>
      </c>
      <c r="N7" s="3" t="s">
        <v>159</v>
      </c>
      <c r="O7" s="570"/>
      <c r="P7" s="570"/>
      <c r="Q7" s="570"/>
      <c r="R7" s="570"/>
    </row>
    <row r="8" spans="1:18">
      <c r="B8" s="10" t="s">
        <v>178</v>
      </c>
      <c r="C8" s="10" t="s">
        <v>179</v>
      </c>
      <c r="D8" s="10" t="s">
        <v>180</v>
      </c>
      <c r="E8" s="10" t="s">
        <v>181</v>
      </c>
      <c r="F8" s="10" t="s">
        <v>183</v>
      </c>
      <c r="G8" s="3" t="s">
        <v>182</v>
      </c>
      <c r="H8" s="3" t="s">
        <v>184</v>
      </c>
      <c r="I8" s="3" t="s">
        <v>185</v>
      </c>
      <c r="J8" s="3" t="s">
        <v>186</v>
      </c>
      <c r="K8" s="4" t="s">
        <v>623</v>
      </c>
      <c r="L8" s="4" t="s">
        <v>853</v>
      </c>
      <c r="M8" s="4" t="s">
        <v>854</v>
      </c>
      <c r="N8" s="4" t="s">
        <v>855</v>
      </c>
    </row>
    <row r="9" spans="1:18" ht="55.9" customHeight="1">
      <c r="B9" s="179" t="s">
        <v>355</v>
      </c>
      <c r="C9" s="192" t="s">
        <v>231</v>
      </c>
      <c r="D9" s="192" t="s">
        <v>250</v>
      </c>
      <c r="E9" s="192" t="s">
        <v>232</v>
      </c>
      <c r="F9" s="192" t="s">
        <v>263</v>
      </c>
      <c r="G9" s="208" t="s">
        <v>419</v>
      </c>
      <c r="H9" s="192" t="s">
        <v>506</v>
      </c>
      <c r="I9" s="192" t="s">
        <v>253</v>
      </c>
      <c r="J9" s="192" t="s">
        <v>1013</v>
      </c>
      <c r="K9" s="192" t="s">
        <v>233</v>
      </c>
      <c r="L9" s="192" t="s">
        <v>251</v>
      </c>
      <c r="M9" s="192" t="s">
        <v>234</v>
      </c>
      <c r="N9" s="192" t="s">
        <v>252</v>
      </c>
    </row>
    <row r="10" spans="1:18">
      <c r="A10" s="151">
        <v>1</v>
      </c>
      <c r="B10" s="5" t="s">
        <v>176</v>
      </c>
      <c r="C10" s="6">
        <v>0</v>
      </c>
      <c r="D10" s="6">
        <v>0</v>
      </c>
      <c r="E10" s="6">
        <v>0</v>
      </c>
      <c r="F10" s="6">
        <v>0</v>
      </c>
      <c r="G10" s="6">
        <f>F53</f>
        <v>1173031.96</v>
      </c>
      <c r="H10" s="459">
        <v>0</v>
      </c>
      <c r="I10" s="459">
        <v>0</v>
      </c>
      <c r="J10" s="6">
        <v>0</v>
      </c>
      <c r="K10" s="459">
        <v>0</v>
      </c>
      <c r="L10" s="459">
        <v>0</v>
      </c>
      <c r="M10" s="459">
        <v>0</v>
      </c>
      <c r="N10" s="459">
        <v>0</v>
      </c>
    </row>
    <row r="11" spans="1:18">
      <c r="A11" s="151">
        <v>2</v>
      </c>
      <c r="B11" s="5" t="s">
        <v>80</v>
      </c>
      <c r="C11" s="6">
        <v>0</v>
      </c>
      <c r="D11" s="6">
        <v>0</v>
      </c>
      <c r="E11" s="6">
        <v>0</v>
      </c>
      <c r="F11" s="6">
        <v>0</v>
      </c>
      <c r="G11" s="6">
        <f t="shared" ref="G11:G22" si="0">F54</f>
        <v>1635504.7386461599</v>
      </c>
      <c r="H11" s="459">
        <v>0</v>
      </c>
      <c r="I11" s="459">
        <v>0</v>
      </c>
      <c r="J11" s="6">
        <v>0</v>
      </c>
      <c r="K11" s="459">
        <v>0</v>
      </c>
      <c r="L11" s="459">
        <v>0</v>
      </c>
      <c r="M11" s="459">
        <v>0</v>
      </c>
      <c r="N11" s="459">
        <v>0</v>
      </c>
    </row>
    <row r="12" spans="1:18">
      <c r="A12" s="151">
        <v>3</v>
      </c>
      <c r="B12" s="1" t="s">
        <v>79</v>
      </c>
      <c r="C12" s="6">
        <v>0</v>
      </c>
      <c r="D12" s="6">
        <v>0</v>
      </c>
      <c r="E12" s="6">
        <v>0</v>
      </c>
      <c r="F12" s="6">
        <v>0</v>
      </c>
      <c r="G12" s="6">
        <f t="shared" si="0"/>
        <v>2186787.5172923198</v>
      </c>
      <c r="H12" s="459">
        <v>0</v>
      </c>
      <c r="I12" s="459">
        <v>0</v>
      </c>
      <c r="J12" s="6">
        <v>0</v>
      </c>
      <c r="K12" s="459">
        <v>0</v>
      </c>
      <c r="L12" s="459">
        <v>0</v>
      </c>
      <c r="M12" s="459">
        <v>0</v>
      </c>
      <c r="N12" s="459">
        <v>0</v>
      </c>
    </row>
    <row r="13" spans="1:18">
      <c r="A13" s="151">
        <v>4</v>
      </c>
      <c r="B13" s="1" t="s">
        <v>157</v>
      </c>
      <c r="C13" s="6">
        <v>0</v>
      </c>
      <c r="D13" s="6">
        <v>0</v>
      </c>
      <c r="E13" s="6">
        <v>0</v>
      </c>
      <c r="F13" s="6">
        <v>0</v>
      </c>
      <c r="G13" s="6">
        <f t="shared" si="0"/>
        <v>5622138.2959384797</v>
      </c>
      <c r="H13" s="459">
        <v>0</v>
      </c>
      <c r="I13" s="459">
        <v>0</v>
      </c>
      <c r="J13" s="6">
        <v>0</v>
      </c>
      <c r="K13" s="459">
        <v>0</v>
      </c>
      <c r="L13" s="459">
        <v>0</v>
      </c>
      <c r="M13" s="459">
        <v>0</v>
      </c>
      <c r="N13" s="459">
        <v>0</v>
      </c>
    </row>
    <row r="14" spans="1:18">
      <c r="A14" s="151">
        <v>5</v>
      </c>
      <c r="B14" s="1" t="s">
        <v>71</v>
      </c>
      <c r="C14" s="6">
        <v>0</v>
      </c>
      <c r="D14" s="6">
        <v>0</v>
      </c>
      <c r="E14" s="6">
        <v>0</v>
      </c>
      <c r="F14" s="6">
        <v>0</v>
      </c>
      <c r="G14" s="6">
        <f t="shared" si="0"/>
        <v>6732489.0745846396</v>
      </c>
      <c r="H14" s="459">
        <v>0</v>
      </c>
      <c r="I14" s="459">
        <v>0</v>
      </c>
      <c r="J14" s="6">
        <v>0</v>
      </c>
      <c r="K14" s="459">
        <v>0</v>
      </c>
      <c r="L14" s="459">
        <v>0</v>
      </c>
      <c r="M14" s="459">
        <v>0</v>
      </c>
      <c r="N14" s="459">
        <v>0</v>
      </c>
    </row>
    <row r="15" spans="1:18">
      <c r="A15" s="151">
        <v>6</v>
      </c>
      <c r="B15" s="1" t="s">
        <v>70</v>
      </c>
      <c r="C15" s="6">
        <v>0</v>
      </c>
      <c r="D15" s="6">
        <v>0</v>
      </c>
      <c r="E15" s="6">
        <v>0</v>
      </c>
      <c r="F15" s="6">
        <v>0</v>
      </c>
      <c r="G15" s="6">
        <f t="shared" si="0"/>
        <v>7842839.8532307995</v>
      </c>
      <c r="H15" s="459">
        <v>0</v>
      </c>
      <c r="I15" s="459">
        <v>0</v>
      </c>
      <c r="J15" s="6">
        <v>0</v>
      </c>
      <c r="K15" s="459">
        <v>0</v>
      </c>
      <c r="L15" s="459">
        <v>0</v>
      </c>
      <c r="M15" s="459">
        <v>0</v>
      </c>
      <c r="N15" s="459">
        <v>0</v>
      </c>
    </row>
    <row r="16" spans="1:18">
      <c r="A16" s="151">
        <v>7</v>
      </c>
      <c r="B16" s="1" t="s">
        <v>87</v>
      </c>
      <c r="C16" s="6">
        <v>0</v>
      </c>
      <c r="D16" s="6">
        <v>0</v>
      </c>
      <c r="E16" s="6">
        <v>0</v>
      </c>
      <c r="F16" s="6">
        <v>0</v>
      </c>
      <c r="G16" s="6">
        <f t="shared" si="0"/>
        <v>9028190.6318769604</v>
      </c>
      <c r="H16" s="459">
        <v>0</v>
      </c>
      <c r="I16" s="459">
        <v>0</v>
      </c>
      <c r="J16" s="6">
        <v>0</v>
      </c>
      <c r="K16" s="459">
        <v>0</v>
      </c>
      <c r="L16" s="459">
        <v>0</v>
      </c>
      <c r="M16" s="459">
        <v>0</v>
      </c>
      <c r="N16" s="459">
        <v>0</v>
      </c>
    </row>
    <row r="17" spans="1:14">
      <c r="A17" s="151">
        <v>8</v>
      </c>
      <c r="B17" s="1" t="s">
        <v>77</v>
      </c>
      <c r="C17" s="6">
        <v>0</v>
      </c>
      <c r="D17" s="6">
        <v>0</v>
      </c>
      <c r="E17" s="6">
        <v>0</v>
      </c>
      <c r="F17" s="6">
        <v>0</v>
      </c>
      <c r="G17" s="6">
        <f t="shared" si="0"/>
        <v>10213541.41052312</v>
      </c>
      <c r="H17" s="459">
        <v>0</v>
      </c>
      <c r="I17" s="459">
        <v>0</v>
      </c>
      <c r="J17" s="6">
        <v>0</v>
      </c>
      <c r="K17" s="459">
        <v>0</v>
      </c>
      <c r="L17" s="459">
        <v>0</v>
      </c>
      <c r="M17" s="459">
        <v>0</v>
      </c>
      <c r="N17" s="459">
        <v>0</v>
      </c>
    </row>
    <row r="18" spans="1:14">
      <c r="A18" s="151">
        <v>9</v>
      </c>
      <c r="B18" s="1" t="s">
        <v>158</v>
      </c>
      <c r="C18" s="6">
        <v>0</v>
      </c>
      <c r="D18" s="6">
        <v>0</v>
      </c>
      <c r="E18" s="6">
        <v>0</v>
      </c>
      <c r="F18" s="6">
        <v>0</v>
      </c>
      <c r="G18" s="6">
        <f t="shared" si="0"/>
        <v>11398892.18916928</v>
      </c>
      <c r="H18" s="459">
        <v>0</v>
      </c>
      <c r="I18" s="459">
        <v>0</v>
      </c>
      <c r="J18" s="6">
        <v>0</v>
      </c>
      <c r="K18" s="459">
        <v>0</v>
      </c>
      <c r="L18" s="459">
        <v>0</v>
      </c>
      <c r="M18" s="459">
        <v>0</v>
      </c>
      <c r="N18" s="459">
        <v>0</v>
      </c>
    </row>
    <row r="19" spans="1:14">
      <c r="A19" s="151">
        <v>10</v>
      </c>
      <c r="B19" s="1" t="s">
        <v>75</v>
      </c>
      <c r="C19" s="6">
        <v>0</v>
      </c>
      <c r="D19" s="6">
        <v>0</v>
      </c>
      <c r="E19" s="6">
        <v>0</v>
      </c>
      <c r="F19" s="6">
        <v>0</v>
      </c>
      <c r="G19" s="6">
        <f t="shared" si="0"/>
        <v>13321951.96781544</v>
      </c>
      <c r="H19" s="459">
        <v>0</v>
      </c>
      <c r="I19" s="459">
        <v>0</v>
      </c>
      <c r="J19" s="6">
        <v>0</v>
      </c>
      <c r="K19" s="459">
        <v>0</v>
      </c>
      <c r="L19" s="459">
        <v>0</v>
      </c>
      <c r="M19" s="459">
        <v>0</v>
      </c>
      <c r="N19" s="459">
        <v>0</v>
      </c>
    </row>
    <row r="20" spans="1:14">
      <c r="A20" s="151">
        <v>11</v>
      </c>
      <c r="B20" s="1" t="s">
        <v>81</v>
      </c>
      <c r="C20" s="6">
        <v>0</v>
      </c>
      <c r="D20" s="6">
        <v>0</v>
      </c>
      <c r="E20" s="6">
        <v>0</v>
      </c>
      <c r="F20" s="6">
        <v>0</v>
      </c>
      <c r="G20" s="6">
        <f t="shared" si="0"/>
        <v>54845011.7464616</v>
      </c>
      <c r="H20" s="459">
        <v>0</v>
      </c>
      <c r="I20" s="459">
        <v>0</v>
      </c>
      <c r="J20" s="6">
        <v>0</v>
      </c>
      <c r="K20" s="459">
        <v>0</v>
      </c>
      <c r="L20" s="459">
        <v>0</v>
      </c>
      <c r="M20" s="459">
        <v>0</v>
      </c>
      <c r="N20" s="459">
        <v>0</v>
      </c>
    </row>
    <row r="21" spans="1:14">
      <c r="A21" s="151">
        <v>12</v>
      </c>
      <c r="B21" s="1" t="s">
        <v>74</v>
      </c>
      <c r="C21" s="6">
        <v>0</v>
      </c>
      <c r="D21" s="6">
        <v>0</v>
      </c>
      <c r="E21" s="6">
        <v>0</v>
      </c>
      <c r="F21" s="6">
        <v>0</v>
      </c>
      <c r="G21" s="6">
        <f t="shared" si="0"/>
        <v>56030362.525107756</v>
      </c>
      <c r="H21" s="459">
        <v>0</v>
      </c>
      <c r="I21" s="459">
        <v>0</v>
      </c>
      <c r="J21" s="6">
        <v>0</v>
      </c>
      <c r="K21" s="459">
        <v>0</v>
      </c>
      <c r="L21" s="459">
        <v>0</v>
      </c>
      <c r="M21" s="459">
        <v>0</v>
      </c>
      <c r="N21" s="459">
        <v>0</v>
      </c>
    </row>
    <row r="22" spans="1:14">
      <c r="A22" s="151">
        <v>13</v>
      </c>
      <c r="B22" s="1" t="s">
        <v>177</v>
      </c>
      <c r="C22" s="6">
        <v>0</v>
      </c>
      <c r="D22" s="6">
        <v>0</v>
      </c>
      <c r="E22" s="6">
        <v>0</v>
      </c>
      <c r="F22" s="6">
        <v>0</v>
      </c>
      <c r="G22" s="6">
        <f t="shared" si="0"/>
        <v>57215713.303753912</v>
      </c>
      <c r="H22" s="459">
        <v>0</v>
      </c>
      <c r="I22" s="459">
        <v>0</v>
      </c>
      <c r="J22" s="6">
        <v>0</v>
      </c>
      <c r="K22" s="459">
        <v>0</v>
      </c>
      <c r="L22" s="459">
        <v>0</v>
      </c>
      <c r="M22" s="459">
        <v>0</v>
      </c>
      <c r="N22" s="459">
        <v>0</v>
      </c>
    </row>
    <row r="23" spans="1:14" ht="13.5" thickBot="1">
      <c r="A23" s="151">
        <v>14</v>
      </c>
      <c r="B23" s="7" t="s">
        <v>225</v>
      </c>
      <c r="C23" s="337">
        <f>SUM(C10:C22)/13</f>
        <v>0</v>
      </c>
      <c r="D23" s="337">
        <f>SUM(D10:D22)/13</f>
        <v>0</v>
      </c>
      <c r="E23" s="337">
        <f>SUM(E10:E22)/13</f>
        <v>0</v>
      </c>
      <c r="F23" s="337">
        <f>SUM(F10:F22)/13</f>
        <v>0</v>
      </c>
      <c r="G23" s="337">
        <f>SUM(G10:G22)/13</f>
        <v>18249727.324184652</v>
      </c>
      <c r="H23" s="337">
        <f t="shared" ref="H23:J23" si="1">SUM(H10:H22)/13</f>
        <v>0</v>
      </c>
      <c r="I23" s="337">
        <f t="shared" si="1"/>
        <v>0</v>
      </c>
      <c r="J23" s="337">
        <f t="shared" si="1"/>
        <v>0</v>
      </c>
      <c r="K23" s="337">
        <f>SUM(K10:K22)/13</f>
        <v>0</v>
      </c>
      <c r="L23" s="337">
        <f>SUM(L10:L22)/13</f>
        <v>0</v>
      </c>
      <c r="M23" s="337">
        <f>SUM(M10:M22)/13</f>
        <v>0</v>
      </c>
      <c r="N23" s="337">
        <f>SUM(N10:N22)/13</f>
        <v>0</v>
      </c>
    </row>
    <row r="24" spans="1:14" ht="13.5" thickTop="1">
      <c r="B24" s="1"/>
      <c r="C24" s="8"/>
      <c r="D24" s="13"/>
      <c r="E24" s="13"/>
      <c r="F24" s="13"/>
      <c r="G24" s="8"/>
      <c r="H24" s="8"/>
      <c r="I24" s="8"/>
    </row>
    <row r="25" spans="1:14">
      <c r="B25" s="9"/>
      <c r="C25" s="996" t="s">
        <v>192</v>
      </c>
      <c r="D25" s="996"/>
      <c r="E25" s="996"/>
      <c r="F25" s="996"/>
      <c r="G25" s="996"/>
      <c r="H25" s="996"/>
      <c r="I25" s="996"/>
    </row>
    <row r="26" spans="1:14" ht="72" customHeight="1">
      <c r="A26" s="152" t="s">
        <v>503</v>
      </c>
      <c r="B26" s="10" t="s">
        <v>153</v>
      </c>
      <c r="C26" s="4" t="s">
        <v>557</v>
      </c>
      <c r="D26" s="4" t="s">
        <v>558</v>
      </c>
      <c r="E26" s="4" t="s">
        <v>559</v>
      </c>
      <c r="F26" s="4" t="s">
        <v>560</v>
      </c>
      <c r="G26" s="4" t="s">
        <v>226</v>
      </c>
    </row>
    <row r="27" spans="1:14">
      <c r="B27" s="10" t="s">
        <v>178</v>
      </c>
      <c r="C27" s="4" t="s">
        <v>179</v>
      </c>
      <c r="D27" s="4" t="s">
        <v>180</v>
      </c>
      <c r="E27" s="4" t="s">
        <v>181</v>
      </c>
      <c r="F27" s="4" t="s">
        <v>183</v>
      </c>
      <c r="G27" s="4" t="s">
        <v>182</v>
      </c>
    </row>
    <row r="28" spans="1:14">
      <c r="B28" s="179" t="s">
        <v>355</v>
      </c>
      <c r="C28" s="4" t="s">
        <v>561</v>
      </c>
      <c r="D28" s="4" t="s">
        <v>561</v>
      </c>
      <c r="E28" s="4" t="s">
        <v>561</v>
      </c>
      <c r="F28" s="4" t="s">
        <v>561</v>
      </c>
      <c r="G28" s="453" t="s">
        <v>566</v>
      </c>
    </row>
    <row r="29" spans="1:14">
      <c r="A29" s="151">
        <v>15</v>
      </c>
      <c r="B29" s="5" t="s">
        <v>176</v>
      </c>
      <c r="C29" s="454"/>
      <c r="D29" s="454"/>
      <c r="E29" s="454"/>
      <c r="F29" s="454"/>
      <c r="G29" s="459">
        <v>0</v>
      </c>
    </row>
    <row r="30" spans="1:14">
      <c r="A30" s="151">
        <v>16</v>
      </c>
      <c r="B30" s="5" t="s">
        <v>80</v>
      </c>
      <c r="C30" s="454"/>
      <c r="D30" s="454"/>
      <c r="E30" s="454"/>
      <c r="F30" s="454"/>
      <c r="G30" s="6">
        <v>0</v>
      </c>
    </row>
    <row r="31" spans="1:14">
      <c r="A31" s="151">
        <v>17</v>
      </c>
      <c r="B31" s="1" t="s">
        <v>79</v>
      </c>
      <c r="C31" s="454"/>
      <c r="D31" s="454"/>
      <c r="E31" s="454"/>
      <c r="F31" s="454"/>
      <c r="G31" s="6">
        <v>0</v>
      </c>
    </row>
    <row r="32" spans="1:14">
      <c r="A32" s="151">
        <v>18</v>
      </c>
      <c r="B32" s="1" t="s">
        <v>157</v>
      </c>
      <c r="C32" s="454"/>
      <c r="D32" s="454"/>
      <c r="E32" s="454"/>
      <c r="F32" s="454"/>
      <c r="G32" s="6">
        <v>0</v>
      </c>
    </row>
    <row r="33" spans="1:10">
      <c r="A33" s="151">
        <v>19</v>
      </c>
      <c r="B33" s="1" t="s">
        <v>71</v>
      </c>
      <c r="C33" s="454"/>
      <c r="D33" s="454"/>
      <c r="E33" s="454"/>
      <c r="F33" s="454"/>
      <c r="G33" s="6">
        <v>0</v>
      </c>
    </row>
    <row r="34" spans="1:10">
      <c r="A34" s="151">
        <v>20</v>
      </c>
      <c r="B34" s="1" t="s">
        <v>70</v>
      </c>
      <c r="C34" s="454"/>
      <c r="D34" s="454"/>
      <c r="E34" s="454"/>
      <c r="F34" s="454"/>
      <c r="G34" s="6">
        <v>0</v>
      </c>
    </row>
    <row r="35" spans="1:10">
      <c r="A35" s="151">
        <v>21</v>
      </c>
      <c r="B35" s="1" t="s">
        <v>87</v>
      </c>
      <c r="C35" s="454"/>
      <c r="D35" s="454"/>
      <c r="E35" s="454"/>
      <c r="F35" s="454"/>
      <c r="G35" s="6">
        <v>0</v>
      </c>
    </row>
    <row r="36" spans="1:10">
      <c r="A36" s="151">
        <v>22</v>
      </c>
      <c r="B36" s="1" t="s">
        <v>77</v>
      </c>
      <c r="C36" s="454"/>
      <c r="D36" s="454"/>
      <c r="E36" s="454"/>
      <c r="F36" s="454"/>
      <c r="G36" s="6">
        <v>0</v>
      </c>
    </row>
    <row r="37" spans="1:10">
      <c r="A37" s="151">
        <v>23</v>
      </c>
      <c r="B37" s="1" t="s">
        <v>158</v>
      </c>
      <c r="C37" s="454"/>
      <c r="D37" s="454"/>
      <c r="E37" s="454"/>
      <c r="F37" s="454"/>
      <c r="G37" s="6">
        <v>0</v>
      </c>
    </row>
    <row r="38" spans="1:10">
      <c r="A38" s="151">
        <v>24</v>
      </c>
      <c r="B38" s="1" t="s">
        <v>75</v>
      </c>
      <c r="C38" s="454"/>
      <c r="D38" s="454"/>
      <c r="E38" s="454"/>
      <c r="F38" s="454"/>
      <c r="G38" s="6">
        <v>0</v>
      </c>
    </row>
    <row r="39" spans="1:10">
      <c r="A39" s="151">
        <v>25</v>
      </c>
      <c r="B39" s="1" t="s">
        <v>81</v>
      </c>
      <c r="C39" s="454"/>
      <c r="D39" s="454"/>
      <c r="E39" s="454"/>
      <c r="F39" s="454"/>
      <c r="G39" s="6">
        <v>0</v>
      </c>
    </row>
    <row r="40" spans="1:10">
      <c r="A40" s="151">
        <v>26</v>
      </c>
      <c r="B40" s="1" t="s">
        <v>74</v>
      </c>
      <c r="C40" s="454"/>
      <c r="D40" s="454"/>
      <c r="E40" s="454"/>
      <c r="F40" s="454"/>
      <c r="G40" s="6">
        <v>0</v>
      </c>
    </row>
    <row r="41" spans="1:10">
      <c r="A41" s="151">
        <v>27</v>
      </c>
      <c r="B41" s="1" t="s">
        <v>177</v>
      </c>
      <c r="C41" s="454"/>
      <c r="D41" s="454"/>
      <c r="E41" s="454"/>
      <c r="F41" s="454"/>
      <c r="G41" s="459">
        <v>0</v>
      </c>
    </row>
    <row r="42" spans="1:10" ht="13.5" thickBot="1">
      <c r="A42" s="151">
        <v>28</v>
      </c>
      <c r="B42" s="7" t="s">
        <v>912</v>
      </c>
      <c r="C42" s="581">
        <f>'4a - ADIT Average Balances'!I40</f>
        <v>0</v>
      </c>
      <c r="D42" s="581">
        <f>'4a - ADIT Average Balances'!I77</f>
        <v>0</v>
      </c>
      <c r="E42" s="581">
        <f>'4a - ADIT Average Balances'!I119</f>
        <v>0</v>
      </c>
      <c r="F42" s="581">
        <f>'4a - ADIT Average Balances'!I158</f>
        <v>0</v>
      </c>
      <c r="G42" s="581">
        <f>SUM(G29:G41)/13</f>
        <v>0</v>
      </c>
    </row>
    <row r="43" spans="1:10" ht="13.5" thickTop="1">
      <c r="B43" s="1"/>
      <c r="I43" s="13"/>
    </row>
    <row r="45" spans="1:10">
      <c r="E45" s="149" t="str">
        <f>+B1</f>
        <v>Attachment 4</v>
      </c>
      <c r="J45" s="1" t="s">
        <v>140</v>
      </c>
    </row>
    <row r="46" spans="1:10">
      <c r="B46" s="149"/>
      <c r="C46" s="199"/>
      <c r="D46" s="199"/>
      <c r="E46" s="149" t="str">
        <f>+B2</f>
        <v xml:space="preserve">Rate Base Worksheet </v>
      </c>
      <c r="F46" s="199"/>
    </row>
    <row r="47" spans="1:10">
      <c r="B47" s="149"/>
      <c r="C47" s="199"/>
      <c r="D47" s="199"/>
      <c r="E47" s="149" t="str">
        <f>+B3</f>
        <v>Valley Link Transmission West Virginia, LLC</v>
      </c>
      <c r="F47" s="199"/>
    </row>
    <row r="48" spans="1:10">
      <c r="B48" s="338" t="s">
        <v>499</v>
      </c>
      <c r="C48" s="199"/>
      <c r="D48" s="199"/>
      <c r="E48" s="199"/>
      <c r="F48" s="199"/>
      <c r="G48" s="199"/>
    </row>
    <row r="49" spans="1:6" ht="25.5" customHeight="1">
      <c r="B49" s="149"/>
      <c r="C49" s="994" t="s">
        <v>414</v>
      </c>
      <c r="D49" s="994" t="s">
        <v>554</v>
      </c>
      <c r="E49" s="994" t="s">
        <v>555</v>
      </c>
      <c r="F49" s="994" t="s">
        <v>416</v>
      </c>
    </row>
    <row r="50" spans="1:6" ht="12.75" customHeight="1">
      <c r="B50" s="149"/>
      <c r="C50" s="994"/>
      <c r="D50" s="994"/>
      <c r="E50" s="994"/>
      <c r="F50" s="994"/>
    </row>
    <row r="51" spans="1:6">
      <c r="B51" s="149"/>
      <c r="C51" s="3" t="s">
        <v>178</v>
      </c>
      <c r="D51" s="3" t="s">
        <v>179</v>
      </c>
      <c r="E51" s="3" t="s">
        <v>180</v>
      </c>
      <c r="F51" s="336" t="s">
        <v>556</v>
      </c>
    </row>
    <row r="52" spans="1:6" ht="25.5">
      <c r="B52" s="149"/>
      <c r="C52" s="208" t="s">
        <v>413</v>
      </c>
      <c r="D52" s="208" t="s">
        <v>415</v>
      </c>
      <c r="E52" s="208" t="s">
        <v>415</v>
      </c>
      <c r="F52" s="208"/>
    </row>
    <row r="53" spans="1:6">
      <c r="A53" s="151">
        <f>+A42+1</f>
        <v>29</v>
      </c>
      <c r="B53" s="5" t="s">
        <v>176</v>
      </c>
      <c r="C53" s="6">
        <v>1173031.96</v>
      </c>
      <c r="D53" s="6">
        <v>0</v>
      </c>
      <c r="E53" s="6">
        <v>0</v>
      </c>
      <c r="F53" s="219">
        <f>+C53-D53-E53</f>
        <v>1173031.96</v>
      </c>
    </row>
    <row r="54" spans="1:6">
      <c r="A54" s="151">
        <f>+A53+1</f>
        <v>30</v>
      </c>
      <c r="B54" s="5" t="s">
        <v>80</v>
      </c>
      <c r="C54" s="6">
        <v>1635504.7386461599</v>
      </c>
      <c r="D54" s="6">
        <v>0</v>
      </c>
      <c r="E54" s="6">
        <v>0</v>
      </c>
      <c r="F54" s="219">
        <f t="shared" ref="F54:F65" si="2">+C54-D54-E54</f>
        <v>1635504.7386461599</v>
      </c>
    </row>
    <row r="55" spans="1:6">
      <c r="A55" s="151">
        <f t="shared" ref="A55:A65" si="3">+A54+1</f>
        <v>31</v>
      </c>
      <c r="B55" s="1" t="s">
        <v>79</v>
      </c>
      <c r="C55" s="6">
        <v>2186787.5172923198</v>
      </c>
      <c r="D55" s="6">
        <v>0</v>
      </c>
      <c r="E55" s="6">
        <v>0</v>
      </c>
      <c r="F55" s="219">
        <f t="shared" si="2"/>
        <v>2186787.5172923198</v>
      </c>
    </row>
    <row r="56" spans="1:6">
      <c r="A56" s="151">
        <f t="shared" si="3"/>
        <v>32</v>
      </c>
      <c r="B56" s="1" t="s">
        <v>157</v>
      </c>
      <c r="C56" s="6">
        <v>5622138.2959384797</v>
      </c>
      <c r="D56" s="6">
        <v>0</v>
      </c>
      <c r="E56" s="6">
        <v>0</v>
      </c>
      <c r="F56" s="219">
        <f t="shared" si="2"/>
        <v>5622138.2959384797</v>
      </c>
    </row>
    <row r="57" spans="1:6">
      <c r="A57" s="151">
        <f t="shared" si="3"/>
        <v>33</v>
      </c>
      <c r="B57" s="1" t="s">
        <v>71</v>
      </c>
      <c r="C57" s="6">
        <v>6732489.0745846396</v>
      </c>
      <c r="D57" s="6">
        <v>0</v>
      </c>
      <c r="E57" s="6">
        <v>0</v>
      </c>
      <c r="F57" s="219">
        <f t="shared" si="2"/>
        <v>6732489.0745846396</v>
      </c>
    </row>
    <row r="58" spans="1:6">
      <c r="A58" s="151">
        <f t="shared" si="3"/>
        <v>34</v>
      </c>
      <c r="B58" s="1" t="s">
        <v>70</v>
      </c>
      <c r="C58" s="6">
        <v>7842839.8532307995</v>
      </c>
      <c r="D58" s="6">
        <v>0</v>
      </c>
      <c r="E58" s="6">
        <v>0</v>
      </c>
      <c r="F58" s="219">
        <f t="shared" si="2"/>
        <v>7842839.8532307995</v>
      </c>
    </row>
    <row r="59" spans="1:6">
      <c r="A59" s="151">
        <f t="shared" si="3"/>
        <v>35</v>
      </c>
      <c r="B59" s="1" t="s">
        <v>87</v>
      </c>
      <c r="C59" s="6">
        <v>9028190.6318769604</v>
      </c>
      <c r="D59" s="6">
        <v>0</v>
      </c>
      <c r="E59" s="6">
        <v>0</v>
      </c>
      <c r="F59" s="219">
        <f t="shared" si="2"/>
        <v>9028190.6318769604</v>
      </c>
    </row>
    <row r="60" spans="1:6">
      <c r="A60" s="151">
        <f t="shared" si="3"/>
        <v>36</v>
      </c>
      <c r="B60" s="1" t="s">
        <v>77</v>
      </c>
      <c r="C60" s="6">
        <v>10213541.41052312</v>
      </c>
      <c r="D60" s="6">
        <v>0</v>
      </c>
      <c r="E60" s="6">
        <v>0</v>
      </c>
      <c r="F60" s="219">
        <f t="shared" si="2"/>
        <v>10213541.41052312</v>
      </c>
    </row>
    <row r="61" spans="1:6">
      <c r="A61" s="151">
        <f t="shared" si="3"/>
        <v>37</v>
      </c>
      <c r="B61" s="1" t="s">
        <v>158</v>
      </c>
      <c r="C61" s="6">
        <v>11398892.18916928</v>
      </c>
      <c r="D61" s="6">
        <v>0</v>
      </c>
      <c r="E61" s="6">
        <v>0</v>
      </c>
      <c r="F61" s="219">
        <f t="shared" si="2"/>
        <v>11398892.18916928</v>
      </c>
    </row>
    <row r="62" spans="1:6">
      <c r="A62" s="151">
        <f t="shared" si="3"/>
        <v>38</v>
      </c>
      <c r="B62" s="1" t="s">
        <v>75</v>
      </c>
      <c r="C62" s="6">
        <v>13321951.96781544</v>
      </c>
      <c r="D62" s="6">
        <v>0</v>
      </c>
      <c r="E62" s="6">
        <v>0</v>
      </c>
      <c r="F62" s="219">
        <f t="shared" si="2"/>
        <v>13321951.96781544</v>
      </c>
    </row>
    <row r="63" spans="1:6">
      <c r="A63" s="151">
        <f t="shared" si="3"/>
        <v>39</v>
      </c>
      <c r="B63" s="1" t="s">
        <v>81</v>
      </c>
      <c r="C63" s="6">
        <v>54845011.7464616</v>
      </c>
      <c r="D63" s="6">
        <v>0</v>
      </c>
      <c r="E63" s="6">
        <v>0</v>
      </c>
      <c r="F63" s="219">
        <f t="shared" si="2"/>
        <v>54845011.7464616</v>
      </c>
    </row>
    <row r="64" spans="1:6">
      <c r="A64" s="151">
        <f t="shared" si="3"/>
        <v>40</v>
      </c>
      <c r="B64" s="1" t="s">
        <v>74</v>
      </c>
      <c r="C64" s="6">
        <v>56030362.525107756</v>
      </c>
      <c r="D64" s="6">
        <v>0</v>
      </c>
      <c r="E64" s="6">
        <v>0</v>
      </c>
      <c r="F64" s="219">
        <f t="shared" si="2"/>
        <v>56030362.525107756</v>
      </c>
    </row>
    <row r="65" spans="1:12">
      <c r="A65" s="151">
        <f t="shared" si="3"/>
        <v>41</v>
      </c>
      <c r="B65" s="1" t="s">
        <v>177</v>
      </c>
      <c r="C65" s="6">
        <v>57215713.303753912</v>
      </c>
      <c r="D65" s="6">
        <v>0</v>
      </c>
      <c r="E65" s="6">
        <v>0</v>
      </c>
      <c r="F65" s="219">
        <f t="shared" si="2"/>
        <v>57215713.303753912</v>
      </c>
    </row>
    <row r="66" spans="1:12" ht="13.5" thickBot="1">
      <c r="B66" s="149"/>
      <c r="C66" s="337">
        <f>+F66+D66</f>
        <v>18249727.324184652</v>
      </c>
      <c r="D66" s="337">
        <f>SUM(D53:D65)/13</f>
        <v>0</v>
      </c>
      <c r="E66" s="337">
        <f>SUM(E53:E65)/13</f>
        <v>0</v>
      </c>
      <c r="F66" s="337">
        <f>SUM(F53:F65)/13</f>
        <v>18249727.324184652</v>
      </c>
    </row>
    <row r="67" spans="1:12" ht="13.5" thickTop="1">
      <c r="B67" s="149"/>
      <c r="C67" s="199"/>
      <c r="D67" s="199"/>
      <c r="E67" s="199"/>
      <c r="F67" s="199"/>
      <c r="G67" s="199"/>
    </row>
    <row r="68" spans="1:12">
      <c r="B68" s="338" t="s">
        <v>1014</v>
      </c>
      <c r="C68" s="199"/>
      <c r="D68" s="199"/>
      <c r="E68" s="199"/>
      <c r="F68" s="199"/>
      <c r="G68" s="199"/>
      <c r="J68" s="150"/>
    </row>
    <row r="69" spans="1:12">
      <c r="B69" s="149" t="s">
        <v>178</v>
      </c>
      <c r="C69" s="149" t="s">
        <v>179</v>
      </c>
      <c r="D69" s="149" t="s">
        <v>525</v>
      </c>
      <c r="E69" s="149" t="s">
        <v>526</v>
      </c>
      <c r="F69" s="149" t="s">
        <v>180</v>
      </c>
      <c r="G69" s="149" t="s">
        <v>181</v>
      </c>
      <c r="H69" s="149" t="s">
        <v>183</v>
      </c>
      <c r="I69" s="149" t="s">
        <v>182</v>
      </c>
      <c r="J69" s="149" t="s">
        <v>184</v>
      </c>
      <c r="K69" s="149" t="s">
        <v>185</v>
      </c>
    </row>
    <row r="70" spans="1:12" ht="63.75">
      <c r="B70" s="229" t="s">
        <v>266</v>
      </c>
      <c r="C70" s="216"/>
      <c r="D70" s="388" t="s">
        <v>527</v>
      </c>
      <c r="E70" s="388" t="s">
        <v>528</v>
      </c>
      <c r="F70" s="388" t="s">
        <v>11</v>
      </c>
      <c r="G70" s="388" t="s">
        <v>1015</v>
      </c>
      <c r="H70" s="388" t="s">
        <v>450</v>
      </c>
      <c r="I70" s="388" t="s">
        <v>938</v>
      </c>
      <c r="J70" s="217" t="s">
        <v>267</v>
      </c>
      <c r="K70" s="217" t="s">
        <v>268</v>
      </c>
      <c r="L70" s="200"/>
    </row>
    <row r="71" spans="1:12">
      <c r="A71" s="151" t="str">
        <f>+A65+1&amp;"a"</f>
        <v>42a</v>
      </c>
      <c r="C71" s="201" t="s">
        <v>269</v>
      </c>
      <c r="D71" s="202">
        <v>0</v>
      </c>
      <c r="E71" s="202">
        <v>0</v>
      </c>
      <c r="F71" s="202">
        <v>0</v>
      </c>
      <c r="G71" s="202">
        <v>0</v>
      </c>
      <c r="H71" s="202">
        <v>0</v>
      </c>
      <c r="I71" s="202">
        <v>0</v>
      </c>
      <c r="J71" s="202">
        <v>0</v>
      </c>
      <c r="K71" s="203">
        <f>+F71*G71*H71*I71*J71</f>
        <v>0</v>
      </c>
    </row>
    <row r="72" spans="1:12">
      <c r="A72" s="151" t="str">
        <f>+A65+1&amp;"b"</f>
        <v>42b</v>
      </c>
      <c r="C72" s="201" t="s">
        <v>270</v>
      </c>
      <c r="D72" s="204">
        <v>0</v>
      </c>
      <c r="E72" s="204">
        <v>0</v>
      </c>
      <c r="F72" s="204">
        <v>0</v>
      </c>
      <c r="G72" s="204">
        <v>0</v>
      </c>
      <c r="H72" s="204">
        <v>0</v>
      </c>
      <c r="I72" s="204">
        <v>0</v>
      </c>
      <c r="J72" s="204">
        <v>0</v>
      </c>
      <c r="K72" s="203">
        <f>+F72*G72*H72*I72*J72</f>
        <v>0</v>
      </c>
    </row>
    <row r="73" spans="1:12">
      <c r="A73" s="151">
        <f>+A65+2</f>
        <v>43</v>
      </c>
      <c r="C73" s="215" t="s">
        <v>13</v>
      </c>
      <c r="D73" s="389"/>
      <c r="E73" s="389"/>
      <c r="F73" s="218">
        <f>SUM(F71:F72)</f>
        <v>0</v>
      </c>
      <c r="G73" s="389"/>
      <c r="H73" s="238"/>
      <c r="I73" s="238"/>
      <c r="J73" s="389"/>
      <c r="K73" s="390">
        <f>SUM(K71:K72)</f>
        <v>0</v>
      </c>
    </row>
    <row r="74" spans="1:12">
      <c r="A74" s="153"/>
      <c r="B74" s="154"/>
      <c r="C74" s="155"/>
      <c r="D74" s="155"/>
      <c r="E74" s="155"/>
      <c r="F74" s="155"/>
      <c r="G74" s="155"/>
    </row>
    <row r="75" spans="1:12">
      <c r="A75" s="153"/>
      <c r="B75" s="154"/>
      <c r="C75" s="155"/>
      <c r="D75" s="155"/>
      <c r="E75" s="155"/>
      <c r="F75" s="155"/>
      <c r="G75" s="155"/>
    </row>
    <row r="76" spans="1:12">
      <c r="A76" s="387" t="s">
        <v>168</v>
      </c>
    </row>
    <row r="77" spans="1:12" ht="18" customHeight="1">
      <c r="A77" s="207" t="s">
        <v>57</v>
      </c>
      <c r="B77" s="191" t="s">
        <v>567</v>
      </c>
      <c r="C77" s="184"/>
      <c r="D77" s="184"/>
      <c r="E77" s="184"/>
      <c r="F77" s="184"/>
      <c r="G77" s="184"/>
      <c r="H77" s="184"/>
      <c r="I77" s="184"/>
      <c r="J77" s="184"/>
      <c r="K77" s="184"/>
    </row>
    <row r="78" spans="1:12" ht="48.75" customHeight="1">
      <c r="A78" s="207" t="s">
        <v>58</v>
      </c>
      <c r="B78" s="966" t="s">
        <v>500</v>
      </c>
      <c r="C78" s="966"/>
      <c r="D78" s="966"/>
      <c r="E78" s="966"/>
      <c r="F78" s="966"/>
      <c r="G78" s="966"/>
      <c r="H78" s="966"/>
      <c r="I78" s="966"/>
      <c r="J78" s="257"/>
      <c r="K78" s="257"/>
    </row>
    <row r="79" spans="1:12" ht="27.75" customHeight="1">
      <c r="A79" s="207" t="s">
        <v>59</v>
      </c>
      <c r="B79" s="966" t="s">
        <v>356</v>
      </c>
      <c r="C79" s="966"/>
      <c r="D79" s="966"/>
      <c r="E79" s="966"/>
      <c r="F79" s="966"/>
      <c r="G79" s="966"/>
      <c r="H79" s="966"/>
      <c r="I79" s="966"/>
      <c r="J79" s="257"/>
      <c r="K79" s="257"/>
    </row>
    <row r="80" spans="1:12" ht="12.75" customHeight="1">
      <c r="A80" s="207" t="s">
        <v>60</v>
      </c>
      <c r="B80" s="966" t="s">
        <v>291</v>
      </c>
      <c r="C80" s="966"/>
      <c r="D80" s="966"/>
      <c r="E80" s="966"/>
      <c r="F80" s="966"/>
      <c r="G80" s="966"/>
      <c r="H80" s="966"/>
      <c r="I80" s="966"/>
      <c r="J80" s="257"/>
      <c r="K80" s="257"/>
      <c r="L80" s="150"/>
    </row>
    <row r="81" spans="1:13" ht="59.45" customHeight="1">
      <c r="A81" s="207" t="s">
        <v>61</v>
      </c>
      <c r="B81" s="966" t="s">
        <v>1016</v>
      </c>
      <c r="C81" s="966"/>
      <c r="D81" s="966"/>
      <c r="E81" s="966"/>
      <c r="F81" s="966"/>
      <c r="G81" s="966"/>
      <c r="H81" s="966"/>
      <c r="I81" s="966"/>
      <c r="J81" s="570"/>
      <c r="K81" s="570"/>
      <c r="L81" s="570"/>
      <c r="M81" s="570"/>
    </row>
    <row r="82" spans="1:13" ht="31.9" customHeight="1">
      <c r="A82" s="207" t="s">
        <v>62</v>
      </c>
      <c r="B82" s="966" t="s">
        <v>939</v>
      </c>
      <c r="C82" s="966"/>
      <c r="D82" s="966"/>
      <c r="E82" s="966"/>
      <c r="F82" s="966"/>
      <c r="G82" s="966"/>
      <c r="H82" s="966"/>
      <c r="I82" s="966"/>
      <c r="J82" s="594"/>
      <c r="K82" s="594"/>
      <c r="L82" s="594"/>
      <c r="M82" s="594"/>
    </row>
    <row r="83" spans="1:13" ht="21.75" customHeight="1">
      <c r="A83" s="207" t="s">
        <v>63</v>
      </c>
      <c r="B83" s="966" t="s">
        <v>529</v>
      </c>
      <c r="C83" s="966"/>
      <c r="D83" s="966"/>
      <c r="E83" s="966"/>
      <c r="F83" s="966"/>
      <c r="G83" s="966"/>
      <c r="H83" s="966"/>
      <c r="I83" s="966"/>
    </row>
    <row r="84" spans="1:13" ht="15.6" customHeight="1">
      <c r="A84" s="207" t="s">
        <v>64</v>
      </c>
      <c r="B84" s="966" t="s">
        <v>552</v>
      </c>
      <c r="C84" s="966"/>
      <c r="D84" s="966"/>
      <c r="E84" s="966"/>
      <c r="F84" s="966"/>
      <c r="G84" s="966"/>
      <c r="H84" s="966"/>
      <c r="I84" s="966"/>
      <c r="J84" s="257"/>
      <c r="K84" s="257"/>
      <c r="L84" s="150"/>
    </row>
  </sheetData>
  <mergeCells count="18">
    <mergeCell ref="K6:N6"/>
    <mergeCell ref="B1:I1"/>
    <mergeCell ref="B2:I2"/>
    <mergeCell ref="B3:I3"/>
    <mergeCell ref="B82:I82"/>
    <mergeCell ref="C25:I25"/>
    <mergeCell ref="C49:C50"/>
    <mergeCell ref="D49:D50"/>
    <mergeCell ref="F49:F50"/>
    <mergeCell ref="C6:E6"/>
    <mergeCell ref="I6:J6"/>
    <mergeCell ref="B84:I84"/>
    <mergeCell ref="E49:E50"/>
    <mergeCell ref="B81:I81"/>
    <mergeCell ref="B83:I83"/>
    <mergeCell ref="B78:I78"/>
    <mergeCell ref="B79:I79"/>
    <mergeCell ref="B80:I80"/>
  </mergeCells>
  <phoneticPr fontId="0" type="noConversion"/>
  <pageMargins left="0.25" right="0.25" top="0.75" bottom="0.75" header="0.3" footer="0.3"/>
  <pageSetup scale="56" fitToHeight="0" orientation="landscape" r:id="rId1"/>
  <rowBreaks count="1" manualBreakCount="1">
    <brk id="44"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DF3EF-4D4A-46FC-9325-F8E9F7060427}">
  <sheetPr>
    <pageSetUpPr fitToPage="1"/>
  </sheetPr>
  <dimension ref="A1:R163"/>
  <sheetViews>
    <sheetView zoomScale="70" zoomScaleNormal="70" zoomScaleSheetLayoutView="70" workbookViewId="0">
      <selection activeCell="L55" sqref="L55"/>
    </sheetView>
  </sheetViews>
  <sheetFormatPr defaultColWidth="7.44140625" defaultRowHeight="12.75"/>
  <cols>
    <col min="1" max="1" width="6.21875" style="468" customWidth="1"/>
    <col min="2" max="2" width="64" style="467" customWidth="1"/>
    <col min="3" max="3" width="19.21875" style="467" customWidth="1"/>
    <col min="4" max="4" width="17.88671875" style="467" customWidth="1"/>
    <col min="5" max="5" width="20.88671875" style="467" customWidth="1"/>
    <col min="6" max="6" width="13.6640625" style="467" customWidth="1"/>
    <col min="7" max="8" width="12.88671875" style="467" customWidth="1"/>
    <col min="9" max="9" width="13.88671875" style="467" customWidth="1"/>
    <col min="10" max="10" width="63.88671875" style="467" customWidth="1"/>
    <col min="11" max="16384" width="7.44140625" style="467"/>
  </cols>
  <sheetData>
    <row r="1" spans="1:18" ht="20.25">
      <c r="A1" s="1001" t="s">
        <v>570</v>
      </c>
      <c r="B1" s="1001"/>
      <c r="C1" s="1001"/>
      <c r="D1" s="1001"/>
      <c r="E1" s="1001"/>
      <c r="F1" s="1001"/>
      <c r="G1" s="1001"/>
      <c r="H1" s="1001"/>
      <c r="I1" s="1001"/>
      <c r="J1" s="1001"/>
    </row>
    <row r="2" spans="1:18" ht="21" customHeight="1">
      <c r="A2" s="484"/>
      <c r="B2" s="484"/>
      <c r="C2" s="484"/>
      <c r="D2" s="1001" t="s">
        <v>945</v>
      </c>
      <c r="E2" s="1001"/>
      <c r="F2" s="1001"/>
      <c r="G2" s="1001"/>
      <c r="H2" s="580"/>
      <c r="I2" s="580"/>
      <c r="J2" s="580"/>
      <c r="K2" s="580"/>
    </row>
    <row r="3" spans="1:18" ht="20.25">
      <c r="A3" s="1002" t="s">
        <v>1034</v>
      </c>
      <c r="B3" s="1002"/>
      <c r="C3" s="1002"/>
      <c r="D3" s="1002"/>
      <c r="E3" s="1002"/>
      <c r="F3" s="1002"/>
      <c r="G3" s="1002"/>
      <c r="H3" s="1002"/>
      <c r="I3" s="1002"/>
      <c r="J3" s="1002"/>
    </row>
    <row r="4" spans="1:18" ht="18.75">
      <c r="B4" s="469"/>
      <c r="C4" s="470"/>
      <c r="D4" s="577"/>
      <c r="E4" s="577"/>
      <c r="F4" s="577"/>
      <c r="G4" s="577"/>
      <c r="H4" s="577"/>
      <c r="I4" s="577"/>
      <c r="J4" s="471" t="s">
        <v>417</v>
      </c>
    </row>
    <row r="5" spans="1:18" ht="15.6" customHeight="1">
      <c r="A5" s="626"/>
      <c r="B5" s="472" t="s">
        <v>571</v>
      </c>
      <c r="C5" s="472"/>
      <c r="D5" s="577"/>
      <c r="E5" s="577"/>
      <c r="F5" s="577"/>
      <c r="G5" s="577"/>
      <c r="H5" s="577"/>
      <c r="I5" s="577"/>
      <c r="J5" s="627"/>
      <c r="L5" s="577"/>
      <c r="M5" s="577"/>
      <c r="N5" s="577"/>
      <c r="O5" s="577"/>
      <c r="P5" s="577"/>
      <c r="Q5" s="577"/>
      <c r="R5" s="577"/>
    </row>
    <row r="6" spans="1:18" ht="12.75" customHeight="1">
      <c r="A6" s="626"/>
      <c r="B6" s="628"/>
      <c r="C6" s="627"/>
      <c r="D6" s="627"/>
      <c r="E6" s="627"/>
      <c r="F6" s="627"/>
      <c r="G6" s="626"/>
      <c r="H6" s="626"/>
      <c r="I6" s="627"/>
      <c r="J6" s="627"/>
      <c r="L6" s="577"/>
      <c r="M6" s="577"/>
      <c r="N6" s="577"/>
      <c r="O6" s="577"/>
      <c r="P6" s="577"/>
      <c r="Q6" s="577"/>
      <c r="R6" s="577"/>
    </row>
    <row r="7" spans="1:18" ht="13.15" customHeight="1">
      <c r="A7" s="626"/>
      <c r="B7" s="473" t="s">
        <v>545</v>
      </c>
      <c r="C7" s="473" t="s">
        <v>546</v>
      </c>
      <c r="D7" s="473" t="s">
        <v>572</v>
      </c>
      <c r="E7" s="473" t="s">
        <v>547</v>
      </c>
      <c r="F7" s="473" t="s">
        <v>548</v>
      </c>
      <c r="G7" s="473" t="s">
        <v>549</v>
      </c>
      <c r="H7" s="473" t="s">
        <v>550</v>
      </c>
      <c r="I7" s="473" t="s">
        <v>551</v>
      </c>
      <c r="J7" s="473" t="s">
        <v>573</v>
      </c>
      <c r="L7" s="577"/>
      <c r="M7" s="577"/>
      <c r="N7" s="577"/>
      <c r="O7" s="577"/>
      <c r="P7" s="577"/>
      <c r="Q7" s="577"/>
      <c r="R7" s="577"/>
    </row>
    <row r="8" spans="1:18" ht="13.15" customHeight="1">
      <c r="A8" s="626"/>
      <c r="B8" s="627"/>
      <c r="C8" s="473" t="s">
        <v>886</v>
      </c>
      <c r="D8" s="474" t="s">
        <v>574</v>
      </c>
      <c r="E8" s="475">
        <v>1</v>
      </c>
      <c r="F8" s="474" t="s">
        <v>574</v>
      </c>
      <c r="G8" s="473"/>
      <c r="H8" s="473"/>
      <c r="I8" s="473" t="s">
        <v>575</v>
      </c>
      <c r="J8" s="627"/>
      <c r="L8" s="577"/>
      <c r="M8" s="577"/>
      <c r="N8" s="577"/>
      <c r="O8" s="577"/>
      <c r="P8" s="577"/>
      <c r="Q8" s="577"/>
      <c r="R8" s="577"/>
    </row>
    <row r="9" spans="1:18" ht="13.15" customHeight="1">
      <c r="A9" s="626" t="s">
        <v>8</v>
      </c>
      <c r="B9" s="481"/>
      <c r="C9" s="473" t="s">
        <v>887</v>
      </c>
      <c r="D9" s="473" t="s">
        <v>576</v>
      </c>
      <c r="E9" s="473" t="s">
        <v>577</v>
      </c>
      <c r="F9" s="473" t="s">
        <v>16</v>
      </c>
      <c r="G9" s="473" t="s">
        <v>542</v>
      </c>
      <c r="H9" s="473" t="s">
        <v>543</v>
      </c>
      <c r="I9" s="473" t="s">
        <v>578</v>
      </c>
      <c r="J9" s="627"/>
      <c r="L9" s="577"/>
      <c r="M9" s="577"/>
      <c r="N9" s="577"/>
      <c r="O9" s="577"/>
      <c r="P9" s="577"/>
      <c r="Q9" s="577"/>
      <c r="R9" s="577"/>
    </row>
    <row r="10" spans="1:18" ht="13.15" customHeight="1">
      <c r="A10" s="626" t="s">
        <v>10</v>
      </c>
      <c r="B10" s="476" t="s">
        <v>579</v>
      </c>
      <c r="C10" s="476" t="s">
        <v>580</v>
      </c>
      <c r="D10" s="476" t="s">
        <v>544</v>
      </c>
      <c r="E10" s="476" t="s">
        <v>581</v>
      </c>
      <c r="F10" s="476" t="s">
        <v>544</v>
      </c>
      <c r="G10" s="476" t="s">
        <v>544</v>
      </c>
      <c r="H10" s="476" t="s">
        <v>544</v>
      </c>
      <c r="I10" s="476" t="s">
        <v>582</v>
      </c>
      <c r="J10" s="476" t="s">
        <v>583</v>
      </c>
      <c r="L10" s="577"/>
      <c r="M10" s="577"/>
      <c r="N10" s="577"/>
      <c r="O10" s="577"/>
      <c r="P10" s="577"/>
      <c r="Q10" s="577"/>
      <c r="R10" s="577"/>
    </row>
    <row r="11" spans="1:18" ht="13.15" customHeight="1">
      <c r="A11" s="626">
        <v>1</v>
      </c>
      <c r="B11" s="629"/>
      <c r="C11" s="630"/>
      <c r="D11" s="630"/>
      <c r="E11" s="630"/>
      <c r="F11" s="630"/>
      <c r="G11" s="630"/>
      <c r="H11" s="630"/>
      <c r="I11" s="630"/>
      <c r="J11" s="629"/>
      <c r="L11" s="577"/>
      <c r="M11" s="577"/>
      <c r="N11" s="577"/>
      <c r="O11" s="577"/>
      <c r="P11" s="577"/>
      <c r="Q11" s="577"/>
      <c r="R11" s="577"/>
    </row>
    <row r="12" spans="1:18" ht="12.75" customHeight="1">
      <c r="A12" s="626">
        <f t="shared" ref="A12:A76" si="0">A11+1</f>
        <v>2</v>
      </c>
      <c r="B12" s="477" t="s">
        <v>584</v>
      </c>
      <c r="C12" s="630">
        <v>0</v>
      </c>
      <c r="D12" s="630">
        <v>0</v>
      </c>
      <c r="E12" s="630">
        <v>0</v>
      </c>
      <c r="F12" s="630">
        <v>0</v>
      </c>
      <c r="G12" s="630">
        <v>0</v>
      </c>
      <c r="H12" s="630">
        <v>0</v>
      </c>
      <c r="I12" s="631"/>
      <c r="J12" s="629"/>
      <c r="L12" s="577"/>
      <c r="M12" s="577"/>
      <c r="N12" s="577"/>
      <c r="O12" s="577"/>
      <c r="P12" s="577"/>
      <c r="Q12" s="577"/>
      <c r="R12" s="577"/>
    </row>
    <row r="13" spans="1:18" ht="12.75" customHeight="1">
      <c r="A13" s="626">
        <f t="shared" si="0"/>
        <v>3</v>
      </c>
      <c r="B13" s="477" t="s">
        <v>302</v>
      </c>
      <c r="C13" s="630">
        <v>0</v>
      </c>
      <c r="D13" s="630">
        <v>0</v>
      </c>
      <c r="E13" s="630">
        <v>0</v>
      </c>
      <c r="F13" s="630">
        <v>0</v>
      </c>
      <c r="G13" s="630">
        <v>0</v>
      </c>
      <c r="H13" s="630">
        <v>0</v>
      </c>
      <c r="I13" s="631"/>
      <c r="J13" s="629"/>
      <c r="L13" s="577"/>
      <c r="M13" s="577"/>
      <c r="N13" s="577"/>
      <c r="O13" s="577"/>
      <c r="P13" s="577"/>
      <c r="Q13" s="577"/>
      <c r="R13" s="577"/>
    </row>
    <row r="14" spans="1:18" ht="12.75" customHeight="1">
      <c r="A14" s="626">
        <f t="shared" si="0"/>
        <v>4</v>
      </c>
      <c r="B14" s="632"/>
      <c r="C14" s="630">
        <v>0</v>
      </c>
      <c r="D14" s="630">
        <v>0</v>
      </c>
      <c r="E14" s="630">
        <v>0</v>
      </c>
      <c r="F14" s="630">
        <v>0</v>
      </c>
      <c r="G14" s="630">
        <v>0</v>
      </c>
      <c r="H14" s="630">
        <v>0</v>
      </c>
      <c r="I14" s="631"/>
      <c r="J14" s="629"/>
      <c r="L14" s="577"/>
      <c r="M14" s="577"/>
      <c r="N14" s="577"/>
      <c r="O14" s="577"/>
      <c r="P14" s="577"/>
      <c r="Q14" s="577"/>
      <c r="R14" s="577"/>
    </row>
    <row r="15" spans="1:18" ht="12.75" customHeight="1">
      <c r="A15" s="626">
        <f t="shared" si="0"/>
        <v>5</v>
      </c>
      <c r="B15" s="633"/>
      <c r="C15" s="630">
        <v>0</v>
      </c>
      <c r="D15" s="630">
        <v>0</v>
      </c>
      <c r="E15" s="630">
        <v>0</v>
      </c>
      <c r="F15" s="630">
        <v>0</v>
      </c>
      <c r="G15" s="630">
        <v>0</v>
      </c>
      <c r="H15" s="630">
        <v>0</v>
      </c>
      <c r="I15" s="631"/>
      <c r="J15" s="629"/>
      <c r="L15" s="577"/>
      <c r="M15" s="577"/>
      <c r="N15" s="577"/>
      <c r="O15" s="577"/>
      <c r="P15" s="577"/>
      <c r="Q15" s="577"/>
      <c r="R15" s="577"/>
    </row>
    <row r="16" spans="1:18" ht="12.75" customHeight="1">
      <c r="A16" s="626">
        <f t="shared" si="0"/>
        <v>6</v>
      </c>
      <c r="B16" s="629"/>
      <c r="C16" s="630">
        <v>0</v>
      </c>
      <c r="D16" s="630">
        <v>0</v>
      </c>
      <c r="E16" s="630">
        <v>0</v>
      </c>
      <c r="F16" s="630">
        <v>0</v>
      </c>
      <c r="G16" s="630">
        <v>0</v>
      </c>
      <c r="H16" s="630">
        <v>0</v>
      </c>
      <c r="I16" s="634"/>
      <c r="J16" s="629"/>
      <c r="L16" s="577"/>
      <c r="M16" s="577"/>
      <c r="N16" s="577"/>
      <c r="O16" s="577"/>
      <c r="P16" s="577"/>
      <c r="Q16" s="577"/>
      <c r="R16" s="577"/>
    </row>
    <row r="17" spans="1:18" ht="12.75" customHeight="1">
      <c r="A17" s="626">
        <f t="shared" si="0"/>
        <v>7</v>
      </c>
      <c r="B17" s="629"/>
      <c r="C17" s="630">
        <v>0</v>
      </c>
      <c r="D17" s="630">
        <v>0</v>
      </c>
      <c r="E17" s="630">
        <v>0</v>
      </c>
      <c r="F17" s="630">
        <v>0</v>
      </c>
      <c r="G17" s="630">
        <v>0</v>
      </c>
      <c r="H17" s="630">
        <v>0</v>
      </c>
      <c r="I17" s="634"/>
      <c r="J17" s="629"/>
      <c r="L17" s="577"/>
      <c r="M17" s="577"/>
      <c r="N17" s="577"/>
      <c r="O17" s="577"/>
      <c r="P17" s="577"/>
      <c r="Q17" s="577"/>
      <c r="R17" s="577"/>
    </row>
    <row r="18" spans="1:18" ht="12.75" customHeight="1">
      <c r="A18" s="626">
        <f t="shared" si="0"/>
        <v>8</v>
      </c>
      <c r="B18" s="629"/>
      <c r="C18" s="630">
        <v>0</v>
      </c>
      <c r="D18" s="630">
        <v>0</v>
      </c>
      <c r="E18" s="630">
        <v>0</v>
      </c>
      <c r="F18" s="630">
        <v>0</v>
      </c>
      <c r="G18" s="630">
        <v>0</v>
      </c>
      <c r="H18" s="630">
        <v>0</v>
      </c>
      <c r="I18" s="634"/>
      <c r="J18" s="629"/>
      <c r="L18" s="577"/>
      <c r="M18" s="577"/>
      <c r="N18" s="577"/>
      <c r="O18" s="577"/>
      <c r="P18" s="577"/>
      <c r="Q18" s="577"/>
      <c r="R18" s="577"/>
    </row>
    <row r="19" spans="1:18" ht="12.75" customHeight="1">
      <c r="A19" s="626">
        <f t="shared" si="0"/>
        <v>9</v>
      </c>
      <c r="B19" s="629"/>
      <c r="C19" s="630">
        <v>0</v>
      </c>
      <c r="D19" s="630">
        <v>0</v>
      </c>
      <c r="E19" s="630">
        <v>0</v>
      </c>
      <c r="F19" s="630">
        <v>0</v>
      </c>
      <c r="G19" s="630">
        <v>0</v>
      </c>
      <c r="H19" s="630">
        <v>0</v>
      </c>
      <c r="I19" s="634"/>
      <c r="J19" s="629"/>
      <c r="L19" s="577"/>
      <c r="M19" s="577"/>
      <c r="N19" s="577"/>
      <c r="O19" s="577"/>
      <c r="P19" s="577"/>
      <c r="Q19" s="577"/>
      <c r="R19" s="577"/>
    </row>
    <row r="20" spans="1:18" ht="12.75" customHeight="1">
      <c r="A20" s="626">
        <f t="shared" si="0"/>
        <v>10</v>
      </c>
      <c r="B20" s="629"/>
      <c r="C20" s="630">
        <v>0</v>
      </c>
      <c r="D20" s="630">
        <v>0</v>
      </c>
      <c r="E20" s="630">
        <v>0</v>
      </c>
      <c r="F20" s="630">
        <v>0</v>
      </c>
      <c r="G20" s="630">
        <v>0</v>
      </c>
      <c r="H20" s="630">
        <v>0</v>
      </c>
      <c r="I20" s="634"/>
      <c r="J20" s="629"/>
      <c r="L20" s="577"/>
      <c r="M20" s="577"/>
      <c r="N20" s="577"/>
      <c r="O20" s="577"/>
      <c r="P20" s="577"/>
      <c r="Q20" s="577"/>
      <c r="R20" s="577"/>
    </row>
    <row r="21" spans="1:18" ht="12.75" customHeight="1">
      <c r="A21" s="626">
        <f t="shared" si="0"/>
        <v>11</v>
      </c>
      <c r="B21" s="629"/>
      <c r="C21" s="630">
        <v>0</v>
      </c>
      <c r="D21" s="630">
        <v>0</v>
      </c>
      <c r="E21" s="630">
        <v>0</v>
      </c>
      <c r="F21" s="630">
        <v>0</v>
      </c>
      <c r="G21" s="630">
        <v>0</v>
      </c>
      <c r="H21" s="630">
        <v>0</v>
      </c>
      <c r="I21" s="634"/>
      <c r="J21" s="629"/>
    </row>
    <row r="22" spans="1:18" ht="12.75" customHeight="1">
      <c r="A22" s="626">
        <f t="shared" si="0"/>
        <v>12</v>
      </c>
      <c r="B22" s="629"/>
      <c r="C22" s="630">
        <v>0</v>
      </c>
      <c r="D22" s="630">
        <v>0</v>
      </c>
      <c r="E22" s="630">
        <v>0</v>
      </c>
      <c r="F22" s="630">
        <v>0</v>
      </c>
      <c r="G22" s="630">
        <v>0</v>
      </c>
      <c r="H22" s="630">
        <v>0</v>
      </c>
      <c r="I22" s="634"/>
      <c r="J22" s="629"/>
      <c r="L22" s="582"/>
      <c r="M22" s="582"/>
      <c r="N22" s="582"/>
      <c r="O22" s="582"/>
      <c r="P22" s="582"/>
      <c r="Q22" s="582"/>
      <c r="R22" s="582"/>
    </row>
    <row r="23" spans="1:18" ht="12.75" customHeight="1">
      <c r="A23" s="626">
        <f t="shared" si="0"/>
        <v>13</v>
      </c>
      <c r="B23" s="629"/>
      <c r="C23" s="630">
        <v>0</v>
      </c>
      <c r="D23" s="630">
        <v>0</v>
      </c>
      <c r="E23" s="630">
        <v>0</v>
      </c>
      <c r="F23" s="630">
        <v>0</v>
      </c>
      <c r="G23" s="630">
        <v>0</v>
      </c>
      <c r="H23" s="630">
        <v>0</v>
      </c>
      <c r="I23" s="634"/>
      <c r="J23" s="629"/>
      <c r="L23" s="582"/>
      <c r="M23" s="582"/>
      <c r="N23" s="582"/>
      <c r="O23" s="582"/>
      <c r="P23" s="582"/>
      <c r="Q23" s="582"/>
      <c r="R23" s="582"/>
    </row>
    <row r="24" spans="1:18" ht="12.75" customHeight="1">
      <c r="A24" s="626">
        <f t="shared" si="0"/>
        <v>14</v>
      </c>
      <c r="B24" s="629"/>
      <c r="C24" s="630">
        <v>0</v>
      </c>
      <c r="D24" s="630">
        <v>0</v>
      </c>
      <c r="E24" s="630">
        <v>0</v>
      </c>
      <c r="F24" s="630">
        <v>0</v>
      </c>
      <c r="G24" s="630">
        <v>0</v>
      </c>
      <c r="H24" s="630">
        <v>0</v>
      </c>
      <c r="I24" s="634"/>
      <c r="J24" s="629"/>
      <c r="L24" s="582"/>
      <c r="M24" s="582"/>
      <c r="N24" s="582"/>
      <c r="O24" s="582"/>
      <c r="P24" s="582"/>
      <c r="Q24" s="582"/>
      <c r="R24" s="582"/>
    </row>
    <row r="25" spans="1:18" ht="12.75" customHeight="1">
      <c r="A25" s="626">
        <f t="shared" si="0"/>
        <v>15</v>
      </c>
      <c r="B25" s="629"/>
      <c r="C25" s="630">
        <v>0</v>
      </c>
      <c r="D25" s="630">
        <v>0</v>
      </c>
      <c r="E25" s="630">
        <v>0</v>
      </c>
      <c r="F25" s="630">
        <v>0</v>
      </c>
      <c r="G25" s="630">
        <v>0</v>
      </c>
      <c r="H25" s="630">
        <v>0</v>
      </c>
      <c r="I25" s="634"/>
      <c r="J25" s="629"/>
      <c r="L25" s="582"/>
      <c r="M25" s="582"/>
      <c r="N25" s="582"/>
      <c r="O25" s="582"/>
      <c r="P25" s="582"/>
      <c r="Q25" s="582"/>
      <c r="R25" s="582"/>
    </row>
    <row r="26" spans="1:18" ht="12.75" customHeight="1">
      <c r="A26" s="626">
        <f t="shared" si="0"/>
        <v>16</v>
      </c>
      <c r="B26" s="629"/>
      <c r="C26" s="630">
        <v>0</v>
      </c>
      <c r="D26" s="630">
        <v>0</v>
      </c>
      <c r="E26" s="630">
        <v>0</v>
      </c>
      <c r="F26" s="630">
        <v>0</v>
      </c>
      <c r="G26" s="630">
        <v>0</v>
      </c>
      <c r="H26" s="630">
        <v>0</v>
      </c>
      <c r="I26" s="634"/>
      <c r="J26" s="629"/>
      <c r="L26" s="582"/>
      <c r="M26" s="582"/>
      <c r="N26" s="582"/>
      <c r="O26" s="582"/>
      <c r="P26" s="582"/>
      <c r="Q26" s="582"/>
      <c r="R26" s="582"/>
    </row>
    <row r="27" spans="1:18" ht="12.75" customHeight="1">
      <c r="A27" s="626">
        <f t="shared" si="0"/>
        <v>17</v>
      </c>
      <c r="B27" s="629"/>
      <c r="C27" s="630">
        <v>0</v>
      </c>
      <c r="D27" s="630">
        <v>0</v>
      </c>
      <c r="E27" s="630">
        <v>0</v>
      </c>
      <c r="F27" s="630">
        <v>0</v>
      </c>
      <c r="G27" s="630">
        <v>0</v>
      </c>
      <c r="H27" s="630">
        <v>0</v>
      </c>
      <c r="I27" s="634"/>
      <c r="J27" s="629"/>
      <c r="L27" s="582"/>
      <c r="M27" s="582"/>
      <c r="N27" s="582"/>
      <c r="O27" s="582"/>
      <c r="P27" s="582"/>
      <c r="Q27" s="582"/>
      <c r="R27" s="582"/>
    </row>
    <row r="28" spans="1:18" ht="12.75" customHeight="1">
      <c r="A28" s="626">
        <f t="shared" si="0"/>
        <v>18</v>
      </c>
      <c r="B28" s="629"/>
      <c r="C28" s="630">
        <v>0</v>
      </c>
      <c r="D28" s="630">
        <v>0</v>
      </c>
      <c r="E28" s="630">
        <v>0</v>
      </c>
      <c r="F28" s="630">
        <v>0</v>
      </c>
      <c r="G28" s="630">
        <v>0</v>
      </c>
      <c r="H28" s="630">
        <v>0</v>
      </c>
      <c r="I28" s="634"/>
      <c r="J28" s="629"/>
    </row>
    <row r="29" spans="1:18" ht="12.75" customHeight="1">
      <c r="A29" s="626">
        <f t="shared" si="0"/>
        <v>19</v>
      </c>
      <c r="B29" s="629"/>
      <c r="C29" s="630">
        <v>0</v>
      </c>
      <c r="D29" s="630">
        <v>0</v>
      </c>
      <c r="E29" s="630">
        <v>0</v>
      </c>
      <c r="F29" s="630">
        <v>0</v>
      </c>
      <c r="G29" s="630">
        <v>0</v>
      </c>
      <c r="H29" s="630">
        <v>0</v>
      </c>
      <c r="I29" s="634"/>
      <c r="J29" s="629"/>
    </row>
    <row r="30" spans="1:18" ht="12.75" customHeight="1">
      <c r="A30" s="626">
        <f t="shared" si="0"/>
        <v>20</v>
      </c>
      <c r="B30" s="629"/>
      <c r="C30" s="630">
        <v>0</v>
      </c>
      <c r="D30" s="630">
        <v>0</v>
      </c>
      <c r="E30" s="630">
        <v>0</v>
      </c>
      <c r="F30" s="630">
        <v>0</v>
      </c>
      <c r="G30" s="630">
        <v>0</v>
      </c>
      <c r="H30" s="630">
        <v>0</v>
      </c>
      <c r="I30" s="634"/>
      <c r="J30" s="629"/>
    </row>
    <row r="31" spans="1:18" ht="12.75" customHeight="1">
      <c r="A31" s="626">
        <f t="shared" si="0"/>
        <v>21</v>
      </c>
      <c r="B31" s="629"/>
      <c r="C31" s="630">
        <v>0</v>
      </c>
      <c r="D31" s="630">
        <v>0</v>
      </c>
      <c r="E31" s="630">
        <v>0</v>
      </c>
      <c r="F31" s="630">
        <v>0</v>
      </c>
      <c r="G31" s="630">
        <v>0</v>
      </c>
      <c r="H31" s="630">
        <v>0</v>
      </c>
      <c r="I31" s="634"/>
      <c r="J31" s="629"/>
    </row>
    <row r="32" spans="1:18" ht="12.75" customHeight="1">
      <c r="A32" s="626">
        <f t="shared" si="0"/>
        <v>22</v>
      </c>
      <c r="B32" s="629"/>
      <c r="C32" s="630">
        <v>0</v>
      </c>
      <c r="D32" s="630">
        <v>0</v>
      </c>
      <c r="E32" s="630">
        <v>0</v>
      </c>
      <c r="F32" s="630">
        <v>0</v>
      </c>
      <c r="G32" s="630">
        <v>0</v>
      </c>
      <c r="H32" s="630">
        <v>0</v>
      </c>
      <c r="I32" s="634"/>
      <c r="J32" s="629"/>
    </row>
    <row r="33" spans="1:10" ht="12.75" customHeight="1">
      <c r="A33" s="626">
        <f t="shared" si="0"/>
        <v>23</v>
      </c>
      <c r="B33" s="629"/>
      <c r="C33" s="630"/>
      <c r="D33" s="635"/>
      <c r="E33" s="630" t="s">
        <v>2</v>
      </c>
      <c r="F33" s="630"/>
      <c r="G33" s="630" t="s">
        <v>2</v>
      </c>
      <c r="H33" s="630"/>
      <c r="I33" s="630"/>
      <c r="J33" s="629"/>
    </row>
    <row r="34" spans="1:10" ht="12.75" customHeight="1">
      <c r="A34" s="626">
        <f t="shared" si="0"/>
        <v>24</v>
      </c>
      <c r="B34" s="478" t="s">
        <v>585</v>
      </c>
      <c r="C34" s="636">
        <f>SUM(C12:C32)</f>
        <v>0</v>
      </c>
      <c r="D34" s="636">
        <f t="shared" ref="D34:H34" si="1">SUM(D12:D32)</f>
        <v>0</v>
      </c>
      <c r="E34" s="636">
        <f t="shared" si="1"/>
        <v>0</v>
      </c>
      <c r="F34" s="636">
        <f t="shared" si="1"/>
        <v>0</v>
      </c>
      <c r="G34" s="636">
        <f t="shared" si="1"/>
        <v>0</v>
      </c>
      <c r="H34" s="636">
        <f t="shared" si="1"/>
        <v>0</v>
      </c>
      <c r="I34" s="636"/>
      <c r="J34" s="637"/>
    </row>
    <row r="35" spans="1:10" ht="12.75" customHeight="1">
      <c r="A35" s="626">
        <f t="shared" si="0"/>
        <v>25</v>
      </c>
      <c r="B35" s="478" t="s">
        <v>586</v>
      </c>
      <c r="C35" s="636">
        <f>SUM(D35:H35)</f>
        <v>0</v>
      </c>
      <c r="D35" s="638">
        <v>0</v>
      </c>
      <c r="E35" s="638">
        <v>0</v>
      </c>
      <c r="F35" s="638">
        <v>0</v>
      </c>
      <c r="G35" s="638">
        <v>0</v>
      </c>
      <c r="H35" s="638">
        <v>0</v>
      </c>
      <c r="I35" s="636"/>
      <c r="J35" s="639"/>
    </row>
    <row r="36" spans="1:10" ht="12.75" customHeight="1">
      <c r="A36" s="626">
        <f t="shared" si="0"/>
        <v>26</v>
      </c>
      <c r="B36" s="478" t="s">
        <v>587</v>
      </c>
      <c r="C36" s="636">
        <f>SUM(D36:H36)</f>
        <v>0</v>
      </c>
      <c r="D36" s="638">
        <v>0</v>
      </c>
      <c r="E36" s="638">
        <v>0</v>
      </c>
      <c r="F36" s="638">
        <v>0</v>
      </c>
      <c r="G36" s="638">
        <v>0</v>
      </c>
      <c r="H36" s="638">
        <v>0</v>
      </c>
      <c r="I36" s="636"/>
      <c r="J36" s="639"/>
    </row>
    <row r="37" spans="1:10" ht="12.75" customHeight="1">
      <c r="A37" s="626">
        <f t="shared" si="0"/>
        <v>27</v>
      </c>
      <c r="B37" s="478" t="s">
        <v>1017</v>
      </c>
      <c r="C37" s="638">
        <v>0</v>
      </c>
      <c r="D37" s="638">
        <v>0</v>
      </c>
      <c r="E37" s="638">
        <v>0</v>
      </c>
      <c r="F37" s="638">
        <v>0</v>
      </c>
      <c r="G37" s="638">
        <v>0</v>
      </c>
      <c r="H37" s="638">
        <v>0</v>
      </c>
      <c r="I37" s="636"/>
      <c r="J37" s="637"/>
    </row>
    <row r="38" spans="1:10" ht="12.75" customHeight="1">
      <c r="A38" s="626">
        <f t="shared" si="0"/>
        <v>28</v>
      </c>
      <c r="B38" s="478" t="str">
        <f>"Total Company   (ln "&amp;A34&amp;" - ln "&amp;A35&amp;" - ln "&amp;A36&amp;" + ln "&amp;A37&amp;")"</f>
        <v>Total Company   (ln 24 - ln 25 - ln 26 + ln 27)</v>
      </c>
      <c r="C38" s="636">
        <f>+C34-C35-C36+C37</f>
        <v>0</v>
      </c>
      <c r="D38" s="636">
        <f>+D34-D35-D36+D37</f>
        <v>0</v>
      </c>
      <c r="E38" s="636">
        <f t="shared" ref="E38:H38" si="2">+E34-E35-E36+E37</f>
        <v>0</v>
      </c>
      <c r="F38" s="636">
        <f t="shared" si="2"/>
        <v>0</v>
      </c>
      <c r="G38" s="636">
        <f t="shared" si="2"/>
        <v>0</v>
      </c>
      <c r="H38" s="636">
        <f t="shared" si="2"/>
        <v>0</v>
      </c>
      <c r="I38" s="636" t="s">
        <v>2</v>
      </c>
      <c r="J38" s="637"/>
    </row>
    <row r="39" spans="1:10" ht="12.75" customHeight="1" thickBot="1">
      <c r="A39" s="626">
        <f t="shared" si="0"/>
        <v>29</v>
      </c>
      <c r="B39" s="479" t="s">
        <v>588</v>
      </c>
      <c r="C39" s="640"/>
      <c r="D39" s="480">
        <v>0</v>
      </c>
      <c r="E39" s="480">
        <v>0</v>
      </c>
      <c r="F39" s="480">
        <v>1</v>
      </c>
      <c r="G39" s="480">
        <v>1</v>
      </c>
      <c r="H39" s="480">
        <v>1</v>
      </c>
      <c r="I39" s="641"/>
      <c r="J39" s="637"/>
    </row>
    <row r="40" spans="1:10" ht="12.75" customHeight="1" thickBot="1">
      <c r="A40" s="626">
        <f t="shared" si="0"/>
        <v>30</v>
      </c>
      <c r="B40" s="478" t="str">
        <f>"Total Transmission   (ln "&amp;A38&amp;" * ln "&amp;A39&amp;")"</f>
        <v>Total Transmission   (ln 28 * ln 29)</v>
      </c>
      <c r="C40" s="637"/>
      <c r="D40" s="636">
        <f>D38*D39</f>
        <v>0</v>
      </c>
      <c r="E40" s="636">
        <f>E38*E39</f>
        <v>0</v>
      </c>
      <c r="F40" s="636">
        <f>F38*F39</f>
        <v>0</v>
      </c>
      <c r="G40" s="636">
        <f>G38*G39</f>
        <v>0</v>
      </c>
      <c r="H40" s="642">
        <f>H38*H39</f>
        <v>0</v>
      </c>
      <c r="I40" s="643">
        <f>SUM(F40:H40)</f>
        <v>0</v>
      </c>
      <c r="J40" s="478"/>
    </row>
    <row r="41" spans="1:10" ht="12.75" customHeight="1">
      <c r="A41" s="626"/>
      <c r="B41" s="481"/>
      <c r="C41" s="627"/>
      <c r="D41" s="644"/>
      <c r="E41" s="644"/>
      <c r="F41" s="644"/>
      <c r="G41" s="644"/>
      <c r="H41" s="644"/>
      <c r="I41" s="644"/>
      <c r="J41" s="481"/>
    </row>
    <row r="42" spans="1:10" s="627" customFormat="1" ht="12.2" customHeight="1">
      <c r="A42" s="626"/>
      <c r="B42" s="482"/>
      <c r="D42" s="644"/>
      <c r="E42" s="644"/>
      <c r="F42" s="644"/>
      <c r="G42" s="644"/>
      <c r="H42" s="644"/>
      <c r="I42" s="644"/>
    </row>
    <row r="43" spans="1:10" ht="15.75" customHeight="1">
      <c r="A43" s="626"/>
      <c r="B43" s="472" t="s">
        <v>589</v>
      </c>
      <c r="C43" s="472"/>
      <c r="D43" s="472"/>
      <c r="E43" s="472"/>
      <c r="F43" s="472"/>
      <c r="G43" s="627"/>
    </row>
    <row r="44" spans="1:10" ht="12.75" customHeight="1">
      <c r="A44" s="626"/>
      <c r="B44" s="645"/>
      <c r="C44" s="627"/>
      <c r="D44" s="627"/>
      <c r="E44" s="627"/>
      <c r="F44" s="627"/>
      <c r="G44" s="626"/>
      <c r="H44" s="626"/>
      <c r="I44" s="627"/>
      <c r="J44" s="627"/>
    </row>
    <row r="45" spans="1:10">
      <c r="A45" s="626"/>
      <c r="B45" s="473" t="str">
        <f>B7</f>
        <v>(A)</v>
      </c>
      <c r="C45" s="473" t="s">
        <v>546</v>
      </c>
      <c r="D45" s="473" t="str">
        <f t="shared" ref="D45:J45" si="3">D7</f>
        <v>(C)</v>
      </c>
      <c r="E45" s="473" t="str">
        <f t="shared" si="3"/>
        <v>(D)</v>
      </c>
      <c r="F45" s="473" t="str">
        <f t="shared" si="3"/>
        <v>(E)</v>
      </c>
      <c r="G45" s="473" t="str">
        <f t="shared" si="3"/>
        <v>(F)</v>
      </c>
      <c r="H45" s="473" t="str">
        <f t="shared" si="3"/>
        <v>(G)</v>
      </c>
      <c r="I45" s="473" t="str">
        <f t="shared" si="3"/>
        <v>(H)</v>
      </c>
      <c r="J45" s="473" t="str">
        <f t="shared" si="3"/>
        <v>(I)</v>
      </c>
    </row>
    <row r="46" spans="1:10">
      <c r="A46" s="626"/>
      <c r="B46" s="473"/>
      <c r="C46" s="473" t="str">
        <f>C8</f>
        <v>Avg. Balance/</v>
      </c>
      <c r="D46" s="475" t="str">
        <f>D8</f>
        <v>100%</v>
      </c>
      <c r="E46" s="475">
        <v>1</v>
      </c>
      <c r="F46" s="473" t="str">
        <f>F8</f>
        <v>100%</v>
      </c>
      <c r="G46" s="473"/>
      <c r="H46" s="473"/>
      <c r="I46" s="473" t="str">
        <f>I8</f>
        <v>Total Included</v>
      </c>
      <c r="J46" s="627"/>
    </row>
    <row r="47" spans="1:10">
      <c r="A47" s="626" t="s">
        <v>8</v>
      </c>
      <c r="B47" s="473"/>
      <c r="C47" s="473" t="str">
        <f>C9</f>
        <v>Year-end only (Note A)</v>
      </c>
      <c r="D47" s="473" t="str">
        <f>D9</f>
        <v>Non-Transmission</v>
      </c>
      <c r="E47" s="473" t="s">
        <v>577</v>
      </c>
      <c r="F47" s="473" t="str">
        <f>F9</f>
        <v>Transmission</v>
      </c>
      <c r="G47" s="473" t="str">
        <f>G9</f>
        <v xml:space="preserve">Plant </v>
      </c>
      <c r="H47" s="473" t="str">
        <f>H9</f>
        <v>Labor</v>
      </c>
      <c r="I47" s="473" t="str">
        <f>I9</f>
        <v>in Ratebase</v>
      </c>
      <c r="J47" s="627"/>
    </row>
    <row r="48" spans="1:10">
      <c r="A48" s="626" t="s">
        <v>10</v>
      </c>
      <c r="B48" s="476" t="str">
        <f>B10</f>
        <v>Identification</v>
      </c>
      <c r="C48" s="476" t="s">
        <v>580</v>
      </c>
      <c r="D48" s="476" t="str">
        <f>D10</f>
        <v>Related</v>
      </c>
      <c r="E48" s="476" t="s">
        <v>581</v>
      </c>
      <c r="F48" s="476" t="str">
        <f>F10</f>
        <v>Related</v>
      </c>
      <c r="G48" s="476" t="str">
        <f>G10</f>
        <v>Related</v>
      </c>
      <c r="H48" s="476" t="str">
        <f>H10</f>
        <v>Related</v>
      </c>
      <c r="I48" s="476" t="str">
        <f>I10</f>
        <v>(E)+(F)+(G)</v>
      </c>
      <c r="J48" s="476" t="str">
        <f>J10</f>
        <v>Description / Justification</v>
      </c>
    </row>
    <row r="49" spans="1:10">
      <c r="A49" s="626">
        <f>A40+1</f>
        <v>31</v>
      </c>
      <c r="B49" s="629"/>
      <c r="C49" s="646"/>
      <c r="D49" s="647"/>
      <c r="E49" s="647"/>
      <c r="F49" s="647"/>
      <c r="G49" s="646"/>
      <c r="H49" s="630"/>
      <c r="I49" s="646">
        <f>H49+G49+F49</f>
        <v>0</v>
      </c>
      <c r="J49" s="650"/>
    </row>
    <row r="50" spans="1:10">
      <c r="A50" s="626">
        <f>A49+1</f>
        <v>32</v>
      </c>
      <c r="B50" s="629"/>
      <c r="C50" s="646"/>
      <c r="D50" s="647"/>
      <c r="E50" s="647"/>
      <c r="F50" s="647"/>
      <c r="G50" s="646"/>
      <c r="H50" s="630"/>
      <c r="I50" s="646">
        <f>H50+G50+F50</f>
        <v>0</v>
      </c>
      <c r="J50" s="650"/>
    </row>
    <row r="51" spans="1:10">
      <c r="A51" s="626">
        <f>A50+1</f>
        <v>33</v>
      </c>
      <c r="B51" s="629"/>
      <c r="C51" s="646"/>
      <c r="D51" s="647"/>
      <c r="E51" s="647"/>
      <c r="F51" s="647"/>
      <c r="G51" s="630"/>
      <c r="H51" s="630"/>
      <c r="I51" s="630">
        <f>H51+G51+F51</f>
        <v>0</v>
      </c>
      <c r="J51" s="650"/>
    </row>
    <row r="52" spans="1:10">
      <c r="A52" s="626">
        <f t="shared" si="0"/>
        <v>34</v>
      </c>
      <c r="B52" s="629"/>
      <c r="C52" s="646"/>
      <c r="D52" s="647"/>
      <c r="E52" s="647"/>
      <c r="F52" s="647"/>
      <c r="G52" s="646"/>
      <c r="H52" s="630"/>
      <c r="I52" s="646">
        <f>H52+G52+F52</f>
        <v>0</v>
      </c>
      <c r="J52" s="650"/>
    </row>
    <row r="53" spans="1:10">
      <c r="A53" s="626">
        <f t="shared" si="0"/>
        <v>35</v>
      </c>
      <c r="B53" s="629"/>
      <c r="C53" s="646"/>
      <c r="D53" s="647"/>
      <c r="E53" s="647"/>
      <c r="F53" s="647"/>
      <c r="G53" s="646"/>
      <c r="H53" s="630"/>
      <c r="I53" s="646">
        <f t="shared" ref="I53:I58" si="4">H53+G53+F53</f>
        <v>0</v>
      </c>
      <c r="J53" s="650"/>
    </row>
    <row r="54" spans="1:10">
      <c r="A54" s="626">
        <f t="shared" si="0"/>
        <v>36</v>
      </c>
      <c r="B54" s="629"/>
      <c r="C54" s="646"/>
      <c r="D54" s="647"/>
      <c r="E54" s="647"/>
      <c r="F54" s="647"/>
      <c r="G54" s="646"/>
      <c r="H54" s="630"/>
      <c r="I54" s="646">
        <f t="shared" si="4"/>
        <v>0</v>
      </c>
      <c r="J54" s="650"/>
    </row>
    <row r="55" spans="1:10">
      <c r="A55" s="626">
        <f>A54+1</f>
        <v>37</v>
      </c>
      <c r="B55" s="629"/>
      <c r="C55" s="646"/>
      <c r="D55" s="649"/>
      <c r="E55" s="649"/>
      <c r="F55" s="649"/>
      <c r="G55" s="646"/>
      <c r="H55" s="646"/>
      <c r="I55" s="646">
        <f t="shared" si="4"/>
        <v>0</v>
      </c>
      <c r="J55" s="650"/>
    </row>
    <row r="56" spans="1:10">
      <c r="A56" s="626">
        <f>A55+1</f>
        <v>38</v>
      </c>
      <c r="B56" s="629"/>
      <c r="C56" s="646"/>
      <c r="D56" s="647"/>
      <c r="E56" s="647"/>
      <c r="F56" s="647"/>
      <c r="G56" s="630"/>
      <c r="H56" s="635"/>
      <c r="I56" s="646">
        <f>H56+G56+F56</f>
        <v>0</v>
      </c>
      <c r="J56" s="650"/>
    </row>
    <row r="57" spans="1:10">
      <c r="A57" s="626">
        <f>A56+1</f>
        <v>39</v>
      </c>
      <c r="B57" s="629"/>
      <c r="C57" s="646"/>
      <c r="D57" s="647"/>
      <c r="E57" s="647"/>
      <c r="F57" s="647"/>
      <c r="G57" s="630"/>
      <c r="H57" s="635"/>
      <c r="I57" s="646">
        <f t="shared" si="4"/>
        <v>0</v>
      </c>
      <c r="J57" s="650"/>
    </row>
    <row r="58" spans="1:10">
      <c r="A58" s="626">
        <f t="shared" si="0"/>
        <v>40</v>
      </c>
      <c r="B58" s="629"/>
      <c r="C58" s="646"/>
      <c r="D58" s="647"/>
      <c r="E58" s="647"/>
      <c r="F58" s="647"/>
      <c r="G58" s="630"/>
      <c r="H58" s="635"/>
      <c r="I58" s="646">
        <f t="shared" si="4"/>
        <v>0</v>
      </c>
      <c r="J58" s="650"/>
    </row>
    <row r="59" spans="1:10">
      <c r="A59" s="626">
        <f t="shared" si="0"/>
        <v>41</v>
      </c>
      <c r="B59" s="629"/>
      <c r="C59" s="646"/>
      <c r="D59" s="647"/>
      <c r="E59" s="647"/>
      <c r="F59" s="647"/>
      <c r="G59" s="630"/>
      <c r="H59" s="635"/>
      <c r="I59" s="646">
        <f t="shared" ref="I59" si="5">H59+G59+F59</f>
        <v>0</v>
      </c>
      <c r="J59" s="650"/>
    </row>
    <row r="60" spans="1:10">
      <c r="A60" s="626">
        <f t="shared" si="0"/>
        <v>42</v>
      </c>
      <c r="B60" s="629"/>
      <c r="C60" s="646"/>
      <c r="D60" s="651"/>
      <c r="E60" s="651"/>
      <c r="F60" s="651"/>
      <c r="G60" s="651"/>
      <c r="H60" s="651"/>
      <c r="I60" s="646"/>
      <c r="J60" s="650"/>
    </row>
    <row r="61" spans="1:10">
      <c r="A61" s="626">
        <f t="shared" si="0"/>
        <v>43</v>
      </c>
      <c r="B61" s="629"/>
      <c r="C61" s="646"/>
      <c r="D61" s="651"/>
      <c r="E61" s="651"/>
      <c r="F61" s="651"/>
      <c r="G61" s="651"/>
      <c r="H61" s="651"/>
      <c r="I61" s="646"/>
      <c r="J61" s="646"/>
    </row>
    <row r="62" spans="1:10">
      <c r="A62" s="626">
        <f t="shared" si="0"/>
        <v>44</v>
      </c>
      <c r="B62" s="629"/>
      <c r="C62" s="646"/>
      <c r="D62" s="651"/>
      <c r="E62" s="651"/>
      <c r="F62" s="651"/>
      <c r="G62" s="651"/>
      <c r="H62" s="651"/>
      <c r="I62" s="646"/>
      <c r="J62" s="646"/>
    </row>
    <row r="63" spans="1:10">
      <c r="A63" s="626">
        <f t="shared" si="0"/>
        <v>45</v>
      </c>
      <c r="B63" s="629"/>
      <c r="C63" s="646"/>
      <c r="D63" s="651"/>
      <c r="E63" s="651"/>
      <c r="F63" s="651"/>
      <c r="G63" s="651"/>
      <c r="H63" s="651"/>
      <c r="I63" s="646"/>
      <c r="J63" s="629"/>
    </row>
    <row r="64" spans="1:10">
      <c r="A64" s="626">
        <f t="shared" si="0"/>
        <v>46</v>
      </c>
      <c r="B64" s="629"/>
      <c r="C64" s="646"/>
      <c r="D64" s="651"/>
      <c r="E64" s="651"/>
      <c r="F64" s="651"/>
      <c r="G64" s="651"/>
      <c r="H64" s="651"/>
      <c r="I64" s="646"/>
      <c r="J64" s="629"/>
    </row>
    <row r="65" spans="1:10">
      <c r="A65" s="626">
        <f t="shared" si="0"/>
        <v>47</v>
      </c>
      <c r="B65" s="629"/>
      <c r="C65" s="646"/>
      <c r="D65" s="651"/>
      <c r="E65" s="651"/>
      <c r="F65" s="651"/>
      <c r="G65" s="651"/>
      <c r="H65" s="651"/>
      <c r="I65" s="646"/>
      <c r="J65" s="629"/>
    </row>
    <row r="66" spans="1:10">
      <c r="A66" s="626">
        <f t="shared" si="0"/>
        <v>48</v>
      </c>
      <c r="B66" s="629"/>
      <c r="C66" s="646"/>
      <c r="D66" s="651"/>
      <c r="E66" s="651"/>
      <c r="F66" s="651"/>
      <c r="G66" s="651"/>
      <c r="H66" s="651"/>
      <c r="I66" s="646"/>
      <c r="J66" s="629"/>
    </row>
    <row r="67" spans="1:10">
      <c r="A67" s="626">
        <f t="shared" si="0"/>
        <v>49</v>
      </c>
      <c r="B67" s="629"/>
      <c r="C67" s="646"/>
      <c r="D67" s="651"/>
      <c r="E67" s="651"/>
      <c r="F67" s="651"/>
      <c r="G67" s="651"/>
      <c r="H67" s="651"/>
      <c r="I67" s="646"/>
      <c r="J67" s="629"/>
    </row>
    <row r="68" spans="1:10">
      <c r="A68" s="626">
        <f t="shared" si="0"/>
        <v>50</v>
      </c>
      <c r="B68" s="629"/>
      <c r="C68" s="646"/>
      <c r="D68" s="651"/>
      <c r="E68" s="651"/>
      <c r="F68" s="651"/>
      <c r="G68" s="651"/>
      <c r="H68" s="651"/>
      <c r="I68" s="646"/>
      <c r="J68" s="629"/>
    </row>
    <row r="69" spans="1:10">
      <c r="A69" s="626">
        <f t="shared" si="0"/>
        <v>51</v>
      </c>
      <c r="B69" s="629"/>
      <c r="C69" s="646"/>
      <c r="D69" s="651"/>
      <c r="E69" s="651"/>
      <c r="F69" s="651"/>
      <c r="G69" s="651"/>
      <c r="H69" s="651"/>
      <c r="I69" s="646"/>
      <c r="J69" s="629"/>
    </row>
    <row r="70" spans="1:10">
      <c r="A70" s="626">
        <f t="shared" si="0"/>
        <v>52</v>
      </c>
      <c r="B70" s="629"/>
      <c r="C70" s="652"/>
      <c r="D70" s="653"/>
      <c r="E70" s="652"/>
      <c r="F70" s="652"/>
      <c r="G70" s="652"/>
      <c r="H70" s="652"/>
      <c r="I70" s="629"/>
      <c r="J70" s="629"/>
    </row>
    <row r="71" spans="1:10">
      <c r="A71" s="626">
        <f t="shared" si="0"/>
        <v>53</v>
      </c>
      <c r="B71" s="478" t="s">
        <v>590</v>
      </c>
      <c r="C71" s="636">
        <f t="shared" ref="C71:H71" si="6">SUM(C49:C70)</f>
        <v>0</v>
      </c>
      <c r="D71" s="636">
        <f t="shared" si="6"/>
        <v>0</v>
      </c>
      <c r="E71" s="636">
        <f t="shared" si="6"/>
        <v>0</v>
      </c>
      <c r="F71" s="636">
        <f t="shared" si="6"/>
        <v>0</v>
      </c>
      <c r="G71" s="636">
        <f t="shared" si="6"/>
        <v>0</v>
      </c>
      <c r="H71" s="636">
        <f t="shared" si="6"/>
        <v>0</v>
      </c>
      <c r="I71" s="636"/>
      <c r="J71" s="637"/>
    </row>
    <row r="72" spans="1:10">
      <c r="A72" s="626">
        <f t="shared" si="0"/>
        <v>54</v>
      </c>
      <c r="B72" s="478" t="str">
        <f>B35</f>
        <v>Less FASB 109 Above if not separately removed</v>
      </c>
      <c r="C72" s="636">
        <f>SUM(D72:H72)</f>
        <v>0</v>
      </c>
      <c r="D72" s="638">
        <v>0</v>
      </c>
      <c r="E72" s="638">
        <v>0</v>
      </c>
      <c r="F72" s="638">
        <v>0</v>
      </c>
      <c r="G72" s="638">
        <v>0</v>
      </c>
      <c r="H72" s="638">
        <v>0</v>
      </c>
      <c r="I72" s="637"/>
      <c r="J72" s="639"/>
    </row>
    <row r="73" spans="1:10">
      <c r="A73" s="626">
        <f t="shared" si="0"/>
        <v>55</v>
      </c>
      <c r="B73" s="478" t="str">
        <f>B36</f>
        <v>Less FASB 106 and Other Excludable Items Above if not separately removed</v>
      </c>
      <c r="C73" s="636">
        <f>SUM(D73:H73)</f>
        <v>0</v>
      </c>
      <c r="D73" s="638">
        <v>0</v>
      </c>
      <c r="E73" s="638">
        <v>0</v>
      </c>
      <c r="F73" s="638">
        <v>0</v>
      </c>
      <c r="G73" s="638">
        <v>0</v>
      </c>
      <c r="H73" s="638">
        <v>0</v>
      </c>
      <c r="I73" s="637"/>
      <c r="J73" s="639"/>
    </row>
    <row r="74" spans="1:10">
      <c r="A74" s="626">
        <f t="shared" si="0"/>
        <v>56</v>
      </c>
      <c r="B74" s="478" t="str">
        <f>B37</f>
        <v>Less Proration Adjustment (from Worksheet 4c &amp; 4d)</v>
      </c>
      <c r="C74" s="638">
        <f>'4d- ADIT ATRR Proration'!L69</f>
        <v>0</v>
      </c>
      <c r="D74" s="638">
        <v>0</v>
      </c>
      <c r="E74" s="638">
        <v>0</v>
      </c>
      <c r="F74" s="638">
        <v>0</v>
      </c>
      <c r="G74" s="638">
        <f>C74</f>
        <v>0</v>
      </c>
      <c r="H74" s="638">
        <v>0</v>
      </c>
      <c r="I74" s="637"/>
      <c r="J74" s="637"/>
    </row>
    <row r="75" spans="1:10">
      <c r="A75" s="626">
        <f t="shared" si="0"/>
        <v>57</v>
      </c>
      <c r="B75" s="478" t="str">
        <f>"Total Company  (ln "&amp;A71&amp;" - ln "&amp;A72&amp;" - ln "&amp;A73&amp;" + ln "&amp;A74&amp;")"</f>
        <v>Total Company  (ln 53 - ln 54 - ln 55 + ln 56)</v>
      </c>
      <c r="C75" s="636">
        <f>+C71-C72-C73-C74</f>
        <v>0</v>
      </c>
      <c r="D75" s="636">
        <f t="shared" ref="D75:H75" si="7">+D71-D72-D73-D74</f>
        <v>0</v>
      </c>
      <c r="E75" s="636">
        <f t="shared" si="7"/>
        <v>0</v>
      </c>
      <c r="F75" s="636">
        <f t="shared" si="7"/>
        <v>0</v>
      </c>
      <c r="G75" s="636">
        <f>+G71-G72-G73-G74</f>
        <v>0</v>
      </c>
      <c r="H75" s="636">
        <f t="shared" si="7"/>
        <v>0</v>
      </c>
      <c r="I75" s="636" t="s">
        <v>2</v>
      </c>
      <c r="J75" s="637"/>
    </row>
    <row r="76" spans="1:10" ht="13.5" thickBot="1">
      <c r="A76" s="626">
        <f t="shared" si="0"/>
        <v>58</v>
      </c>
      <c r="B76" s="478" t="str">
        <f>B39</f>
        <v>Transmission Allocator [ GP or W/S ]</v>
      </c>
      <c r="C76" s="640"/>
      <c r="D76" s="480">
        <v>0</v>
      </c>
      <c r="E76" s="480">
        <v>0</v>
      </c>
      <c r="F76" s="480">
        <v>1</v>
      </c>
      <c r="G76" s="480">
        <v>1</v>
      </c>
      <c r="H76" s="480">
        <v>1</v>
      </c>
      <c r="I76" s="641"/>
      <c r="J76" s="637"/>
    </row>
    <row r="77" spans="1:10" ht="13.5" thickBot="1">
      <c r="A77" s="626">
        <f t="shared" ref="A77" si="8">A76+1</f>
        <v>59</v>
      </c>
      <c r="B77" s="478" t="str">
        <f>"Total Transmission  (ln "&amp;A75&amp;" * ln "&amp;A76&amp;")"</f>
        <v>Total Transmission  (ln 57 * ln 58)</v>
      </c>
      <c r="C77" s="637"/>
      <c r="D77" s="636">
        <f>IF(D75&lt;&gt;0,D75*D76,0)</f>
        <v>0</v>
      </c>
      <c r="E77" s="636">
        <f>IF(E75&lt;&gt;0,E75*E76,0)</f>
        <v>0</v>
      </c>
      <c r="F77" s="636">
        <f>IF(F75&lt;&gt;0,F75*F76,0)</f>
        <v>0</v>
      </c>
      <c r="G77" s="636">
        <f>IF(G75&lt;&gt;0,G75*G76,0)</f>
        <v>0</v>
      </c>
      <c r="H77" s="642">
        <f>IF(H75&lt;&gt;0,H75*H76,0)</f>
        <v>0</v>
      </c>
      <c r="I77" s="643">
        <f>SUM(F77:H77)</f>
        <v>0</v>
      </c>
      <c r="J77" s="478"/>
    </row>
    <row r="78" spans="1:10" s="627" customFormat="1" ht="13.7" customHeight="1">
      <c r="A78" s="626"/>
      <c r="B78" s="481"/>
      <c r="D78" s="644"/>
      <c r="E78" s="644"/>
      <c r="F78" s="644"/>
      <c r="G78" s="644"/>
      <c r="H78" s="644"/>
      <c r="I78" s="644"/>
    </row>
    <row r="79" spans="1:10" s="627" customFormat="1" ht="13.7" customHeight="1">
      <c r="A79" s="626"/>
      <c r="C79" s="654"/>
      <c r="D79" s="644"/>
      <c r="E79" s="644"/>
      <c r="F79" s="644"/>
      <c r="G79" s="644"/>
      <c r="H79" s="644"/>
      <c r="I79" s="644"/>
    </row>
    <row r="80" spans="1:10" ht="20.25">
      <c r="A80" s="484"/>
      <c r="B80" s="485"/>
      <c r="C80" s="627"/>
      <c r="D80" s="644"/>
      <c r="E80" s="644"/>
      <c r="F80" s="644"/>
      <c r="G80" s="644"/>
      <c r="H80" s="644"/>
      <c r="I80" s="644"/>
      <c r="J80" s="471"/>
    </row>
    <row r="81" spans="1:10" ht="17.45" customHeight="1">
      <c r="B81" s="486"/>
      <c r="C81" s="627"/>
      <c r="F81" s="644"/>
      <c r="G81" s="644"/>
      <c r="H81" s="644"/>
      <c r="I81" s="644"/>
      <c r="J81" s="471" t="s">
        <v>140</v>
      </c>
    </row>
    <row r="82" spans="1:10" ht="15.75">
      <c r="A82" s="626"/>
      <c r="B82" s="472" t="s">
        <v>591</v>
      </c>
      <c r="C82" s="472"/>
      <c r="D82" s="487"/>
      <c r="E82" s="488"/>
      <c r="F82" s="655"/>
      <c r="G82" s="472"/>
      <c r="H82" s="472"/>
      <c r="I82" s="472"/>
    </row>
    <row r="83" spans="1:10" ht="15.75">
      <c r="A83" s="626"/>
      <c r="B83" s="472"/>
      <c r="C83" s="472"/>
      <c r="D83" s="487"/>
      <c r="E83" s="488"/>
      <c r="F83" s="655"/>
      <c r="G83" s="472"/>
      <c r="H83" s="472"/>
      <c r="I83" s="472"/>
      <c r="J83" s="471"/>
    </row>
    <row r="84" spans="1:10">
      <c r="A84" s="626"/>
      <c r="B84" s="473" t="str">
        <f t="shared" ref="B84:J84" si="9">B7</f>
        <v>(A)</v>
      </c>
      <c r="C84" s="473" t="str">
        <f t="shared" si="9"/>
        <v>(B)</v>
      </c>
      <c r="D84" s="473" t="str">
        <f t="shared" si="9"/>
        <v>(C)</v>
      </c>
      <c r="E84" s="473" t="str">
        <f t="shared" si="9"/>
        <v>(D)</v>
      </c>
      <c r="F84" s="473" t="str">
        <f t="shared" si="9"/>
        <v>(E)</v>
      </c>
      <c r="G84" s="473" t="str">
        <f t="shared" si="9"/>
        <v>(F)</v>
      </c>
      <c r="H84" s="473" t="str">
        <f t="shared" si="9"/>
        <v>(G)</v>
      </c>
      <c r="I84" s="473" t="str">
        <f t="shared" si="9"/>
        <v>(H)</v>
      </c>
      <c r="J84" s="473" t="str">
        <f t="shared" si="9"/>
        <v>(I)</v>
      </c>
    </row>
    <row r="85" spans="1:10">
      <c r="A85" s="626"/>
      <c r="B85" s="473"/>
      <c r="C85" s="473" t="str">
        <f>C46</f>
        <v>Avg. Balance/</v>
      </c>
      <c r="D85" s="473" t="str">
        <f>D8</f>
        <v>100%</v>
      </c>
      <c r="E85" s="475">
        <v>1</v>
      </c>
      <c r="F85" s="473" t="str">
        <f>F8</f>
        <v>100%</v>
      </c>
      <c r="G85" s="473"/>
      <c r="H85" s="473"/>
      <c r="I85" s="473" t="str">
        <f>I8</f>
        <v>Total Included</v>
      </c>
      <c r="J85" s="627"/>
    </row>
    <row r="86" spans="1:10">
      <c r="A86" s="626" t="s">
        <v>8</v>
      </c>
      <c r="B86" s="473"/>
      <c r="C86" s="473" t="str">
        <f>C47</f>
        <v>Year-end only (Note A)</v>
      </c>
      <c r="D86" s="473" t="str">
        <f>D9</f>
        <v>Non-Transmission</v>
      </c>
      <c r="E86" s="473" t="s">
        <v>577</v>
      </c>
      <c r="F86" s="473" t="str">
        <f>F9</f>
        <v>Transmission</v>
      </c>
      <c r="G86" s="473" t="str">
        <f>G9</f>
        <v xml:space="preserve">Plant </v>
      </c>
      <c r="H86" s="473" t="str">
        <f>H9</f>
        <v>Labor</v>
      </c>
      <c r="I86" s="473" t="str">
        <f>I9</f>
        <v>in Ratebase</v>
      </c>
      <c r="J86" s="627"/>
    </row>
    <row r="87" spans="1:10">
      <c r="A87" s="626" t="s">
        <v>10</v>
      </c>
      <c r="B87" s="476" t="str">
        <f>B10</f>
        <v>Identification</v>
      </c>
      <c r="C87" s="476" t="s">
        <v>580</v>
      </c>
      <c r="D87" s="476" t="str">
        <f>D10</f>
        <v>Related</v>
      </c>
      <c r="E87" s="476" t="s">
        <v>581</v>
      </c>
      <c r="F87" s="476" t="str">
        <f>F10</f>
        <v>Related</v>
      </c>
      <c r="G87" s="476" t="str">
        <f>G10</f>
        <v>Related</v>
      </c>
      <c r="H87" s="476" t="str">
        <f>H10</f>
        <v>Related</v>
      </c>
      <c r="I87" s="476" t="str">
        <f>I10</f>
        <v>(E)+(F)+(G)</v>
      </c>
      <c r="J87" s="476" t="str">
        <f>J10</f>
        <v>Description / Justification</v>
      </c>
    </row>
    <row r="88" spans="1:10">
      <c r="A88" s="626">
        <f>A77+1</f>
        <v>60</v>
      </c>
      <c r="B88" s="656"/>
      <c r="C88" s="646"/>
      <c r="D88" s="630"/>
      <c r="E88" s="630"/>
      <c r="F88" s="646"/>
      <c r="G88" s="630"/>
      <c r="H88" s="630"/>
      <c r="I88" s="646">
        <f>H88+G88+F88</f>
        <v>0</v>
      </c>
      <c r="J88" s="648"/>
    </row>
    <row r="89" spans="1:10">
      <c r="A89" s="626">
        <f t="shared" ref="A89:A119" si="10">A88+1</f>
        <v>61</v>
      </c>
      <c r="B89" s="656"/>
      <c r="C89" s="646"/>
      <c r="D89" s="630"/>
      <c r="E89" s="630"/>
      <c r="F89" s="646"/>
      <c r="G89" s="630"/>
      <c r="H89" s="630"/>
      <c r="I89" s="646">
        <f t="shared" ref="I89:I90" si="11">H89+G89+F89</f>
        <v>0</v>
      </c>
      <c r="J89" s="648"/>
    </row>
    <row r="90" spans="1:10">
      <c r="A90" s="626">
        <f t="shared" si="10"/>
        <v>62</v>
      </c>
      <c r="B90" s="656"/>
      <c r="C90" s="646"/>
      <c r="D90" s="630"/>
      <c r="E90" s="630"/>
      <c r="F90" s="630"/>
      <c r="G90" s="630"/>
      <c r="H90" s="630"/>
      <c r="I90" s="630">
        <f t="shared" si="11"/>
        <v>0</v>
      </c>
      <c r="J90" s="639"/>
    </row>
    <row r="91" spans="1:10">
      <c r="A91" s="626">
        <f t="shared" si="10"/>
        <v>63</v>
      </c>
      <c r="B91" s="656"/>
      <c r="C91" s="646"/>
      <c r="D91" s="630"/>
      <c r="E91" s="630"/>
      <c r="F91" s="646"/>
      <c r="G91" s="630"/>
      <c r="H91" s="630"/>
      <c r="I91" s="646">
        <f t="shared" ref="I91:I94" si="12">H91+G91+F91</f>
        <v>0</v>
      </c>
      <c r="J91" s="648"/>
    </row>
    <row r="92" spans="1:10">
      <c r="A92" s="626">
        <f t="shared" si="10"/>
        <v>64</v>
      </c>
      <c r="B92" s="656"/>
      <c r="C92" s="646"/>
      <c r="D92" s="630"/>
      <c r="E92" s="630"/>
      <c r="F92" s="646"/>
      <c r="G92" s="630"/>
      <c r="H92" s="630"/>
      <c r="I92" s="646">
        <f t="shared" si="12"/>
        <v>0</v>
      </c>
      <c r="J92" s="648"/>
    </row>
    <row r="93" spans="1:10">
      <c r="A93" s="626">
        <f t="shared" si="10"/>
        <v>65</v>
      </c>
      <c r="B93" s="656"/>
      <c r="C93" s="646"/>
      <c r="D93" s="630"/>
      <c r="E93" s="630"/>
      <c r="F93" s="630"/>
      <c r="G93" s="630"/>
      <c r="H93" s="630"/>
      <c r="I93" s="630">
        <f t="shared" si="12"/>
        <v>0</v>
      </c>
      <c r="J93" s="648"/>
    </row>
    <row r="94" spans="1:10">
      <c r="A94" s="626">
        <f t="shared" si="10"/>
        <v>66</v>
      </c>
      <c r="B94" s="656"/>
      <c r="C94" s="646"/>
      <c r="D94" s="630"/>
      <c r="E94" s="630"/>
      <c r="F94" s="630"/>
      <c r="G94" s="630"/>
      <c r="H94" s="630"/>
      <c r="I94" s="630">
        <f t="shared" si="12"/>
        <v>0</v>
      </c>
      <c r="J94" s="648"/>
    </row>
    <row r="95" spans="1:10">
      <c r="A95" s="626">
        <f t="shared" si="10"/>
        <v>67</v>
      </c>
      <c r="B95" s="656"/>
      <c r="C95" s="646"/>
      <c r="D95" s="630"/>
      <c r="E95" s="630"/>
      <c r="F95" s="630"/>
      <c r="G95" s="630"/>
      <c r="H95" s="630"/>
      <c r="I95" s="630">
        <f t="shared" ref="I95:I104" si="13">H95+G95+F95</f>
        <v>0</v>
      </c>
      <c r="J95" s="648"/>
    </row>
    <row r="96" spans="1:10">
      <c r="A96" s="626">
        <f t="shared" si="10"/>
        <v>68</v>
      </c>
      <c r="B96" s="656"/>
      <c r="C96" s="646"/>
      <c r="D96" s="630"/>
      <c r="E96" s="630"/>
      <c r="F96" s="630"/>
      <c r="G96" s="630"/>
      <c r="H96" s="630"/>
      <c r="I96" s="630">
        <f t="shared" si="13"/>
        <v>0</v>
      </c>
      <c r="J96" s="648"/>
    </row>
    <row r="97" spans="1:10" ht="12.75" customHeight="1">
      <c r="A97" s="626">
        <f t="shared" si="10"/>
        <v>69</v>
      </c>
      <c r="B97" s="656"/>
      <c r="C97" s="646"/>
      <c r="D97" s="630"/>
      <c r="E97" s="630"/>
      <c r="F97" s="630"/>
      <c r="G97" s="630"/>
      <c r="H97" s="630"/>
      <c r="I97" s="630">
        <f t="shared" si="13"/>
        <v>0</v>
      </c>
      <c r="J97" s="648"/>
    </row>
    <row r="98" spans="1:10">
      <c r="A98" s="626">
        <f t="shared" si="10"/>
        <v>70</v>
      </c>
      <c r="B98" s="656"/>
      <c r="C98" s="646"/>
      <c r="D98" s="630"/>
      <c r="E98" s="630"/>
      <c r="F98" s="630"/>
      <c r="G98" s="630"/>
      <c r="H98" s="630"/>
      <c r="I98" s="630">
        <f t="shared" si="13"/>
        <v>0</v>
      </c>
      <c r="J98" s="639"/>
    </row>
    <row r="99" spans="1:10" ht="12.75" customHeight="1">
      <c r="A99" s="626">
        <f t="shared" si="10"/>
        <v>71</v>
      </c>
      <c r="B99" s="656"/>
      <c r="C99" s="646"/>
      <c r="D99" s="630"/>
      <c r="E99" s="630"/>
      <c r="F99" s="630"/>
      <c r="G99" s="630"/>
      <c r="H99" s="630"/>
      <c r="I99" s="630">
        <f>H99+G99+F99</f>
        <v>0</v>
      </c>
      <c r="J99" s="648"/>
    </row>
    <row r="100" spans="1:10" ht="12.75" customHeight="1">
      <c r="A100" s="626">
        <f t="shared" si="10"/>
        <v>72</v>
      </c>
      <c r="B100" s="656"/>
      <c r="C100" s="646"/>
      <c r="D100" s="630"/>
      <c r="E100" s="630"/>
      <c r="F100" s="630"/>
      <c r="G100" s="630"/>
      <c r="H100" s="630"/>
      <c r="I100" s="630">
        <f t="shared" si="13"/>
        <v>0</v>
      </c>
      <c r="J100" s="648"/>
    </row>
    <row r="101" spans="1:10" ht="12.75" customHeight="1">
      <c r="A101" s="626">
        <f t="shared" si="10"/>
        <v>73</v>
      </c>
      <c r="B101" s="656"/>
      <c r="C101" s="646"/>
      <c r="D101" s="630"/>
      <c r="E101" s="630"/>
      <c r="F101" s="630"/>
      <c r="G101" s="630"/>
      <c r="H101" s="630"/>
      <c r="I101" s="630">
        <f t="shared" si="13"/>
        <v>0</v>
      </c>
      <c r="J101" s="648"/>
    </row>
    <row r="102" spans="1:10" ht="12.75" customHeight="1">
      <c r="A102" s="626">
        <f t="shared" si="10"/>
        <v>74</v>
      </c>
      <c r="B102" s="656"/>
      <c r="C102" s="646"/>
      <c r="D102" s="630"/>
      <c r="E102" s="630"/>
      <c r="F102" s="630"/>
      <c r="G102" s="630"/>
      <c r="H102" s="630"/>
      <c r="I102" s="630">
        <f t="shared" si="13"/>
        <v>0</v>
      </c>
      <c r="J102" s="648"/>
    </row>
    <row r="103" spans="1:10" ht="12.75" customHeight="1">
      <c r="A103" s="626">
        <f t="shared" si="10"/>
        <v>75</v>
      </c>
      <c r="B103" s="656"/>
      <c r="C103" s="646"/>
      <c r="D103" s="630"/>
      <c r="E103" s="630"/>
      <c r="F103" s="630"/>
      <c r="G103" s="630"/>
      <c r="H103" s="630"/>
      <c r="I103" s="630">
        <f t="shared" si="13"/>
        <v>0</v>
      </c>
      <c r="J103" s="648"/>
    </row>
    <row r="104" spans="1:10" ht="12.75" customHeight="1">
      <c r="A104" s="626">
        <f t="shared" si="10"/>
        <v>76</v>
      </c>
      <c r="B104" s="656"/>
      <c r="C104" s="646"/>
      <c r="D104" s="630"/>
      <c r="E104" s="630"/>
      <c r="F104" s="630"/>
      <c r="G104" s="630"/>
      <c r="H104" s="630"/>
      <c r="I104" s="630">
        <f t="shared" si="13"/>
        <v>0</v>
      </c>
      <c r="J104" s="648"/>
    </row>
    <row r="105" spans="1:10" ht="12.75" customHeight="1">
      <c r="A105" s="626">
        <f t="shared" si="10"/>
        <v>77</v>
      </c>
      <c r="B105" s="656"/>
      <c r="C105" s="646"/>
      <c r="D105" s="646"/>
      <c r="E105" s="646"/>
      <c r="F105" s="646"/>
      <c r="G105" s="646"/>
      <c r="H105" s="646"/>
      <c r="I105" s="646"/>
      <c r="J105" s="650"/>
    </row>
    <row r="106" spans="1:10" ht="12.75" customHeight="1">
      <c r="A106" s="626">
        <f t="shared" si="10"/>
        <v>78</v>
      </c>
      <c r="B106" s="656"/>
      <c r="C106" s="646"/>
      <c r="D106" s="646"/>
      <c r="E106" s="646"/>
      <c r="F106" s="646"/>
      <c r="G106" s="646"/>
      <c r="H106" s="646"/>
      <c r="I106" s="646"/>
      <c r="J106" s="650"/>
    </row>
    <row r="107" spans="1:10" ht="12.75" customHeight="1">
      <c r="A107" s="626">
        <f t="shared" si="10"/>
        <v>79</v>
      </c>
      <c r="B107" s="656"/>
      <c r="C107" s="646"/>
      <c r="D107" s="646"/>
      <c r="E107" s="646"/>
      <c r="F107" s="646"/>
      <c r="G107" s="646"/>
      <c r="H107" s="646"/>
      <c r="I107" s="646"/>
      <c r="J107" s="650"/>
    </row>
    <row r="108" spans="1:10" ht="12.75" customHeight="1">
      <c r="A108" s="626">
        <f t="shared" si="10"/>
        <v>80</v>
      </c>
      <c r="B108" s="656"/>
      <c r="C108" s="646"/>
      <c r="D108" s="646"/>
      <c r="E108" s="646"/>
      <c r="F108" s="646"/>
      <c r="G108" s="646"/>
      <c r="H108" s="646"/>
      <c r="I108" s="646"/>
      <c r="J108" s="650"/>
    </row>
    <row r="109" spans="1:10">
      <c r="A109" s="626">
        <f t="shared" si="10"/>
        <v>81</v>
      </c>
      <c r="B109" s="656"/>
      <c r="C109" s="646"/>
      <c r="D109" s="646"/>
      <c r="E109" s="646"/>
      <c r="F109" s="646"/>
      <c r="G109" s="646"/>
      <c r="H109" s="646"/>
      <c r="I109" s="646"/>
      <c r="J109" s="650"/>
    </row>
    <row r="110" spans="1:10">
      <c r="A110" s="626">
        <f t="shared" si="10"/>
        <v>82</v>
      </c>
      <c r="B110" s="656"/>
      <c r="C110" s="646"/>
      <c r="D110" s="646"/>
      <c r="E110" s="646"/>
      <c r="F110" s="646"/>
      <c r="G110" s="646"/>
      <c r="H110" s="646"/>
      <c r="I110" s="646"/>
      <c r="J110" s="650"/>
    </row>
    <row r="111" spans="1:10">
      <c r="A111" s="626">
        <f t="shared" si="10"/>
        <v>83</v>
      </c>
      <c r="B111" s="656"/>
      <c r="C111" s="646"/>
      <c r="D111" s="646"/>
      <c r="E111" s="646"/>
      <c r="F111" s="646"/>
      <c r="G111" s="646"/>
      <c r="H111" s="646"/>
      <c r="I111" s="646"/>
      <c r="J111" s="650"/>
    </row>
    <row r="112" spans="1:10" ht="12.75" customHeight="1">
      <c r="A112" s="626">
        <f t="shared" si="10"/>
        <v>84</v>
      </c>
      <c r="B112" s="629"/>
      <c r="C112" s="646"/>
      <c r="D112" s="646"/>
      <c r="E112" s="646"/>
      <c r="F112" s="646"/>
      <c r="G112" s="646"/>
      <c r="H112" s="646"/>
      <c r="I112" s="646"/>
      <c r="J112" s="650"/>
    </row>
    <row r="113" spans="1:10" ht="12.75" customHeight="1">
      <c r="A113" s="626">
        <f t="shared" si="10"/>
        <v>85</v>
      </c>
      <c r="B113" s="478" t="s">
        <v>592</v>
      </c>
      <c r="C113" s="636">
        <f>SUM(C88:C112)</f>
        <v>0</v>
      </c>
      <c r="D113" s="636">
        <f t="shared" ref="D113:H113" si="14">SUM(D88:D112)</f>
        <v>0</v>
      </c>
      <c r="E113" s="636">
        <f t="shared" si="14"/>
        <v>0</v>
      </c>
      <c r="F113" s="636">
        <f t="shared" si="14"/>
        <v>0</v>
      </c>
      <c r="G113" s="636">
        <f t="shared" si="14"/>
        <v>0</v>
      </c>
      <c r="H113" s="636">
        <f t="shared" si="14"/>
        <v>0</v>
      </c>
      <c r="I113" s="636"/>
      <c r="J113" s="657"/>
    </row>
    <row r="114" spans="1:10" ht="12.75" customHeight="1">
      <c r="A114" s="626">
        <f t="shared" si="10"/>
        <v>86</v>
      </c>
      <c r="B114" s="478" t="str">
        <f>B72</f>
        <v>Less FASB 109 Above if not separately removed</v>
      </c>
      <c r="C114" s="636">
        <f>SUM(D114:H114)</f>
        <v>0</v>
      </c>
      <c r="D114" s="638">
        <v>0</v>
      </c>
      <c r="E114" s="638">
        <v>0</v>
      </c>
      <c r="F114" s="638">
        <v>0</v>
      </c>
      <c r="G114" s="638">
        <v>0</v>
      </c>
      <c r="H114" s="638">
        <v>0</v>
      </c>
      <c r="I114" s="636"/>
      <c r="J114" s="648"/>
    </row>
    <row r="115" spans="1:10" ht="12.75" customHeight="1">
      <c r="A115" s="626">
        <f t="shared" si="10"/>
        <v>87</v>
      </c>
      <c r="B115" s="478" t="str">
        <f>B73</f>
        <v>Less FASB 106 and Other Excludable Items Above if not separately removed</v>
      </c>
      <c r="C115" s="636">
        <f>SUM(D115:H115)</f>
        <v>0</v>
      </c>
      <c r="D115" s="638">
        <v>0</v>
      </c>
      <c r="E115" s="638">
        <v>0</v>
      </c>
      <c r="F115" s="638">
        <v>0</v>
      </c>
      <c r="G115" s="638">
        <v>0</v>
      </c>
      <c r="H115" s="638">
        <v>0</v>
      </c>
      <c r="I115" s="636"/>
      <c r="J115" s="648"/>
    </row>
    <row r="116" spans="1:10" ht="12.75" customHeight="1">
      <c r="A116" s="626">
        <f>A115+1</f>
        <v>88</v>
      </c>
      <c r="B116" s="478" t="str">
        <f>B74</f>
        <v>Less Proration Adjustment (from Worksheet 4c &amp; 4d)</v>
      </c>
      <c r="C116" s="638">
        <f>'4d- ADIT ATRR Proration'!L71</f>
        <v>0</v>
      </c>
      <c r="D116" s="638">
        <v>0</v>
      </c>
      <c r="E116" s="638">
        <v>0</v>
      </c>
      <c r="F116" s="638">
        <f>C116</f>
        <v>0</v>
      </c>
      <c r="G116" s="638">
        <v>0</v>
      </c>
      <c r="H116" s="638">
        <v>0</v>
      </c>
      <c r="I116" s="636"/>
      <c r="J116" s="657"/>
    </row>
    <row r="117" spans="1:10" ht="12.75" customHeight="1">
      <c r="A117" s="626">
        <f t="shared" si="10"/>
        <v>89</v>
      </c>
      <c r="B117" s="478" t="str">
        <f>"Total Company  (ln "&amp;A113&amp;" - ln "&amp;A114&amp;" - ln "&amp;A115&amp;" + ln "&amp;A116&amp;")"</f>
        <v>Total Company  (ln 85 - ln 86 - ln 87 + ln 88)</v>
      </c>
      <c r="C117" s="489">
        <f>+C113-C114-C115+C116</f>
        <v>0</v>
      </c>
      <c r="D117" s="489">
        <f t="shared" ref="D117:H117" si="15">+D113-D114-D115+D116</f>
        <v>0</v>
      </c>
      <c r="E117" s="489">
        <f t="shared" si="15"/>
        <v>0</v>
      </c>
      <c r="F117" s="489">
        <f t="shared" si="15"/>
        <v>0</v>
      </c>
      <c r="G117" s="489">
        <f t="shared" si="15"/>
        <v>0</v>
      </c>
      <c r="H117" s="489">
        <f t="shared" si="15"/>
        <v>0</v>
      </c>
      <c r="I117" s="636"/>
      <c r="J117" s="657"/>
    </row>
    <row r="118" spans="1:10" ht="13.5" thickBot="1">
      <c r="A118" s="626">
        <f t="shared" si="10"/>
        <v>90</v>
      </c>
      <c r="B118" s="478" t="str">
        <f>B76</f>
        <v>Transmission Allocator [ GP or W/S ]</v>
      </c>
      <c r="C118" s="636"/>
      <c r="D118" s="480">
        <v>0</v>
      </c>
      <c r="E118" s="480">
        <v>0</v>
      </c>
      <c r="F118" s="480">
        <v>1</v>
      </c>
      <c r="G118" s="480">
        <v>1</v>
      </c>
      <c r="H118" s="480">
        <v>1</v>
      </c>
      <c r="I118" s="641"/>
      <c r="J118" s="657"/>
    </row>
    <row r="119" spans="1:10" ht="13.5" thickBot="1">
      <c r="A119" s="626">
        <f t="shared" si="10"/>
        <v>91</v>
      </c>
      <c r="B119" s="478" t="str">
        <f>"Total Transmission  (ln "&amp;A117&amp;" * ln "&amp;A118&amp;")"</f>
        <v>Total Transmission  (ln 89 * ln 90)</v>
      </c>
      <c r="C119" s="637"/>
      <c r="D119" s="636">
        <f>IF(D117&lt;&gt;0,D117*D118,0)</f>
        <v>0</v>
      </c>
      <c r="E119" s="636">
        <f>IF(E117&lt;&gt;0,E117*E118,0)</f>
        <v>0</v>
      </c>
      <c r="F119" s="636">
        <f>IF(F117&lt;&gt;0,F117*F118,0)</f>
        <v>0</v>
      </c>
      <c r="G119" s="636">
        <f>IF(G117&lt;&gt;0,G117*G118,0)</f>
        <v>0</v>
      </c>
      <c r="H119" s="642">
        <f>IF(H117&lt;&gt;0,H117*H118,0)</f>
        <v>0</v>
      </c>
      <c r="I119" s="643">
        <f>SUM(F119:H119)</f>
        <v>0</v>
      </c>
      <c r="J119" s="478"/>
    </row>
    <row r="120" spans="1:10">
      <c r="A120" s="626"/>
      <c r="B120" s="481"/>
      <c r="C120" s="627"/>
      <c r="D120" s="644"/>
      <c r="E120" s="644"/>
      <c r="F120" s="644"/>
      <c r="G120" s="644"/>
      <c r="H120" s="644"/>
      <c r="I120" s="644"/>
      <c r="J120" s="481"/>
    </row>
    <row r="121" spans="1:10" ht="12.75" customHeight="1">
      <c r="A121" s="626"/>
      <c r="B121" s="627"/>
      <c r="C121" s="627"/>
      <c r="D121" s="644"/>
      <c r="E121" s="644"/>
      <c r="F121" s="644"/>
      <c r="G121" s="644"/>
      <c r="H121" s="644"/>
      <c r="I121" s="644"/>
      <c r="J121" s="658"/>
    </row>
    <row r="122" spans="1:10" ht="15.75">
      <c r="A122" s="626"/>
      <c r="B122" s="472" t="s">
        <v>593</v>
      </c>
      <c r="C122" s="472"/>
      <c r="D122" s="487"/>
      <c r="E122" s="488"/>
      <c r="F122" s="655"/>
      <c r="G122" s="472"/>
      <c r="H122" s="472"/>
      <c r="I122" s="472"/>
      <c r="J122" s="658"/>
    </row>
    <row r="123" spans="1:10" ht="12.75" customHeight="1">
      <c r="A123" s="626"/>
      <c r="B123" s="627"/>
      <c r="C123" s="627"/>
      <c r="D123" s="627"/>
      <c r="E123" s="627"/>
      <c r="F123" s="627"/>
      <c r="G123" s="627"/>
      <c r="H123" s="490"/>
      <c r="I123" s="627"/>
      <c r="J123" s="658"/>
    </row>
    <row r="124" spans="1:10">
      <c r="A124" s="626"/>
      <c r="B124" s="473" t="str">
        <f t="shared" ref="B124:J124" si="16">B7</f>
        <v>(A)</v>
      </c>
      <c r="C124" s="473" t="str">
        <f t="shared" si="16"/>
        <v>(B)</v>
      </c>
      <c r="D124" s="473" t="str">
        <f t="shared" si="16"/>
        <v>(C)</v>
      </c>
      <c r="E124" s="473" t="str">
        <f t="shared" si="16"/>
        <v>(D)</v>
      </c>
      <c r="F124" s="473" t="str">
        <f t="shared" si="16"/>
        <v>(E)</v>
      </c>
      <c r="G124" s="473" t="str">
        <f t="shared" si="16"/>
        <v>(F)</v>
      </c>
      <c r="H124" s="473" t="str">
        <f t="shared" si="16"/>
        <v>(G)</v>
      </c>
      <c r="I124" s="473" t="str">
        <f t="shared" si="16"/>
        <v>(H)</v>
      </c>
      <c r="J124" s="491" t="str">
        <f t="shared" si="16"/>
        <v>(I)</v>
      </c>
    </row>
    <row r="125" spans="1:10">
      <c r="A125" s="626"/>
      <c r="B125" s="473"/>
      <c r="C125" s="473" t="str">
        <f>C85</f>
        <v>Avg. Balance/</v>
      </c>
      <c r="D125" s="473" t="str">
        <f>D8</f>
        <v>100%</v>
      </c>
      <c r="E125" s="475">
        <v>1</v>
      </c>
      <c r="F125" s="473" t="str">
        <f>F8</f>
        <v>100%</v>
      </c>
      <c r="G125" s="473"/>
      <c r="H125" s="473"/>
      <c r="I125" s="473" t="str">
        <f>I8</f>
        <v>Total Included</v>
      </c>
      <c r="J125" s="658"/>
    </row>
    <row r="126" spans="1:10">
      <c r="A126" s="626" t="s">
        <v>8</v>
      </c>
      <c r="B126" s="473"/>
      <c r="C126" s="473" t="str">
        <f>C86</f>
        <v>Year-end only (Note A)</v>
      </c>
      <c r="D126" s="473" t="str">
        <f>D9</f>
        <v>Non-Transmission</v>
      </c>
      <c r="E126" s="473" t="s">
        <v>577</v>
      </c>
      <c r="F126" s="473" t="str">
        <f>F9</f>
        <v>Transmission</v>
      </c>
      <c r="G126" s="473" t="str">
        <f>G9</f>
        <v xml:space="preserve">Plant </v>
      </c>
      <c r="H126" s="473" t="str">
        <f>H9</f>
        <v>Labor</v>
      </c>
      <c r="I126" s="473" t="str">
        <f>I9</f>
        <v>in Ratebase</v>
      </c>
      <c r="J126" s="658"/>
    </row>
    <row r="127" spans="1:10">
      <c r="A127" s="626" t="s">
        <v>10</v>
      </c>
      <c r="B127" s="476" t="str">
        <f>B10</f>
        <v>Identification</v>
      </c>
      <c r="C127" s="476" t="s">
        <v>580</v>
      </c>
      <c r="D127" s="476" t="str">
        <f>D10</f>
        <v>Related</v>
      </c>
      <c r="E127" s="476" t="s">
        <v>581</v>
      </c>
      <c r="F127" s="476" t="str">
        <f>F10</f>
        <v>Related</v>
      </c>
      <c r="G127" s="476" t="str">
        <f>G10</f>
        <v>Related</v>
      </c>
      <c r="H127" s="476" t="str">
        <f>H10</f>
        <v>Related</v>
      </c>
      <c r="I127" s="476" t="str">
        <f>I10</f>
        <v>(E)+(F)+(G)</v>
      </c>
      <c r="J127" s="492" t="str">
        <f>J10</f>
        <v>Description / Justification</v>
      </c>
    </row>
    <row r="128" spans="1:10">
      <c r="A128" s="626">
        <f>A119+1</f>
        <v>92</v>
      </c>
      <c r="B128" s="656"/>
      <c r="C128" s="630"/>
      <c r="D128" s="630"/>
      <c r="E128" s="630"/>
      <c r="F128" s="630"/>
      <c r="G128" s="630"/>
      <c r="H128" s="630"/>
      <c r="I128" s="630">
        <f t="shared" ref="I128:I129" si="17">F128+G128+H128</f>
        <v>0</v>
      </c>
      <c r="J128" s="648"/>
    </row>
    <row r="129" spans="1:10" ht="12.75" customHeight="1">
      <c r="A129" s="626">
        <f t="shared" ref="A129:A158" si="18">A128+1</f>
        <v>93</v>
      </c>
      <c r="B129" s="656"/>
      <c r="C129" s="630"/>
      <c r="D129" s="630"/>
      <c r="E129" s="630"/>
      <c r="F129" s="630"/>
      <c r="G129" s="630"/>
      <c r="H129" s="630"/>
      <c r="I129" s="630">
        <f t="shared" si="17"/>
        <v>0</v>
      </c>
      <c r="J129" s="648"/>
    </row>
    <row r="130" spans="1:10" ht="12.75" customHeight="1">
      <c r="A130" s="626">
        <f t="shared" si="18"/>
        <v>94</v>
      </c>
      <c r="B130" s="656"/>
      <c r="C130" s="630"/>
      <c r="D130" s="630"/>
      <c r="E130" s="630"/>
      <c r="F130" s="630"/>
      <c r="G130" s="630"/>
      <c r="H130" s="630"/>
      <c r="I130" s="630">
        <f>H130+G130+F130</f>
        <v>0</v>
      </c>
      <c r="J130" s="648"/>
    </row>
    <row r="131" spans="1:10" ht="12.75" customHeight="1">
      <c r="A131" s="626">
        <f t="shared" si="18"/>
        <v>95</v>
      </c>
      <c r="B131" s="656"/>
      <c r="C131" s="630"/>
      <c r="D131" s="630"/>
      <c r="E131" s="630"/>
      <c r="F131" s="630"/>
      <c r="G131" s="630"/>
      <c r="H131" s="630"/>
      <c r="I131" s="630">
        <f t="shared" ref="I131" si="19">F131+G131+H131</f>
        <v>0</v>
      </c>
      <c r="J131" s="648"/>
    </row>
    <row r="132" spans="1:10" ht="12.75" customHeight="1">
      <c r="A132" s="626">
        <f t="shared" si="18"/>
        <v>96</v>
      </c>
      <c r="B132" s="656"/>
      <c r="C132" s="630"/>
      <c r="D132" s="630"/>
      <c r="E132" s="630"/>
      <c r="F132" s="630"/>
      <c r="G132" s="630"/>
      <c r="H132" s="630"/>
      <c r="I132" s="630">
        <f>F132+G132+H132</f>
        <v>0</v>
      </c>
      <c r="J132" s="648"/>
    </row>
    <row r="133" spans="1:10" ht="12.75" customHeight="1">
      <c r="A133" s="626">
        <f t="shared" si="18"/>
        <v>97</v>
      </c>
      <c r="B133" s="656"/>
      <c r="C133" s="630"/>
      <c r="D133" s="630"/>
      <c r="E133" s="630"/>
      <c r="F133" s="630"/>
      <c r="G133" s="630"/>
      <c r="H133" s="630"/>
      <c r="I133" s="630">
        <f t="shared" ref="I133" si="20">F133+G133+H133</f>
        <v>0</v>
      </c>
      <c r="J133" s="648"/>
    </row>
    <row r="134" spans="1:10" ht="12.75" customHeight="1">
      <c r="A134" s="626">
        <f t="shared" si="18"/>
        <v>98</v>
      </c>
      <c r="B134" s="656"/>
      <c r="C134" s="630"/>
      <c r="D134" s="630"/>
      <c r="E134" s="630"/>
      <c r="F134" s="630"/>
      <c r="G134" s="630"/>
      <c r="H134" s="630"/>
      <c r="I134" s="630">
        <f t="shared" ref="I134" si="21">H134+G134+F134</f>
        <v>0</v>
      </c>
      <c r="J134" s="648"/>
    </row>
    <row r="135" spans="1:10" ht="12.75" customHeight="1">
      <c r="A135" s="626">
        <f t="shared" si="18"/>
        <v>99</v>
      </c>
      <c r="B135" s="656"/>
      <c r="C135" s="630"/>
      <c r="D135" s="630"/>
      <c r="E135" s="630"/>
      <c r="F135" s="630"/>
      <c r="G135" s="630"/>
      <c r="H135" s="630"/>
      <c r="I135" s="630">
        <f t="shared" ref="I135" si="22">F135+G135+H135</f>
        <v>0</v>
      </c>
      <c r="J135" s="648"/>
    </row>
    <row r="136" spans="1:10" ht="12.75" customHeight="1">
      <c r="A136" s="626">
        <f t="shared" si="18"/>
        <v>100</v>
      </c>
      <c r="B136" s="656"/>
      <c r="C136" s="630"/>
      <c r="D136" s="630"/>
      <c r="E136" s="630"/>
      <c r="F136" s="630"/>
      <c r="G136" s="630"/>
      <c r="H136" s="630"/>
      <c r="I136" s="630">
        <f t="shared" ref="I136:I137" si="23">H136+G136+F136</f>
        <v>0</v>
      </c>
      <c r="J136" s="648"/>
    </row>
    <row r="137" spans="1:10" ht="12.75" customHeight="1">
      <c r="A137" s="626">
        <f t="shared" si="18"/>
        <v>101</v>
      </c>
      <c r="B137" s="656"/>
      <c r="C137" s="630"/>
      <c r="D137" s="630"/>
      <c r="E137" s="630"/>
      <c r="F137" s="630"/>
      <c r="G137" s="630"/>
      <c r="H137" s="630"/>
      <c r="I137" s="630">
        <f t="shared" si="23"/>
        <v>0</v>
      </c>
      <c r="J137" s="648"/>
    </row>
    <row r="138" spans="1:10" ht="12.75" customHeight="1">
      <c r="A138" s="626">
        <f t="shared" si="18"/>
        <v>102</v>
      </c>
      <c r="B138" s="656"/>
      <c r="C138" s="630"/>
      <c r="D138" s="630"/>
      <c r="E138" s="630"/>
      <c r="F138" s="630"/>
      <c r="G138" s="630"/>
      <c r="H138" s="630"/>
      <c r="I138" s="630">
        <f t="shared" ref="I138" si="24">F138+G138+H138</f>
        <v>0</v>
      </c>
      <c r="J138" s="648"/>
    </row>
    <row r="139" spans="1:10" ht="12.75" customHeight="1">
      <c r="A139" s="626">
        <f t="shared" si="18"/>
        <v>103</v>
      </c>
      <c r="B139" s="656"/>
      <c r="C139" s="630"/>
      <c r="D139" s="630"/>
      <c r="E139" s="630"/>
      <c r="F139" s="630"/>
      <c r="G139" s="630"/>
      <c r="H139" s="630"/>
      <c r="I139" s="630">
        <f t="shared" ref="I139:I145" si="25">F139+G139+H139</f>
        <v>0</v>
      </c>
      <c r="J139" s="650"/>
    </row>
    <row r="140" spans="1:10" ht="12.75" customHeight="1">
      <c r="A140" s="626">
        <f t="shared" si="18"/>
        <v>104</v>
      </c>
      <c r="B140" s="656"/>
      <c r="C140" s="630"/>
      <c r="D140" s="630"/>
      <c r="E140" s="630"/>
      <c r="F140" s="630"/>
      <c r="G140" s="630"/>
      <c r="H140" s="630"/>
      <c r="I140" s="630">
        <f t="shared" si="25"/>
        <v>0</v>
      </c>
      <c r="J140" s="648"/>
    </row>
    <row r="141" spans="1:10">
      <c r="A141" s="626">
        <f t="shared" si="18"/>
        <v>105</v>
      </c>
      <c r="B141" s="656"/>
      <c r="C141" s="630"/>
      <c r="D141" s="630"/>
      <c r="E141" s="630"/>
      <c r="F141" s="630"/>
      <c r="G141" s="630"/>
      <c r="H141" s="630"/>
      <c r="I141" s="630">
        <f t="shared" si="25"/>
        <v>0</v>
      </c>
      <c r="J141" s="648"/>
    </row>
    <row r="142" spans="1:10" ht="12.75" customHeight="1">
      <c r="A142" s="626">
        <f t="shared" si="18"/>
        <v>106</v>
      </c>
      <c r="B142" s="656"/>
      <c r="C142" s="630"/>
      <c r="D142" s="630"/>
      <c r="E142" s="630"/>
      <c r="F142" s="630"/>
      <c r="G142" s="630"/>
      <c r="H142" s="630"/>
      <c r="I142" s="630">
        <f t="shared" si="25"/>
        <v>0</v>
      </c>
      <c r="J142" s="648"/>
    </row>
    <row r="143" spans="1:10" ht="12.75" customHeight="1">
      <c r="A143" s="626">
        <f t="shared" si="18"/>
        <v>107</v>
      </c>
      <c r="B143" s="656"/>
      <c r="C143" s="630"/>
      <c r="D143" s="630"/>
      <c r="E143" s="630"/>
      <c r="F143" s="630"/>
      <c r="G143" s="630"/>
      <c r="H143" s="630"/>
      <c r="I143" s="630">
        <f t="shared" si="25"/>
        <v>0</v>
      </c>
      <c r="J143" s="629"/>
    </row>
    <row r="144" spans="1:10" ht="12.75" customHeight="1">
      <c r="A144" s="626">
        <f t="shared" si="18"/>
        <v>108</v>
      </c>
      <c r="B144" s="656"/>
      <c r="C144" s="630"/>
      <c r="D144" s="630"/>
      <c r="E144" s="630"/>
      <c r="F144" s="630"/>
      <c r="G144" s="630"/>
      <c r="H144" s="630"/>
      <c r="I144" s="630">
        <f t="shared" si="25"/>
        <v>0</v>
      </c>
      <c r="J144" s="648"/>
    </row>
    <row r="145" spans="1:10" ht="12.75" customHeight="1">
      <c r="A145" s="626">
        <f t="shared" si="18"/>
        <v>109</v>
      </c>
      <c r="B145" s="656"/>
      <c r="C145" s="630"/>
      <c r="D145" s="630"/>
      <c r="E145" s="630"/>
      <c r="F145" s="630"/>
      <c r="G145" s="630"/>
      <c r="H145" s="630"/>
      <c r="I145" s="630">
        <f t="shared" si="25"/>
        <v>0</v>
      </c>
      <c r="J145" s="648"/>
    </row>
    <row r="146" spans="1:10" ht="12.75" customHeight="1">
      <c r="A146" s="626">
        <f t="shared" si="18"/>
        <v>110</v>
      </c>
      <c r="B146" s="656"/>
      <c r="C146" s="646"/>
      <c r="D146" s="646"/>
      <c r="E146" s="646"/>
      <c r="F146" s="646"/>
      <c r="G146" s="646"/>
      <c r="H146" s="646"/>
      <c r="I146" s="646"/>
      <c r="J146" s="648"/>
    </row>
    <row r="147" spans="1:10" ht="12.75" customHeight="1">
      <c r="A147" s="626">
        <f t="shared" si="18"/>
        <v>111</v>
      </c>
      <c r="B147" s="656"/>
      <c r="C147" s="646"/>
      <c r="D147" s="646"/>
      <c r="E147" s="646"/>
      <c r="F147" s="646"/>
      <c r="G147" s="646"/>
      <c r="H147" s="646"/>
      <c r="I147" s="646"/>
      <c r="J147" s="650"/>
    </row>
    <row r="148" spans="1:10" ht="12.75" customHeight="1">
      <c r="A148" s="626">
        <f t="shared" si="18"/>
        <v>112</v>
      </c>
      <c r="B148" s="629"/>
      <c r="C148" s="646"/>
      <c r="D148" s="646"/>
      <c r="E148" s="646"/>
      <c r="F148" s="646"/>
      <c r="G148" s="646"/>
      <c r="H148" s="646"/>
      <c r="I148" s="646"/>
      <c r="J148" s="650"/>
    </row>
    <row r="149" spans="1:10" ht="12.75" customHeight="1">
      <c r="A149" s="626">
        <f t="shared" si="18"/>
        <v>113</v>
      </c>
      <c r="B149" s="629"/>
      <c r="C149" s="646"/>
      <c r="D149" s="646"/>
      <c r="E149" s="646"/>
      <c r="F149" s="646"/>
      <c r="G149" s="646"/>
      <c r="H149" s="646"/>
      <c r="I149" s="646"/>
      <c r="J149" s="650"/>
    </row>
    <row r="150" spans="1:10" ht="12.75" customHeight="1">
      <c r="A150" s="626">
        <f t="shared" si="18"/>
        <v>114</v>
      </c>
      <c r="B150" s="493"/>
      <c r="C150" s="646"/>
      <c r="D150" s="646"/>
      <c r="E150" s="646"/>
      <c r="F150" s="646"/>
      <c r="G150" s="646"/>
      <c r="H150" s="646"/>
      <c r="I150" s="646"/>
      <c r="J150" s="650"/>
    </row>
    <row r="151" spans="1:10" ht="12.75" customHeight="1">
      <c r="A151" s="626">
        <f t="shared" si="18"/>
        <v>115</v>
      </c>
      <c r="B151" s="629"/>
      <c r="C151" s="629"/>
      <c r="D151" s="652"/>
      <c r="E151" s="652"/>
      <c r="F151" s="652"/>
      <c r="G151" s="652"/>
      <c r="H151" s="652"/>
      <c r="I151" s="629"/>
      <c r="J151" s="650"/>
    </row>
    <row r="152" spans="1:10" ht="12.75" customHeight="1">
      <c r="A152" s="626">
        <f t="shared" si="18"/>
        <v>116</v>
      </c>
      <c r="B152" s="478" t="s">
        <v>594</v>
      </c>
      <c r="C152" s="636">
        <f t="shared" ref="C152:H152" si="26">SUM(C128:C151)</f>
        <v>0</v>
      </c>
      <c r="D152" s="636">
        <f>SUM(D128:D151)</f>
        <v>0</v>
      </c>
      <c r="E152" s="636">
        <f t="shared" si="26"/>
        <v>0</v>
      </c>
      <c r="F152" s="636">
        <f t="shared" si="26"/>
        <v>0</v>
      </c>
      <c r="G152" s="636">
        <f t="shared" si="26"/>
        <v>0</v>
      </c>
      <c r="H152" s="636">
        <f t="shared" si="26"/>
        <v>0</v>
      </c>
      <c r="I152" s="636"/>
      <c r="J152" s="657"/>
    </row>
    <row r="153" spans="1:10" ht="12.75" customHeight="1">
      <c r="A153" s="626">
        <f t="shared" si="18"/>
        <v>117</v>
      </c>
      <c r="B153" s="478" t="str">
        <f>B114</f>
        <v>Less FASB 109 Above if not separately removed</v>
      </c>
      <c r="C153" s="636">
        <f>SUM(D153:H153)</f>
        <v>0</v>
      </c>
      <c r="D153" s="638">
        <v>0</v>
      </c>
      <c r="E153" s="638">
        <v>0</v>
      </c>
      <c r="F153" s="638">
        <v>0</v>
      </c>
      <c r="G153" s="638">
        <v>0</v>
      </c>
      <c r="H153" s="638">
        <v>0</v>
      </c>
      <c r="I153" s="636" t="s">
        <v>2</v>
      </c>
      <c r="J153" s="648"/>
    </row>
    <row r="154" spans="1:10" ht="12.75" customHeight="1">
      <c r="A154" s="626">
        <f t="shared" si="18"/>
        <v>118</v>
      </c>
      <c r="B154" s="478" t="str">
        <f>B115</f>
        <v>Less FASB 106 and Other Excludable Items Above if not separately removed</v>
      </c>
      <c r="C154" s="636">
        <f>SUM(D154:H154)</f>
        <v>0</v>
      </c>
      <c r="D154" s="638">
        <v>0</v>
      </c>
      <c r="E154" s="638">
        <v>0</v>
      </c>
      <c r="F154" s="638">
        <v>0</v>
      </c>
      <c r="G154" s="638">
        <v>0</v>
      </c>
      <c r="H154" s="638">
        <v>0</v>
      </c>
      <c r="I154" s="636" t="s">
        <v>2</v>
      </c>
      <c r="J154" s="648"/>
    </row>
    <row r="155" spans="1:10" ht="12.75" customHeight="1">
      <c r="A155" s="626">
        <f t="shared" si="18"/>
        <v>119</v>
      </c>
      <c r="B155" s="478" t="str">
        <f>B116</f>
        <v>Less Proration Adjustment (from Worksheet 4c &amp; 4d)</v>
      </c>
      <c r="C155" s="638">
        <f>'4d- ADIT ATRR Proration'!L67</f>
        <v>0</v>
      </c>
      <c r="D155" s="638">
        <v>0</v>
      </c>
      <c r="E155" s="638">
        <v>0</v>
      </c>
      <c r="F155" s="638">
        <f>C155</f>
        <v>0</v>
      </c>
      <c r="G155" s="638">
        <v>0</v>
      </c>
      <c r="H155" s="638">
        <v>0</v>
      </c>
      <c r="I155" s="636"/>
      <c r="J155" s="657"/>
    </row>
    <row r="156" spans="1:10" ht="12.75" customHeight="1">
      <c r="A156" s="626">
        <f t="shared" si="18"/>
        <v>120</v>
      </c>
      <c r="B156" s="478" t="str">
        <f>"Total Company  (ln "&amp;A152&amp;" - ln "&amp;A153&amp;" - ln "&amp;A154&amp;" + ln "&amp;A155&amp;")"</f>
        <v>Total Company  (ln 116 - ln 117 - ln 118 + ln 119)</v>
      </c>
      <c r="C156" s="636">
        <f>+C152-C153-C154+C155</f>
        <v>0</v>
      </c>
      <c r="D156" s="636">
        <f t="shared" ref="D156:H156" si="27">+D152-D153-D154+D155</f>
        <v>0</v>
      </c>
      <c r="E156" s="636">
        <f t="shared" si="27"/>
        <v>0</v>
      </c>
      <c r="F156" s="636">
        <f t="shared" si="27"/>
        <v>0</v>
      </c>
      <c r="G156" s="636">
        <f t="shared" si="27"/>
        <v>0</v>
      </c>
      <c r="H156" s="636">
        <f t="shared" si="27"/>
        <v>0</v>
      </c>
      <c r="I156" s="636" t="s">
        <v>2</v>
      </c>
      <c r="J156" s="657"/>
    </row>
    <row r="157" spans="1:10" ht="12.75" customHeight="1" thickBot="1">
      <c r="A157" s="626">
        <f t="shared" si="18"/>
        <v>121</v>
      </c>
      <c r="B157" s="478" t="str">
        <f>B118</f>
        <v>Transmission Allocator [ GP or W/S ]</v>
      </c>
      <c r="C157" s="494"/>
      <c r="D157" s="480">
        <v>0</v>
      </c>
      <c r="E157" s="480">
        <v>0</v>
      </c>
      <c r="F157" s="480">
        <v>1</v>
      </c>
      <c r="G157" s="480">
        <v>1</v>
      </c>
      <c r="H157" s="480">
        <v>1</v>
      </c>
      <c r="I157" s="641"/>
      <c r="J157" s="657"/>
    </row>
    <row r="158" spans="1:10" ht="12.75" customHeight="1" thickBot="1">
      <c r="A158" s="626">
        <f t="shared" si="18"/>
        <v>122</v>
      </c>
      <c r="B158" s="478" t="str">
        <f>"Total Transmission  (ln "&amp;A156&amp;" * ln "&amp;A157&amp;")"</f>
        <v>Total Transmission  (ln 120 * ln 121)</v>
      </c>
      <c r="C158" s="637"/>
      <c r="D158" s="636">
        <f>IF(D156&lt;&gt;0,D156*D157,0)</f>
        <v>0</v>
      </c>
      <c r="E158" s="636">
        <f>IF(E156&lt;&gt;0,E156*E157,0)</f>
        <v>0</v>
      </c>
      <c r="F158" s="636">
        <f>IF(F156&lt;&gt;0,F156*F157,0)</f>
        <v>0</v>
      </c>
      <c r="G158" s="636">
        <f>IF(G156&lt;&gt;0,G156*G157,0)</f>
        <v>0</v>
      </c>
      <c r="H158" s="642">
        <f>IF(H156&lt;&gt;0,H156*H157,0)</f>
        <v>0</v>
      </c>
      <c r="I158" s="643">
        <f>SUM(F158:H158)</f>
        <v>0</v>
      </c>
      <c r="J158" s="478"/>
    </row>
    <row r="159" spans="1:10" ht="12.75" customHeight="1">
      <c r="A159" s="626"/>
      <c r="B159" s="481"/>
      <c r="C159" s="627"/>
      <c r="D159" s="644"/>
      <c r="E159" s="644"/>
      <c r="F159" s="644"/>
      <c r="G159" s="644"/>
      <c r="H159" s="644"/>
      <c r="I159" s="644"/>
      <c r="J159" s="658"/>
    </row>
    <row r="160" spans="1:10">
      <c r="A160" s="659" t="s">
        <v>168</v>
      </c>
      <c r="B160" s="660"/>
    </row>
    <row r="161" spans="1:8">
      <c r="A161" s="999" t="s">
        <v>57</v>
      </c>
      <c r="B161" s="998" t="s">
        <v>888</v>
      </c>
      <c r="C161" s="998"/>
      <c r="D161" s="998"/>
      <c r="E161" s="998"/>
      <c r="F161" s="998"/>
      <c r="G161" s="998"/>
      <c r="H161" s="998"/>
    </row>
    <row r="162" spans="1:8">
      <c r="A162" s="1000"/>
      <c r="B162" s="998"/>
      <c r="C162" s="998"/>
      <c r="D162" s="998"/>
      <c r="E162" s="998"/>
      <c r="F162" s="998"/>
      <c r="G162" s="998"/>
      <c r="H162" s="998"/>
    </row>
    <row r="163" spans="1:8">
      <c r="B163" s="998"/>
      <c r="C163" s="998"/>
      <c r="D163" s="998"/>
      <c r="E163" s="998"/>
      <c r="F163" s="998"/>
      <c r="G163" s="998"/>
      <c r="H163" s="998"/>
    </row>
  </sheetData>
  <mergeCells count="5">
    <mergeCell ref="B161:H163"/>
    <mergeCell ref="A161:A162"/>
    <mergeCell ref="A1:J1"/>
    <mergeCell ref="A3:J3"/>
    <mergeCell ref="D2:G2"/>
  </mergeCells>
  <pageMargins left="0.24" right="0.24" top="0.5" bottom="0.5" header="0.5" footer="0.5"/>
  <pageSetup scale="45" fitToHeight="0" orientation="landscape" r:id="rId1"/>
  <headerFooter alignWithMargins="0"/>
  <rowBreaks count="1" manualBreakCount="1">
    <brk id="79"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F5BF3-0EFF-46E0-948D-A105BDAA82D5}">
  <dimension ref="A1:Q134"/>
  <sheetViews>
    <sheetView zoomScale="70" zoomScaleNormal="70" zoomScaleSheetLayoutView="80" workbookViewId="0">
      <selection activeCell="H86" sqref="H86:H91"/>
    </sheetView>
  </sheetViews>
  <sheetFormatPr defaultRowHeight="12.75"/>
  <cols>
    <col min="1" max="1" width="3.88671875" style="500" customWidth="1"/>
    <col min="2" max="2" width="49.6640625" style="501" customWidth="1"/>
    <col min="3" max="3" width="15.5546875" style="501" customWidth="1"/>
    <col min="4" max="4" width="7.109375" style="501" customWidth="1"/>
    <col min="5" max="5" width="52.44140625" style="501" customWidth="1"/>
    <col min="6" max="6" width="15.109375" style="501" customWidth="1"/>
    <col min="7" max="7" width="3" style="501" customWidth="1"/>
    <col min="8" max="8" width="16.44140625" style="501" customWidth="1"/>
    <col min="9" max="9" width="3.88671875" style="501" customWidth="1"/>
    <col min="10" max="257" width="9.21875" style="501"/>
    <col min="258" max="258" width="43.109375" style="501" customWidth="1"/>
    <col min="259" max="259" width="15.109375" style="501" customWidth="1"/>
    <col min="260" max="260" width="9.88671875" style="501" customWidth="1"/>
    <col min="261" max="261" width="44.109375" style="501" customWidth="1"/>
    <col min="262" max="262" width="14.109375" style="501" customWidth="1"/>
    <col min="263" max="263" width="3" style="501" customWidth="1"/>
    <col min="264" max="264" width="16.44140625" style="501" customWidth="1"/>
    <col min="265" max="265" width="3.88671875" style="501" customWidth="1"/>
    <col min="266" max="513" width="9.21875" style="501"/>
    <col min="514" max="514" width="43.109375" style="501" customWidth="1"/>
    <col min="515" max="515" width="15.109375" style="501" customWidth="1"/>
    <col min="516" max="516" width="9.88671875" style="501" customWidth="1"/>
    <col min="517" max="517" width="44.109375" style="501" customWidth="1"/>
    <col min="518" max="518" width="14.109375" style="501" customWidth="1"/>
    <col min="519" max="519" width="3" style="501" customWidth="1"/>
    <col min="520" max="520" width="16.44140625" style="501" customWidth="1"/>
    <col min="521" max="521" width="3.88671875" style="501" customWidth="1"/>
    <col min="522" max="769" width="9.21875" style="501"/>
    <col min="770" max="770" width="43.109375" style="501" customWidth="1"/>
    <col min="771" max="771" width="15.109375" style="501" customWidth="1"/>
    <col min="772" max="772" width="9.88671875" style="501" customWidth="1"/>
    <col min="773" max="773" width="44.109375" style="501" customWidth="1"/>
    <col min="774" max="774" width="14.109375" style="501" customWidth="1"/>
    <col min="775" max="775" width="3" style="501" customWidth="1"/>
    <col min="776" max="776" width="16.44140625" style="501" customWidth="1"/>
    <col min="777" max="777" width="3.88671875" style="501" customWidth="1"/>
    <col min="778" max="1025" width="9.21875" style="501"/>
    <col min="1026" max="1026" width="43.109375" style="501" customWidth="1"/>
    <col min="1027" max="1027" width="15.109375" style="501" customWidth="1"/>
    <col min="1028" max="1028" width="9.88671875" style="501" customWidth="1"/>
    <col min="1029" max="1029" width="44.109375" style="501" customWidth="1"/>
    <col min="1030" max="1030" width="14.109375" style="501" customWidth="1"/>
    <col min="1031" max="1031" width="3" style="501" customWidth="1"/>
    <col min="1032" max="1032" width="16.44140625" style="501" customWidth="1"/>
    <col min="1033" max="1033" width="3.88671875" style="501" customWidth="1"/>
    <col min="1034" max="1281" width="9.21875" style="501"/>
    <col min="1282" max="1282" width="43.109375" style="501" customWidth="1"/>
    <col min="1283" max="1283" width="15.109375" style="501" customWidth="1"/>
    <col min="1284" max="1284" width="9.88671875" style="501" customWidth="1"/>
    <col min="1285" max="1285" width="44.109375" style="501" customWidth="1"/>
    <col min="1286" max="1286" width="14.109375" style="501" customWidth="1"/>
    <col min="1287" max="1287" width="3" style="501" customWidth="1"/>
    <col min="1288" max="1288" width="16.44140625" style="501" customWidth="1"/>
    <col min="1289" max="1289" width="3.88671875" style="501" customWidth="1"/>
    <col min="1290" max="1537" width="9.21875" style="501"/>
    <col min="1538" max="1538" width="43.109375" style="501" customWidth="1"/>
    <col min="1539" max="1539" width="15.109375" style="501" customWidth="1"/>
    <col min="1540" max="1540" width="9.88671875" style="501" customWidth="1"/>
    <col min="1541" max="1541" width="44.109375" style="501" customWidth="1"/>
    <col min="1542" max="1542" width="14.109375" style="501" customWidth="1"/>
    <col min="1543" max="1543" width="3" style="501" customWidth="1"/>
    <col min="1544" max="1544" width="16.44140625" style="501" customWidth="1"/>
    <col min="1545" max="1545" width="3.88671875" style="501" customWidth="1"/>
    <col min="1546" max="1793" width="9.21875" style="501"/>
    <col min="1794" max="1794" width="43.109375" style="501" customWidth="1"/>
    <col min="1795" max="1795" width="15.109375" style="501" customWidth="1"/>
    <col min="1796" max="1796" width="9.88671875" style="501" customWidth="1"/>
    <col min="1797" max="1797" width="44.109375" style="501" customWidth="1"/>
    <col min="1798" max="1798" width="14.109375" style="501" customWidth="1"/>
    <col min="1799" max="1799" width="3" style="501" customWidth="1"/>
    <col min="1800" max="1800" width="16.44140625" style="501" customWidth="1"/>
    <col min="1801" max="1801" width="3.88671875" style="501" customWidth="1"/>
    <col min="1802" max="2049" width="9.21875" style="501"/>
    <col min="2050" max="2050" width="43.109375" style="501" customWidth="1"/>
    <col min="2051" max="2051" width="15.109375" style="501" customWidth="1"/>
    <col min="2052" max="2052" width="9.88671875" style="501" customWidth="1"/>
    <col min="2053" max="2053" width="44.109375" style="501" customWidth="1"/>
    <col min="2054" max="2054" width="14.109375" style="501" customWidth="1"/>
    <col min="2055" max="2055" width="3" style="501" customWidth="1"/>
    <col min="2056" max="2056" width="16.44140625" style="501" customWidth="1"/>
    <col min="2057" max="2057" width="3.88671875" style="501" customWidth="1"/>
    <col min="2058" max="2305" width="9.21875" style="501"/>
    <col min="2306" max="2306" width="43.109375" style="501" customWidth="1"/>
    <col min="2307" max="2307" width="15.109375" style="501" customWidth="1"/>
    <col min="2308" max="2308" width="9.88671875" style="501" customWidth="1"/>
    <col min="2309" max="2309" width="44.109375" style="501" customWidth="1"/>
    <col min="2310" max="2310" width="14.109375" style="501" customWidth="1"/>
    <col min="2311" max="2311" width="3" style="501" customWidth="1"/>
    <col min="2312" max="2312" width="16.44140625" style="501" customWidth="1"/>
    <col min="2313" max="2313" width="3.88671875" style="501" customWidth="1"/>
    <col min="2314" max="2561" width="9.21875" style="501"/>
    <col min="2562" max="2562" width="43.109375" style="501" customWidth="1"/>
    <col min="2563" max="2563" width="15.109375" style="501" customWidth="1"/>
    <col min="2564" max="2564" width="9.88671875" style="501" customWidth="1"/>
    <col min="2565" max="2565" width="44.109375" style="501" customWidth="1"/>
    <col min="2566" max="2566" width="14.109375" style="501" customWidth="1"/>
    <col min="2567" max="2567" width="3" style="501" customWidth="1"/>
    <col min="2568" max="2568" width="16.44140625" style="501" customWidth="1"/>
    <col min="2569" max="2569" width="3.88671875" style="501" customWidth="1"/>
    <col min="2570" max="2817" width="9.21875" style="501"/>
    <col min="2818" max="2818" width="43.109375" style="501" customWidth="1"/>
    <col min="2819" max="2819" width="15.109375" style="501" customWidth="1"/>
    <col min="2820" max="2820" width="9.88671875" style="501" customWidth="1"/>
    <col min="2821" max="2821" width="44.109375" style="501" customWidth="1"/>
    <col min="2822" max="2822" width="14.109375" style="501" customWidth="1"/>
    <col min="2823" max="2823" width="3" style="501" customWidth="1"/>
    <col min="2824" max="2824" width="16.44140625" style="501" customWidth="1"/>
    <col min="2825" max="2825" width="3.88671875" style="501" customWidth="1"/>
    <col min="2826" max="3073" width="9.21875" style="501"/>
    <col min="3074" max="3074" width="43.109375" style="501" customWidth="1"/>
    <col min="3075" max="3075" width="15.109375" style="501" customWidth="1"/>
    <col min="3076" max="3076" width="9.88671875" style="501" customWidth="1"/>
    <col min="3077" max="3077" width="44.109375" style="501" customWidth="1"/>
    <col min="3078" max="3078" width="14.109375" style="501" customWidth="1"/>
    <col min="3079" max="3079" width="3" style="501" customWidth="1"/>
    <col min="3080" max="3080" width="16.44140625" style="501" customWidth="1"/>
    <col min="3081" max="3081" width="3.88671875" style="501" customWidth="1"/>
    <col min="3082" max="3329" width="9.21875" style="501"/>
    <col min="3330" max="3330" width="43.109375" style="501" customWidth="1"/>
    <col min="3331" max="3331" width="15.109375" style="501" customWidth="1"/>
    <col min="3332" max="3332" width="9.88671875" style="501" customWidth="1"/>
    <col min="3333" max="3333" width="44.109375" style="501" customWidth="1"/>
    <col min="3334" max="3334" width="14.109375" style="501" customWidth="1"/>
    <col min="3335" max="3335" width="3" style="501" customWidth="1"/>
    <col min="3336" max="3336" width="16.44140625" style="501" customWidth="1"/>
    <col min="3337" max="3337" width="3.88671875" style="501" customWidth="1"/>
    <col min="3338" max="3585" width="9.21875" style="501"/>
    <col min="3586" max="3586" width="43.109375" style="501" customWidth="1"/>
    <col min="3587" max="3587" width="15.109375" style="501" customWidth="1"/>
    <col min="3588" max="3588" width="9.88671875" style="501" customWidth="1"/>
    <col min="3589" max="3589" width="44.109375" style="501" customWidth="1"/>
    <col min="3590" max="3590" width="14.109375" style="501" customWidth="1"/>
    <col min="3591" max="3591" width="3" style="501" customWidth="1"/>
    <col min="3592" max="3592" width="16.44140625" style="501" customWidth="1"/>
    <col min="3593" max="3593" width="3.88671875" style="501" customWidth="1"/>
    <col min="3594" max="3841" width="9.21875" style="501"/>
    <col min="3842" max="3842" width="43.109375" style="501" customWidth="1"/>
    <col min="3843" max="3843" width="15.109375" style="501" customWidth="1"/>
    <col min="3844" max="3844" width="9.88671875" style="501" customWidth="1"/>
    <col min="3845" max="3845" width="44.109375" style="501" customWidth="1"/>
    <col min="3846" max="3846" width="14.109375" style="501" customWidth="1"/>
    <col min="3847" max="3847" width="3" style="501" customWidth="1"/>
    <col min="3848" max="3848" width="16.44140625" style="501" customWidth="1"/>
    <col min="3849" max="3849" width="3.88671875" style="501" customWidth="1"/>
    <col min="3850" max="4097" width="9.21875" style="501"/>
    <col min="4098" max="4098" width="43.109375" style="501" customWidth="1"/>
    <col min="4099" max="4099" width="15.109375" style="501" customWidth="1"/>
    <col min="4100" max="4100" width="9.88671875" style="501" customWidth="1"/>
    <col min="4101" max="4101" width="44.109375" style="501" customWidth="1"/>
    <col min="4102" max="4102" width="14.109375" style="501" customWidth="1"/>
    <col min="4103" max="4103" width="3" style="501" customWidth="1"/>
    <col min="4104" max="4104" width="16.44140625" style="501" customWidth="1"/>
    <col min="4105" max="4105" width="3.88671875" style="501" customWidth="1"/>
    <col min="4106" max="4353" width="9.21875" style="501"/>
    <col min="4354" max="4354" width="43.109375" style="501" customWidth="1"/>
    <col min="4355" max="4355" width="15.109375" style="501" customWidth="1"/>
    <col min="4356" max="4356" width="9.88671875" style="501" customWidth="1"/>
    <col min="4357" max="4357" width="44.109375" style="501" customWidth="1"/>
    <col min="4358" max="4358" width="14.109375" style="501" customWidth="1"/>
    <col min="4359" max="4359" width="3" style="501" customWidth="1"/>
    <col min="4360" max="4360" width="16.44140625" style="501" customWidth="1"/>
    <col min="4361" max="4361" width="3.88671875" style="501" customWidth="1"/>
    <col min="4362" max="4609" width="9.21875" style="501"/>
    <col min="4610" max="4610" width="43.109375" style="501" customWidth="1"/>
    <col min="4611" max="4611" width="15.109375" style="501" customWidth="1"/>
    <col min="4612" max="4612" width="9.88671875" style="501" customWidth="1"/>
    <col min="4613" max="4613" width="44.109375" style="501" customWidth="1"/>
    <col min="4614" max="4614" width="14.109375" style="501" customWidth="1"/>
    <col min="4615" max="4615" width="3" style="501" customWidth="1"/>
    <col min="4616" max="4616" width="16.44140625" style="501" customWidth="1"/>
    <col min="4617" max="4617" width="3.88671875" style="501" customWidth="1"/>
    <col min="4618" max="4865" width="9.21875" style="501"/>
    <col min="4866" max="4866" width="43.109375" style="501" customWidth="1"/>
    <col min="4867" max="4867" width="15.109375" style="501" customWidth="1"/>
    <col min="4868" max="4868" width="9.88671875" style="501" customWidth="1"/>
    <col min="4869" max="4869" width="44.109375" style="501" customWidth="1"/>
    <col min="4870" max="4870" width="14.109375" style="501" customWidth="1"/>
    <col min="4871" max="4871" width="3" style="501" customWidth="1"/>
    <col min="4872" max="4872" width="16.44140625" style="501" customWidth="1"/>
    <col min="4873" max="4873" width="3.88671875" style="501" customWidth="1"/>
    <col min="4874" max="5121" width="9.21875" style="501"/>
    <col min="5122" max="5122" width="43.109375" style="501" customWidth="1"/>
    <col min="5123" max="5123" width="15.109375" style="501" customWidth="1"/>
    <col min="5124" max="5124" width="9.88671875" style="501" customWidth="1"/>
    <col min="5125" max="5125" width="44.109375" style="501" customWidth="1"/>
    <col min="5126" max="5126" width="14.109375" style="501" customWidth="1"/>
    <col min="5127" max="5127" width="3" style="501" customWidth="1"/>
    <col min="5128" max="5128" width="16.44140625" style="501" customWidth="1"/>
    <col min="5129" max="5129" width="3.88671875" style="501" customWidth="1"/>
    <col min="5130" max="5377" width="9.21875" style="501"/>
    <col min="5378" max="5378" width="43.109375" style="501" customWidth="1"/>
    <col min="5379" max="5379" width="15.109375" style="501" customWidth="1"/>
    <col min="5380" max="5380" width="9.88671875" style="501" customWidth="1"/>
    <col min="5381" max="5381" width="44.109375" style="501" customWidth="1"/>
    <col min="5382" max="5382" width="14.109375" style="501" customWidth="1"/>
    <col min="5383" max="5383" width="3" style="501" customWidth="1"/>
    <col min="5384" max="5384" width="16.44140625" style="501" customWidth="1"/>
    <col min="5385" max="5385" width="3.88671875" style="501" customWidth="1"/>
    <col min="5386" max="5633" width="9.21875" style="501"/>
    <col min="5634" max="5634" width="43.109375" style="501" customWidth="1"/>
    <col min="5635" max="5635" width="15.109375" style="501" customWidth="1"/>
    <col min="5636" max="5636" width="9.88671875" style="501" customWidth="1"/>
    <col min="5637" max="5637" width="44.109375" style="501" customWidth="1"/>
    <col min="5638" max="5638" width="14.109375" style="501" customWidth="1"/>
    <col min="5639" max="5639" width="3" style="501" customWidth="1"/>
    <col min="5640" max="5640" width="16.44140625" style="501" customWidth="1"/>
    <col min="5641" max="5641" width="3.88671875" style="501" customWidth="1"/>
    <col min="5642" max="5889" width="9.21875" style="501"/>
    <col min="5890" max="5890" width="43.109375" style="501" customWidth="1"/>
    <col min="5891" max="5891" width="15.109375" style="501" customWidth="1"/>
    <col min="5892" max="5892" width="9.88671875" style="501" customWidth="1"/>
    <col min="5893" max="5893" width="44.109375" style="501" customWidth="1"/>
    <col min="5894" max="5894" width="14.109375" style="501" customWidth="1"/>
    <col min="5895" max="5895" width="3" style="501" customWidth="1"/>
    <col min="5896" max="5896" width="16.44140625" style="501" customWidth="1"/>
    <col min="5897" max="5897" width="3.88671875" style="501" customWidth="1"/>
    <col min="5898" max="6145" width="9.21875" style="501"/>
    <col min="6146" max="6146" width="43.109375" style="501" customWidth="1"/>
    <col min="6147" max="6147" width="15.109375" style="501" customWidth="1"/>
    <col min="6148" max="6148" width="9.88671875" style="501" customWidth="1"/>
    <col min="6149" max="6149" width="44.109375" style="501" customWidth="1"/>
    <col min="6150" max="6150" width="14.109375" style="501" customWidth="1"/>
    <col min="6151" max="6151" width="3" style="501" customWidth="1"/>
    <col min="6152" max="6152" width="16.44140625" style="501" customWidth="1"/>
    <col min="6153" max="6153" width="3.88671875" style="501" customWidth="1"/>
    <col min="6154" max="6401" width="9.21875" style="501"/>
    <col min="6402" max="6402" width="43.109375" style="501" customWidth="1"/>
    <col min="6403" max="6403" width="15.109375" style="501" customWidth="1"/>
    <col min="6404" max="6404" width="9.88671875" style="501" customWidth="1"/>
    <col min="6405" max="6405" width="44.109375" style="501" customWidth="1"/>
    <col min="6406" max="6406" width="14.109375" style="501" customWidth="1"/>
    <col min="6407" max="6407" width="3" style="501" customWidth="1"/>
    <col min="6408" max="6408" width="16.44140625" style="501" customWidth="1"/>
    <col min="6409" max="6409" width="3.88671875" style="501" customWidth="1"/>
    <col min="6410" max="6657" width="9.21875" style="501"/>
    <col min="6658" max="6658" width="43.109375" style="501" customWidth="1"/>
    <col min="6659" max="6659" width="15.109375" style="501" customWidth="1"/>
    <col min="6660" max="6660" width="9.88671875" style="501" customWidth="1"/>
    <col min="6661" max="6661" width="44.109375" style="501" customWidth="1"/>
    <col min="6662" max="6662" width="14.109375" style="501" customWidth="1"/>
    <col min="6663" max="6663" width="3" style="501" customWidth="1"/>
    <col min="6664" max="6664" width="16.44140625" style="501" customWidth="1"/>
    <col min="6665" max="6665" width="3.88671875" style="501" customWidth="1"/>
    <col min="6666" max="6913" width="9.21875" style="501"/>
    <col min="6914" max="6914" width="43.109375" style="501" customWidth="1"/>
    <col min="6915" max="6915" width="15.109375" style="501" customWidth="1"/>
    <col min="6916" max="6916" width="9.88671875" style="501" customWidth="1"/>
    <col min="6917" max="6917" width="44.109375" style="501" customWidth="1"/>
    <col min="6918" max="6918" width="14.109375" style="501" customWidth="1"/>
    <col min="6919" max="6919" width="3" style="501" customWidth="1"/>
    <col min="6920" max="6920" width="16.44140625" style="501" customWidth="1"/>
    <col min="6921" max="6921" width="3.88671875" style="501" customWidth="1"/>
    <col min="6922" max="7169" width="9.21875" style="501"/>
    <col min="7170" max="7170" width="43.109375" style="501" customWidth="1"/>
    <col min="7171" max="7171" width="15.109375" style="501" customWidth="1"/>
    <col min="7172" max="7172" width="9.88671875" style="501" customWidth="1"/>
    <col min="7173" max="7173" width="44.109375" style="501" customWidth="1"/>
    <col min="7174" max="7174" width="14.109375" style="501" customWidth="1"/>
    <col min="7175" max="7175" width="3" style="501" customWidth="1"/>
    <col min="7176" max="7176" width="16.44140625" style="501" customWidth="1"/>
    <col min="7177" max="7177" width="3.88671875" style="501" customWidth="1"/>
    <col min="7178" max="7425" width="9.21875" style="501"/>
    <col min="7426" max="7426" width="43.109375" style="501" customWidth="1"/>
    <col min="7427" max="7427" width="15.109375" style="501" customWidth="1"/>
    <col min="7428" max="7428" width="9.88671875" style="501" customWidth="1"/>
    <col min="7429" max="7429" width="44.109375" style="501" customWidth="1"/>
    <col min="7430" max="7430" width="14.109375" style="501" customWidth="1"/>
    <col min="7431" max="7431" width="3" style="501" customWidth="1"/>
    <col min="7432" max="7432" width="16.44140625" style="501" customWidth="1"/>
    <col min="7433" max="7433" width="3.88671875" style="501" customWidth="1"/>
    <col min="7434" max="7681" width="9.21875" style="501"/>
    <col min="7682" max="7682" width="43.109375" style="501" customWidth="1"/>
    <col min="7683" max="7683" width="15.109375" style="501" customWidth="1"/>
    <col min="7684" max="7684" width="9.88671875" style="501" customWidth="1"/>
    <col min="7685" max="7685" width="44.109375" style="501" customWidth="1"/>
    <col min="7686" max="7686" width="14.109375" style="501" customWidth="1"/>
    <col min="7687" max="7687" width="3" style="501" customWidth="1"/>
    <col min="7688" max="7688" width="16.44140625" style="501" customWidth="1"/>
    <col min="7689" max="7689" width="3.88671875" style="501" customWidth="1"/>
    <col min="7690" max="7937" width="9.21875" style="501"/>
    <col min="7938" max="7938" width="43.109375" style="501" customWidth="1"/>
    <col min="7939" max="7939" width="15.109375" style="501" customWidth="1"/>
    <col min="7940" max="7940" width="9.88671875" style="501" customWidth="1"/>
    <col min="7941" max="7941" width="44.109375" style="501" customWidth="1"/>
    <col min="7942" max="7942" width="14.109375" style="501" customWidth="1"/>
    <col min="7943" max="7943" width="3" style="501" customWidth="1"/>
    <col min="7944" max="7944" width="16.44140625" style="501" customWidth="1"/>
    <col min="7945" max="7945" width="3.88671875" style="501" customWidth="1"/>
    <col min="7946" max="8193" width="9.21875" style="501"/>
    <col min="8194" max="8194" width="43.109375" style="501" customWidth="1"/>
    <col min="8195" max="8195" width="15.109375" style="501" customWidth="1"/>
    <col min="8196" max="8196" width="9.88671875" style="501" customWidth="1"/>
    <col min="8197" max="8197" width="44.109375" style="501" customWidth="1"/>
    <col min="8198" max="8198" width="14.109375" style="501" customWidth="1"/>
    <col min="8199" max="8199" width="3" style="501" customWidth="1"/>
    <col min="8200" max="8200" width="16.44140625" style="501" customWidth="1"/>
    <col min="8201" max="8201" width="3.88671875" style="501" customWidth="1"/>
    <col min="8202" max="8449" width="9.21875" style="501"/>
    <col min="8450" max="8450" width="43.109375" style="501" customWidth="1"/>
    <col min="8451" max="8451" width="15.109375" style="501" customWidth="1"/>
    <col min="8452" max="8452" width="9.88671875" style="501" customWidth="1"/>
    <col min="8453" max="8453" width="44.109375" style="501" customWidth="1"/>
    <col min="8454" max="8454" width="14.109375" style="501" customWidth="1"/>
    <col min="8455" max="8455" width="3" style="501" customWidth="1"/>
    <col min="8456" max="8456" width="16.44140625" style="501" customWidth="1"/>
    <col min="8457" max="8457" width="3.88671875" style="501" customWidth="1"/>
    <col min="8458" max="8705" width="9.21875" style="501"/>
    <col min="8706" max="8706" width="43.109375" style="501" customWidth="1"/>
    <col min="8707" max="8707" width="15.109375" style="501" customWidth="1"/>
    <col min="8708" max="8708" width="9.88671875" style="501" customWidth="1"/>
    <col min="8709" max="8709" width="44.109375" style="501" customWidth="1"/>
    <col min="8710" max="8710" width="14.109375" style="501" customWidth="1"/>
    <col min="8711" max="8711" width="3" style="501" customWidth="1"/>
    <col min="8712" max="8712" width="16.44140625" style="501" customWidth="1"/>
    <col min="8713" max="8713" width="3.88671875" style="501" customWidth="1"/>
    <col min="8714" max="8961" width="9.21875" style="501"/>
    <col min="8962" max="8962" width="43.109375" style="501" customWidth="1"/>
    <col min="8963" max="8963" width="15.109375" style="501" customWidth="1"/>
    <col min="8964" max="8964" width="9.88671875" style="501" customWidth="1"/>
    <col min="8965" max="8965" width="44.109375" style="501" customWidth="1"/>
    <col min="8966" max="8966" width="14.109375" style="501" customWidth="1"/>
    <col min="8967" max="8967" width="3" style="501" customWidth="1"/>
    <col min="8968" max="8968" width="16.44140625" style="501" customWidth="1"/>
    <col min="8969" max="8969" width="3.88671875" style="501" customWidth="1"/>
    <col min="8970" max="9217" width="9.21875" style="501"/>
    <col min="9218" max="9218" width="43.109375" style="501" customWidth="1"/>
    <col min="9219" max="9219" width="15.109375" style="501" customWidth="1"/>
    <col min="9220" max="9220" width="9.88671875" style="501" customWidth="1"/>
    <col min="9221" max="9221" width="44.109375" style="501" customWidth="1"/>
    <col min="9222" max="9222" width="14.109375" style="501" customWidth="1"/>
    <col min="9223" max="9223" width="3" style="501" customWidth="1"/>
    <col min="9224" max="9224" width="16.44140625" style="501" customWidth="1"/>
    <col min="9225" max="9225" width="3.88671875" style="501" customWidth="1"/>
    <col min="9226" max="9473" width="9.21875" style="501"/>
    <col min="9474" max="9474" width="43.109375" style="501" customWidth="1"/>
    <col min="9475" max="9475" width="15.109375" style="501" customWidth="1"/>
    <col min="9476" max="9476" width="9.88671875" style="501" customWidth="1"/>
    <col min="9477" max="9477" width="44.109375" style="501" customWidth="1"/>
    <col min="9478" max="9478" width="14.109375" style="501" customWidth="1"/>
    <col min="9479" max="9479" width="3" style="501" customWidth="1"/>
    <col min="9480" max="9480" width="16.44140625" style="501" customWidth="1"/>
    <col min="9481" max="9481" width="3.88671875" style="501" customWidth="1"/>
    <col min="9482" max="9729" width="9.21875" style="501"/>
    <col min="9730" max="9730" width="43.109375" style="501" customWidth="1"/>
    <col min="9731" max="9731" width="15.109375" style="501" customWidth="1"/>
    <col min="9732" max="9732" width="9.88671875" style="501" customWidth="1"/>
    <col min="9733" max="9733" width="44.109375" style="501" customWidth="1"/>
    <col min="9734" max="9734" width="14.109375" style="501" customWidth="1"/>
    <col min="9735" max="9735" width="3" style="501" customWidth="1"/>
    <col min="9736" max="9736" width="16.44140625" style="501" customWidth="1"/>
    <col min="9737" max="9737" width="3.88671875" style="501" customWidth="1"/>
    <col min="9738" max="9985" width="9.21875" style="501"/>
    <col min="9986" max="9986" width="43.109375" style="501" customWidth="1"/>
    <col min="9987" max="9987" width="15.109375" style="501" customWidth="1"/>
    <col min="9988" max="9988" width="9.88671875" style="501" customWidth="1"/>
    <col min="9989" max="9989" width="44.109375" style="501" customWidth="1"/>
    <col min="9990" max="9990" width="14.109375" style="501" customWidth="1"/>
    <col min="9991" max="9991" width="3" style="501" customWidth="1"/>
    <col min="9992" max="9992" width="16.44140625" style="501" customWidth="1"/>
    <col min="9993" max="9993" width="3.88671875" style="501" customWidth="1"/>
    <col min="9994" max="10241" width="9.21875" style="501"/>
    <col min="10242" max="10242" width="43.109375" style="501" customWidth="1"/>
    <col min="10243" max="10243" width="15.109375" style="501" customWidth="1"/>
    <col min="10244" max="10244" width="9.88671875" style="501" customWidth="1"/>
    <col min="10245" max="10245" width="44.109375" style="501" customWidth="1"/>
    <col min="10246" max="10246" width="14.109375" style="501" customWidth="1"/>
    <col min="10247" max="10247" width="3" style="501" customWidth="1"/>
    <col min="10248" max="10248" width="16.44140625" style="501" customWidth="1"/>
    <col min="10249" max="10249" width="3.88671875" style="501" customWidth="1"/>
    <col min="10250" max="10497" width="9.21875" style="501"/>
    <col min="10498" max="10498" width="43.109375" style="501" customWidth="1"/>
    <col min="10499" max="10499" width="15.109375" style="501" customWidth="1"/>
    <col min="10500" max="10500" width="9.88671875" style="501" customWidth="1"/>
    <col min="10501" max="10501" width="44.109375" style="501" customWidth="1"/>
    <col min="10502" max="10502" width="14.109375" style="501" customWidth="1"/>
    <col min="10503" max="10503" width="3" style="501" customWidth="1"/>
    <col min="10504" max="10504" width="16.44140625" style="501" customWidth="1"/>
    <col min="10505" max="10505" width="3.88671875" style="501" customWidth="1"/>
    <col min="10506" max="10753" width="9.21875" style="501"/>
    <col min="10754" max="10754" width="43.109375" style="501" customWidth="1"/>
    <col min="10755" max="10755" width="15.109375" style="501" customWidth="1"/>
    <col min="10756" max="10756" width="9.88671875" style="501" customWidth="1"/>
    <col min="10757" max="10757" width="44.109375" style="501" customWidth="1"/>
    <col min="10758" max="10758" width="14.109375" style="501" customWidth="1"/>
    <col min="10759" max="10759" width="3" style="501" customWidth="1"/>
    <col min="10760" max="10760" width="16.44140625" style="501" customWidth="1"/>
    <col min="10761" max="10761" width="3.88671875" style="501" customWidth="1"/>
    <col min="10762" max="11009" width="9.21875" style="501"/>
    <col min="11010" max="11010" width="43.109375" style="501" customWidth="1"/>
    <col min="11011" max="11011" width="15.109375" style="501" customWidth="1"/>
    <col min="11012" max="11012" width="9.88671875" style="501" customWidth="1"/>
    <col min="11013" max="11013" width="44.109375" style="501" customWidth="1"/>
    <col min="11014" max="11014" width="14.109375" style="501" customWidth="1"/>
    <col min="11015" max="11015" width="3" style="501" customWidth="1"/>
    <col min="11016" max="11016" width="16.44140625" style="501" customWidth="1"/>
    <col min="11017" max="11017" width="3.88671875" style="501" customWidth="1"/>
    <col min="11018" max="11265" width="9.21875" style="501"/>
    <col min="11266" max="11266" width="43.109375" style="501" customWidth="1"/>
    <col min="11267" max="11267" width="15.109375" style="501" customWidth="1"/>
    <col min="11268" max="11268" width="9.88671875" style="501" customWidth="1"/>
    <col min="11269" max="11269" width="44.109375" style="501" customWidth="1"/>
    <col min="11270" max="11270" width="14.109375" style="501" customWidth="1"/>
    <col min="11271" max="11271" width="3" style="501" customWidth="1"/>
    <col min="11272" max="11272" width="16.44140625" style="501" customWidth="1"/>
    <col min="11273" max="11273" width="3.88671875" style="501" customWidth="1"/>
    <col min="11274" max="11521" width="9.21875" style="501"/>
    <col min="11522" max="11522" width="43.109375" style="501" customWidth="1"/>
    <col min="11523" max="11523" width="15.109375" style="501" customWidth="1"/>
    <col min="11524" max="11524" width="9.88671875" style="501" customWidth="1"/>
    <col min="11525" max="11525" width="44.109375" style="501" customWidth="1"/>
    <col min="11526" max="11526" width="14.109375" style="501" customWidth="1"/>
    <col min="11527" max="11527" width="3" style="501" customWidth="1"/>
    <col min="11528" max="11528" width="16.44140625" style="501" customWidth="1"/>
    <col min="11529" max="11529" width="3.88671875" style="501" customWidth="1"/>
    <col min="11530" max="11777" width="9.21875" style="501"/>
    <col min="11778" max="11778" width="43.109375" style="501" customWidth="1"/>
    <col min="11779" max="11779" width="15.109375" style="501" customWidth="1"/>
    <col min="11780" max="11780" width="9.88671875" style="501" customWidth="1"/>
    <col min="11781" max="11781" width="44.109375" style="501" customWidth="1"/>
    <col min="11782" max="11782" width="14.109375" style="501" customWidth="1"/>
    <col min="11783" max="11783" width="3" style="501" customWidth="1"/>
    <col min="11784" max="11784" width="16.44140625" style="501" customWidth="1"/>
    <col min="11785" max="11785" width="3.88671875" style="501" customWidth="1"/>
    <col min="11786" max="12033" width="9.21875" style="501"/>
    <col min="12034" max="12034" width="43.109375" style="501" customWidth="1"/>
    <col min="12035" max="12035" width="15.109375" style="501" customWidth="1"/>
    <col min="12036" max="12036" width="9.88671875" style="501" customWidth="1"/>
    <col min="12037" max="12037" width="44.109375" style="501" customWidth="1"/>
    <col min="12038" max="12038" width="14.109375" style="501" customWidth="1"/>
    <col min="12039" max="12039" width="3" style="501" customWidth="1"/>
    <col min="12040" max="12040" width="16.44140625" style="501" customWidth="1"/>
    <col min="12041" max="12041" width="3.88671875" style="501" customWidth="1"/>
    <col min="12042" max="12289" width="9.21875" style="501"/>
    <col min="12290" max="12290" width="43.109375" style="501" customWidth="1"/>
    <col min="12291" max="12291" width="15.109375" style="501" customWidth="1"/>
    <col min="12292" max="12292" width="9.88671875" style="501" customWidth="1"/>
    <col min="12293" max="12293" width="44.109375" style="501" customWidth="1"/>
    <col min="12294" max="12294" width="14.109375" style="501" customWidth="1"/>
    <col min="12295" max="12295" width="3" style="501" customWidth="1"/>
    <col min="12296" max="12296" width="16.44140625" style="501" customWidth="1"/>
    <col min="12297" max="12297" width="3.88671875" style="501" customWidth="1"/>
    <col min="12298" max="12545" width="9.21875" style="501"/>
    <col min="12546" max="12546" width="43.109375" style="501" customWidth="1"/>
    <col min="12547" max="12547" width="15.109375" style="501" customWidth="1"/>
    <col min="12548" max="12548" width="9.88671875" style="501" customWidth="1"/>
    <col min="12549" max="12549" width="44.109375" style="501" customWidth="1"/>
    <col min="12550" max="12550" width="14.109375" style="501" customWidth="1"/>
    <col min="12551" max="12551" width="3" style="501" customWidth="1"/>
    <col min="12552" max="12552" width="16.44140625" style="501" customWidth="1"/>
    <col min="12553" max="12553" width="3.88671875" style="501" customWidth="1"/>
    <col min="12554" max="12801" width="9.21875" style="501"/>
    <col min="12802" max="12802" width="43.109375" style="501" customWidth="1"/>
    <col min="12803" max="12803" width="15.109375" style="501" customWidth="1"/>
    <col min="12804" max="12804" width="9.88671875" style="501" customWidth="1"/>
    <col min="12805" max="12805" width="44.109375" style="501" customWidth="1"/>
    <col min="12806" max="12806" width="14.109375" style="501" customWidth="1"/>
    <col min="12807" max="12807" width="3" style="501" customWidth="1"/>
    <col min="12808" max="12808" width="16.44140625" style="501" customWidth="1"/>
    <col min="12809" max="12809" width="3.88671875" style="501" customWidth="1"/>
    <col min="12810" max="13057" width="9.21875" style="501"/>
    <col min="13058" max="13058" width="43.109375" style="501" customWidth="1"/>
    <col min="13059" max="13059" width="15.109375" style="501" customWidth="1"/>
    <col min="13060" max="13060" width="9.88671875" style="501" customWidth="1"/>
    <col min="13061" max="13061" width="44.109375" style="501" customWidth="1"/>
    <col min="13062" max="13062" width="14.109375" style="501" customWidth="1"/>
    <col min="13063" max="13063" width="3" style="501" customWidth="1"/>
    <col min="13064" max="13064" width="16.44140625" style="501" customWidth="1"/>
    <col min="13065" max="13065" width="3.88671875" style="501" customWidth="1"/>
    <col min="13066" max="13313" width="9.21875" style="501"/>
    <col min="13314" max="13314" width="43.109375" style="501" customWidth="1"/>
    <col min="13315" max="13315" width="15.109375" style="501" customWidth="1"/>
    <col min="13316" max="13316" width="9.88671875" style="501" customWidth="1"/>
    <col min="13317" max="13317" width="44.109375" style="501" customWidth="1"/>
    <col min="13318" max="13318" width="14.109375" style="501" customWidth="1"/>
    <col min="13319" max="13319" width="3" style="501" customWidth="1"/>
    <col min="13320" max="13320" width="16.44140625" style="501" customWidth="1"/>
    <col min="13321" max="13321" width="3.88671875" style="501" customWidth="1"/>
    <col min="13322" max="13569" width="9.21875" style="501"/>
    <col min="13570" max="13570" width="43.109375" style="501" customWidth="1"/>
    <col min="13571" max="13571" width="15.109375" style="501" customWidth="1"/>
    <col min="13572" max="13572" width="9.88671875" style="501" customWidth="1"/>
    <col min="13573" max="13573" width="44.109375" style="501" customWidth="1"/>
    <col min="13574" max="13574" width="14.109375" style="501" customWidth="1"/>
    <col min="13575" max="13575" width="3" style="501" customWidth="1"/>
    <col min="13576" max="13576" width="16.44140625" style="501" customWidth="1"/>
    <col min="13577" max="13577" width="3.88671875" style="501" customWidth="1"/>
    <col min="13578" max="13825" width="9.21875" style="501"/>
    <col min="13826" max="13826" width="43.109375" style="501" customWidth="1"/>
    <col min="13827" max="13827" width="15.109375" style="501" customWidth="1"/>
    <col min="13828" max="13828" width="9.88671875" style="501" customWidth="1"/>
    <col min="13829" max="13829" width="44.109375" style="501" customWidth="1"/>
    <col min="13830" max="13830" width="14.109375" style="501" customWidth="1"/>
    <col min="13831" max="13831" width="3" style="501" customWidth="1"/>
    <col min="13832" max="13832" width="16.44140625" style="501" customWidth="1"/>
    <col min="13833" max="13833" width="3.88671875" style="501" customWidth="1"/>
    <col min="13834" max="14081" width="9.21875" style="501"/>
    <col min="14082" max="14082" width="43.109375" style="501" customWidth="1"/>
    <col min="14083" max="14083" width="15.109375" style="501" customWidth="1"/>
    <col min="14084" max="14084" width="9.88671875" style="501" customWidth="1"/>
    <col min="14085" max="14085" width="44.109375" style="501" customWidth="1"/>
    <col min="14086" max="14086" width="14.109375" style="501" customWidth="1"/>
    <col min="14087" max="14087" width="3" style="501" customWidth="1"/>
    <col min="14088" max="14088" width="16.44140625" style="501" customWidth="1"/>
    <col min="14089" max="14089" width="3.88671875" style="501" customWidth="1"/>
    <col min="14090" max="14337" width="9.21875" style="501"/>
    <col min="14338" max="14338" width="43.109375" style="501" customWidth="1"/>
    <col min="14339" max="14339" width="15.109375" style="501" customWidth="1"/>
    <col min="14340" max="14340" width="9.88671875" style="501" customWidth="1"/>
    <col min="14341" max="14341" width="44.109375" style="501" customWidth="1"/>
    <col min="14342" max="14342" width="14.109375" style="501" customWidth="1"/>
    <col min="14343" max="14343" width="3" style="501" customWidth="1"/>
    <col min="14344" max="14344" width="16.44140625" style="501" customWidth="1"/>
    <col min="14345" max="14345" width="3.88671875" style="501" customWidth="1"/>
    <col min="14346" max="14593" width="9.21875" style="501"/>
    <col min="14594" max="14594" width="43.109375" style="501" customWidth="1"/>
    <col min="14595" max="14595" width="15.109375" style="501" customWidth="1"/>
    <col min="14596" max="14596" width="9.88671875" style="501" customWidth="1"/>
    <col min="14597" max="14597" width="44.109375" style="501" customWidth="1"/>
    <col min="14598" max="14598" width="14.109375" style="501" customWidth="1"/>
    <col min="14599" max="14599" width="3" style="501" customWidth="1"/>
    <col min="14600" max="14600" width="16.44140625" style="501" customWidth="1"/>
    <col min="14601" max="14601" width="3.88671875" style="501" customWidth="1"/>
    <col min="14602" max="14849" width="9.21875" style="501"/>
    <col min="14850" max="14850" width="43.109375" style="501" customWidth="1"/>
    <col min="14851" max="14851" width="15.109375" style="501" customWidth="1"/>
    <col min="14852" max="14852" width="9.88671875" style="501" customWidth="1"/>
    <col min="14853" max="14853" width="44.109375" style="501" customWidth="1"/>
    <col min="14854" max="14854" width="14.109375" style="501" customWidth="1"/>
    <col min="14855" max="14855" width="3" style="501" customWidth="1"/>
    <col min="14856" max="14856" width="16.44140625" style="501" customWidth="1"/>
    <col min="14857" max="14857" width="3.88671875" style="501" customWidth="1"/>
    <col min="14858" max="15105" width="9.21875" style="501"/>
    <col min="15106" max="15106" width="43.109375" style="501" customWidth="1"/>
    <col min="15107" max="15107" width="15.109375" style="501" customWidth="1"/>
    <col min="15108" max="15108" width="9.88671875" style="501" customWidth="1"/>
    <col min="15109" max="15109" width="44.109375" style="501" customWidth="1"/>
    <col min="15110" max="15110" width="14.109375" style="501" customWidth="1"/>
    <col min="15111" max="15111" width="3" style="501" customWidth="1"/>
    <col min="15112" max="15112" width="16.44140625" style="501" customWidth="1"/>
    <col min="15113" max="15113" width="3.88671875" style="501" customWidth="1"/>
    <col min="15114" max="15361" width="9.21875" style="501"/>
    <col min="15362" max="15362" width="43.109375" style="501" customWidth="1"/>
    <col min="15363" max="15363" width="15.109375" style="501" customWidth="1"/>
    <col min="15364" max="15364" width="9.88671875" style="501" customWidth="1"/>
    <col min="15365" max="15365" width="44.109375" style="501" customWidth="1"/>
    <col min="15366" max="15366" width="14.109375" style="501" customWidth="1"/>
    <col min="15367" max="15367" width="3" style="501" customWidth="1"/>
    <col min="15368" max="15368" width="16.44140625" style="501" customWidth="1"/>
    <col min="15369" max="15369" width="3.88671875" style="501" customWidth="1"/>
    <col min="15370" max="15617" width="9.21875" style="501"/>
    <col min="15618" max="15618" width="43.109375" style="501" customWidth="1"/>
    <col min="15619" max="15619" width="15.109375" style="501" customWidth="1"/>
    <col min="15620" max="15620" width="9.88671875" style="501" customWidth="1"/>
    <col min="15621" max="15621" width="44.109375" style="501" customWidth="1"/>
    <col min="15622" max="15622" width="14.109375" style="501" customWidth="1"/>
    <col min="15623" max="15623" width="3" style="501" customWidth="1"/>
    <col min="15624" max="15624" width="16.44140625" style="501" customWidth="1"/>
    <col min="15625" max="15625" width="3.88671875" style="501" customWidth="1"/>
    <col min="15626" max="15873" width="9.21875" style="501"/>
    <col min="15874" max="15874" width="43.109375" style="501" customWidth="1"/>
    <col min="15875" max="15875" width="15.109375" style="501" customWidth="1"/>
    <col min="15876" max="15876" width="9.88671875" style="501" customWidth="1"/>
    <col min="15877" max="15877" width="44.109375" style="501" customWidth="1"/>
    <col min="15878" max="15878" width="14.109375" style="501" customWidth="1"/>
    <col min="15879" max="15879" width="3" style="501" customWidth="1"/>
    <col min="15880" max="15880" width="16.44140625" style="501" customWidth="1"/>
    <col min="15881" max="15881" width="3.88671875" style="501" customWidth="1"/>
    <col min="15882" max="16129" width="9.21875" style="501"/>
    <col min="16130" max="16130" width="43.109375" style="501" customWidth="1"/>
    <col min="16131" max="16131" width="15.109375" style="501" customWidth="1"/>
    <col min="16132" max="16132" width="9.88671875" style="501" customWidth="1"/>
    <col min="16133" max="16133" width="44.109375" style="501" customWidth="1"/>
    <col min="16134" max="16134" width="14.109375" style="501" customWidth="1"/>
    <col min="16135" max="16135" width="3" style="501" customWidth="1"/>
    <col min="16136" max="16136" width="16.44140625" style="501" customWidth="1"/>
    <col min="16137" max="16137" width="3.88671875" style="501" customWidth="1"/>
    <col min="16138" max="16384" width="9.21875" style="501"/>
  </cols>
  <sheetData>
    <row r="1" spans="1:17" ht="20.25">
      <c r="A1" s="1005" t="s">
        <v>595</v>
      </c>
      <c r="B1" s="1005"/>
      <c r="C1" s="1005"/>
      <c r="D1" s="1005"/>
      <c r="E1" s="1005"/>
      <c r="F1" s="1005"/>
      <c r="G1" s="1005"/>
      <c r="H1" s="1005"/>
    </row>
    <row r="2" spans="1:17" ht="21" customHeight="1">
      <c r="A2" s="484"/>
      <c r="B2" s="484"/>
      <c r="C2" s="1010" t="s">
        <v>945</v>
      </c>
      <c r="D2" s="1010"/>
      <c r="E2" s="1010"/>
      <c r="F2" s="484"/>
      <c r="G2" s="484"/>
      <c r="H2" s="484"/>
    </row>
    <row r="3" spans="1:17" ht="20.25">
      <c r="A3" s="1006" t="s">
        <v>1035</v>
      </c>
      <c r="B3" s="1006"/>
      <c r="C3" s="1006"/>
      <c r="D3" s="1006"/>
      <c r="E3" s="1006"/>
      <c r="F3" s="1006"/>
      <c r="G3" s="1006"/>
      <c r="H3" s="1006"/>
      <c r="J3" s="661"/>
      <c r="K3" s="661"/>
      <c r="L3" s="661"/>
      <c r="M3" s="661"/>
    </row>
    <row r="4" spans="1:17" ht="20.25">
      <c r="A4" s="495"/>
      <c r="B4" s="495"/>
      <c r="C4" s="495"/>
      <c r="D4" s="495"/>
      <c r="E4" s="495"/>
      <c r="F4" s="495"/>
      <c r="G4" s="495"/>
      <c r="H4" s="496" t="s">
        <v>417</v>
      </c>
      <c r="J4" s="661"/>
      <c r="K4" s="661"/>
      <c r="L4" s="661"/>
      <c r="M4" s="661"/>
    </row>
    <row r="5" spans="1:17" s="499" customFormat="1" ht="18">
      <c r="A5" s="497"/>
      <c r="B5" s="498"/>
      <c r="J5" s="661"/>
      <c r="K5" s="661"/>
      <c r="L5" s="661"/>
      <c r="M5" s="661"/>
    </row>
    <row r="6" spans="1:17">
      <c r="A6" s="500" t="s">
        <v>8</v>
      </c>
      <c r="B6" s="1007" t="s">
        <v>530</v>
      </c>
      <c r="C6" s="1007"/>
      <c r="E6" s="1007" t="s">
        <v>531</v>
      </c>
      <c r="F6" s="1007"/>
      <c r="H6" s="500" t="s">
        <v>884</v>
      </c>
      <c r="J6" s="661"/>
      <c r="K6" s="661"/>
      <c r="L6" s="661"/>
      <c r="M6" s="661"/>
    </row>
    <row r="7" spans="1:17" ht="13.15" customHeight="1">
      <c r="A7" s="500" t="s">
        <v>10</v>
      </c>
      <c r="B7" s="1008">
        <v>2026</v>
      </c>
      <c r="C7" s="1009"/>
      <c r="D7" s="500" t="s">
        <v>597</v>
      </c>
      <c r="E7" s="1008">
        <v>2026</v>
      </c>
      <c r="F7" s="1009"/>
      <c r="H7" s="502" t="s">
        <v>598</v>
      </c>
      <c r="J7" s="661"/>
      <c r="K7" s="582"/>
      <c r="L7" s="582"/>
      <c r="M7" s="582"/>
      <c r="N7" s="582"/>
      <c r="O7" s="582"/>
      <c r="P7" s="582"/>
      <c r="Q7" s="582"/>
    </row>
    <row r="8" spans="1:17" ht="13.15" customHeight="1">
      <c r="A8" s="500">
        <v>1</v>
      </c>
      <c r="B8" s="503" t="s">
        <v>599</v>
      </c>
      <c r="C8" s="504" t="s">
        <v>178</v>
      </c>
      <c r="F8" s="504" t="s">
        <v>179</v>
      </c>
      <c r="J8" s="661"/>
      <c r="K8" s="582"/>
      <c r="L8" s="582"/>
      <c r="M8" s="582"/>
      <c r="N8" s="582"/>
      <c r="O8" s="582"/>
      <c r="P8" s="582"/>
      <c r="Q8" s="582"/>
    </row>
    <row r="9" spans="1:17" ht="13.15" customHeight="1">
      <c r="B9" s="503"/>
      <c r="C9" s="504"/>
      <c r="F9" s="504"/>
      <c r="J9" s="661"/>
      <c r="K9" s="582"/>
      <c r="L9" s="582"/>
      <c r="M9" s="582"/>
      <c r="N9" s="582"/>
      <c r="O9" s="582"/>
      <c r="P9" s="582"/>
      <c r="Q9" s="582"/>
    </row>
    <row r="10" spans="1:17" ht="13.15" customHeight="1">
      <c r="A10" s="500">
        <f>A8+1</f>
        <v>2</v>
      </c>
      <c r="B10" s="505"/>
      <c r="C10" s="662"/>
      <c r="E10" s="505"/>
      <c r="F10" s="662"/>
      <c r="G10" s="506"/>
      <c r="H10" s="506"/>
      <c r="K10" s="582"/>
      <c r="L10" s="582"/>
      <c r="M10" s="582"/>
      <c r="N10" s="582"/>
      <c r="O10" s="582"/>
      <c r="P10" s="582"/>
      <c r="Q10" s="582"/>
    </row>
    <row r="11" spans="1:17" ht="13.15" customHeight="1">
      <c r="A11" s="500">
        <f>A10+1</f>
        <v>3</v>
      </c>
      <c r="B11" s="505"/>
      <c r="C11" s="662"/>
      <c r="E11" s="505"/>
      <c r="F11" s="662"/>
      <c r="G11" s="506"/>
      <c r="H11" s="506"/>
      <c r="K11" s="582"/>
      <c r="L11" s="582"/>
      <c r="M11" s="582"/>
      <c r="N11" s="582"/>
      <c r="O11" s="582"/>
      <c r="P11" s="582"/>
      <c r="Q11" s="582"/>
    </row>
    <row r="12" spans="1:17" ht="13.9" customHeight="1" thickBot="1">
      <c r="A12" s="500">
        <f>A11+1</f>
        <v>4</v>
      </c>
      <c r="B12" s="507" t="s">
        <v>600</v>
      </c>
      <c r="C12" s="508">
        <f>SUM(C10:C11)</f>
        <v>0</v>
      </c>
      <c r="D12" s="509"/>
      <c r="E12" s="507" t="s">
        <v>601</v>
      </c>
      <c r="F12" s="508">
        <f>SUM(F10:F11)</f>
        <v>0</v>
      </c>
      <c r="G12" s="510"/>
      <c r="H12" s="508">
        <f>AVERAGE(C12,F12)</f>
        <v>0</v>
      </c>
      <c r="K12" s="582"/>
      <c r="L12" s="582"/>
      <c r="M12" s="582"/>
      <c r="N12" s="582"/>
      <c r="O12" s="582"/>
      <c r="P12" s="582"/>
      <c r="Q12" s="582"/>
    </row>
    <row r="13" spans="1:17" ht="14.45" customHeight="1" thickTop="1">
      <c r="F13" s="511" t="s">
        <v>2</v>
      </c>
    </row>
    <row r="14" spans="1:17" ht="14.45" customHeight="1">
      <c r="A14" s="500">
        <f>A12+1</f>
        <v>5</v>
      </c>
      <c r="B14" s="503" t="s">
        <v>602</v>
      </c>
      <c r="F14" s="511"/>
    </row>
    <row r="15" spans="1:17">
      <c r="A15" s="500">
        <f>A14+1</f>
        <v>6</v>
      </c>
      <c r="B15" s="505"/>
      <c r="C15" s="663">
        <v>0</v>
      </c>
      <c r="E15" s="505"/>
      <c r="F15" s="663"/>
      <c r="G15" s="506"/>
      <c r="H15" s="510">
        <f>AVERAGE(C15,F15)</f>
        <v>0</v>
      </c>
    </row>
    <row r="16" spans="1:17">
      <c r="A16" s="500">
        <f>A15+1</f>
        <v>7</v>
      </c>
      <c r="B16" s="505"/>
      <c r="C16" s="663"/>
      <c r="E16" s="505"/>
      <c r="F16" s="663"/>
      <c r="G16" s="506"/>
      <c r="H16" s="510"/>
    </row>
    <row r="17" spans="1:8">
      <c r="A17" s="500">
        <f>A16+1</f>
        <v>8</v>
      </c>
      <c r="B17" s="505"/>
      <c r="C17" s="663"/>
      <c r="E17" s="505"/>
      <c r="F17" s="663"/>
      <c r="G17" s="506"/>
      <c r="H17" s="510"/>
    </row>
    <row r="18" spans="1:8">
      <c r="A18" s="500">
        <f>A17+1</f>
        <v>9</v>
      </c>
      <c r="B18" s="505"/>
      <c r="C18" s="663"/>
      <c r="E18" s="505"/>
      <c r="F18" s="663"/>
      <c r="G18" s="506"/>
      <c r="H18" s="510"/>
    </row>
    <row r="19" spans="1:8">
      <c r="A19" s="500">
        <f>A18+1</f>
        <v>10</v>
      </c>
      <c r="B19" s="505"/>
      <c r="C19" s="663"/>
      <c r="E19" s="505"/>
      <c r="F19" s="663"/>
      <c r="G19" s="506"/>
      <c r="H19" s="510"/>
    </row>
    <row r="20" spans="1:8">
      <c r="A20" s="500">
        <f t="shared" ref="A20:A29" si="0">A19+1</f>
        <v>11</v>
      </c>
      <c r="B20" s="505"/>
      <c r="C20" s="663"/>
      <c r="E20" s="505"/>
      <c r="F20" s="663"/>
      <c r="G20" s="506"/>
      <c r="H20" s="510"/>
    </row>
    <row r="21" spans="1:8">
      <c r="A21" s="500">
        <f t="shared" si="0"/>
        <v>12</v>
      </c>
      <c r="B21" s="505"/>
      <c r="C21" s="663"/>
      <c r="E21" s="505"/>
      <c r="F21" s="663"/>
      <c r="G21" s="506"/>
      <c r="H21" s="510"/>
    </row>
    <row r="22" spans="1:8">
      <c r="A22" s="500">
        <f t="shared" si="0"/>
        <v>13</v>
      </c>
      <c r="B22" s="505"/>
      <c r="C22" s="663"/>
      <c r="E22" s="505"/>
      <c r="F22" s="663"/>
      <c r="G22" s="506"/>
      <c r="H22" s="510"/>
    </row>
    <row r="23" spans="1:8">
      <c r="A23" s="500">
        <f t="shared" si="0"/>
        <v>14</v>
      </c>
      <c r="B23" s="505"/>
      <c r="C23" s="663"/>
      <c r="E23" s="505"/>
      <c r="F23" s="663"/>
      <c r="G23" s="506"/>
      <c r="H23" s="510"/>
    </row>
    <row r="24" spans="1:8">
      <c r="A24" s="500">
        <f t="shared" si="0"/>
        <v>15</v>
      </c>
      <c r="B24" s="505"/>
      <c r="C24" s="663"/>
      <c r="E24" s="505"/>
      <c r="F24" s="663"/>
      <c r="G24" s="506"/>
      <c r="H24" s="510"/>
    </row>
    <row r="25" spans="1:8">
      <c r="A25" s="500">
        <f t="shared" si="0"/>
        <v>16</v>
      </c>
      <c r="B25" s="505"/>
      <c r="C25" s="663"/>
      <c r="E25" s="505"/>
      <c r="F25" s="663"/>
      <c r="G25" s="506"/>
      <c r="H25" s="510"/>
    </row>
    <row r="26" spans="1:8">
      <c r="A26" s="500">
        <f t="shared" si="0"/>
        <v>17</v>
      </c>
      <c r="B26" s="505"/>
      <c r="C26" s="663"/>
      <c r="E26" s="505"/>
      <c r="F26" s="663"/>
      <c r="G26" s="506"/>
      <c r="H26" s="510"/>
    </row>
    <row r="27" spans="1:8">
      <c r="A27" s="500">
        <f>A26+1</f>
        <v>18</v>
      </c>
      <c r="B27" s="505"/>
      <c r="C27" s="663"/>
      <c r="E27" s="505"/>
      <c r="F27" s="663"/>
      <c r="G27" s="506"/>
      <c r="H27" s="510"/>
    </row>
    <row r="28" spans="1:8">
      <c r="A28" s="500">
        <f t="shared" si="0"/>
        <v>19</v>
      </c>
      <c r="B28" s="505"/>
      <c r="C28" s="663"/>
      <c r="E28" s="505"/>
      <c r="F28" s="663"/>
      <c r="H28" s="510"/>
    </row>
    <row r="29" spans="1:8" ht="13.5" thickBot="1">
      <c r="A29" s="500">
        <f t="shared" si="0"/>
        <v>20</v>
      </c>
      <c r="B29" s="507" t="s">
        <v>603</v>
      </c>
      <c r="C29" s="512">
        <f>SUM(C15:C28)</f>
        <v>0</v>
      </c>
      <c r="D29" s="568"/>
      <c r="E29" s="507" t="s">
        <v>604</v>
      </c>
      <c r="F29" s="512">
        <f>SUM(F15:F28)</f>
        <v>0</v>
      </c>
      <c r="H29" s="512">
        <f>AVERAGE(C29,F29)</f>
        <v>0</v>
      </c>
    </row>
    <row r="30" spans="1:8" ht="13.5" thickTop="1">
      <c r="C30" s="513"/>
      <c r="D30" s="500"/>
      <c r="F30" s="513"/>
    </row>
    <row r="31" spans="1:8">
      <c r="A31" s="500">
        <f>A29+1</f>
        <v>21</v>
      </c>
      <c r="B31" s="503" t="s">
        <v>605</v>
      </c>
      <c r="F31" s="506"/>
    </row>
    <row r="32" spans="1:8" ht="11.45" customHeight="1">
      <c r="C32" s="500" t="s">
        <v>2</v>
      </c>
      <c r="F32" s="500" t="s">
        <v>2</v>
      </c>
    </row>
    <row r="33" spans="1:8">
      <c r="A33" s="500">
        <f>A31+1</f>
        <v>22</v>
      </c>
      <c r="B33" s="514"/>
      <c r="C33" s="663">
        <v>0</v>
      </c>
      <c r="E33" s="514"/>
      <c r="F33" s="662"/>
      <c r="H33" s="506">
        <f>AVERAGE(C33,F33)</f>
        <v>0</v>
      </c>
    </row>
    <row r="34" spans="1:8">
      <c r="A34" s="500">
        <f>A33+1</f>
        <v>23</v>
      </c>
      <c r="B34" s="514"/>
      <c r="C34" s="663"/>
      <c r="E34" s="514"/>
      <c r="F34" s="662"/>
      <c r="H34" s="506"/>
    </row>
    <row r="35" spans="1:8">
      <c r="A35" s="500">
        <f>A34+1</f>
        <v>24</v>
      </c>
      <c r="B35" s="514"/>
      <c r="C35" s="663"/>
      <c r="E35" s="514"/>
      <c r="F35" s="662"/>
      <c r="H35" s="506"/>
    </row>
    <row r="36" spans="1:8">
      <c r="A36" s="500">
        <f t="shared" ref="A36:A52" si="1">A35+1</f>
        <v>25</v>
      </c>
      <c r="B36" s="514"/>
      <c r="C36" s="663"/>
      <c r="E36" s="514"/>
      <c r="F36" s="663"/>
      <c r="G36" s="510"/>
      <c r="H36" s="506"/>
    </row>
    <row r="37" spans="1:8">
      <c r="A37" s="500">
        <f t="shared" si="1"/>
        <v>26</v>
      </c>
      <c r="B37" s="514"/>
      <c r="C37" s="663"/>
      <c r="E37" s="514"/>
      <c r="F37" s="663"/>
      <c r="G37" s="510"/>
      <c r="H37" s="506"/>
    </row>
    <row r="38" spans="1:8">
      <c r="A38" s="500">
        <f t="shared" si="1"/>
        <v>27</v>
      </c>
      <c r="B38" s="514"/>
      <c r="C38" s="663"/>
      <c r="E38" s="514"/>
      <c r="F38" s="662"/>
      <c r="H38" s="506"/>
    </row>
    <row r="39" spans="1:8">
      <c r="A39" s="500">
        <f t="shared" si="1"/>
        <v>28</v>
      </c>
      <c r="B39" s="514"/>
      <c r="C39" s="663"/>
      <c r="E39" s="514"/>
      <c r="F39" s="662"/>
      <c r="H39" s="506"/>
    </row>
    <row r="40" spans="1:8">
      <c r="A40" s="500">
        <f t="shared" si="1"/>
        <v>29</v>
      </c>
      <c r="B40" s="514"/>
      <c r="C40" s="663"/>
      <c r="E40" s="514"/>
      <c r="F40" s="662"/>
      <c r="H40" s="506"/>
    </row>
    <row r="41" spans="1:8">
      <c r="A41" s="500">
        <f t="shared" si="1"/>
        <v>30</v>
      </c>
      <c r="B41" s="514"/>
      <c r="C41" s="662"/>
      <c r="E41" s="514"/>
      <c r="F41" s="662"/>
      <c r="H41" s="506"/>
    </row>
    <row r="42" spans="1:8">
      <c r="A42" s="500">
        <f t="shared" si="1"/>
        <v>31</v>
      </c>
      <c r="B42" s="514"/>
      <c r="C42" s="662"/>
      <c r="E42" s="514"/>
      <c r="F42" s="662"/>
      <c r="H42" s="506"/>
    </row>
    <row r="43" spans="1:8">
      <c r="A43" s="500">
        <f t="shared" si="1"/>
        <v>32</v>
      </c>
      <c r="B43" s="514"/>
      <c r="C43" s="662"/>
      <c r="E43" s="514"/>
      <c r="F43" s="662"/>
      <c r="H43" s="506"/>
    </row>
    <row r="44" spans="1:8">
      <c r="A44" s="500">
        <f t="shared" si="1"/>
        <v>33</v>
      </c>
      <c r="B44" s="514"/>
      <c r="C44" s="662"/>
      <c r="E44" s="514"/>
      <c r="F44" s="662"/>
      <c r="H44" s="506"/>
    </row>
    <row r="45" spans="1:8">
      <c r="A45" s="500">
        <f t="shared" si="1"/>
        <v>34</v>
      </c>
      <c r="B45" s="514"/>
      <c r="C45" s="662"/>
      <c r="E45" s="514"/>
      <c r="F45" s="662"/>
      <c r="H45" s="506"/>
    </row>
    <row r="46" spans="1:8">
      <c r="A46" s="500">
        <f t="shared" si="1"/>
        <v>35</v>
      </c>
      <c r="B46" s="514"/>
      <c r="C46" s="662"/>
      <c r="E46" s="514"/>
      <c r="F46" s="662"/>
      <c r="H46" s="506"/>
    </row>
    <row r="47" spans="1:8">
      <c r="A47" s="500">
        <f t="shared" si="1"/>
        <v>36</v>
      </c>
      <c r="B47" s="514"/>
      <c r="C47" s="662"/>
      <c r="E47" s="514"/>
      <c r="F47" s="662"/>
      <c r="H47" s="506"/>
    </row>
    <row r="48" spans="1:8">
      <c r="A48" s="500">
        <f t="shared" si="1"/>
        <v>37</v>
      </c>
      <c r="B48" s="514"/>
      <c r="C48" s="662"/>
      <c r="E48" s="514"/>
      <c r="F48" s="662"/>
      <c r="H48" s="506"/>
    </row>
    <row r="49" spans="1:8">
      <c r="A49" s="500">
        <f t="shared" si="1"/>
        <v>38</v>
      </c>
      <c r="B49" s="514"/>
      <c r="C49" s="662"/>
      <c r="E49" s="514"/>
      <c r="F49" s="662"/>
      <c r="H49" s="506"/>
    </row>
    <row r="50" spans="1:8">
      <c r="A50" s="500">
        <f t="shared" si="1"/>
        <v>39</v>
      </c>
      <c r="B50" s="514"/>
      <c r="C50" s="662"/>
      <c r="E50" s="514"/>
      <c r="F50" s="662"/>
      <c r="H50" s="506"/>
    </row>
    <row r="51" spans="1:8">
      <c r="A51" s="500">
        <f t="shared" si="1"/>
        <v>40</v>
      </c>
      <c r="B51" s="514"/>
      <c r="C51" s="662"/>
      <c r="E51" s="514"/>
      <c r="F51" s="662"/>
      <c r="H51" s="506"/>
    </row>
    <row r="52" spans="1:8">
      <c r="A52" s="500">
        <f t="shared" si="1"/>
        <v>41</v>
      </c>
      <c r="B52" s="514"/>
      <c r="C52" s="662"/>
      <c r="E52" s="514"/>
      <c r="F52" s="662"/>
      <c r="H52" s="506"/>
    </row>
    <row r="53" spans="1:8" ht="13.5" thickBot="1">
      <c r="A53" s="500">
        <f>A52+1</f>
        <v>42</v>
      </c>
      <c r="B53" s="507" t="s">
        <v>606</v>
      </c>
      <c r="C53" s="512">
        <f>SUM(C33:C52)</f>
        <v>0</v>
      </c>
      <c r="D53" s="568"/>
      <c r="E53" s="507" t="s">
        <v>607</v>
      </c>
      <c r="F53" s="512">
        <f>SUM(F33:F52)</f>
        <v>0</v>
      </c>
      <c r="H53" s="512">
        <f>AVERAGE(C53,F53)</f>
        <v>0</v>
      </c>
    </row>
    <row r="54" spans="1:8" ht="13.5" thickTop="1">
      <c r="C54" s="513"/>
      <c r="D54" s="500"/>
      <c r="F54" s="513"/>
    </row>
    <row r="55" spans="1:8">
      <c r="A55" s="500">
        <f>A53+1</f>
        <v>43</v>
      </c>
      <c r="B55" s="503" t="s">
        <v>608</v>
      </c>
    </row>
    <row r="57" spans="1:8">
      <c r="A57" s="500">
        <f>A55+1</f>
        <v>44</v>
      </c>
      <c r="B57" s="515"/>
      <c r="C57" s="663">
        <v>0</v>
      </c>
      <c r="E57" s="505"/>
      <c r="F57" s="663"/>
      <c r="H57" s="510">
        <f t="shared" ref="H57" si="2">AVERAGE(C57,F57)</f>
        <v>0</v>
      </c>
    </row>
    <row r="58" spans="1:8">
      <c r="A58" s="500">
        <f>A57+1</f>
        <v>45</v>
      </c>
      <c r="B58" s="515"/>
      <c r="C58" s="663"/>
      <c r="E58" s="515"/>
      <c r="F58" s="663"/>
      <c r="H58" s="510"/>
    </row>
    <row r="59" spans="1:8">
      <c r="A59" s="500">
        <f>A58+1</f>
        <v>46</v>
      </c>
      <c r="B59" s="515"/>
      <c r="C59" s="663"/>
      <c r="E59" s="505"/>
      <c r="F59" s="663"/>
      <c r="H59" s="510"/>
    </row>
    <row r="60" spans="1:8">
      <c r="A60" s="500">
        <f>A59+1</f>
        <v>47</v>
      </c>
      <c r="B60" s="515"/>
      <c r="C60" s="663"/>
      <c r="E60" s="505"/>
      <c r="F60" s="663"/>
      <c r="H60" s="510"/>
    </row>
    <row r="61" spans="1:8">
      <c r="A61" s="500">
        <f t="shared" ref="A61:A76" si="3">A60+1</f>
        <v>48</v>
      </c>
      <c r="B61" s="515"/>
      <c r="C61" s="663"/>
      <c r="E61" s="505"/>
      <c r="F61" s="663"/>
      <c r="H61" s="510"/>
    </row>
    <row r="62" spans="1:8">
      <c r="A62" s="500">
        <f t="shared" si="3"/>
        <v>49</v>
      </c>
      <c r="B62" s="515"/>
      <c r="C62" s="663"/>
      <c r="E62" s="505"/>
      <c r="F62" s="663"/>
      <c r="H62" s="510"/>
    </row>
    <row r="63" spans="1:8">
      <c r="A63" s="500">
        <f t="shared" si="3"/>
        <v>50</v>
      </c>
      <c r="B63" s="515"/>
      <c r="C63" s="663"/>
      <c r="E63" s="505"/>
      <c r="F63" s="663"/>
      <c r="H63" s="510"/>
    </row>
    <row r="64" spans="1:8">
      <c r="A64" s="500">
        <f t="shared" si="3"/>
        <v>51</v>
      </c>
      <c r="B64" s="515"/>
      <c r="C64" s="663"/>
      <c r="E64" s="505"/>
      <c r="F64" s="663"/>
      <c r="H64" s="510"/>
    </row>
    <row r="65" spans="1:8">
      <c r="A65" s="500">
        <f t="shared" si="3"/>
        <v>52</v>
      </c>
      <c r="B65" s="515"/>
      <c r="C65" s="663"/>
      <c r="E65" s="505"/>
      <c r="F65" s="663"/>
      <c r="H65" s="510"/>
    </row>
    <row r="66" spans="1:8">
      <c r="A66" s="500">
        <f t="shared" si="3"/>
        <v>53</v>
      </c>
      <c r="B66" s="515"/>
      <c r="C66" s="663"/>
      <c r="E66" s="505"/>
      <c r="F66" s="663"/>
      <c r="H66" s="510"/>
    </row>
    <row r="67" spans="1:8">
      <c r="A67" s="500">
        <f t="shared" si="3"/>
        <v>54</v>
      </c>
      <c r="B67" s="515"/>
      <c r="C67" s="663"/>
      <c r="E67" s="505"/>
      <c r="F67" s="663"/>
      <c r="H67" s="510"/>
    </row>
    <row r="68" spans="1:8">
      <c r="A68" s="500">
        <f t="shared" si="3"/>
        <v>55</v>
      </c>
      <c r="B68" s="515"/>
      <c r="C68" s="663"/>
      <c r="E68" s="505"/>
      <c r="F68" s="663"/>
      <c r="H68" s="510"/>
    </row>
    <row r="69" spans="1:8">
      <c r="A69" s="500">
        <f t="shared" si="3"/>
        <v>56</v>
      </c>
      <c r="B69" s="515"/>
      <c r="C69" s="663"/>
      <c r="E69" s="505"/>
      <c r="F69" s="663"/>
      <c r="H69" s="510"/>
    </row>
    <row r="70" spans="1:8">
      <c r="A70" s="500">
        <f t="shared" si="3"/>
        <v>57</v>
      </c>
      <c r="B70" s="515"/>
      <c r="C70" s="663"/>
      <c r="E70" s="505"/>
      <c r="F70" s="663"/>
      <c r="H70" s="510"/>
    </row>
    <row r="71" spans="1:8">
      <c r="A71" s="500">
        <f t="shared" si="3"/>
        <v>58</v>
      </c>
      <c r="B71" s="515"/>
      <c r="C71" s="663"/>
      <c r="E71" s="505"/>
      <c r="F71" s="663"/>
      <c r="H71" s="510"/>
    </row>
    <row r="72" spans="1:8">
      <c r="A72" s="500">
        <f t="shared" si="3"/>
        <v>59</v>
      </c>
      <c r="B72" s="515"/>
      <c r="C72" s="663"/>
      <c r="E72" s="515"/>
      <c r="F72" s="663"/>
      <c r="H72" s="510"/>
    </row>
    <row r="73" spans="1:8">
      <c r="A73" s="500">
        <f t="shared" si="3"/>
        <v>60</v>
      </c>
      <c r="B73" s="514"/>
      <c r="C73" s="662"/>
      <c r="E73" s="514"/>
      <c r="F73" s="662"/>
      <c r="H73" s="510"/>
    </row>
    <row r="74" spans="1:8">
      <c r="A74" s="500">
        <f t="shared" si="3"/>
        <v>61</v>
      </c>
      <c r="B74" s="514"/>
      <c r="C74" s="662"/>
      <c r="E74" s="514"/>
      <c r="F74" s="662"/>
      <c r="H74" s="510"/>
    </row>
    <row r="75" spans="1:8">
      <c r="A75" s="500">
        <f t="shared" si="3"/>
        <v>62</v>
      </c>
      <c r="B75" s="514"/>
      <c r="C75" s="662"/>
      <c r="E75" s="514"/>
      <c r="F75" s="662"/>
      <c r="H75" s="506"/>
    </row>
    <row r="76" spans="1:8">
      <c r="A76" s="500">
        <f t="shared" si="3"/>
        <v>63</v>
      </c>
      <c r="B76" s="514"/>
      <c r="C76" s="662"/>
      <c r="E76" s="514"/>
      <c r="F76" s="662"/>
      <c r="H76" s="506"/>
    </row>
    <row r="77" spans="1:8" ht="13.5" thickBot="1">
      <c r="A77" s="500">
        <f>A76+1</f>
        <v>64</v>
      </c>
      <c r="B77" s="507" t="s">
        <v>609</v>
      </c>
      <c r="C77" s="512">
        <f>SUM(C57:C72)</f>
        <v>0</v>
      </c>
      <c r="D77" s="568"/>
      <c r="E77" s="507" t="s">
        <v>610</v>
      </c>
      <c r="F77" s="512">
        <f>SUM(F57:F72)</f>
        <v>0</v>
      </c>
      <c r="H77" s="512">
        <f>AVERAGE(C77,F77)</f>
        <v>0</v>
      </c>
    </row>
    <row r="78" spans="1:8" ht="13.5" thickTop="1">
      <c r="B78" s="507"/>
      <c r="C78" s="506"/>
      <c r="D78" s="509"/>
      <c r="E78" s="507"/>
      <c r="F78" s="506"/>
      <c r="H78" s="506"/>
    </row>
    <row r="79" spans="1:8" ht="20.25">
      <c r="B79" s="516"/>
      <c r="C79" s="467"/>
      <c r="E79" s="511"/>
      <c r="H79" s="496" t="s">
        <v>140</v>
      </c>
    </row>
    <row r="80" spans="1:8" ht="18">
      <c r="B80" s="498"/>
      <c r="C80" s="499"/>
      <c r="D80" s="499"/>
      <c r="E80" s="499"/>
      <c r="F80" s="499"/>
      <c r="G80" s="499"/>
      <c r="H80" s="499"/>
    </row>
    <row r="81" spans="1:8">
      <c r="A81" s="500" t="s">
        <v>8</v>
      </c>
      <c r="H81" s="500" t="s">
        <v>596</v>
      </c>
    </row>
    <row r="82" spans="1:8">
      <c r="A82" s="500" t="s">
        <v>10</v>
      </c>
      <c r="B82" s="1003">
        <f>B7</f>
        <v>2026</v>
      </c>
      <c r="C82" s="1004"/>
      <c r="D82" s="500" t="s">
        <v>597</v>
      </c>
      <c r="E82" s="1003">
        <f>E7</f>
        <v>2026</v>
      </c>
      <c r="F82" s="1004"/>
      <c r="H82" s="502" t="s">
        <v>598</v>
      </c>
    </row>
    <row r="83" spans="1:8">
      <c r="A83" s="500">
        <f>A77+1</f>
        <v>65</v>
      </c>
      <c r="B83" s="503" t="s">
        <v>611</v>
      </c>
      <c r="C83" s="504"/>
      <c r="F83" s="504"/>
    </row>
    <row r="84" spans="1:8">
      <c r="H84" s="506"/>
    </row>
    <row r="85" spans="1:8">
      <c r="A85" s="500">
        <f>A83+1</f>
        <v>66</v>
      </c>
      <c r="B85" s="514"/>
      <c r="C85" s="517">
        <v>0</v>
      </c>
      <c r="E85" s="505"/>
      <c r="F85" s="517"/>
      <c r="G85" s="510"/>
      <c r="H85" s="510">
        <f t="shared" ref="H85" si="4">AVERAGE(C85,F85)</f>
        <v>0</v>
      </c>
    </row>
    <row r="86" spans="1:8">
      <c r="A86" s="500">
        <f t="shared" ref="A86:A102" si="5">A85+1</f>
        <v>67</v>
      </c>
      <c r="B86" s="514"/>
      <c r="C86" s="517"/>
      <c r="E86" s="505"/>
      <c r="F86" s="517"/>
      <c r="G86" s="510"/>
      <c r="H86" s="510"/>
    </row>
    <row r="87" spans="1:8">
      <c r="A87" s="500">
        <f t="shared" si="5"/>
        <v>68</v>
      </c>
      <c r="B87" s="514"/>
      <c r="C87" s="517"/>
      <c r="E87" s="505"/>
      <c r="F87" s="517"/>
      <c r="G87" s="510"/>
      <c r="H87" s="510"/>
    </row>
    <row r="88" spans="1:8">
      <c r="A88" s="500">
        <f t="shared" si="5"/>
        <v>69</v>
      </c>
      <c r="B88" s="514"/>
      <c r="C88" s="517"/>
      <c r="E88" s="505"/>
      <c r="F88" s="517"/>
      <c r="G88" s="510"/>
      <c r="H88" s="510"/>
    </row>
    <row r="89" spans="1:8">
      <c r="A89" s="500">
        <f t="shared" si="5"/>
        <v>70</v>
      </c>
      <c r="B89" s="514"/>
      <c r="C89" s="517"/>
      <c r="E89" s="505"/>
      <c r="F89" s="517"/>
      <c r="G89" s="510"/>
      <c r="H89" s="510"/>
    </row>
    <row r="90" spans="1:8">
      <c r="A90" s="500">
        <f t="shared" si="5"/>
        <v>71</v>
      </c>
      <c r="B90" s="514"/>
      <c r="C90" s="517"/>
      <c r="E90" s="505"/>
      <c r="F90" s="517"/>
      <c r="G90" s="510"/>
      <c r="H90" s="510"/>
    </row>
    <row r="91" spans="1:8">
      <c r="A91" s="500">
        <f t="shared" si="5"/>
        <v>72</v>
      </c>
      <c r="B91" s="514"/>
      <c r="C91" s="518"/>
      <c r="E91" s="514"/>
      <c r="F91" s="518"/>
      <c r="H91" s="506"/>
    </row>
    <row r="92" spans="1:8">
      <c r="A92" s="500">
        <f t="shared" si="5"/>
        <v>73</v>
      </c>
      <c r="B92" s="514"/>
      <c r="C92" s="518"/>
      <c r="E92" s="514"/>
      <c r="F92" s="518"/>
      <c r="H92" s="506"/>
    </row>
    <row r="93" spans="1:8">
      <c r="A93" s="500">
        <f t="shared" si="5"/>
        <v>74</v>
      </c>
      <c r="B93" s="514"/>
      <c r="C93" s="518"/>
      <c r="E93" s="514"/>
      <c r="F93" s="518"/>
      <c r="H93" s="506"/>
    </row>
    <row r="94" spans="1:8">
      <c r="A94" s="500">
        <f t="shared" si="5"/>
        <v>75</v>
      </c>
      <c r="B94" s="514"/>
      <c r="C94" s="518"/>
      <c r="E94" s="514"/>
      <c r="F94" s="518"/>
      <c r="H94" s="506"/>
    </row>
    <row r="95" spans="1:8">
      <c r="A95" s="500">
        <f t="shared" si="5"/>
        <v>76</v>
      </c>
      <c r="B95" s="514"/>
      <c r="C95" s="514"/>
      <c r="E95" s="514"/>
      <c r="F95" s="518"/>
      <c r="H95" s="506"/>
    </row>
    <row r="96" spans="1:8">
      <c r="A96" s="500">
        <f t="shared" si="5"/>
        <v>77</v>
      </c>
      <c r="B96" s="514"/>
      <c r="C96" s="514"/>
      <c r="E96" s="514"/>
      <c r="F96" s="518"/>
      <c r="H96" s="506"/>
    </row>
    <row r="97" spans="1:8">
      <c r="A97" s="500">
        <f t="shared" si="5"/>
        <v>78</v>
      </c>
      <c r="B97" s="519"/>
      <c r="C97" s="514"/>
      <c r="E97" s="519"/>
      <c r="F97" s="518"/>
      <c r="H97" s="506"/>
    </row>
    <row r="98" spans="1:8">
      <c r="A98" s="500">
        <f t="shared" si="5"/>
        <v>79</v>
      </c>
      <c r="B98" s="514"/>
      <c r="C98" s="514"/>
      <c r="E98" s="514"/>
      <c r="F98" s="514"/>
      <c r="H98" s="506"/>
    </row>
    <row r="99" spans="1:8">
      <c r="A99" s="500">
        <f t="shared" si="5"/>
        <v>80</v>
      </c>
      <c r="B99" s="514"/>
      <c r="C99" s="514"/>
      <c r="E99" s="514"/>
      <c r="F99" s="514"/>
      <c r="H99" s="506"/>
    </row>
    <row r="100" spans="1:8">
      <c r="A100" s="500">
        <f t="shared" si="5"/>
        <v>81</v>
      </c>
      <c r="B100" s="514"/>
      <c r="C100" s="514"/>
      <c r="E100" s="514"/>
      <c r="F100" s="514"/>
      <c r="H100" s="506"/>
    </row>
    <row r="101" spans="1:8">
      <c r="A101" s="500">
        <f t="shared" si="5"/>
        <v>82</v>
      </c>
      <c r="B101" s="514"/>
      <c r="C101" s="514"/>
      <c r="E101" s="514"/>
      <c r="F101" s="514"/>
      <c r="H101" s="506"/>
    </row>
    <row r="102" spans="1:8">
      <c r="A102" s="500">
        <f t="shared" si="5"/>
        <v>83</v>
      </c>
      <c r="B102" s="514"/>
      <c r="C102" s="514"/>
      <c r="E102" s="514"/>
      <c r="F102" s="514"/>
      <c r="H102" s="506"/>
    </row>
    <row r="103" spans="1:8" ht="13.5" thickBot="1">
      <c r="A103" s="500">
        <f>A102+1</f>
        <v>84</v>
      </c>
      <c r="B103" s="507" t="s">
        <v>612</v>
      </c>
      <c r="C103" s="520">
        <f>SUM(C85:C102)</f>
        <v>0</v>
      </c>
      <c r="E103" s="507" t="s">
        <v>613</v>
      </c>
      <c r="F103" s="520">
        <f>SUM(F85:F102)</f>
        <v>0</v>
      </c>
      <c r="H103" s="512">
        <f>AVERAGE(C103,F103)</f>
        <v>0</v>
      </c>
    </row>
    <row r="104" spans="1:8" ht="13.5" thickTop="1">
      <c r="C104" s="510"/>
      <c r="F104" s="521"/>
    </row>
    <row r="105" spans="1:8">
      <c r="A105" s="500">
        <f>A103+1</f>
        <v>85</v>
      </c>
      <c r="B105" s="503" t="s">
        <v>614</v>
      </c>
    </row>
    <row r="106" spans="1:8">
      <c r="H106" s="506"/>
    </row>
    <row r="107" spans="1:8">
      <c r="A107" s="500">
        <f>A105+1</f>
        <v>86</v>
      </c>
      <c r="B107" s="514"/>
      <c r="C107" s="522"/>
      <c r="E107" s="514"/>
      <c r="F107" s="522"/>
      <c r="H107" s="506"/>
    </row>
    <row r="108" spans="1:8">
      <c r="A108" s="500">
        <f t="shared" ref="A108:A121" si="6">A107+1</f>
        <v>87</v>
      </c>
      <c r="B108" s="505"/>
      <c r="C108" s="522"/>
      <c r="E108" s="505"/>
      <c r="F108" s="522"/>
      <c r="H108" s="506"/>
    </row>
    <row r="109" spans="1:8">
      <c r="A109" s="500">
        <f t="shared" si="6"/>
        <v>88</v>
      </c>
      <c r="B109" s="505"/>
      <c r="C109" s="522"/>
      <c r="E109" s="505"/>
      <c r="F109" s="522"/>
      <c r="H109" s="506"/>
    </row>
    <row r="110" spans="1:8">
      <c r="A110" s="500">
        <f t="shared" si="6"/>
        <v>89</v>
      </c>
      <c r="B110" s="514"/>
      <c r="C110" s="522"/>
      <c r="E110" s="514"/>
      <c r="F110" s="522"/>
      <c r="H110" s="506"/>
    </row>
    <row r="111" spans="1:8">
      <c r="A111" s="500">
        <f t="shared" si="6"/>
        <v>90</v>
      </c>
      <c r="B111" s="514"/>
      <c r="C111" s="514"/>
      <c r="E111" s="514"/>
      <c r="F111" s="514"/>
      <c r="H111" s="506"/>
    </row>
    <row r="112" spans="1:8">
      <c r="A112" s="500">
        <f t="shared" si="6"/>
        <v>91</v>
      </c>
      <c r="B112" s="514"/>
      <c r="C112" s="514"/>
      <c r="E112" s="514"/>
      <c r="F112" s="514"/>
      <c r="H112" s="506"/>
    </row>
    <row r="113" spans="1:8">
      <c r="A113" s="500">
        <f t="shared" si="6"/>
        <v>92</v>
      </c>
      <c r="B113" s="514"/>
      <c r="C113" s="514"/>
      <c r="E113" s="514"/>
      <c r="F113" s="514"/>
      <c r="H113" s="506"/>
    </row>
    <row r="114" spans="1:8">
      <c r="A114" s="500">
        <f t="shared" si="6"/>
        <v>93</v>
      </c>
      <c r="B114" s="514"/>
      <c r="C114" s="514"/>
      <c r="E114" s="514"/>
      <c r="F114" s="514"/>
      <c r="H114" s="506"/>
    </row>
    <row r="115" spans="1:8">
      <c r="A115" s="500">
        <f t="shared" si="6"/>
        <v>94</v>
      </c>
      <c r="B115" s="514"/>
      <c r="C115" s="514"/>
      <c r="E115" s="514"/>
      <c r="F115" s="514"/>
      <c r="H115" s="506"/>
    </row>
    <row r="116" spans="1:8">
      <c r="A116" s="500">
        <f t="shared" si="6"/>
        <v>95</v>
      </c>
      <c r="B116" s="514"/>
      <c r="C116" s="514"/>
      <c r="E116" s="514"/>
      <c r="F116" s="514"/>
      <c r="H116" s="506"/>
    </row>
    <row r="117" spans="1:8">
      <c r="A117" s="500">
        <f t="shared" si="6"/>
        <v>96</v>
      </c>
      <c r="B117" s="523"/>
      <c r="C117" s="514"/>
      <c r="E117" s="523"/>
      <c r="F117" s="514"/>
      <c r="H117" s="506"/>
    </row>
    <row r="118" spans="1:8">
      <c r="A118" s="500">
        <f t="shared" si="6"/>
        <v>97</v>
      </c>
      <c r="B118" s="514"/>
      <c r="C118" s="514"/>
      <c r="E118" s="514"/>
      <c r="F118" s="514"/>
      <c r="H118" s="506"/>
    </row>
    <row r="119" spans="1:8">
      <c r="A119" s="500">
        <f t="shared" si="6"/>
        <v>98</v>
      </c>
      <c r="B119" s="514"/>
      <c r="C119" s="514"/>
      <c r="E119" s="514"/>
      <c r="F119" s="514"/>
      <c r="H119" s="506"/>
    </row>
    <row r="120" spans="1:8">
      <c r="A120" s="500">
        <f t="shared" si="6"/>
        <v>99</v>
      </c>
      <c r="B120" s="514"/>
      <c r="C120" s="514"/>
      <c r="E120" s="514"/>
      <c r="F120" s="514"/>
      <c r="H120" s="506"/>
    </row>
    <row r="121" spans="1:8">
      <c r="A121" s="500">
        <f t="shared" si="6"/>
        <v>100</v>
      </c>
      <c r="B121" s="514"/>
      <c r="C121" s="514"/>
      <c r="E121" s="514"/>
      <c r="F121" s="514"/>
      <c r="H121" s="506"/>
    </row>
    <row r="122" spans="1:8" ht="13.5" thickBot="1">
      <c r="A122" s="500">
        <f>A121+1</f>
        <v>101</v>
      </c>
      <c r="C122" s="524">
        <f>SUM(C107:C121)</f>
        <v>0</v>
      </c>
      <c r="D122" s="510"/>
      <c r="E122" s="510"/>
      <c r="F122" s="524">
        <f>SUM(F107:F121)</f>
        <v>0</v>
      </c>
      <c r="G122" s="510"/>
      <c r="H122" s="508">
        <f>AVERAGE(C122,F122)</f>
        <v>0</v>
      </c>
    </row>
    <row r="123" spans="1:8" ht="13.5" thickTop="1">
      <c r="C123" s="510"/>
      <c r="D123" s="510"/>
      <c r="E123" s="510"/>
      <c r="F123" s="510"/>
      <c r="G123" s="510"/>
      <c r="H123" s="510"/>
    </row>
    <row r="124" spans="1:8">
      <c r="A124" s="500">
        <f>A122+1</f>
        <v>102</v>
      </c>
      <c r="B124" s="507" t="s">
        <v>615</v>
      </c>
      <c r="C124" s="517">
        <f>C122*0.343521539</f>
        <v>0</v>
      </c>
      <c r="D124" s="510"/>
      <c r="E124" s="525" t="s">
        <v>615</v>
      </c>
      <c r="F124" s="517">
        <f>F122*0.343521539</f>
        <v>0</v>
      </c>
      <c r="G124" s="510"/>
      <c r="H124" s="510">
        <f>AVERAGE(C124,F124)</f>
        <v>0</v>
      </c>
    </row>
    <row r="125" spans="1:8">
      <c r="C125" s="510"/>
      <c r="D125" s="510"/>
      <c r="E125" s="510"/>
      <c r="F125" s="510"/>
      <c r="G125" s="510"/>
      <c r="H125" s="510"/>
    </row>
    <row r="126" spans="1:8" ht="13.5" thickBot="1">
      <c r="A126" s="500">
        <f>A124+1</f>
        <v>103</v>
      </c>
      <c r="B126" s="507" t="s">
        <v>616</v>
      </c>
      <c r="C126" s="508">
        <f>C122+C124</f>
        <v>0</v>
      </c>
      <c r="D126" s="510"/>
      <c r="E126" s="525" t="s">
        <v>617</v>
      </c>
      <c r="F126" s="508">
        <f>F122+F124</f>
        <v>0</v>
      </c>
      <c r="G126" s="510"/>
      <c r="H126" s="508">
        <f>AVERAGE(C126,F126)</f>
        <v>0</v>
      </c>
    </row>
    <row r="127" spans="1:8" ht="13.5" thickTop="1">
      <c r="C127" s="521"/>
      <c r="F127" s="501">
        <v>0</v>
      </c>
    </row>
    <row r="130" spans="2:8">
      <c r="C130" s="506"/>
      <c r="F130" s="506"/>
    </row>
    <row r="131" spans="2:8">
      <c r="B131" s="627" t="s">
        <v>618</v>
      </c>
    </row>
    <row r="132" spans="2:8">
      <c r="B132" s="998" t="s">
        <v>885</v>
      </c>
      <c r="C132" s="998"/>
      <c r="D132" s="998"/>
      <c r="E132" s="998"/>
      <c r="F132" s="998"/>
      <c r="G132" s="998"/>
      <c r="H132" s="998"/>
    </row>
    <row r="133" spans="2:8">
      <c r="B133" s="998"/>
      <c r="C133" s="998"/>
      <c r="D133" s="998"/>
      <c r="E133" s="998"/>
      <c r="F133" s="998"/>
      <c r="G133" s="998"/>
      <c r="H133" s="998"/>
    </row>
    <row r="134" spans="2:8">
      <c r="B134" s="998"/>
      <c r="C134" s="998"/>
      <c r="D134" s="998"/>
      <c r="E134" s="998"/>
      <c r="F134" s="998"/>
      <c r="G134" s="998"/>
      <c r="H134" s="998"/>
    </row>
  </sheetData>
  <mergeCells count="10">
    <mergeCell ref="B132:H134"/>
    <mergeCell ref="B82:C82"/>
    <mergeCell ref="E82:F82"/>
    <mergeCell ref="A1:H1"/>
    <mergeCell ref="A3:H3"/>
    <mergeCell ref="B6:C6"/>
    <mergeCell ref="E6:F6"/>
    <mergeCell ref="B7:C7"/>
    <mergeCell ref="E7:F7"/>
    <mergeCell ref="C2:E2"/>
  </mergeCells>
  <pageMargins left="0.17" right="0.2" top="0.38" bottom="0.28999999999999998" header="0.3" footer="0.21"/>
  <pageSetup scale="60" fitToHeight="2" orientation="landscape" cellComments="asDisplayed" r:id="rId1"/>
  <rowBreaks count="1" manualBreakCount="1">
    <brk id="78" max="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36338-BDC4-4B9B-A816-9489267B23A1}">
  <dimension ref="A1:M129"/>
  <sheetViews>
    <sheetView zoomScale="60" zoomScaleNormal="60" zoomScaleSheetLayoutView="80" workbookViewId="0">
      <selection activeCell="Z42" sqref="Z42"/>
    </sheetView>
  </sheetViews>
  <sheetFormatPr defaultColWidth="8.77734375" defaultRowHeight="12.75" customHeight="1"/>
  <cols>
    <col min="1" max="1" width="8.77734375" style="664"/>
    <col min="2" max="2" width="9" style="664" customWidth="1"/>
    <col min="3" max="3" width="27.21875" style="664" customWidth="1"/>
    <col min="4" max="4" width="3.109375" style="664" customWidth="1"/>
    <col min="5" max="5" width="14.77734375" style="664" customWidth="1"/>
    <col min="6" max="6" width="15.21875" style="664" customWidth="1"/>
    <col min="7" max="8" width="13.77734375" style="664" customWidth="1"/>
    <col min="9" max="9" width="13.5546875" style="664" customWidth="1"/>
    <col min="10" max="10" width="16.5546875" style="664" customWidth="1"/>
    <col min="11" max="11" width="15.21875" style="664" customWidth="1"/>
    <col min="12" max="12" width="12.77734375" style="664" customWidth="1"/>
    <col min="13" max="13" width="15.21875" style="664" customWidth="1"/>
    <col min="14" max="16384" width="8.77734375" style="664"/>
  </cols>
  <sheetData>
    <row r="1" spans="1:13" ht="15.75">
      <c r="D1" s="991" t="s">
        <v>837</v>
      </c>
      <c r="E1" s="991"/>
      <c r="F1" s="991"/>
      <c r="G1" s="991"/>
      <c r="H1" s="991"/>
      <c r="I1" s="991"/>
      <c r="J1" s="991"/>
      <c r="K1" s="991"/>
      <c r="M1" s="665"/>
    </row>
    <row r="2" spans="1:13" ht="15.75">
      <c r="D2" s="992" t="s">
        <v>838</v>
      </c>
      <c r="E2" s="992"/>
      <c r="F2" s="992"/>
      <c r="G2" s="992"/>
      <c r="H2" s="992"/>
      <c r="I2" s="992"/>
      <c r="J2" s="992"/>
      <c r="K2" s="992"/>
      <c r="M2" s="665"/>
    </row>
    <row r="3" spans="1:13" ht="15.75">
      <c r="D3" s="993" t="str">
        <f>'Attachment H-39A'!D5</f>
        <v>Valley Link Transmission West Virginia, LLC</v>
      </c>
      <c r="E3" s="993"/>
      <c r="F3" s="993"/>
      <c r="G3" s="993"/>
      <c r="H3" s="993"/>
      <c r="I3" s="993"/>
      <c r="J3" s="993"/>
      <c r="K3" s="993"/>
      <c r="M3" s="665"/>
    </row>
    <row r="4" spans="1:13" ht="15.75">
      <c r="M4" s="665"/>
    </row>
    <row r="5" spans="1:13" ht="15.75">
      <c r="C5" s="666"/>
    </row>
    <row r="6" spans="1:13" ht="16.5" thickBot="1">
      <c r="C6" s="667" t="s">
        <v>57</v>
      </c>
      <c r="D6" s="668"/>
      <c r="E6" s="667" t="s">
        <v>58</v>
      </c>
      <c r="F6" s="667" t="s">
        <v>59</v>
      </c>
      <c r="G6" s="667" t="s">
        <v>60</v>
      </c>
      <c r="H6" s="667" t="s">
        <v>61</v>
      </c>
      <c r="I6" s="667" t="s">
        <v>62</v>
      </c>
      <c r="J6" s="667" t="s">
        <v>63</v>
      </c>
      <c r="K6" s="667" t="s">
        <v>64</v>
      </c>
      <c r="L6" s="667" t="s">
        <v>65</v>
      </c>
    </row>
    <row r="7" spans="1:13" ht="16.5" thickBot="1">
      <c r="A7" s="669" t="s">
        <v>8</v>
      </c>
      <c r="B7" s="669"/>
      <c r="C7" s="670"/>
      <c r="D7" s="671"/>
      <c r="E7" s="1012" t="s">
        <v>1036</v>
      </c>
      <c r="F7" s="1012"/>
      <c r="G7" s="1012"/>
      <c r="H7" s="1012"/>
      <c r="I7" s="1012"/>
      <c r="J7" s="1012"/>
      <c r="K7" s="1012"/>
      <c r="L7" s="1013"/>
    </row>
    <row r="8" spans="1:13" ht="15">
      <c r="C8" s="672"/>
      <c r="E8" s="673"/>
      <c r="F8" s="673"/>
      <c r="G8" s="673"/>
      <c r="H8" s="673"/>
      <c r="I8" s="673"/>
      <c r="J8" s="673"/>
      <c r="K8" s="673"/>
      <c r="L8" s="674"/>
    </row>
    <row r="9" spans="1:13" ht="30">
      <c r="C9" s="675" t="s">
        <v>784</v>
      </c>
      <c r="D9" s="676"/>
      <c r="E9" s="677" t="s">
        <v>785</v>
      </c>
      <c r="F9" s="678" t="s">
        <v>786</v>
      </c>
      <c r="G9" s="677" t="s">
        <v>787</v>
      </c>
      <c r="H9" s="678" t="s">
        <v>788</v>
      </c>
      <c r="I9" s="677" t="s">
        <v>789</v>
      </c>
      <c r="J9" s="678" t="s">
        <v>790</v>
      </c>
      <c r="K9" s="677" t="s">
        <v>791</v>
      </c>
      <c r="L9" s="679" t="s">
        <v>792</v>
      </c>
    </row>
    <row r="10" spans="1:13" ht="15.75">
      <c r="A10" s="680" t="s">
        <v>843</v>
      </c>
      <c r="B10" s="667" t="s">
        <v>793</v>
      </c>
      <c r="C10" s="681"/>
      <c r="D10" s="668"/>
      <c r="E10" s="682"/>
      <c r="F10" s="668">
        <f>SUM(C10:E10)</f>
        <v>0</v>
      </c>
      <c r="G10" s="682"/>
      <c r="H10" s="668">
        <f>SUM(F10:G10)</f>
        <v>0</v>
      </c>
      <c r="I10" s="682"/>
      <c r="J10" s="668">
        <f>SUM(H10:I10)</f>
        <v>0</v>
      </c>
      <c r="K10" s="682"/>
      <c r="L10" s="683">
        <f>SUM(J10:K10)</f>
        <v>0</v>
      </c>
    </row>
    <row r="11" spans="1:13" ht="15">
      <c r="C11" s="684"/>
      <c r="D11" s="668"/>
      <c r="E11" s="668"/>
      <c r="F11" s="668"/>
      <c r="G11" s="668"/>
      <c r="H11" s="668"/>
      <c r="I11" s="668"/>
      <c r="J11" s="668"/>
      <c r="K11" s="668"/>
      <c r="L11" s="683"/>
    </row>
    <row r="12" spans="1:13" ht="30">
      <c r="C12" s="685" t="str">
        <f>C9</f>
        <v>Beginning 190 (including adjustments)</v>
      </c>
      <c r="D12" s="668"/>
      <c r="E12" s="686" t="s">
        <v>794</v>
      </c>
      <c r="F12" s="668"/>
      <c r="G12" s="686" t="s">
        <v>795</v>
      </c>
      <c r="H12" s="668"/>
      <c r="I12" s="686" t="s">
        <v>796</v>
      </c>
      <c r="J12" s="668"/>
      <c r="K12" s="686" t="s">
        <v>797</v>
      </c>
      <c r="L12" s="683"/>
    </row>
    <row r="13" spans="1:13" ht="15.75">
      <c r="A13" s="680" t="s">
        <v>844</v>
      </c>
      <c r="B13" s="667" t="s">
        <v>793</v>
      </c>
      <c r="C13" s="687">
        <f>C10</f>
        <v>0</v>
      </c>
      <c r="D13" s="668"/>
      <c r="E13" s="686">
        <f>(276/365)*E10</f>
        <v>0</v>
      </c>
      <c r="F13" s="668"/>
      <c r="G13" s="686">
        <f>(185/365)*G10</f>
        <v>0</v>
      </c>
      <c r="H13" s="668"/>
      <c r="I13" s="686">
        <f>(93/365)*I10</f>
        <v>0</v>
      </c>
      <c r="J13" s="668"/>
      <c r="K13" s="686">
        <f>(1/365)*K10</f>
        <v>0</v>
      </c>
      <c r="L13" s="683"/>
      <c r="M13" s="688"/>
    </row>
    <row r="14" spans="1:13" ht="15.75">
      <c r="C14" s="687"/>
      <c r="D14" s="668"/>
      <c r="E14" s="686"/>
      <c r="F14" s="668"/>
      <c r="G14" s="686"/>
      <c r="H14" s="668"/>
      <c r="I14" s="686"/>
      <c r="J14" s="668"/>
      <c r="K14" s="686"/>
      <c r="L14" s="683"/>
      <c r="M14" s="688"/>
    </row>
    <row r="15" spans="1:13" ht="30">
      <c r="C15" s="685" t="s">
        <v>798</v>
      </c>
      <c r="D15" s="668"/>
      <c r="E15" s="677" t="s">
        <v>785</v>
      </c>
      <c r="F15" s="678" t="s">
        <v>786</v>
      </c>
      <c r="G15" s="677" t="s">
        <v>787</v>
      </c>
      <c r="H15" s="678" t="s">
        <v>788</v>
      </c>
      <c r="I15" s="677" t="s">
        <v>789</v>
      </c>
      <c r="J15" s="678" t="s">
        <v>790</v>
      </c>
      <c r="K15" s="677" t="s">
        <v>791</v>
      </c>
      <c r="L15" s="679" t="s">
        <v>792</v>
      </c>
      <c r="M15" s="688"/>
    </row>
    <row r="16" spans="1:13" ht="15.75">
      <c r="A16" s="680" t="s">
        <v>845</v>
      </c>
      <c r="B16" s="667" t="s">
        <v>793</v>
      </c>
      <c r="C16" s="681"/>
      <c r="D16" s="668"/>
      <c r="E16" s="682"/>
      <c r="F16" s="668">
        <f>SUM(C16:E16)</f>
        <v>0</v>
      </c>
      <c r="G16" s="682"/>
      <c r="H16" s="668">
        <f>SUM(F16:G16)</f>
        <v>0</v>
      </c>
      <c r="I16" s="682"/>
      <c r="J16" s="668">
        <f>SUM(H16:I16)</f>
        <v>0</v>
      </c>
      <c r="K16" s="682"/>
      <c r="L16" s="683">
        <f>SUM(J16:K16)</f>
        <v>0</v>
      </c>
      <c r="M16" s="688"/>
    </row>
    <row r="17" spans="1:13" ht="15.75">
      <c r="C17" s="684"/>
      <c r="D17" s="668"/>
      <c r="E17" s="668"/>
      <c r="F17" s="668"/>
      <c r="G17" s="668"/>
      <c r="H17" s="668"/>
      <c r="I17" s="668"/>
      <c r="J17" s="668"/>
      <c r="K17" s="668"/>
      <c r="L17" s="683"/>
      <c r="M17" s="688"/>
    </row>
    <row r="18" spans="1:13" ht="30">
      <c r="C18" s="685" t="str">
        <f>C15</f>
        <v xml:space="preserve">Beginning 282 (including adjustments) </v>
      </c>
      <c r="D18" s="668"/>
      <c r="E18" s="686" t="s">
        <v>794</v>
      </c>
      <c r="F18" s="668"/>
      <c r="G18" s="686" t="s">
        <v>795</v>
      </c>
      <c r="H18" s="668"/>
      <c r="I18" s="686" t="s">
        <v>796</v>
      </c>
      <c r="J18" s="668"/>
      <c r="K18" s="686" t="s">
        <v>797</v>
      </c>
      <c r="L18" s="683"/>
      <c r="M18" s="688"/>
    </row>
    <row r="19" spans="1:13" ht="15.75">
      <c r="A19" s="680" t="s">
        <v>846</v>
      </c>
      <c r="B19" s="667" t="s">
        <v>793</v>
      </c>
      <c r="C19" s="687">
        <f>C16</f>
        <v>0</v>
      </c>
      <c r="D19" s="668"/>
      <c r="E19" s="686">
        <f>(276/365)*E16</f>
        <v>0</v>
      </c>
      <c r="F19" s="668"/>
      <c r="G19" s="686">
        <f>(185/365)*G16</f>
        <v>0</v>
      </c>
      <c r="H19" s="668"/>
      <c r="I19" s="686">
        <f>(93/365)*I16</f>
        <v>0</v>
      </c>
      <c r="J19" s="668"/>
      <c r="K19" s="686">
        <f>(1/365)*K16</f>
        <v>0</v>
      </c>
      <c r="L19" s="683"/>
      <c r="M19" s="688"/>
    </row>
    <row r="20" spans="1:13" ht="15.75">
      <c r="C20" s="687"/>
      <c r="D20" s="668"/>
      <c r="E20" s="686"/>
      <c r="F20" s="668"/>
      <c r="G20" s="686"/>
      <c r="H20" s="668"/>
      <c r="I20" s="686"/>
      <c r="J20" s="668"/>
      <c r="K20" s="686"/>
      <c r="L20" s="683"/>
      <c r="M20" s="688"/>
    </row>
    <row r="21" spans="1:13" ht="30">
      <c r="C21" s="685" t="s">
        <v>799</v>
      </c>
      <c r="D21" s="668"/>
      <c r="E21" s="677" t="s">
        <v>785</v>
      </c>
      <c r="F21" s="678" t="s">
        <v>786</v>
      </c>
      <c r="G21" s="677" t="s">
        <v>787</v>
      </c>
      <c r="H21" s="678" t="s">
        <v>788</v>
      </c>
      <c r="I21" s="677" t="s">
        <v>789</v>
      </c>
      <c r="J21" s="678" t="s">
        <v>790</v>
      </c>
      <c r="K21" s="677" t="s">
        <v>791</v>
      </c>
      <c r="L21" s="679" t="s">
        <v>792</v>
      </c>
      <c r="M21" s="688"/>
    </row>
    <row r="22" spans="1:13" ht="15.75">
      <c r="A22" s="680" t="s">
        <v>118</v>
      </c>
      <c r="B22" s="667" t="s">
        <v>793</v>
      </c>
      <c r="C22" s="681"/>
      <c r="D22" s="668"/>
      <c r="E22" s="682"/>
      <c r="F22" s="668">
        <f>SUM(C22:E22)</f>
        <v>0</v>
      </c>
      <c r="G22" s="682"/>
      <c r="H22" s="668">
        <f>SUM(F22:G22)</f>
        <v>0</v>
      </c>
      <c r="I22" s="682"/>
      <c r="J22" s="668">
        <f>SUM(H22:I22)</f>
        <v>0</v>
      </c>
      <c r="K22" s="682"/>
      <c r="L22" s="683">
        <f>SUM(J22:K22)</f>
        <v>0</v>
      </c>
      <c r="M22" s="688"/>
    </row>
    <row r="23" spans="1:13" ht="15.75">
      <c r="C23" s="684"/>
      <c r="D23" s="668"/>
      <c r="E23" s="668"/>
      <c r="F23" s="668"/>
      <c r="G23" s="668"/>
      <c r="H23" s="668"/>
      <c r="I23" s="668"/>
      <c r="J23" s="668"/>
      <c r="K23" s="668"/>
      <c r="L23" s="683"/>
      <c r="M23" s="688"/>
    </row>
    <row r="24" spans="1:13" ht="30.6" customHeight="1">
      <c r="B24" s="689"/>
      <c r="C24" s="685" t="str">
        <f>C21</f>
        <v xml:space="preserve">Beginning 283 (Including adjustments) </v>
      </c>
      <c r="D24" s="668"/>
      <c r="E24" s="686" t="s">
        <v>794</v>
      </c>
      <c r="F24" s="668"/>
      <c r="G24" s="686" t="s">
        <v>795</v>
      </c>
      <c r="H24" s="668"/>
      <c r="I24" s="686" t="s">
        <v>796</v>
      </c>
      <c r="J24" s="668"/>
      <c r="K24" s="686" t="s">
        <v>797</v>
      </c>
      <c r="L24" s="683"/>
      <c r="M24" s="688"/>
    </row>
    <row r="25" spans="1:13" ht="16.5" thickBot="1">
      <c r="A25" s="680" t="s">
        <v>119</v>
      </c>
      <c r="B25" s="667" t="s">
        <v>793</v>
      </c>
      <c r="C25" s="690">
        <f>C22</f>
        <v>0</v>
      </c>
      <c r="D25" s="691"/>
      <c r="E25" s="692">
        <f>(276/365)*E22</f>
        <v>0</v>
      </c>
      <c r="F25" s="691"/>
      <c r="G25" s="692">
        <f>(185/365)*G22</f>
        <v>0</v>
      </c>
      <c r="H25" s="691"/>
      <c r="I25" s="692">
        <f>(93/365)*I22</f>
        <v>0</v>
      </c>
      <c r="J25" s="691"/>
      <c r="K25" s="692">
        <f>(1/365)*K22</f>
        <v>0</v>
      </c>
      <c r="L25" s="693"/>
      <c r="M25" s="688"/>
    </row>
    <row r="26" spans="1:13" ht="15"/>
    <row r="27" spans="1:13" ht="15.75">
      <c r="C27" s="694"/>
      <c r="E27" s="695"/>
      <c r="G27" s="695"/>
      <c r="I27" s="695"/>
      <c r="K27" s="695"/>
    </row>
    <row r="28" spans="1:13" ht="15.75">
      <c r="C28" s="686"/>
      <c r="D28" s="668"/>
      <c r="E28" s="686"/>
      <c r="F28" s="668"/>
      <c r="G28" s="686"/>
      <c r="H28" s="668"/>
      <c r="I28" s="686"/>
      <c r="J28" s="668"/>
      <c r="K28" s="686"/>
      <c r="L28" s="668"/>
    </row>
    <row r="29" spans="1:13" ht="15"/>
    <row r="30" spans="1:13" ht="15">
      <c r="E30" s="668"/>
      <c r="G30" s="668"/>
      <c r="I30" s="668"/>
      <c r="K30" s="668"/>
      <c r="L30" s="668"/>
    </row>
    <row r="31" spans="1:13" ht="15"/>
    <row r="32" spans="1:13" ht="15.75">
      <c r="E32" s="696"/>
      <c r="M32" s="665"/>
    </row>
    <row r="33" spans="1:13" ht="15.75">
      <c r="E33" s="696"/>
      <c r="M33" s="665"/>
    </row>
    <row r="34" spans="1:13" ht="15.75">
      <c r="E34" s="696"/>
      <c r="G34" s="1014" t="s">
        <v>1037</v>
      </c>
      <c r="H34" s="1015"/>
      <c r="M34" s="665"/>
    </row>
    <row r="35" spans="1:13" ht="15"/>
    <row r="36" spans="1:13" ht="15.75">
      <c r="E36" s="667" t="s">
        <v>66</v>
      </c>
      <c r="F36" s="667" t="s">
        <v>94</v>
      </c>
      <c r="G36" s="667" t="s">
        <v>800</v>
      </c>
      <c r="H36" s="667" t="s">
        <v>109</v>
      </c>
      <c r="I36" s="667" t="s">
        <v>366</v>
      </c>
      <c r="J36" s="667" t="s">
        <v>371</v>
      </c>
      <c r="K36" s="667" t="s">
        <v>111</v>
      </c>
      <c r="L36" s="667"/>
      <c r="M36" s="667"/>
    </row>
    <row r="37" spans="1:13" ht="43.15" customHeight="1">
      <c r="E37" s="667"/>
      <c r="F37" s="677" t="s">
        <v>801</v>
      </c>
      <c r="G37" s="677" t="s">
        <v>802</v>
      </c>
      <c r="H37" s="667" t="s">
        <v>803</v>
      </c>
      <c r="I37" s="667"/>
      <c r="J37" s="667" t="s">
        <v>804</v>
      </c>
      <c r="K37" s="677" t="s">
        <v>805</v>
      </c>
      <c r="L37" s="667"/>
      <c r="M37" s="667"/>
    </row>
    <row r="38" spans="1:13" ht="61.5" customHeight="1">
      <c r="A38" s="669" t="s">
        <v>8</v>
      </c>
      <c r="B38" s="669"/>
      <c r="C38" s="697" t="s">
        <v>806</v>
      </c>
      <c r="E38" s="698" t="s">
        <v>807</v>
      </c>
      <c r="F38" s="699" t="s">
        <v>808</v>
      </c>
      <c r="G38" s="700" t="s">
        <v>809</v>
      </c>
      <c r="H38" s="700" t="s">
        <v>810</v>
      </c>
      <c r="I38" s="700" t="s">
        <v>811</v>
      </c>
      <c r="J38" s="700" t="s">
        <v>812</v>
      </c>
      <c r="K38" s="700" t="s">
        <v>813</v>
      </c>
    </row>
    <row r="39" spans="1:13" ht="15"/>
    <row r="40" spans="1:13" ht="15.75">
      <c r="A40" s="680" t="s">
        <v>122</v>
      </c>
      <c r="B40" s="701" t="s">
        <v>793</v>
      </c>
      <c r="C40" s="702" t="s">
        <v>814</v>
      </c>
      <c r="E40" s="703">
        <v>0</v>
      </c>
      <c r="F40" s="668">
        <f>E10+G10+I10+K10</f>
        <v>0</v>
      </c>
      <c r="G40" s="668">
        <f>(C13+E13+G13+I13+K13)</f>
        <v>0</v>
      </c>
      <c r="H40" s="704">
        <f>E40-G40</f>
        <v>0</v>
      </c>
      <c r="I40" s="703">
        <v>0</v>
      </c>
      <c r="J40" s="705">
        <f>H40-I40</f>
        <v>0</v>
      </c>
      <c r="K40" s="705">
        <f>E40-I40-J40</f>
        <v>0</v>
      </c>
    </row>
    <row r="41" spans="1:13" ht="15.75">
      <c r="H41" s="704"/>
      <c r="I41" s="706"/>
      <c r="J41" s="704"/>
      <c r="K41" s="704"/>
    </row>
    <row r="42" spans="1:13" ht="15.75">
      <c r="A42" s="680" t="s">
        <v>124</v>
      </c>
      <c r="B42" s="701" t="s">
        <v>793</v>
      </c>
      <c r="C42" s="702" t="s">
        <v>815</v>
      </c>
      <c r="E42" s="703">
        <v>0</v>
      </c>
      <c r="F42" s="668">
        <f>E16+G16+I16+K16</f>
        <v>0</v>
      </c>
      <c r="G42" s="668">
        <f>(C19+E19+G19+I19+K19)</f>
        <v>0</v>
      </c>
      <c r="H42" s="704">
        <f>E42-G42</f>
        <v>0</v>
      </c>
      <c r="I42" s="703">
        <v>0</v>
      </c>
      <c r="J42" s="705">
        <f>H42-I42</f>
        <v>0</v>
      </c>
      <c r="K42" s="705">
        <f>-E42+I42+J42</f>
        <v>0</v>
      </c>
    </row>
    <row r="43" spans="1:13" ht="15.75">
      <c r="A43" s="701"/>
      <c r="B43" s="701"/>
      <c r="H43" s="704"/>
      <c r="I43" s="706"/>
      <c r="J43" s="704"/>
      <c r="K43" s="704"/>
    </row>
    <row r="44" spans="1:13" ht="15.75">
      <c r="A44" s="680" t="s">
        <v>127</v>
      </c>
      <c r="B44" s="701" t="s">
        <v>793</v>
      </c>
      <c r="C44" s="702" t="s">
        <v>816</v>
      </c>
      <c r="E44" s="703">
        <v>0</v>
      </c>
      <c r="F44" s="668">
        <f>E22+G22+I22+K22</f>
        <v>0</v>
      </c>
      <c r="G44" s="668">
        <f>(C25+E25+G25+I25+K25)</f>
        <v>0</v>
      </c>
      <c r="H44" s="704">
        <f>E44-G44</f>
        <v>0</v>
      </c>
      <c r="I44" s="703">
        <v>0</v>
      </c>
      <c r="J44" s="705">
        <f>H44-I44</f>
        <v>0</v>
      </c>
      <c r="K44" s="705">
        <f>-E44+I44+J44</f>
        <v>0</v>
      </c>
    </row>
    <row r="45" spans="1:13" ht="15.75">
      <c r="A45" s="701"/>
      <c r="B45" s="701"/>
      <c r="H45" s="704"/>
      <c r="I45" s="706"/>
      <c r="J45" s="704"/>
      <c r="K45" s="704"/>
    </row>
    <row r="46" spans="1:13" ht="15.75">
      <c r="A46" s="680" t="s">
        <v>130</v>
      </c>
      <c r="B46" s="701" t="s">
        <v>793</v>
      </c>
      <c r="C46" s="702" t="s">
        <v>817</v>
      </c>
      <c r="E46" s="704">
        <f>E40-E42-E44</f>
        <v>0</v>
      </c>
      <c r="F46" s="704">
        <f>F40-F42-F44</f>
        <v>0</v>
      </c>
      <c r="G46" s="704">
        <f>G40-G42-G44</f>
        <v>0</v>
      </c>
      <c r="H46" s="704">
        <f>H40-H42-H44</f>
        <v>0</v>
      </c>
      <c r="I46" s="704">
        <f>I40+I42+I44</f>
        <v>0</v>
      </c>
      <c r="J46" s="704">
        <f>J40+J42+J44</f>
        <v>0</v>
      </c>
      <c r="K46" s="704">
        <f>K40+K42+K44</f>
        <v>0</v>
      </c>
    </row>
    <row r="47" spans="1:13" ht="15.75">
      <c r="A47" s="701"/>
      <c r="B47" s="701"/>
      <c r="E47" s="707"/>
      <c r="F47" s="707"/>
      <c r="G47" s="707"/>
    </row>
    <row r="48" spans="1:13" ht="15.75">
      <c r="A48" s="701"/>
      <c r="B48" s="701"/>
      <c r="E48" s="707"/>
      <c r="F48" s="707"/>
      <c r="G48" s="707"/>
      <c r="I48" s="708"/>
      <c r="J48" s="708"/>
      <c r="K48" s="708"/>
    </row>
    <row r="49" spans="1:13" ht="15.75">
      <c r="A49" s="701"/>
      <c r="B49" s="701"/>
      <c r="E49" s="707"/>
      <c r="F49" s="707"/>
      <c r="G49" s="707"/>
      <c r="I49" s="708"/>
      <c r="J49" s="708"/>
      <c r="K49" s="708"/>
    </row>
    <row r="50" spans="1:13" ht="15.75">
      <c r="A50" s="701"/>
      <c r="B50" s="701"/>
      <c r="E50" s="707"/>
      <c r="F50" s="707"/>
      <c r="G50" s="707"/>
      <c r="I50" s="708"/>
      <c r="J50" s="708"/>
      <c r="K50" s="708"/>
      <c r="M50" s="704"/>
    </row>
    <row r="51" spans="1:13" ht="15.75">
      <c r="A51" s="701"/>
      <c r="B51" s="709" t="s">
        <v>818</v>
      </c>
      <c r="E51" s="707"/>
      <c r="F51" s="707"/>
      <c r="G51" s="707"/>
      <c r="I51" s="708"/>
      <c r="J51" s="708"/>
      <c r="K51" s="708"/>
    </row>
    <row r="52" spans="1:13" ht="15.75">
      <c r="A52" s="701"/>
      <c r="B52" s="1011" t="s">
        <v>841</v>
      </c>
      <c r="C52" s="1011"/>
      <c r="D52" s="1011"/>
      <c r="E52" s="1011"/>
      <c r="F52" s="1011"/>
      <c r="G52" s="1011"/>
      <c r="I52" s="708"/>
      <c r="J52" s="708"/>
      <c r="K52" s="708"/>
    </row>
    <row r="53" spans="1:13" ht="15.75">
      <c r="A53" s="701"/>
      <c r="B53" s="702" t="s">
        <v>819</v>
      </c>
      <c r="C53" s="702"/>
      <c r="D53" s="702"/>
      <c r="E53" s="702"/>
      <c r="F53" s="702"/>
      <c r="G53" s="702"/>
      <c r="I53" s="708"/>
      <c r="J53" s="708"/>
      <c r="K53" s="708"/>
    </row>
    <row r="54" spans="1:13" ht="15">
      <c r="A54" s="701"/>
    </row>
    <row r="55" spans="1:13" ht="15">
      <c r="A55" s="701"/>
    </row>
    <row r="56" spans="1:13" ht="15">
      <c r="A56" s="701"/>
    </row>
    <row r="57" spans="1:13" ht="15"/>
    <row r="58" spans="1:13" ht="15"/>
    <row r="59" spans="1:13" ht="15"/>
    <row r="60" spans="1:13" ht="15"/>
    <row r="61" spans="1:13" ht="15"/>
    <row r="62" spans="1:13" ht="15"/>
    <row r="63" spans="1:13" ht="15"/>
    <row r="64" spans="1:13" ht="15"/>
    <row r="65" ht="15"/>
    <row r="66" ht="15"/>
    <row r="67" ht="15"/>
    <row r="68" ht="15"/>
    <row r="69" ht="15"/>
    <row r="70" ht="15"/>
    <row r="71" ht="15"/>
    <row r="72" ht="15"/>
    <row r="73" ht="15"/>
    <row r="74" ht="15"/>
    <row r="75" ht="15"/>
    <row r="76" ht="15"/>
    <row r="77" ht="15"/>
    <row r="78" ht="15"/>
    <row r="79" ht="15"/>
    <row r="80" ht="15"/>
    <row r="81" ht="15"/>
    <row r="82" ht="15"/>
    <row r="83" ht="15"/>
    <row r="84" ht="15"/>
    <row r="85" ht="15"/>
    <row r="86" ht="15"/>
    <row r="87" ht="15"/>
    <row r="88" ht="15"/>
    <row r="89" ht="15"/>
    <row r="90" ht="15"/>
    <row r="91" ht="15"/>
    <row r="92" ht="15"/>
    <row r="93" ht="15"/>
    <row r="94" ht="15"/>
    <row r="95" ht="15"/>
    <row r="96" ht="15"/>
    <row r="97" ht="15"/>
    <row r="98" ht="15"/>
    <row r="99" ht="15"/>
    <row r="100" ht="15"/>
    <row r="101" ht="15"/>
    <row r="102" ht="15"/>
    <row r="103" ht="15"/>
    <row r="104" ht="15"/>
    <row r="105" ht="15"/>
    <row r="106" ht="15"/>
    <row r="107" ht="15"/>
    <row r="108" ht="15"/>
    <row r="109" ht="15"/>
    <row r="110" ht="15"/>
    <row r="111" ht="15"/>
    <row r="112" ht="15"/>
    <row r="113" ht="15"/>
    <row r="114" ht="15"/>
    <row r="115" ht="15"/>
    <row r="116" ht="15"/>
    <row r="117" ht="15"/>
    <row r="118" ht="15"/>
    <row r="119" ht="15"/>
    <row r="120" ht="15"/>
    <row r="121" ht="15"/>
    <row r="122" ht="15"/>
    <row r="123" ht="15"/>
    <row r="124" ht="15"/>
    <row r="125" ht="15"/>
    <row r="126" ht="15"/>
    <row r="127" ht="15"/>
    <row r="128" ht="15"/>
    <row r="129" ht="15"/>
  </sheetData>
  <mergeCells count="6">
    <mergeCell ref="B52:G52"/>
    <mergeCell ref="D1:K1"/>
    <mergeCell ref="D2:K2"/>
    <mergeCell ref="D3:K3"/>
    <mergeCell ref="E7:L7"/>
    <mergeCell ref="G34:H34"/>
  </mergeCells>
  <pageMargins left="0.7" right="0.7" top="0.75" bottom="0.75" header="0.3" footer="0.3"/>
  <pageSetup scale="57" fitToHeight="12" orientation="landscape" r:id="rId1"/>
  <rowBreaks count="2" manualBreakCount="2">
    <brk id="29" max="12" man="1"/>
    <brk id="66" max="1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wvc2lzbD48VXNlck5hbWU+Q09SUFxzMzQ5MDE2PC9Vc2VyTmFtZT48RGF0ZVRpbWU+OC8yNi8yMDI1IDEyOjE4OjAzIFBNPC9EYXRlVGltZT48TGFiZWxTdHJpbmc+QUVQIEludGVybmFsPC9MYWJlbFN0cmluZz48L2l0ZW0+PC9sYWJlbEhpc3Rvcnk+</Value>
</WrappedLabelHistory>
</file>

<file path=customXml/item2.xml><?xml version="1.0" encoding="utf-8"?>
<ct:contentTypeSchema xmlns:ct="http://schemas.microsoft.com/office/2006/metadata/contentType" xmlns:ma="http://schemas.microsoft.com/office/2006/metadata/properties/metaAttributes" ct:_="" ma:_="" ma:contentTypeName="Document" ma:contentTypeID="0x0101002649C77599AAFD4B8FFD850D55630F3C" ma:contentTypeVersion="11" ma:contentTypeDescription="Create a new document." ma:contentTypeScope="" ma:versionID="ad751a9f435e1866f9f8a73a34278f13">
  <xsd:schema xmlns:xsd="http://www.w3.org/2001/XMLSchema" xmlns:xs="http://www.w3.org/2001/XMLSchema" xmlns:p="http://schemas.microsoft.com/office/2006/metadata/properties" xmlns:ns2="6a06342d-ce85-4729-8251-347f0ba4f840" xmlns:ns3="b6888f76-1100-40b0-929b-1efe9044426d" targetNamespace="http://schemas.microsoft.com/office/2006/metadata/properties" ma:root="true" ma:fieldsID="e425485e64401a05f4c6dac9240526dc" ns2:_="" ns3:_="">
    <xsd:import namespace="6a06342d-ce85-4729-8251-347f0ba4f840"/>
    <xsd:import namespace="b6888f76-1100-40b0-929b-1efe9044426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06342d-ce85-4729-8251-347f0ba4f8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efa54f2-5b03-49c6-9483-51c08a9736b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888f76-1100-40b0-929b-1efe9044426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b0cac33-65cc-488e-b290-aff2b08f7242}" ma:internalName="TaxCatchAll" ma:showField="CatchAllData" ma:web="b6888f76-1100-40b0-929b-1efe904442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6a06342d-ce85-4729-8251-347f0ba4f840">
      <Terms xmlns="http://schemas.microsoft.com/office/infopath/2007/PartnerControls"/>
    </lcf76f155ced4ddcb4097134ff3c332f>
    <TaxCatchAll xmlns="b6888f76-1100-40b0-929b-1efe9044426d" xsi:nil="true"/>
  </documentManagement>
</p:properties>
</file>

<file path=customXml/item5.xml><?xml version="1.0" encoding="utf-8"?>
<sisl xmlns:xsd="http://www.w3.org/2001/XMLSchema" xmlns:xsi="http://www.w3.org/2001/XMLSchema-instance" xmlns="http://www.boldonjames.com/2008/01/sie/internal/label" sislVersion="0" policy="e9c0b8d7-bdb4-4fd3-b62a-f50327aaefce" origin="userSelected">
  <element uid="50c31824-0780-4910-87d1-eaaffd182d42" value=""/>
</sisl>
</file>

<file path=customXml/itemProps1.xml><?xml version="1.0" encoding="utf-8"?>
<ds:datastoreItem xmlns:ds="http://schemas.openxmlformats.org/officeDocument/2006/customXml" ds:itemID="{51059235-9DD8-4BE0-A613-A27CAD5CDC88}">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2DFF97C3-7DE9-42EA-BDBF-DDA7FB2FF2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06342d-ce85-4729-8251-347f0ba4f840"/>
    <ds:schemaRef ds:uri="b6888f76-1100-40b0-929b-1efe904442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40855A2-1BB1-4274-80FB-A3FACDAA1643}">
  <ds:schemaRefs>
    <ds:schemaRef ds:uri="http://schemas.microsoft.com/sharepoint/v3/contenttype/forms"/>
  </ds:schemaRefs>
</ds:datastoreItem>
</file>

<file path=customXml/itemProps4.xml><?xml version="1.0" encoding="utf-8"?>
<ds:datastoreItem xmlns:ds="http://schemas.openxmlformats.org/officeDocument/2006/customXml" ds:itemID="{02634DD1-BA76-484A-B04B-B1EFBD092F8A}">
  <ds:schemaRefs>
    <ds:schemaRef ds:uri="b6888f76-1100-40b0-929b-1efe9044426d"/>
    <ds:schemaRef ds:uri="http://purl.org/dc/elements/1.1/"/>
    <ds:schemaRef ds:uri="http://purl.org/dc/dcmitype/"/>
    <ds:schemaRef ds:uri="http://schemas.microsoft.com/office/2006/metadata/properties"/>
    <ds:schemaRef ds:uri="http://schemas.openxmlformats.org/package/2006/metadata/core-properties"/>
    <ds:schemaRef ds:uri="http://purl.org/dc/terms/"/>
    <ds:schemaRef ds:uri="http://schemas.microsoft.com/office/2006/documentManagement/types"/>
    <ds:schemaRef ds:uri="http://www.w3.org/XML/1998/namespace"/>
    <ds:schemaRef ds:uri="http://schemas.microsoft.com/office/infopath/2007/PartnerControls"/>
    <ds:schemaRef ds:uri="6a06342d-ce85-4729-8251-347f0ba4f840"/>
  </ds:schemaRefs>
</ds:datastoreItem>
</file>

<file path=customXml/itemProps5.xml><?xml version="1.0" encoding="utf-8"?>
<ds:datastoreItem xmlns:ds="http://schemas.openxmlformats.org/officeDocument/2006/customXml" ds:itemID="{E0DE35A0-4D37-46B9-941B-BCF11B240A59}">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20</vt:i4>
      </vt:variant>
    </vt:vector>
  </HeadingPairs>
  <TitlesOfParts>
    <vt:vector size="41" baseType="lpstr">
      <vt:lpstr>Attachment H-39A</vt:lpstr>
      <vt:lpstr>1-Project Rev Req</vt:lpstr>
      <vt:lpstr>2-Incentive ROE</vt:lpstr>
      <vt:lpstr>3-Project True-up</vt:lpstr>
      <vt:lpstr>3a- PJM Billings (PTRR)</vt:lpstr>
      <vt:lpstr>4- Rate Base</vt:lpstr>
      <vt:lpstr>4a - ADIT Average Balances</vt:lpstr>
      <vt:lpstr>4b - ADIT Beginning Ending</vt:lpstr>
      <vt:lpstr>4c- ADIT PTRR Proration</vt:lpstr>
      <vt:lpstr>4d- ADIT ATRR Proration</vt:lpstr>
      <vt:lpstr>4e - ADIT Amortization</vt:lpstr>
      <vt:lpstr>4f - Tax Remeasurement</vt:lpstr>
      <vt:lpstr>5- Cap Structure</vt:lpstr>
      <vt:lpstr>5a- Debt Cost</vt:lpstr>
      <vt:lpstr>6 - True-Up Interest</vt:lpstr>
      <vt:lpstr>6a - True-up Interest Rate</vt:lpstr>
      <vt:lpstr>7 - Stated-Value Inputs</vt:lpstr>
      <vt:lpstr>8-Corrections</vt:lpstr>
      <vt:lpstr>9 - Revenue Credits</vt:lpstr>
      <vt:lpstr>10 - Reg Asset </vt:lpstr>
      <vt:lpstr>11 - Abandoned Plant</vt:lpstr>
      <vt:lpstr>'10 - Reg Asset '!Print_Area</vt:lpstr>
      <vt:lpstr>'11 - Abandoned Plant'!Print_Area</vt:lpstr>
      <vt:lpstr>'1-Project Rev Req'!Print_Area</vt:lpstr>
      <vt:lpstr>'2-Incentive ROE'!Print_Area</vt:lpstr>
      <vt:lpstr>'3a- PJM Billings (PTRR)'!Print_Area</vt:lpstr>
      <vt:lpstr>'3-Project True-up'!Print_Area</vt:lpstr>
      <vt:lpstr>'4- Rate Base'!Print_Area</vt:lpstr>
      <vt:lpstr>'4a - ADIT Average Balances'!Print_Area</vt:lpstr>
      <vt:lpstr>'4b - ADIT Beginning Ending'!Print_Area</vt:lpstr>
      <vt:lpstr>'4c- ADIT PTRR Proration'!Print_Area</vt:lpstr>
      <vt:lpstr>'4d- ADIT ATRR Proration'!Print_Area</vt:lpstr>
      <vt:lpstr>'4e - ADIT Amortization'!Print_Area</vt:lpstr>
      <vt:lpstr>'4f - Tax Remeasurement'!Print_Area</vt:lpstr>
      <vt:lpstr>'5- Cap Structure'!Print_Area</vt:lpstr>
      <vt:lpstr>'5a- Debt Cost'!Print_Area</vt:lpstr>
      <vt:lpstr>'6a - True-up Interest Rate'!Print_Area</vt:lpstr>
      <vt:lpstr>'7 - Stated-Value Inputs'!Print_Area</vt:lpstr>
      <vt:lpstr>'8-Corrections'!Print_Area</vt:lpstr>
      <vt:lpstr>'9 - Revenue Credits'!Print_Area</vt:lpstr>
      <vt:lpstr>'Attachment H-39A'!Print_Area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J Koziol</dc:creator>
  <cp:lastModifiedBy>Mark J Koziol</cp:lastModifiedBy>
  <cp:lastPrinted>2025-10-31T17:46:46Z</cp:lastPrinted>
  <dcterms:created xsi:type="dcterms:W3CDTF">1900-01-01T05:00:00Z</dcterms:created>
  <dcterms:modified xsi:type="dcterms:W3CDTF">2025-10-31T18:00:49Z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9f43042-6bda-44b2-91eb-eca3d3d484f4_SiteId">
    <vt:lpwstr>15f3c881-6b03-4ff6-8559-77bf5177818f</vt:lpwstr>
  </property>
  <property fmtid="{D5CDD505-2E9C-101B-9397-08002B2CF9AE}" pid="3" name="MSIP_Label_69f43042-6bda-44b2-91eb-eca3d3d484f4_Name">
    <vt:lpwstr>AEP Internal</vt:lpwstr>
  </property>
  <property fmtid="{D5CDD505-2E9C-101B-9397-08002B2CF9AE}" pid="4" name="MSIP_Label_69f43042-6bda-44b2-91eb-eca3d3d484f4_Enabled">
    <vt:lpwstr>true</vt:lpwstr>
  </property>
  <property fmtid="{D5CDD505-2E9C-101B-9397-08002B2CF9AE}" pid="5" name="ContentTypeId">
    <vt:lpwstr>0x0101002649C77599AAFD4B8FFD850D55630F3C</vt:lpwstr>
  </property>
  <property fmtid="{D5CDD505-2E9C-101B-9397-08002B2CF9AE}" pid="6" name="docIndexRef">
    <vt:lpwstr>87eeb11f-f311-449d-a2a2-74572ea90b3b</vt:lpwstr>
  </property>
  <property fmtid="{D5CDD505-2E9C-101B-9397-08002B2CF9AE}" pid="7" name="bjDocumentLabelXML">
    <vt:lpwstr>&lt;?xml version="1.0" encoding="us-ascii"?&gt;&lt;sisl xmlns:xsd="http://www.w3.org/2001/XMLSchema" xmlns:xsi="http://www.w3.org/2001/XMLSchema-instance" sislVersion="0" policy="e9c0b8d7-bdb4-4fd3-b62a-f50327aaefce" origin="userSelected" xmlns="http://www.boldonj</vt:lpwstr>
  </property>
  <property fmtid="{D5CDD505-2E9C-101B-9397-08002B2CF9AE}" pid="8" name="bjDocumentLabelXML-0">
    <vt:lpwstr>ames.com/2008/01/sie/internal/label"&gt;&lt;element uid="50c31824-0780-4910-87d1-eaaffd182d42" value="" /&gt;&lt;/sisl&gt;</vt:lpwstr>
  </property>
  <property fmtid="{D5CDD505-2E9C-101B-9397-08002B2CF9AE}" pid="9" name="bjDocumentSecurityLabel">
    <vt:lpwstr>AEP Internal</vt:lpwstr>
  </property>
  <property fmtid="{D5CDD505-2E9C-101B-9397-08002B2CF9AE}" pid="10" name="bjSaver">
    <vt:lpwstr>VPN3W/kR3oNMB0Ylsr2e5CZWXC8o9nB7</vt:lpwstr>
  </property>
  <property fmtid="{D5CDD505-2E9C-101B-9397-08002B2CF9AE}" pid="11" name="bjClsUserRVM">
    <vt:lpwstr>[]</vt:lpwstr>
  </property>
  <property fmtid="{D5CDD505-2E9C-101B-9397-08002B2CF9AE}" pid="12" name="bjLabelHistoryID">
    <vt:lpwstr>{51059235-9DD8-4BE0-A613-A27CAD5CDC88}</vt:lpwstr>
  </property>
</Properties>
</file>