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defaultThemeVersion="124226"/>
  <mc:AlternateContent xmlns:mc="http://schemas.openxmlformats.org/markup-compatibility/2006">
    <mc:Choice Requires="x15">
      <x15ac:absPath xmlns:x15ac="http://schemas.microsoft.com/office/spreadsheetml/2010/11/ac" url="https://aescloud.sharepoint.com/sites/DPLTransmissionFiling/Shared Documents/General/Filings/2027 Projected ATRR/Interest rate corrections 2023-2025/"/>
    </mc:Choice>
  </mc:AlternateContent>
  <xr:revisionPtr revIDLastSave="34" documentId="8_{F0648EB4-47A2-4AF5-BBCF-3E596E10847C}" xr6:coauthVersionLast="47" xr6:coauthVersionMax="47" xr10:uidLastSave="{58B2E1A4-6E2A-40D3-A61B-6D80DD7D76FD}"/>
  <bookViews>
    <workbookView xWindow="-28920" yWindow="-705" windowWidth="29040" windowHeight="15720" tabRatio="900" firstSheet="3" activeTab="10" xr2:uid="{00000000-000D-0000-FFFF-FFFF00000000}"/>
  </bookViews>
  <sheets>
    <sheet name="Appendix A" sheetId="1" r:id="rId1"/>
    <sheet name="1A - ADIT Current Year" sheetId="2" r:id="rId2"/>
    <sheet name="1B - ADIT Proration" sheetId="42" r:id="rId3"/>
    <sheet name="1C - ADIT Prior Year" sheetId="14" r:id="rId4"/>
    <sheet name="1D - ADIT True-up" sheetId="52" r:id="rId5"/>
    <sheet name="1E - ADIT True-Up Proration" sheetId="44" r:id="rId6"/>
    <sheet name="2 - Other Taxes" sheetId="4" r:id="rId7"/>
    <sheet name="3 - Revenue Credits" sheetId="5" r:id="rId8"/>
    <sheet name="4 - Cost Support" sheetId="7" r:id="rId9"/>
    <sheet name="5 - CWIP in Rate Base" sheetId="41" r:id="rId10"/>
    <sheet name="6A - NITS True-Up " sheetId="8" r:id="rId11"/>
    <sheet name="6B - Schedule 12 True-Up" sheetId="49" r:id="rId12"/>
    <sheet name="7A - Project ROE Adder" sheetId="46" r:id="rId13"/>
    <sheet name="7B - Schedule 12 Projects" sheetId="47" r:id="rId14"/>
    <sheet name="8 - Depreciations Rates" sheetId="38" r:id="rId15"/>
    <sheet name="9 - Excess ADIT" sheetId="40" r:id="rId16"/>
    <sheet name="10 - Misc. Liabilities" sheetId="45" r:id="rId17"/>
    <sheet name="11 - Corrections" sheetId="48" r:id="rId18"/>
    <sheet name="12 - Schedule 1A" sheetId="50" r:id="rId19"/>
    <sheet name="13 - A&amp;G Detail" sheetId="51" r:id="rId20"/>
  </sheets>
  <externalReferences>
    <externalReference r:id="rId21"/>
    <externalReference r:id="rId22"/>
    <externalReference r:id="rId23"/>
  </externalReferences>
  <definedNames>
    <definedName name="CBWorkbookPriority">-2027624740</definedName>
    <definedName name="EconomicYTD">"'PSE&amp;G'!$A$7:$A$56"</definedName>
    <definedName name="_xlnm.Print_Area" localSheetId="16">'10 - Misc. Liabilities'!$A$1:$R$28</definedName>
    <definedName name="_xlnm.Print_Area" localSheetId="1">'1A - ADIT Current Year'!$A$1:$I$100</definedName>
    <definedName name="_xlnm.Print_Area" localSheetId="2">'1B - ADIT Proration'!$A$1:$S$28</definedName>
    <definedName name="_xlnm.Print_Area" localSheetId="3">'1C - ADIT Prior Year'!$A$1:$I$95</definedName>
    <definedName name="_xlnm.Print_Area" localSheetId="5">'1E - ADIT True-Up Proration'!$A$1:$Q$55</definedName>
    <definedName name="_xlnm.Print_Area" localSheetId="6">'2 - Other Taxes'!$A$1:$J$61</definedName>
    <definedName name="_xlnm.Print_Area" localSheetId="7">'3 - Revenue Credits'!$A$2:$F$41</definedName>
    <definedName name="_xlnm.Print_Area" localSheetId="8">'4 - Cost Support'!$A$1:$V$346</definedName>
    <definedName name="_xlnm.Print_Area" localSheetId="10">'6A - NITS True-Up '!$A$1:$L$75</definedName>
    <definedName name="_xlnm.Print_Area" localSheetId="11">'6B - Schedule 12 True-Up'!$A$1:$L$76</definedName>
    <definedName name="_xlnm.Print_Area" localSheetId="12">'7A - Project ROE Adder'!$A$1:$Z$21</definedName>
    <definedName name="_xlnm.Print_Area" localSheetId="13">'7B - Schedule 12 Projects'!$A$1:$Z$26</definedName>
    <definedName name="_xlnm.Print_Area" localSheetId="15">'9 - Excess ADIT'!$A$1:$Q$44</definedName>
    <definedName name="_xlnm.Print_Area" localSheetId="0">'Appendix A'!$A$3:$H$315</definedName>
    <definedName name="_xlnm.Print_Titles" localSheetId="8">'4 - Cost Support'!$1:$3</definedName>
    <definedName name="_xlnm.Print_Titles" localSheetId="0">'Appendix A'!$2:$6</definedName>
    <definedName name="solver_cvg" localSheetId="0">0.0001</definedName>
    <definedName name="solver_drv" localSheetId="0">1</definedName>
    <definedName name="solver_est" localSheetId="0">1</definedName>
    <definedName name="solver_itr" localSheetId="0">100</definedName>
    <definedName name="solver_lin" localSheetId="0">2</definedName>
    <definedName name="solver_neg" localSheetId="0">2</definedName>
    <definedName name="solver_num" localSheetId="0">0</definedName>
    <definedName name="solver_nwt" localSheetId="0">1</definedName>
    <definedName name="solver_pre" localSheetId="0">0.000001</definedName>
    <definedName name="solver_scl" localSheetId="0">2</definedName>
    <definedName name="solver_sho" localSheetId="0">2</definedName>
    <definedName name="solver_tim" localSheetId="0">100</definedName>
    <definedName name="solver_tol" localSheetId="0">0.05</definedName>
    <definedName name="solver_typ" localSheetId="0">3</definedName>
    <definedName name="solver_val" localSheetId="0">981598</definedName>
    <definedName name="Z_28948E05_8F34_4F1E_96FB_A80A6A844600_.wvu.PrintArea" localSheetId="1">'1A - ADIT Current Year'!$B$1:$I$88</definedName>
    <definedName name="Z_28948E05_8F34_4F1E_96FB_A80A6A844600_.wvu.PrintArea" localSheetId="3">'1C - ADIT Prior Year'!$B$1:$I$82</definedName>
    <definedName name="Z_28948E05_8F34_4F1E_96FB_A80A6A844600_.wvu.PrintArea" localSheetId="7">'3 - Revenue Credits'!$A$2:$D$38</definedName>
    <definedName name="Z_28948E05_8F34_4F1E_96FB_A80A6A844600_.wvu.PrintArea" localSheetId="0">'Appendix A'!$A$2:$H$306</definedName>
    <definedName name="Z_3A38DF7A_C35E_4DD3_9893_26310A3EF836_.wvu.PrintArea" localSheetId="7">'3 - Revenue Credits'!$A$2:$D$38</definedName>
    <definedName name="Z_3A38DF7A_C35E_4DD3_9893_26310A3EF836_.wvu.PrintArea" localSheetId="0">'Appendix A'!$A$2:$H$306</definedName>
    <definedName name="Z_416404B7_8533_4A12_ABD0_58CFDEB49D80_.wvu.PrintArea" localSheetId="1">'1A - ADIT Current Year'!$B$1:$I$98</definedName>
    <definedName name="Z_416404B7_8533_4A12_ABD0_58CFDEB49D80_.wvu.PrintArea" localSheetId="3">'1C - ADIT Prior Year'!$B$1:$I$87</definedName>
    <definedName name="Z_416404B7_8533_4A12_ABD0_58CFDEB49D80_.wvu.PrintArea" localSheetId="6">'2 - Other Taxes'!$A$1:$H$61</definedName>
    <definedName name="Z_416404B7_8533_4A12_ABD0_58CFDEB49D80_.wvu.PrintArea" localSheetId="7">'3 - Revenue Credits'!$A$2:$D$41</definedName>
    <definedName name="Z_416404B7_8533_4A12_ABD0_58CFDEB49D80_.wvu.PrintArea" localSheetId="8">'4 - Cost Support'!$A$1:$U$197</definedName>
    <definedName name="Z_416404B7_8533_4A12_ABD0_58CFDEB49D80_.wvu.PrintArea" localSheetId="10">'6A - NITS True-Up '!$B$1:$L$71</definedName>
    <definedName name="Z_416404B7_8533_4A12_ABD0_58CFDEB49D80_.wvu.PrintArea" localSheetId="11">'6B - Schedule 12 True-Up'!$B$1:$L$71</definedName>
    <definedName name="Z_416404B7_8533_4A12_ABD0_58CFDEB49D80_.wvu.PrintArea" localSheetId="0">'Appendix A'!$A$3:$H$309</definedName>
    <definedName name="Z_416404B7_8533_4A12_ABD0_58CFDEB49D80_.wvu.PrintTitles" localSheetId="8">'4 - Cost Support'!$1:$4</definedName>
    <definedName name="Z_416404B7_8533_4A12_ABD0_58CFDEB49D80_.wvu.PrintTitles" localSheetId="0">'Appendix A'!$2:$6</definedName>
    <definedName name="Z_4C7C2344_134C_465A_ADEB_A5E96AAE2308_.wvu.PrintArea" localSheetId="7">'3 - Revenue Credits'!$A$2:$D$38</definedName>
    <definedName name="Z_4C7C2344_134C_465A_ADEB_A5E96AAE2308_.wvu.PrintArea" localSheetId="0">'Appendix A'!$A$2:$H$306</definedName>
    <definedName name="Z_63011E91_4609_4523_98FE_FD252E915668_.wvu.PrintArea" localSheetId="1">'1A - ADIT Current Year'!$B$1:$I$88</definedName>
    <definedName name="Z_63011E91_4609_4523_98FE_FD252E915668_.wvu.PrintArea" localSheetId="3">'1C - ADIT Prior Year'!$B$1:$I$82</definedName>
    <definedName name="Z_6928E596_79BD_4CEC_9F0D_07E62D69B2A5_.wvu.PrintArea" localSheetId="1">'1A - ADIT Current Year'!$B$1:$I$88</definedName>
    <definedName name="Z_6928E596_79BD_4CEC_9F0D_07E62D69B2A5_.wvu.PrintArea" localSheetId="3">'1C - ADIT Prior Year'!$B$1:$I$82</definedName>
    <definedName name="Z_71B42B22_A376_44B5_B0C1_23FC1AA3DBA2_.wvu.PrintArea" localSheetId="1">'1A - ADIT Current Year'!$B$1:$I$88</definedName>
    <definedName name="Z_71B42B22_A376_44B5_B0C1_23FC1AA3DBA2_.wvu.PrintArea" localSheetId="3">'1C - ADIT Prior Year'!$B$1:$I$82</definedName>
    <definedName name="Z_71B42B22_A376_44B5_B0C1_23FC1AA3DBA2_.wvu.PrintArea" localSheetId="7">'3 - Revenue Credits'!$A$2:$D$38</definedName>
    <definedName name="Z_71B42B22_A376_44B5_B0C1_23FC1AA3DBA2_.wvu.PrintArea" localSheetId="0">'Appendix A'!$A$2:$H$306</definedName>
    <definedName name="Z_8FBB4DC9_2D51_4AB9_80D8_F8474B404C29_.wvu.PrintArea" localSheetId="1">'1A - ADIT Current Year'!$B$1:$I$88</definedName>
    <definedName name="Z_8FBB4DC9_2D51_4AB9_80D8_F8474B404C29_.wvu.PrintArea" localSheetId="3">'1C - ADIT Prior Year'!$B$1:$I$82</definedName>
    <definedName name="Z_B647CB7F_C846_4278_B6B1_1EF7F3C004F5_.wvu.PrintArea" localSheetId="1">'1A - ADIT Current Year'!$B$1:$I$88</definedName>
    <definedName name="Z_B647CB7F_C846_4278_B6B1_1EF7F3C004F5_.wvu.PrintArea" localSheetId="3">'1C - ADIT Prior Year'!$B$1:$I$82</definedName>
    <definedName name="Z_DA967730_B71F_4038_B1B7_9D4790729C5D_.wvu.PrintArea" localSheetId="7">'3 - Revenue Credits'!$A$2:$D$38</definedName>
    <definedName name="Z_DA967730_B71F_4038_B1B7_9D4790729C5D_.wvu.PrintArea" localSheetId="0">'Appendix A'!$A$2:$H$306</definedName>
    <definedName name="Z_DC91DEF3_837B_4BB9_A81E_3B78C5914E6C_.wvu.PrintArea" localSheetId="1">'1A - ADIT Current Year'!$B$1:$I$88</definedName>
    <definedName name="Z_DC91DEF3_837B_4BB9_A81E_3B78C5914E6C_.wvu.PrintArea" localSheetId="3">'1C - ADIT Prior Year'!$B$1:$I$82</definedName>
    <definedName name="Z_DC91DEF3_837B_4BB9_A81E_3B78C5914E6C_.wvu.PrintArea" localSheetId="7">'3 - Revenue Credits'!$A$2:$D$38</definedName>
    <definedName name="Z_DC91DEF3_837B_4BB9_A81E_3B78C5914E6C_.wvu.PrintArea" localSheetId="0">'Appendix A'!$A$2:$H$306</definedName>
    <definedName name="Z_F96D6087_3330_4A81_95EC_26BA83722A49_.wvu.PrintArea" localSheetId="7">'3 - Revenue Credits'!$A$2:$D$38</definedName>
    <definedName name="Z_F96D6087_3330_4A81_95EC_26BA83722A49_.wvu.PrintArea" localSheetId="0">'Appendix A'!$A$2:$H$306</definedName>
    <definedName name="Z_FAAD9AAC_1337_43AB_BF1F_CCF9DFCF5B78_.wvu.PrintArea" localSheetId="1">'1A - ADIT Current Year'!$B$1:$I$88</definedName>
    <definedName name="Z_FAAD9AAC_1337_43AB_BF1F_CCF9DFCF5B78_.wvu.PrintArea" localSheetId="3">'1C - ADIT Prior Year'!$B$1:$I$82</definedName>
    <definedName name="Z_FAAD9AAC_1337_43AB_BF1F_CCF9DFCF5B78_.wvu.PrintArea" localSheetId="7">'3 - Revenue Credits'!$A$2:$D$38</definedName>
    <definedName name="Z_FAAD9AAC_1337_43AB_BF1F_CCF9DFCF5B78_.wvu.PrintArea" localSheetId="0">'Appendix A'!$A$2:$H$306</definedName>
  </definedNames>
  <calcPr calcId="191028"/>
  <customWorkbookViews>
    <customWorkbookView name="Dabydeen, Jeanette I. - Personal View" guid="{416404B7-8533-4A12-ABD0-58CFDEB49D80}" mergeInterval="0" personalView="1" maximized="1" windowWidth="1276" windowHeight="799" tabRatio="896" activeSheetId="1"/>
    <customWorkbookView name="Preferred Customer - Personal View" guid="{DC91DEF3-837B-4BB9-A81E-3B78C5914E6C}" mergeInterval="0" personalView="1" maximized="1" windowWidth="1004" windowHeight="571" tabRatio="809" activeSheetId="9"/>
    <customWorkbookView name="Helen Hight - Personal View" guid="{28948E05-8F34-4F1E-96FB-A80A6A844600}" mergeInterval="0" personalView="1" maximized="1" windowWidth="1020" windowHeight="596" tabRatio="809" activeSheetId="11"/>
    <customWorkbookView name="x086hmh - Personal View" guid="{71B42B22-A376-44B5-B0C1-23FC1AA3DBA2}" mergeInterval="0" personalView="1" maximized="1" windowWidth="1676" windowHeight="904" tabRatio="809" activeSheetId="1"/>
    <customWorkbookView name="x317aks - Personal View" guid="{FAAD9AAC-1337-43AB-BF1F-CCF9DFCF5B78}" mergeInterval="0" personalView="1" maximized="1" windowWidth="1020" windowHeight="539" tabRatio="809" activeSheetId="9"/>
    <customWorkbookView name="smullin - Personal View" guid="{4C7C2344-134C-465A-ADEB-A5E96AAE2308}" mergeInterval="0" personalView="1" maximized="1" windowWidth="1020" windowHeight="603" tabRatio="809" activeSheetId="1"/>
    <customWorkbookView name="jbornak - Personal View" guid="{DA967730-B71F-4038-B1B7-9D4790729C5D}" mergeInterval="0" personalView="1" xWindow="14" yWindow="24" windowWidth="881" windowHeight="583" tabRatio="809" activeSheetId="1"/>
    <customWorkbookView name="DLCO - Personal View" guid="{F96D6087-3330-4A81-95EC-26BA83722A49}" mergeInterval="0" personalView="1" maximized="1" windowWidth="1020" windowHeight="579" tabRatio="809" activeSheetId="1"/>
    <customWorkbookView name="S. Merchant - Personal View" guid="{3A38DF7A-C35E-4DD3-9893-26310A3EF836}" mergeInterval="0" personalView="1" maximized="1" windowWidth="1020" windowHeight="632" tabRatio="80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1" i="8" l="1"/>
  <c r="I41" i="49"/>
  <c r="J39" i="49"/>
  <c r="J39" i="8" l="1"/>
  <c r="T298" i="7" l="1"/>
  <c r="E43" i="4"/>
  <c r="F16" i="52"/>
  <c r="B100" i="52"/>
  <c r="G96" i="52"/>
  <c r="F96" i="52"/>
  <c r="E96" i="52"/>
  <c r="D96" i="52"/>
  <c r="C96" i="52"/>
  <c r="G95" i="52"/>
  <c r="F95" i="52"/>
  <c r="E95" i="52"/>
  <c r="D95" i="52"/>
  <c r="C95" i="52"/>
  <c r="E94" i="52"/>
  <c r="E97" i="52" s="1"/>
  <c r="D14" i="52" s="1"/>
  <c r="C94" i="52"/>
  <c r="C97" i="52" s="1"/>
  <c r="D93" i="52"/>
  <c r="G92" i="52"/>
  <c r="G94" i="52" s="1"/>
  <c r="G97" i="52" s="1"/>
  <c r="F14" i="52" s="1"/>
  <c r="F91" i="52"/>
  <c r="D90" i="52"/>
  <c r="D94" i="52" s="1"/>
  <c r="D97" i="52" s="1"/>
  <c r="D89" i="52"/>
  <c r="F88" i="52"/>
  <c r="F94" i="52" s="1"/>
  <c r="F97" i="52" s="1"/>
  <c r="E14" i="52" s="1"/>
  <c r="B80" i="52"/>
  <c r="B79" i="52"/>
  <c r="B78" i="52"/>
  <c r="G67" i="52"/>
  <c r="F67" i="52"/>
  <c r="E67" i="52"/>
  <c r="D67" i="52"/>
  <c r="C67" i="52"/>
  <c r="I65" i="52"/>
  <c r="B59" i="52"/>
  <c r="B58" i="52"/>
  <c r="B57" i="52"/>
  <c r="I46" i="52"/>
  <c r="G46" i="52"/>
  <c r="F46" i="52"/>
  <c r="F47" i="52" s="1"/>
  <c r="E12" i="52" s="1"/>
  <c r="E46" i="52"/>
  <c r="E47" i="52" s="1"/>
  <c r="D12" i="52" s="1"/>
  <c r="D46" i="52"/>
  <c r="C46" i="52" s="1"/>
  <c r="C47" i="52" s="1"/>
  <c r="G45" i="52"/>
  <c r="G47" i="52" s="1"/>
  <c r="F12" i="52" s="1"/>
  <c r="F45" i="52"/>
  <c r="E45" i="52"/>
  <c r="D45" i="52"/>
  <c r="C45" i="52"/>
  <c r="G33" i="52"/>
  <c r="I21" i="52"/>
  <c r="H19" i="52"/>
  <c r="I17" i="52"/>
  <c r="I16" i="52"/>
  <c r="F13" i="52"/>
  <c r="E13" i="52"/>
  <c r="D13" i="52"/>
  <c r="A13" i="52"/>
  <c r="A14" i="52" s="1"/>
  <c r="A12" i="52"/>
  <c r="E15" i="52" l="1"/>
  <c r="F18" i="52"/>
  <c r="F20" i="52" s="1"/>
  <c r="F15" i="52"/>
  <c r="A15" i="52"/>
  <c r="I15" i="52"/>
  <c r="D15" i="52"/>
  <c r="D18" i="52" s="1"/>
  <c r="D47" i="52"/>
  <c r="D20" i="52" l="1"/>
  <c r="A16" i="52"/>
  <c r="A17" i="52" s="1"/>
  <c r="A18" i="52" s="1"/>
  <c r="A19" i="52" l="1"/>
  <c r="A20" i="52" s="1"/>
  <c r="A21" i="52" s="1"/>
  <c r="A22" i="52" s="1"/>
  <c r="A33" i="52" s="1"/>
  <c r="A34" i="52" s="1"/>
  <c r="A35" i="52" s="1"/>
  <c r="A36" i="52" s="1"/>
  <c r="A37" i="52" s="1"/>
  <c r="A38" i="52" s="1"/>
  <c r="A39" i="52" s="1"/>
  <c r="A40" i="52" s="1"/>
  <c r="A41" i="52" s="1"/>
  <c r="A42" i="52" s="1"/>
  <c r="A43" i="52" s="1"/>
  <c r="A44" i="52" s="1"/>
  <c r="A45" i="52" s="1"/>
  <c r="A46" i="52" s="1"/>
  <c r="A47" i="52" s="1"/>
  <c r="I19" i="52"/>
  <c r="I20" i="52"/>
  <c r="I18" i="52"/>
  <c r="A65" i="52" l="1"/>
  <c r="A66" i="52" s="1"/>
  <c r="A67" i="52" s="1"/>
  <c r="I13" i="52" s="1"/>
  <c r="I12" i="52"/>
  <c r="A87" i="52"/>
  <c r="A88" i="52" s="1"/>
  <c r="A89" i="52" s="1"/>
  <c r="A90" i="52" s="1"/>
  <c r="A91" i="52" s="1"/>
  <c r="A92" i="52" s="1"/>
  <c r="A93" i="52" s="1"/>
  <c r="A94" i="52" s="1"/>
  <c r="A95" i="52" s="1"/>
  <c r="A96" i="52" s="1"/>
  <c r="A97" i="52" s="1"/>
  <c r="I14" i="52" s="1"/>
  <c r="S16" i="45" l="1"/>
  <c r="S203" i="7"/>
  <c r="R203" i="7"/>
  <c r="Q203" i="7"/>
  <c r="H27" i="44"/>
  <c r="H18" i="44"/>
  <c r="H19" i="44" s="1"/>
  <c r="H20" i="44" s="1"/>
  <c r="H21" i="44" s="1"/>
  <c r="H22" i="44" s="1"/>
  <c r="H23" i="44" s="1"/>
  <c r="H24" i="44" s="1"/>
  <c r="H25" i="44" s="1"/>
  <c r="H26" i="44" s="1"/>
  <c r="H17" i="44"/>
  <c r="I13" i="42"/>
  <c r="I14" i="42"/>
  <c r="I23" i="42" l="1"/>
  <c r="I22" i="42"/>
  <c r="I21" i="42"/>
  <c r="I20" i="42"/>
  <c r="I19" i="42"/>
  <c r="I18" i="42"/>
  <c r="I17" i="42"/>
  <c r="I16" i="42"/>
  <c r="I15" i="42"/>
  <c r="G11" i="42"/>
  <c r="C83" i="2"/>
  <c r="C84" i="2"/>
  <c r="C85" i="2"/>
  <c r="C86" i="2"/>
  <c r="C90" i="2" s="1"/>
  <c r="C91" i="2" l="1"/>
  <c r="C92" i="2" s="1"/>
  <c r="C62" i="2" l="1"/>
  <c r="C31" i="2" l="1"/>
  <c r="C32" i="2"/>
  <c r="C33" i="2"/>
  <c r="C34" i="2"/>
  <c r="C35" i="2"/>
  <c r="C36" i="2"/>
  <c r="C37" i="2"/>
  <c r="C38" i="2"/>
  <c r="C39" i="2"/>
  <c r="C40" i="2"/>
  <c r="I37" i="49" l="1"/>
  <c r="I37" i="8"/>
  <c r="A24" i="41" l="1"/>
  <c r="A25" i="41" s="1"/>
  <c r="A26" i="41" s="1"/>
  <c r="A27" i="41" s="1"/>
  <c r="A28" i="41" s="1"/>
  <c r="A29" i="41" s="1"/>
  <c r="A30" i="41" s="1"/>
  <c r="A31" i="41" s="1"/>
  <c r="A32" i="41" s="1"/>
  <c r="S70" i="7"/>
  <c r="A222" i="7" l="1"/>
  <c r="S30" i="41" l="1"/>
  <c r="S26" i="41"/>
  <c r="S24" i="41"/>
  <c r="S25" i="41"/>
  <c r="S32" i="41" l="1"/>
  <c r="S31" i="41"/>
  <c r="R37" i="41"/>
  <c r="Q37" i="41"/>
  <c r="P37" i="41"/>
  <c r="O37" i="41"/>
  <c r="N37" i="41"/>
  <c r="M37" i="41"/>
  <c r="L37" i="41"/>
  <c r="K37" i="41"/>
  <c r="J37" i="41"/>
  <c r="I37" i="41"/>
  <c r="H37" i="41"/>
  <c r="G37" i="41"/>
  <c r="F37" i="41"/>
  <c r="S11" i="41"/>
  <c r="S10" i="41"/>
  <c r="I18" i="2" l="1"/>
  <c r="A82" i="2"/>
  <c r="E25" i="4"/>
  <c r="H150" i="1"/>
  <c r="H134" i="1"/>
  <c r="I37" i="47"/>
  <c r="E74" i="8" l="1"/>
  <c r="E35" i="44"/>
  <c r="E36" i="44"/>
  <c r="E37" i="44"/>
  <c r="E38" i="44"/>
  <c r="E39" i="44"/>
  <c r="E40" i="44"/>
  <c r="E41" i="44"/>
  <c r="E42" i="44"/>
  <c r="E43" i="44"/>
  <c r="E44" i="44"/>
  <c r="E45" i="44"/>
  <c r="E34" i="44"/>
  <c r="I35" i="44"/>
  <c r="I36" i="44"/>
  <c r="I37" i="44"/>
  <c r="I38" i="44"/>
  <c r="I39" i="44"/>
  <c r="I40" i="44"/>
  <c r="I41" i="44"/>
  <c r="I42" i="44"/>
  <c r="I43" i="44"/>
  <c r="I44" i="44"/>
  <c r="I45" i="44"/>
  <c r="I34" i="44"/>
  <c r="C35" i="44"/>
  <c r="C36" i="44"/>
  <c r="C37" i="44"/>
  <c r="C38" i="44"/>
  <c r="C39" i="44"/>
  <c r="C40" i="44"/>
  <c r="C41" i="44"/>
  <c r="C42" i="44"/>
  <c r="C43" i="44"/>
  <c r="C44" i="44"/>
  <c r="C45" i="44"/>
  <c r="C34" i="44"/>
  <c r="W32" i="44"/>
  <c r="H287" i="1" l="1"/>
  <c r="F62" i="1" l="1"/>
  <c r="F280" i="1"/>
  <c r="A36" i="47"/>
  <c r="A37" i="47" s="1"/>
  <c r="A38" i="47" s="1"/>
  <c r="A39" i="47" s="1"/>
  <c r="A35" i="47"/>
  <c r="A34" i="47"/>
  <c r="H153" i="1" l="1"/>
  <c r="H152" i="1"/>
  <c r="H149" i="1"/>
  <c r="S27" i="41" l="1"/>
  <c r="S28" i="41"/>
  <c r="S29" i="41"/>
  <c r="S143" i="7" l="1"/>
  <c r="S13" i="41"/>
  <c r="S14" i="41"/>
  <c r="S15" i="41"/>
  <c r="S16" i="41"/>
  <c r="S17" i="41"/>
  <c r="S18" i="41"/>
  <c r="S19" i="41"/>
  <c r="S20" i="41"/>
  <c r="S22" i="41"/>
  <c r="S23" i="41"/>
  <c r="S21" i="41" l="1"/>
  <c r="M34" i="47" l="1"/>
  <c r="C21" i="47"/>
  <c r="K37" i="47"/>
  <c r="I90" i="47"/>
  <c r="I92" i="47" s="1"/>
  <c r="I95" i="47" s="1"/>
  <c r="I97" i="47" s="1"/>
  <c r="G44" i="47"/>
  <c r="G45" i="47" s="1"/>
  <c r="G46" i="47" s="1"/>
  <c r="G47" i="47" s="1"/>
  <c r="G48" i="47" s="1"/>
  <c r="G49" i="47" s="1"/>
  <c r="G50" i="47" s="1"/>
  <c r="G51" i="47" s="1"/>
  <c r="G52" i="47" s="1"/>
  <c r="G53" i="47" s="1"/>
  <c r="G54" i="47" s="1"/>
  <c r="G55" i="47" s="1"/>
  <c r="G56" i="47" s="1"/>
  <c r="G57" i="47" s="1"/>
  <c r="G58" i="47" s="1"/>
  <c r="G59" i="47" s="1"/>
  <c r="G60" i="47" s="1"/>
  <c r="G61" i="47" s="1"/>
  <c r="G62" i="47" s="1"/>
  <c r="G63" i="47" s="1"/>
  <c r="G64" i="47" s="1"/>
  <c r="G65" i="47" s="1"/>
  <c r="G66" i="47" s="1"/>
  <c r="G67" i="47" s="1"/>
  <c r="G68" i="47" s="1"/>
  <c r="G69" i="47" s="1"/>
  <c r="G70" i="47" s="1"/>
  <c r="G71" i="47" s="1"/>
  <c r="G72" i="47" s="1"/>
  <c r="G73" i="47" s="1"/>
  <c r="G74" i="47" s="1"/>
  <c r="G75" i="47" s="1"/>
  <c r="G76" i="47" s="1"/>
  <c r="G77" i="47" s="1"/>
  <c r="G78" i="47" s="1"/>
  <c r="G79" i="47" s="1"/>
  <c r="G80" i="47" s="1"/>
  <c r="G81" i="47" s="1"/>
  <c r="G82" i="47" s="1"/>
  <c r="G83" i="47" s="1"/>
  <c r="G84" i="47" s="1"/>
  <c r="G85" i="47" s="1"/>
  <c r="G86" i="47" s="1"/>
  <c r="G87" i="47" s="1"/>
  <c r="G88" i="47" s="1"/>
  <c r="G89" i="47" s="1"/>
  <c r="G90" i="47" s="1"/>
  <c r="G91" i="47" s="1"/>
  <c r="G92" i="47" s="1"/>
  <c r="G93" i="47" s="1"/>
  <c r="G94" i="47" s="1"/>
  <c r="G95" i="47" s="1"/>
  <c r="G96" i="47" s="1"/>
  <c r="G97" i="47" s="1"/>
  <c r="G98" i="47" s="1"/>
  <c r="I89" i="47" l="1"/>
  <c r="I91" i="47" s="1"/>
  <c r="I93" i="47" s="1"/>
  <c r="I94" i="47" s="1"/>
  <c r="I96" i="47" s="1"/>
  <c r="I98" i="47" s="1"/>
  <c r="I88" i="47"/>
  <c r="I100" i="47" l="1"/>
  <c r="K36" i="47" s="1"/>
  <c r="K38" i="47" s="1"/>
  <c r="K39" i="47" s="1"/>
  <c r="I99" i="47"/>
  <c r="I36" i="47" s="1"/>
  <c r="I38" i="47" s="1"/>
  <c r="M38" i="47" l="1"/>
  <c r="I39" i="47"/>
  <c r="C84" i="48"/>
  <c r="C86" i="48" s="1"/>
  <c r="C89" i="48" s="1"/>
  <c r="C91" i="48" s="1"/>
  <c r="C82" i="48"/>
  <c r="C80" i="48"/>
  <c r="C81" i="48" s="1"/>
  <c r="B83" i="48"/>
  <c r="B84" i="48"/>
  <c r="B85" i="48"/>
  <c r="B86" i="48"/>
  <c r="B87" i="48"/>
  <c r="B88" i="48" s="1"/>
  <c r="B89" i="48" s="1"/>
  <c r="B90" i="48" s="1"/>
  <c r="B91" i="48" s="1"/>
  <c r="B92" i="48" s="1"/>
  <c r="B74" i="48"/>
  <c r="B75" i="48"/>
  <c r="B76" i="48" s="1"/>
  <c r="B77" i="48" s="1"/>
  <c r="B78" i="48" s="1"/>
  <c r="B79" i="48" s="1"/>
  <c r="B80" i="48" s="1"/>
  <c r="B81" i="48" s="1"/>
  <c r="B82" i="48" s="1"/>
  <c r="B64" i="48"/>
  <c r="B65" i="48" s="1"/>
  <c r="B66" i="48" s="1"/>
  <c r="B67" i="48" s="1"/>
  <c r="B68" i="48" s="1"/>
  <c r="B69" i="48" s="1"/>
  <c r="B70" i="48" s="1"/>
  <c r="B71" i="48" s="1"/>
  <c r="B72" i="48" s="1"/>
  <c r="B73" i="48" s="1"/>
  <c r="B39" i="48"/>
  <c r="B40" i="48" s="1"/>
  <c r="B41" i="48" s="1"/>
  <c r="B42" i="48" s="1"/>
  <c r="B43" i="48" s="1"/>
  <c r="B44" i="48" s="1"/>
  <c r="B45" i="48" s="1"/>
  <c r="B46" i="48" s="1"/>
  <c r="B47" i="48" s="1"/>
  <c r="B48" i="48" s="1"/>
  <c r="B49" i="48" s="1"/>
  <c r="B50" i="48" s="1"/>
  <c r="B51" i="48" s="1"/>
  <c r="B52" i="48" s="1"/>
  <c r="B53" i="48" s="1"/>
  <c r="B54" i="48" s="1"/>
  <c r="B55" i="48" s="1"/>
  <c r="B56" i="48" s="1"/>
  <c r="B57" i="48" s="1"/>
  <c r="B58" i="48" s="1"/>
  <c r="B59" i="48" s="1"/>
  <c r="B60" i="48" s="1"/>
  <c r="B61" i="48" s="1"/>
  <c r="B62" i="48" s="1"/>
  <c r="B63" i="48" s="1"/>
  <c r="B38" i="48"/>
  <c r="H19" i="48"/>
  <c r="H23" i="48" s="1"/>
  <c r="F279" i="1"/>
  <c r="F282" i="1"/>
  <c r="F35" i="51"/>
  <c r="F33" i="51"/>
  <c r="F31" i="51"/>
  <c r="F29" i="51"/>
  <c r="F27" i="51"/>
  <c r="F25" i="51"/>
  <c r="F19" i="51"/>
  <c r="F17" i="51"/>
  <c r="F15" i="51"/>
  <c r="F13" i="51"/>
  <c r="F11" i="51"/>
  <c r="F9" i="51"/>
  <c r="C83" i="48" l="1"/>
  <c r="C85" i="48" s="1"/>
  <c r="C87" i="48" s="1"/>
  <c r="C88" i="48" s="1"/>
  <c r="C90" i="48" s="1"/>
  <c r="C92" i="48" s="1"/>
  <c r="C94" i="48"/>
  <c r="H25" i="48" s="1"/>
  <c r="H27" i="48" s="1"/>
  <c r="H29" i="48" s="1"/>
  <c r="C93" i="48"/>
  <c r="F25" i="48" s="1"/>
  <c r="I21" i="47"/>
  <c r="M39" i="47"/>
  <c r="H21" i="48"/>
  <c r="T12" i="7"/>
  <c r="T168" i="7"/>
  <c r="C79" i="14" l="1"/>
  <c r="C80" i="14"/>
  <c r="C81" i="14"/>
  <c r="C82" i="14"/>
  <c r="C83" i="14"/>
  <c r="C78" i="14"/>
  <c r="C77" i="14"/>
  <c r="V29" i="40" l="1"/>
  <c r="C60" i="14" l="1"/>
  <c r="C59" i="14"/>
  <c r="C63" i="2"/>
  <c r="C36" i="14"/>
  <c r="C35" i="14"/>
  <c r="C34" i="14"/>
  <c r="C33" i="14"/>
  <c r="C32" i="14"/>
  <c r="C31" i="14"/>
  <c r="C30" i="14"/>
  <c r="C28" i="14"/>
  <c r="C27" i="14"/>
  <c r="C26" i="14"/>
  <c r="S18" i="45" l="1"/>
  <c r="S14" i="45"/>
  <c r="S12" i="45"/>
  <c r="R143" i="7"/>
  <c r="N35" i="51" l="1"/>
  <c r="N33" i="51"/>
  <c r="N31" i="51"/>
  <c r="N29" i="51"/>
  <c r="N27" i="51"/>
  <c r="N25" i="51"/>
  <c r="N23" i="51"/>
  <c r="N19" i="51"/>
  <c r="N17" i="51"/>
  <c r="N15" i="51"/>
  <c r="N13" i="51"/>
  <c r="N11" i="51"/>
  <c r="N9" i="51"/>
  <c r="G33" i="40"/>
  <c r="G34" i="40"/>
  <c r="G35" i="40"/>
  <c r="G32" i="40"/>
  <c r="G28" i="40"/>
  <c r="G27" i="40"/>
  <c r="G47" i="40"/>
  <c r="G46" i="40"/>
  <c r="F20" i="45" l="1"/>
  <c r="S133" i="7" l="1"/>
  <c r="T117" i="7"/>
  <c r="E12" i="4" s="1"/>
  <c r="H138" i="1"/>
  <c r="G38" i="14" l="1"/>
  <c r="T230" i="7" l="1"/>
  <c r="T229" i="7"/>
  <c r="T222" i="7"/>
  <c r="T48" i="7"/>
  <c r="T49" i="7"/>
  <c r="T50" i="7"/>
  <c r="T47" i="7"/>
  <c r="T51" i="7" l="1"/>
  <c r="D18" i="5"/>
  <c r="D26" i="5" l="1"/>
  <c r="T215" i="7"/>
  <c r="T213" i="7"/>
  <c r="T212" i="7"/>
  <c r="T214" i="7"/>
  <c r="A26" i="47" l="1"/>
  <c r="I17" i="2"/>
  <c r="W36" i="40" l="1"/>
  <c r="U36" i="40"/>
  <c r="S36" i="40"/>
  <c r="Q36" i="40"/>
  <c r="O36" i="40"/>
  <c r="M36" i="40"/>
  <c r="I46" i="40"/>
  <c r="I34" i="40"/>
  <c r="I33" i="40"/>
  <c r="I32" i="40"/>
  <c r="I80" i="40"/>
  <c r="D60" i="40" s="1"/>
  <c r="E60" i="40" s="1"/>
  <c r="G60" i="40" s="1"/>
  <c r="I60" i="40" s="1"/>
  <c r="K62" i="40"/>
  <c r="F62" i="40"/>
  <c r="C62" i="40"/>
  <c r="O61" i="40"/>
  <c r="M61" i="40"/>
  <c r="L61" i="40"/>
  <c r="D58" i="40"/>
  <c r="E58" i="40" s="1"/>
  <c r="G58" i="40" s="1"/>
  <c r="I58" i="40" s="1"/>
  <c r="K53" i="40"/>
  <c r="F53" i="40"/>
  <c r="C53" i="40"/>
  <c r="O52" i="40"/>
  <c r="O53" i="40" s="1"/>
  <c r="M52" i="40"/>
  <c r="M53" i="40" s="1"/>
  <c r="L52" i="40"/>
  <c r="G48" i="40"/>
  <c r="F48" i="40"/>
  <c r="C48" i="40"/>
  <c r="L47" i="40"/>
  <c r="N47" i="40" s="1"/>
  <c r="P47" i="40" s="1"/>
  <c r="R47" i="40" s="1"/>
  <c r="T47" i="40" s="1"/>
  <c r="V47" i="40" s="1"/>
  <c r="X47" i="40" s="1"/>
  <c r="Z47" i="40" s="1"/>
  <c r="D47" i="40"/>
  <c r="E47" i="40" s="1"/>
  <c r="K36" i="40"/>
  <c r="G36" i="40"/>
  <c r="F36" i="40"/>
  <c r="C36" i="40"/>
  <c r="L35" i="40"/>
  <c r="N35" i="40" s="1"/>
  <c r="P35" i="40" s="1"/>
  <c r="D35" i="40"/>
  <c r="E35" i="40" s="1"/>
  <c r="D32" i="40"/>
  <c r="E32" i="40" s="1"/>
  <c r="W29" i="40"/>
  <c r="U29" i="40"/>
  <c r="S29" i="40"/>
  <c r="Q29" i="40"/>
  <c r="O29" i="40"/>
  <c r="M29" i="40"/>
  <c r="K29" i="40"/>
  <c r="F29" i="40"/>
  <c r="C29" i="40"/>
  <c r="X28" i="40"/>
  <c r="T28" i="40"/>
  <c r="V28" i="40" s="1"/>
  <c r="R28" i="40"/>
  <c r="P28" i="40"/>
  <c r="Y28" i="40" s="1"/>
  <c r="N28" i="40"/>
  <c r="L28" i="40"/>
  <c r="D28" i="40"/>
  <c r="E28" i="40" s="1"/>
  <c r="X27" i="40"/>
  <c r="T27" i="40"/>
  <c r="R27" i="40"/>
  <c r="P27" i="40"/>
  <c r="N27" i="40"/>
  <c r="K24" i="40"/>
  <c r="F24" i="40"/>
  <c r="C24" i="40"/>
  <c r="O23" i="40"/>
  <c r="M23" i="40"/>
  <c r="L23" i="40"/>
  <c r="D21" i="40"/>
  <c r="E21" i="40" s="1"/>
  <c r="G21" i="40" s="1"/>
  <c r="I21" i="40" s="1"/>
  <c r="D17" i="40"/>
  <c r="E17" i="40" s="1"/>
  <c r="G17" i="40" s="1"/>
  <c r="I17" i="40" s="1"/>
  <c r="D14" i="40"/>
  <c r="E14" i="40" s="1"/>
  <c r="G14" i="40" s="1"/>
  <c r="I14" i="40" s="1"/>
  <c r="D13" i="40"/>
  <c r="E13" i="40" s="1"/>
  <c r="G13" i="40" s="1"/>
  <c r="I13" i="40" s="1"/>
  <c r="O13" i="40" s="1"/>
  <c r="A13" i="40"/>
  <c r="A14" i="40" s="1"/>
  <c r="A15" i="40" s="1"/>
  <c r="A16" i="40" s="1"/>
  <c r="A17" i="40" s="1"/>
  <c r="A18" i="40" s="1"/>
  <c r="A19" i="40" s="1"/>
  <c r="A20" i="40" s="1"/>
  <c r="A21" i="40" s="1"/>
  <c r="A22" i="40" s="1"/>
  <c r="A23" i="40" s="1"/>
  <c r="A24" i="40" s="1"/>
  <c r="A27" i="40" s="1"/>
  <c r="A28" i="40" s="1"/>
  <c r="A29" i="40" s="1"/>
  <c r="A32" i="40" s="1"/>
  <c r="A33" i="40" s="1"/>
  <c r="A34" i="40" s="1"/>
  <c r="A35" i="40" s="1"/>
  <c r="A36" i="40" s="1"/>
  <c r="A38" i="40" s="1"/>
  <c r="A39" i="40" s="1"/>
  <c r="A40" i="40" s="1"/>
  <c r="A46" i="40" s="1"/>
  <c r="A47" i="40" s="1"/>
  <c r="A48" i="40" s="1"/>
  <c r="A51" i="40" s="1"/>
  <c r="A52" i="40" s="1"/>
  <c r="A53" i="40" s="1"/>
  <c r="A56" i="40" s="1"/>
  <c r="A57" i="40" s="1"/>
  <c r="A58" i="40" s="1"/>
  <c r="A59" i="40" s="1"/>
  <c r="A60" i="40" s="1"/>
  <c r="A61" i="40" s="1"/>
  <c r="A62" i="40" s="1"/>
  <c r="A64" i="40" s="1"/>
  <c r="A65" i="40" s="1"/>
  <c r="A66" i="40" s="1"/>
  <c r="A68" i="40" s="1"/>
  <c r="A70" i="40" s="1"/>
  <c r="M58" i="40" l="1"/>
  <c r="N61" i="40"/>
  <c r="D20" i="40"/>
  <c r="E20" i="40" s="1"/>
  <c r="G20" i="40" s="1"/>
  <c r="I20" i="40" s="1"/>
  <c r="M20" i="40" s="1"/>
  <c r="N29" i="40"/>
  <c r="X29" i="40"/>
  <c r="D61" i="40"/>
  <c r="E61" i="40" s="1"/>
  <c r="G61" i="40" s="1"/>
  <c r="K64" i="40"/>
  <c r="P61" i="40"/>
  <c r="W61" i="40" s="1"/>
  <c r="D15" i="40"/>
  <c r="E15" i="40" s="1"/>
  <c r="G15" i="40" s="1"/>
  <c r="I15" i="40" s="1"/>
  <c r="O15" i="40" s="1"/>
  <c r="D34" i="40"/>
  <c r="E34" i="40" s="1"/>
  <c r="L34" i="40" s="1"/>
  <c r="N34" i="40" s="1"/>
  <c r="P34" i="40" s="1"/>
  <c r="R34" i="40" s="1"/>
  <c r="T34" i="40" s="1"/>
  <c r="V34" i="40" s="1"/>
  <c r="X34" i="40" s="1"/>
  <c r="D51" i="40"/>
  <c r="E51" i="40" s="1"/>
  <c r="D57" i="40"/>
  <c r="E57" i="40" s="1"/>
  <c r="G57" i="40" s="1"/>
  <c r="I57" i="40" s="1"/>
  <c r="M57" i="40" s="1"/>
  <c r="N23" i="40"/>
  <c r="P23" i="40" s="1"/>
  <c r="W23" i="40" s="1"/>
  <c r="R29" i="40"/>
  <c r="D18" i="40"/>
  <c r="E18" i="40" s="1"/>
  <c r="G18" i="40" s="1"/>
  <c r="I18" i="40" s="1"/>
  <c r="L18" i="40" s="1"/>
  <c r="D22" i="40"/>
  <c r="E22" i="40" s="1"/>
  <c r="G22" i="40" s="1"/>
  <c r="I22" i="40" s="1"/>
  <c r="M22" i="40" s="1"/>
  <c r="D27" i="40"/>
  <c r="D29" i="40" s="1"/>
  <c r="D33" i="40"/>
  <c r="E33" i="40" s="1"/>
  <c r="L33" i="40" s="1"/>
  <c r="N33" i="40" s="1"/>
  <c r="P33" i="40" s="1"/>
  <c r="R33" i="40" s="1"/>
  <c r="T33" i="40" s="1"/>
  <c r="V33" i="40" s="1"/>
  <c r="X33" i="40" s="1"/>
  <c r="D59" i="40"/>
  <c r="E59" i="40" s="1"/>
  <c r="D12" i="40"/>
  <c r="E12" i="40" s="1"/>
  <c r="G12" i="40" s="1"/>
  <c r="I12" i="40" s="1"/>
  <c r="D16" i="40"/>
  <c r="E16" i="40" s="1"/>
  <c r="G16" i="40" s="1"/>
  <c r="I16" i="40" s="1"/>
  <c r="L16" i="40" s="1"/>
  <c r="D19" i="40"/>
  <c r="E19" i="40" s="1"/>
  <c r="G19" i="40" s="1"/>
  <c r="I19" i="40" s="1"/>
  <c r="L19" i="40" s="1"/>
  <c r="D23" i="40"/>
  <c r="E23" i="40" s="1"/>
  <c r="G23" i="40" s="1"/>
  <c r="D46" i="40"/>
  <c r="E46" i="40" s="1"/>
  <c r="E48" i="40" s="1"/>
  <c r="D52" i="40"/>
  <c r="E52" i="40" s="1"/>
  <c r="G52" i="40" s="1"/>
  <c r="D56" i="40"/>
  <c r="E56" i="40" s="1"/>
  <c r="G56" i="40" s="1"/>
  <c r="L46" i="40"/>
  <c r="N46" i="40" s="1"/>
  <c r="P46" i="40" s="1"/>
  <c r="R46" i="40" s="1"/>
  <c r="T46" i="40" s="1"/>
  <c r="V46" i="40" s="1"/>
  <c r="X46" i="40" s="1"/>
  <c r="Z46" i="40" s="1"/>
  <c r="P29" i="40"/>
  <c r="Y27" i="40"/>
  <c r="Z27" i="40" s="1"/>
  <c r="K38" i="40"/>
  <c r="N52" i="40"/>
  <c r="P52" i="40" s="1"/>
  <c r="O58" i="40"/>
  <c r="L20" i="40"/>
  <c r="O20" i="40"/>
  <c r="L21" i="40"/>
  <c r="O21" i="40"/>
  <c r="T29" i="40"/>
  <c r="V27" i="40"/>
  <c r="L60" i="40"/>
  <c r="O60" i="40"/>
  <c r="M60" i="40"/>
  <c r="M13" i="40"/>
  <c r="L13" i="40"/>
  <c r="Y35" i="40"/>
  <c r="R35" i="40"/>
  <c r="T35" i="40" s="1"/>
  <c r="V35" i="40" s="1"/>
  <c r="X35" i="40" s="1"/>
  <c r="L17" i="40"/>
  <c r="O17" i="40"/>
  <c r="M17" i="40"/>
  <c r="M21" i="40"/>
  <c r="Z28" i="40"/>
  <c r="Y33" i="40"/>
  <c r="Z33" i="40" s="1"/>
  <c r="E36" i="40"/>
  <c r="L58" i="40"/>
  <c r="N58" i="40" s="1"/>
  <c r="D36" i="40"/>
  <c r="S61" i="40" l="1"/>
  <c r="O22" i="40"/>
  <c r="L22" i="40"/>
  <c r="M16" i="40"/>
  <c r="Y52" i="40"/>
  <c r="Y53" i="40" s="1"/>
  <c r="Q52" i="40"/>
  <c r="Q53" i="40" s="1"/>
  <c r="Q61" i="40"/>
  <c r="R61" i="40" s="1"/>
  <c r="T61" i="40" s="1"/>
  <c r="G59" i="40"/>
  <c r="I59" i="40" s="1"/>
  <c r="O57" i="40"/>
  <c r="L57" i="40"/>
  <c r="N57" i="40" s="1"/>
  <c r="P57" i="40" s="1"/>
  <c r="G62" i="40"/>
  <c r="I56" i="40"/>
  <c r="L56" i="40" s="1"/>
  <c r="E53" i="40"/>
  <c r="G51" i="40"/>
  <c r="D53" i="40"/>
  <c r="U23" i="40"/>
  <c r="M19" i="40"/>
  <c r="O19" i="40"/>
  <c r="O18" i="40"/>
  <c r="M18" i="40"/>
  <c r="N18" i="40" s="1"/>
  <c r="P18" i="40" s="1"/>
  <c r="S18" i="40" s="1"/>
  <c r="O16" i="40"/>
  <c r="L15" i="40"/>
  <c r="M15" i="40"/>
  <c r="Y34" i="40"/>
  <c r="N16" i="40"/>
  <c r="P16" i="40" s="1"/>
  <c r="E62" i="40"/>
  <c r="D62" i="40"/>
  <c r="U61" i="40"/>
  <c r="Y61" i="40"/>
  <c r="E27" i="40"/>
  <c r="E29" i="40" s="1"/>
  <c r="Y23" i="40"/>
  <c r="S23" i="40"/>
  <c r="N13" i="40"/>
  <c r="P13" i="40" s="1"/>
  <c r="U13" i="40" s="1"/>
  <c r="D24" i="40"/>
  <c r="Q23" i="40"/>
  <c r="R23" i="40" s="1"/>
  <c r="N22" i="40"/>
  <c r="P22" i="40" s="1"/>
  <c r="U22" i="40" s="1"/>
  <c r="Z35" i="40"/>
  <c r="Y29" i="40"/>
  <c r="D48" i="40"/>
  <c r="N60" i="40"/>
  <c r="P60" i="40" s="1"/>
  <c r="U60" i="40" s="1"/>
  <c r="Z34" i="40"/>
  <c r="N21" i="40"/>
  <c r="P21" i="40" s="1"/>
  <c r="Y21" i="40" s="1"/>
  <c r="P58" i="40"/>
  <c r="U58" i="40" s="1"/>
  <c r="U52" i="40"/>
  <c r="U53" i="40" s="1"/>
  <c r="E64" i="40"/>
  <c r="E66" i="40" s="1"/>
  <c r="S52" i="40"/>
  <c r="S53" i="40" s="1"/>
  <c r="W52" i="40"/>
  <c r="W53" i="40" s="1"/>
  <c r="Z29" i="40"/>
  <c r="I36" i="40"/>
  <c r="L32" i="40"/>
  <c r="M14" i="40"/>
  <c r="L14" i="40"/>
  <c r="O14" i="40"/>
  <c r="N19" i="40"/>
  <c r="P19" i="40" s="1"/>
  <c r="G24" i="40"/>
  <c r="E24" i="40"/>
  <c r="S60" i="40"/>
  <c r="I62" i="40"/>
  <c r="O56" i="40"/>
  <c r="N17" i="40"/>
  <c r="P17" i="40" s="1"/>
  <c r="N20" i="40"/>
  <c r="P20" i="40" s="1"/>
  <c r="M56" i="40" l="1"/>
  <c r="N15" i="40"/>
  <c r="P15" i="40" s="1"/>
  <c r="W13" i="40"/>
  <c r="M59" i="40"/>
  <c r="L59" i="40"/>
  <c r="N59" i="40" s="1"/>
  <c r="M62" i="40"/>
  <c r="M64" i="40" s="1"/>
  <c r="O59" i="40"/>
  <c r="O62" i="40" s="1"/>
  <c r="O64" i="40" s="1"/>
  <c r="S58" i="40"/>
  <c r="G53" i="40"/>
  <c r="G64" i="40" s="1"/>
  <c r="G66" i="40" s="1"/>
  <c r="I51" i="40"/>
  <c r="Y18" i="40"/>
  <c r="W18" i="40"/>
  <c r="U18" i="40"/>
  <c r="Q18" i="40"/>
  <c r="R18" i="40" s="1"/>
  <c r="T18" i="40" s="1"/>
  <c r="R52" i="40"/>
  <c r="T52" i="40" s="1"/>
  <c r="V52" i="40" s="1"/>
  <c r="X52" i="40" s="1"/>
  <c r="Z52" i="40" s="1"/>
  <c r="T23" i="40"/>
  <c r="V23" i="40" s="1"/>
  <c r="X23" i="40" s="1"/>
  <c r="Z23" i="40" s="1"/>
  <c r="W21" i="40"/>
  <c r="V61" i="40"/>
  <c r="X61" i="40" s="1"/>
  <c r="Z61" i="40" s="1"/>
  <c r="W60" i="40"/>
  <c r="Q13" i="40"/>
  <c r="R13" i="40" s="1"/>
  <c r="U21" i="40"/>
  <c r="Y13" i="40"/>
  <c r="Y60" i="40"/>
  <c r="S13" i="40"/>
  <c r="T13" i="40" s="1"/>
  <c r="V13" i="40" s="1"/>
  <c r="X13" i="40" s="1"/>
  <c r="Z13" i="40" s="1"/>
  <c r="N32" i="40"/>
  <c r="L36" i="40"/>
  <c r="S21" i="40"/>
  <c r="Y58" i="40"/>
  <c r="Q21" i="40"/>
  <c r="R21" i="40" s="1"/>
  <c r="T21" i="40" s="1"/>
  <c r="G29" i="40"/>
  <c r="I27" i="40"/>
  <c r="I29" i="40" s="1"/>
  <c r="W58" i="40"/>
  <c r="Q60" i="40"/>
  <c r="R60" i="40" s="1"/>
  <c r="T60" i="40" s="1"/>
  <c r="V60" i="40" s="1"/>
  <c r="Q58" i="40"/>
  <c r="R58" i="40" s="1"/>
  <c r="T58" i="40" s="1"/>
  <c r="V58" i="40" s="1"/>
  <c r="N14" i="40"/>
  <c r="P14" i="40" s="1"/>
  <c r="Q14" i="40" s="1"/>
  <c r="R14" i="40" s="1"/>
  <c r="S22" i="40"/>
  <c r="W22" i="40"/>
  <c r="Q22" i="40"/>
  <c r="R22" i="40" s="1"/>
  <c r="E38" i="40"/>
  <c r="E40" i="40" s="1"/>
  <c r="E68" i="40" s="1"/>
  <c r="Y22" i="40"/>
  <c r="I24" i="40"/>
  <c r="M12" i="40"/>
  <c r="M24" i="40" s="1"/>
  <c r="L12" i="40"/>
  <c r="O12" i="40"/>
  <c r="O24" i="40" s="1"/>
  <c r="Q17" i="40"/>
  <c r="R17" i="40" s="1"/>
  <c r="U17" i="40"/>
  <c r="Y17" i="40"/>
  <c r="S17" i="40"/>
  <c r="W17" i="40"/>
  <c r="Y57" i="40"/>
  <c r="U57" i="40"/>
  <c r="Q57" i="40"/>
  <c r="R57" i="40" s="1"/>
  <c r="W57" i="40"/>
  <c r="S57" i="40"/>
  <c r="Q19" i="40"/>
  <c r="R19" i="40" s="1"/>
  <c r="U19" i="40"/>
  <c r="Y19" i="40"/>
  <c r="S19" i="40"/>
  <c r="W19" i="40"/>
  <c r="Q16" i="40"/>
  <c r="R16" i="40" s="1"/>
  <c r="U16" i="40"/>
  <c r="Y16" i="40"/>
  <c r="S16" i="40"/>
  <c r="W16" i="40"/>
  <c r="Q20" i="40"/>
  <c r="Y20" i="40"/>
  <c r="S20" i="40"/>
  <c r="U20" i="40"/>
  <c r="R20" i="40"/>
  <c r="W20" i="40"/>
  <c r="U15" i="40"/>
  <c r="Q15" i="40"/>
  <c r="R15" i="40" s="1"/>
  <c r="Y15" i="40"/>
  <c r="W15" i="40"/>
  <c r="S15" i="40"/>
  <c r="N56" i="40"/>
  <c r="L62" i="40"/>
  <c r="G38" i="40"/>
  <c r="V18" i="40" l="1"/>
  <c r="X18" i="40" s="1"/>
  <c r="Z18" i="40" s="1"/>
  <c r="X60" i="40"/>
  <c r="P59" i="40"/>
  <c r="T57" i="40"/>
  <c r="L51" i="40"/>
  <c r="I53" i="40"/>
  <c r="I64" i="40" s="1"/>
  <c r="I66" i="40" s="1"/>
  <c r="T17" i="40"/>
  <c r="V17" i="40" s="1"/>
  <c r="X17" i="40" s="1"/>
  <c r="Z17" i="40" s="1"/>
  <c r="V21" i="40"/>
  <c r="X21" i="40" s="1"/>
  <c r="Z21" i="40" s="1"/>
  <c r="Z60" i="40"/>
  <c r="X58" i="40"/>
  <c r="Z58" i="40" s="1"/>
  <c r="T22" i="40"/>
  <c r="V22" i="40" s="1"/>
  <c r="X22" i="40" s="1"/>
  <c r="Z22" i="40" s="1"/>
  <c r="U14" i="40"/>
  <c r="T16" i="40"/>
  <c r="V16" i="40" s="1"/>
  <c r="X16" i="40" s="1"/>
  <c r="Z16" i="40" s="1"/>
  <c r="L27" i="40"/>
  <c r="L29" i="40" s="1"/>
  <c r="W14" i="40"/>
  <c r="P32" i="40"/>
  <c r="N36" i="40"/>
  <c r="S14" i="40"/>
  <c r="T14" i="40" s="1"/>
  <c r="Y14" i="40"/>
  <c r="V57" i="40"/>
  <c r="X57" i="40" s="1"/>
  <c r="Z57" i="40" s="1"/>
  <c r="T19" i="40"/>
  <c r="V19" i="40" s="1"/>
  <c r="X19" i="40" s="1"/>
  <c r="Z19" i="40" s="1"/>
  <c r="T15" i="40"/>
  <c r="V15" i="40" s="1"/>
  <c r="X15" i="40" s="1"/>
  <c r="Z15" i="40" s="1"/>
  <c r="O38" i="40"/>
  <c r="O70" i="40" s="1"/>
  <c r="P56" i="40"/>
  <c r="N62" i="40"/>
  <c r="T20" i="40"/>
  <c r="V20" i="40" s="1"/>
  <c r="X20" i="40" s="1"/>
  <c r="Z20" i="40" s="1"/>
  <c r="N12" i="40"/>
  <c r="L24" i="40"/>
  <c r="G40" i="40"/>
  <c r="G68" i="40" s="1"/>
  <c r="M38" i="40"/>
  <c r="M70" i="40" s="1"/>
  <c r="I38" i="40"/>
  <c r="I40" i="40" s="1"/>
  <c r="I68" i="40" l="1"/>
  <c r="W59" i="40"/>
  <c r="S59" i="40"/>
  <c r="U59" i="40"/>
  <c r="Q59" i="40"/>
  <c r="R59" i="40" s="1"/>
  <c r="T59" i="40" s="1"/>
  <c r="V59" i="40" s="1"/>
  <c r="X59" i="40" s="1"/>
  <c r="Y59" i="40"/>
  <c r="N51" i="40"/>
  <c r="L53" i="40"/>
  <c r="L64" i="40" s="1"/>
  <c r="L66" i="40" s="1"/>
  <c r="V14" i="40"/>
  <c r="X14" i="40" s="1"/>
  <c r="Z14" i="40" s="1"/>
  <c r="P36" i="40"/>
  <c r="R32" i="40"/>
  <c r="Y32" i="40"/>
  <c r="Y36" i="40" s="1"/>
  <c r="L38" i="40"/>
  <c r="W56" i="40"/>
  <c r="W62" i="40" s="1"/>
  <c r="W64" i="40" s="1"/>
  <c r="S56" i="40"/>
  <c r="S62" i="40" s="1"/>
  <c r="S64" i="40" s="1"/>
  <c r="U56" i="40"/>
  <c r="U62" i="40" s="1"/>
  <c r="U64" i="40" s="1"/>
  <c r="P62" i="40"/>
  <c r="Y56" i="40"/>
  <c r="Q56" i="40"/>
  <c r="N24" i="40"/>
  <c r="P12" i="40"/>
  <c r="N37" i="51"/>
  <c r="Z59" i="40" l="1"/>
  <c r="Q62" i="40"/>
  <c r="Q64" i="40" s="1"/>
  <c r="Y62" i="40"/>
  <c r="Y64" i="40" s="1"/>
  <c r="N53" i="40"/>
  <c r="N64" i="40" s="1"/>
  <c r="N66" i="40" s="1"/>
  <c r="P51" i="40"/>
  <c r="R56" i="40"/>
  <c r="R62" i="40" s="1"/>
  <c r="T32" i="40"/>
  <c r="R36" i="40"/>
  <c r="L40" i="40"/>
  <c r="L68" i="40" s="1"/>
  <c r="Y12" i="40"/>
  <c r="Y24" i="40" s="1"/>
  <c r="U12" i="40"/>
  <c r="U24" i="40" s="1"/>
  <c r="Q12" i="40"/>
  <c r="Q24" i="40" s="1"/>
  <c r="P24" i="40"/>
  <c r="W12" i="40"/>
  <c r="W24" i="40" s="1"/>
  <c r="S12" i="40"/>
  <c r="S24" i="40" s="1"/>
  <c r="N38" i="40"/>
  <c r="T56" i="40" l="1"/>
  <c r="V56" i="40" s="1"/>
  <c r="R51" i="40"/>
  <c r="P53" i="40"/>
  <c r="P64" i="40" s="1"/>
  <c r="P66" i="40" s="1"/>
  <c r="N40" i="40"/>
  <c r="N68" i="40" s="1"/>
  <c r="V32" i="40"/>
  <c r="T36" i="40"/>
  <c r="Q38" i="40"/>
  <c r="Q70" i="40" s="1"/>
  <c r="U38" i="40"/>
  <c r="U70" i="40" s="1"/>
  <c r="S38" i="40"/>
  <c r="S70" i="40" s="1"/>
  <c r="Y38" i="40"/>
  <c r="Y70" i="40" s="1"/>
  <c r="W38" i="40"/>
  <c r="W70" i="40" s="1"/>
  <c r="P38" i="40"/>
  <c r="P40" i="40" s="1"/>
  <c r="R12" i="40"/>
  <c r="T62" i="40"/>
  <c r="P68" i="40" l="1"/>
  <c r="R53" i="40"/>
  <c r="R64" i="40" s="1"/>
  <c r="R66" i="40" s="1"/>
  <c r="T51" i="40"/>
  <c r="H235" i="1"/>
  <c r="X32" i="40"/>
  <c r="V36" i="40"/>
  <c r="X56" i="40"/>
  <c r="V62" i="40"/>
  <c r="R24" i="40"/>
  <c r="T12" i="40"/>
  <c r="T53" i="40" l="1"/>
  <c r="T64" i="40" s="1"/>
  <c r="T66" i="40" s="1"/>
  <c r="V51" i="40"/>
  <c r="X36" i="40"/>
  <c r="Z32" i="40"/>
  <c r="Z36" i="40" s="1"/>
  <c r="T24" i="40"/>
  <c r="V12" i="40"/>
  <c r="R38" i="40"/>
  <c r="R40" i="40" s="1"/>
  <c r="R68" i="40" s="1"/>
  <c r="Z56" i="40"/>
  <c r="Z62" i="40" s="1"/>
  <c r="X62" i="40"/>
  <c r="V53" i="40" l="1"/>
  <c r="V64" i="40" s="1"/>
  <c r="V66" i="40" s="1"/>
  <c r="X51" i="40"/>
  <c r="V24" i="40"/>
  <c r="X12" i="40"/>
  <c r="T38" i="40"/>
  <c r="A11" i="51"/>
  <c r="A13" i="51" s="1"/>
  <c r="A15" i="51" s="1"/>
  <c r="A17" i="51" s="1"/>
  <c r="A19" i="51" s="1"/>
  <c r="A21" i="51" s="1"/>
  <c r="A23" i="51" s="1"/>
  <c r="A25" i="51" s="1"/>
  <c r="A27" i="51" s="1"/>
  <c r="A29" i="51" s="1"/>
  <c r="A31" i="51" s="1"/>
  <c r="A33" i="51" s="1"/>
  <c r="A35" i="51" s="1"/>
  <c r="A37" i="51" s="1"/>
  <c r="L37" i="51"/>
  <c r="J37" i="51"/>
  <c r="H37" i="51"/>
  <c r="S84" i="7" s="1"/>
  <c r="F37" i="51"/>
  <c r="S83" i="7" s="1"/>
  <c r="S85" i="7" l="1"/>
  <c r="Z51" i="40"/>
  <c r="Z53" i="40" s="1"/>
  <c r="Z64" i="40" s="1"/>
  <c r="Z66" i="40" s="1"/>
  <c r="X53" i="40"/>
  <c r="X64" i="40" s="1"/>
  <c r="X66" i="40" s="1"/>
  <c r="T40" i="40"/>
  <c r="T68" i="40" s="1"/>
  <c r="Z12" i="40"/>
  <c r="Z24" i="40" s="1"/>
  <c r="X24" i="40"/>
  <c r="V38" i="40"/>
  <c r="V40" i="40" l="1"/>
  <c r="V68" i="40" s="1"/>
  <c r="X38" i="40"/>
  <c r="X40" i="40" s="1"/>
  <c r="X68" i="40" s="1"/>
  <c r="Z38" i="40"/>
  <c r="Z40" i="40" s="1"/>
  <c r="Z68" i="40" s="1"/>
  <c r="A28" i="47"/>
  <c r="T231" i="7"/>
  <c r="H106" i="1" s="1"/>
  <c r="E85" i="1"/>
  <c r="E84" i="1"/>
  <c r="E81" i="1"/>
  <c r="W20" i="45"/>
  <c r="G20" i="45"/>
  <c r="H20" i="45"/>
  <c r="I20" i="45"/>
  <c r="J20" i="45"/>
  <c r="K20" i="45"/>
  <c r="L20" i="45"/>
  <c r="M20" i="45"/>
  <c r="N20" i="45"/>
  <c r="O20" i="45"/>
  <c r="P20" i="45"/>
  <c r="Q20" i="45"/>
  <c r="R20" i="45"/>
  <c r="U18" i="45"/>
  <c r="U16" i="45"/>
  <c r="U12" i="45"/>
  <c r="H94" i="1"/>
  <c r="T61" i="7"/>
  <c r="H84" i="1" s="1"/>
  <c r="T60" i="7"/>
  <c r="H85" i="1" s="1"/>
  <c r="T59" i="7"/>
  <c r="H81" i="1" s="1"/>
  <c r="H76" i="1" l="1"/>
  <c r="U20" i="45"/>
  <c r="S20" i="45"/>
  <c r="H128" i="1"/>
  <c r="H99" i="1"/>
  <c r="E179" i="1"/>
  <c r="T138" i="7"/>
  <c r="H179" i="1" s="1"/>
  <c r="E124" i="1"/>
  <c r="E99" i="1"/>
  <c r="E254" i="1"/>
  <c r="E33" i="1"/>
  <c r="I15" i="14" l="1"/>
  <c r="A15" i="14"/>
  <c r="I19" i="2"/>
  <c r="I15" i="2"/>
  <c r="A15" i="2"/>
  <c r="C14" i="42"/>
  <c r="C15" i="42"/>
  <c r="C16" i="42"/>
  <c r="C17" i="42"/>
  <c r="C18" i="42"/>
  <c r="C19" i="42"/>
  <c r="C20" i="42"/>
  <c r="C21" i="42"/>
  <c r="C22" i="42"/>
  <c r="C23" i="42"/>
  <c r="C13" i="42"/>
  <c r="D30" i="5"/>
  <c r="D31" i="5" s="1"/>
  <c r="A28" i="5"/>
  <c r="A26" i="5"/>
  <c r="A21" i="5"/>
  <c r="A18" i="5"/>
  <c r="A14" i="5"/>
  <c r="E106" i="1"/>
  <c r="E108" i="1"/>
  <c r="E110" i="1"/>
  <c r="E104" i="1"/>
  <c r="E98" i="1"/>
  <c r="E94" i="1"/>
  <c r="E76" i="1"/>
  <c r="E26" i="1"/>
  <c r="E23" i="1"/>
  <c r="H220" i="1" l="1"/>
  <c r="H221" i="1"/>
  <c r="G16" i="47" l="1"/>
  <c r="G44" i="2" l="1"/>
  <c r="E235" i="1" l="1"/>
  <c r="E153" i="1"/>
  <c r="E152" i="1"/>
  <c r="E150" i="1"/>
  <c r="E149" i="1"/>
  <c r="E135" i="1"/>
  <c r="E134" i="1"/>
  <c r="E128" i="1"/>
  <c r="E127" i="1"/>
  <c r="E126" i="1"/>
  <c r="E84" i="14"/>
  <c r="G39" i="14"/>
  <c r="E39" i="14"/>
  <c r="D39" i="14"/>
  <c r="E44" i="2"/>
  <c r="H174" i="1"/>
  <c r="F162" i="1"/>
  <c r="T40" i="7" l="1"/>
  <c r="H73" i="1" s="1"/>
  <c r="T17" i="7" l="1"/>
  <c r="H33" i="1" s="1"/>
  <c r="A14" i="45" l="1"/>
  <c r="A16" i="45" s="1"/>
  <c r="A18" i="45" s="1"/>
  <c r="A20" i="45" s="1"/>
  <c r="A22" i="45" s="1"/>
  <c r="J16" i="50" l="1"/>
  <c r="S12" i="41"/>
  <c r="S37" i="41" s="1"/>
  <c r="H68" i="1" s="1"/>
  <c r="T143" i="7" l="1"/>
  <c r="F84" i="14" l="1"/>
  <c r="D84" i="14"/>
  <c r="E24" i="4"/>
  <c r="A10" i="50" l="1"/>
  <c r="J20" i="50"/>
  <c r="A12" i="50" l="1"/>
  <c r="A14" i="50" s="1"/>
  <c r="A16" i="50" s="1"/>
  <c r="F175" i="7"/>
  <c r="E283" i="1"/>
  <c r="L16" i="50" l="1"/>
  <c r="A18" i="50"/>
  <c r="A20" i="50" s="1"/>
  <c r="L20" i="50" l="1"/>
  <c r="F77" i="1" l="1"/>
  <c r="H135" i="1" l="1"/>
  <c r="H127" i="1"/>
  <c r="T25" i="7" l="1"/>
  <c r="T23" i="7"/>
  <c r="H46" i="1" s="1"/>
  <c r="E71" i="1" l="1"/>
  <c r="A37" i="49" l="1"/>
  <c r="A38" i="49" s="1"/>
  <c r="A39" i="49" s="1"/>
  <c r="A40" i="49" s="1"/>
  <c r="A41" i="49" s="1"/>
  <c r="A49" i="49" s="1"/>
  <c r="A50" i="49" s="1"/>
  <c r="A51" i="49" s="1"/>
  <c r="A52" i="49" s="1"/>
  <c r="A53" i="49" s="1"/>
  <c r="A54" i="49" s="1"/>
  <c r="A55" i="49" s="1"/>
  <c r="A56" i="49" s="1"/>
  <c r="A57" i="49" s="1"/>
  <c r="A58" i="49" s="1"/>
  <c r="A59" i="49" s="1"/>
  <c r="A60" i="49" s="1"/>
  <c r="A61" i="49" s="1"/>
  <c r="A62" i="49" s="1"/>
  <c r="A63" i="49" s="1"/>
  <c r="A64" i="49" s="1"/>
  <c r="A65" i="49" s="1"/>
  <c r="A66" i="49" s="1"/>
  <c r="A67" i="49" s="1"/>
  <c r="A68" i="49" s="1"/>
  <c r="A69" i="49" s="1"/>
  <c r="A70" i="49" s="1"/>
  <c r="A71" i="49" s="1"/>
  <c r="A72" i="49" s="1"/>
  <c r="A74" i="49" s="1"/>
  <c r="A37" i="8"/>
  <c r="A38" i="8" s="1"/>
  <c r="A39" i="8" s="1"/>
  <c r="A40" i="8" s="1"/>
  <c r="A41"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4" i="8" s="1"/>
  <c r="F19" i="1" l="1"/>
  <c r="K192" i="7" l="1"/>
  <c r="K190" i="7"/>
  <c r="F74" i="49"/>
  <c r="E74" i="49"/>
  <c r="I39" i="49" s="1"/>
  <c r="B3" i="49"/>
  <c r="B2" i="49"/>
  <c r="E282" i="1"/>
  <c r="F19" i="48" l="1"/>
  <c r="F23" i="48" s="1"/>
  <c r="J23" i="48" s="1"/>
  <c r="A14" i="48"/>
  <c r="A16" i="48" l="1"/>
  <c r="F27" i="48"/>
  <c r="F21" i="48"/>
  <c r="F29" i="48" l="1"/>
  <c r="J29" i="48" s="1"/>
  <c r="H280" i="1" s="1"/>
  <c r="J27" i="48"/>
  <c r="A17" i="48"/>
  <c r="A19" i="48" s="1"/>
  <c r="Y16" i="47"/>
  <c r="W16" i="47"/>
  <c r="U16" i="47"/>
  <c r="S16" i="47"/>
  <c r="Q16" i="47"/>
  <c r="O16" i="47"/>
  <c r="M16" i="47"/>
  <c r="K16" i="47"/>
  <c r="I16" i="47"/>
  <c r="C19" i="48" l="1"/>
  <c r="A21" i="48"/>
  <c r="A23" i="48" s="1"/>
  <c r="A25" i="48" s="1"/>
  <c r="A26" i="48" s="1"/>
  <c r="A27" i="48" s="1"/>
  <c r="A29" i="48" s="1"/>
  <c r="C23" i="48"/>
  <c r="C21" i="48"/>
  <c r="B340" i="7" l="1"/>
  <c r="B335" i="7"/>
  <c r="B330" i="7"/>
  <c r="B325" i="7"/>
  <c r="B320" i="7"/>
  <c r="B315" i="7"/>
  <c r="T312" i="7"/>
  <c r="M11" i="47" s="1"/>
  <c r="B310" i="7"/>
  <c r="B305" i="7"/>
  <c r="B300" i="7"/>
  <c r="T342" i="7"/>
  <c r="Y11" i="47" s="1"/>
  <c r="T341" i="7"/>
  <c r="Y10" i="47" s="1"/>
  <c r="T337" i="7"/>
  <c r="W11" i="47" s="1"/>
  <c r="T336" i="7"/>
  <c r="W10" i="47" s="1"/>
  <c r="T332" i="7"/>
  <c r="U11" i="47" s="1"/>
  <c r="T331" i="7"/>
  <c r="U10" i="47" s="1"/>
  <c r="T327" i="7"/>
  <c r="S11" i="47" s="1"/>
  <c r="T326" i="7"/>
  <c r="S10" i="47" s="1"/>
  <c r="T322" i="7"/>
  <c r="Q11" i="47" s="1"/>
  <c r="T321" i="7"/>
  <c r="Q10" i="47" s="1"/>
  <c r="T317" i="7"/>
  <c r="O11" i="47" s="1"/>
  <c r="T316" i="7"/>
  <c r="O10" i="47" s="1"/>
  <c r="T311" i="7"/>
  <c r="M10" i="47" s="1"/>
  <c r="T307" i="7"/>
  <c r="K11" i="47" s="1"/>
  <c r="T306" i="7"/>
  <c r="K10" i="47" s="1"/>
  <c r="T302" i="7"/>
  <c r="I11" i="47" s="1"/>
  <c r="T301" i="7"/>
  <c r="I10" i="47" s="1"/>
  <c r="T297" i="7"/>
  <c r="G11" i="47" s="1"/>
  <c r="T296" i="7"/>
  <c r="G10" i="47" s="1"/>
  <c r="A11" i="47"/>
  <c r="C12" i="47" s="1"/>
  <c r="A12" i="47" l="1"/>
  <c r="B287" i="7"/>
  <c r="B282" i="7"/>
  <c r="B277" i="7"/>
  <c r="B272" i="7"/>
  <c r="B267" i="7"/>
  <c r="B262" i="7"/>
  <c r="B257" i="7"/>
  <c r="B252" i="7"/>
  <c r="B247" i="7"/>
  <c r="B242" i="7"/>
  <c r="T290" i="7"/>
  <c r="Y13" i="46" s="1"/>
  <c r="T285" i="7"/>
  <c r="W13" i="46" s="1"/>
  <c r="T280" i="7"/>
  <c r="U13" i="46" s="1"/>
  <c r="T275" i="7"/>
  <c r="S13" i="46" s="1"/>
  <c r="T270" i="7"/>
  <c r="Q13" i="46" s="1"/>
  <c r="T265" i="7"/>
  <c r="O13" i="46" s="1"/>
  <c r="T260" i="7"/>
  <c r="M13" i="46" s="1"/>
  <c r="T255" i="7"/>
  <c r="K13" i="46" s="1"/>
  <c r="T250" i="7"/>
  <c r="I13" i="46" s="1"/>
  <c r="T245" i="7"/>
  <c r="G13" i="46" s="1"/>
  <c r="E281" i="1"/>
  <c r="A11" i="46"/>
  <c r="J2" i="46"/>
  <c r="K2" i="47" s="1"/>
  <c r="J1" i="46"/>
  <c r="K1" i="47" s="1"/>
  <c r="T289" i="7"/>
  <c r="T288" i="7"/>
  <c r="T284" i="7"/>
  <c r="T283" i="7"/>
  <c r="T279" i="7"/>
  <c r="T278" i="7"/>
  <c r="T274" i="7"/>
  <c r="T273" i="7"/>
  <c r="T269" i="7"/>
  <c r="T268" i="7"/>
  <c r="T264" i="7"/>
  <c r="T263" i="7"/>
  <c r="T259" i="7"/>
  <c r="T258" i="7"/>
  <c r="T254" i="7"/>
  <c r="T253" i="7"/>
  <c r="T249" i="7"/>
  <c r="T248" i="7"/>
  <c r="T244" i="7"/>
  <c r="T243" i="7"/>
  <c r="A12" i="46" l="1"/>
  <c r="C12" i="46"/>
  <c r="A14" i="47"/>
  <c r="A15" i="47" s="1"/>
  <c r="A13" i="46"/>
  <c r="A14" i="46" s="1"/>
  <c r="O10" i="46"/>
  <c r="M12" i="47"/>
  <c r="Y12" i="47"/>
  <c r="G12" i="47"/>
  <c r="O12" i="47"/>
  <c r="W12" i="47"/>
  <c r="U12" i="47"/>
  <c r="I10" i="46"/>
  <c r="Q10" i="46"/>
  <c r="Y10" i="46"/>
  <c r="Q12" i="47"/>
  <c r="K12" i="47"/>
  <c r="S12" i="47"/>
  <c r="S10" i="46"/>
  <c r="G11" i="46"/>
  <c r="U11" i="46"/>
  <c r="Q11" i="46"/>
  <c r="W10" i="46"/>
  <c r="Y11" i="46"/>
  <c r="K11" i="46"/>
  <c r="M10" i="46"/>
  <c r="O11" i="46"/>
  <c r="S11" i="46"/>
  <c r="M11" i="46"/>
  <c r="G10" i="46"/>
  <c r="I12" i="47"/>
  <c r="U10" i="46"/>
  <c r="W11" i="46"/>
  <c r="I11" i="46"/>
  <c r="K10" i="46"/>
  <c r="O12" i="46" l="1"/>
  <c r="O14" i="46" s="1"/>
  <c r="A15" i="46"/>
  <c r="A16" i="46" s="1"/>
  <c r="A17" i="46" s="1"/>
  <c r="A18" i="46" s="1"/>
  <c r="F281" i="1" s="1"/>
  <c r="C14" i="46"/>
  <c r="A16" i="47"/>
  <c r="A17" i="47" s="1"/>
  <c r="A19" i="47" s="1"/>
  <c r="C15" i="47"/>
  <c r="K12" i="46"/>
  <c r="K14" i="46" s="1"/>
  <c r="W12" i="46"/>
  <c r="W14" i="46" s="1"/>
  <c r="I12" i="46"/>
  <c r="I14" i="46" s="1"/>
  <c r="M12" i="46"/>
  <c r="M14" i="46" s="1"/>
  <c r="S12" i="46"/>
  <c r="S14" i="46" s="1"/>
  <c r="Y12" i="46"/>
  <c r="Y14" i="46" s="1"/>
  <c r="Q12" i="46"/>
  <c r="Q14" i="46" s="1"/>
  <c r="G12" i="46"/>
  <c r="G14" i="46" s="1"/>
  <c r="U12" i="46"/>
  <c r="U14" i="46" s="1"/>
  <c r="I13" i="14"/>
  <c r="I13" i="2"/>
  <c r="E65" i="1"/>
  <c r="E62" i="1"/>
  <c r="C18" i="46" l="1"/>
  <c r="C19" i="47"/>
  <c r="A21" i="47"/>
  <c r="A23" i="47" s="1"/>
  <c r="C28" i="47" s="1"/>
  <c r="J194" i="7"/>
  <c r="J195" i="7" s="1"/>
  <c r="C23" i="47" l="1"/>
  <c r="E76" i="14" l="1"/>
  <c r="F76" i="14"/>
  <c r="G76" i="14"/>
  <c r="B2" i="38" l="1"/>
  <c r="E185" i="1" l="1"/>
  <c r="E186" i="1"/>
  <c r="T144" i="7"/>
  <c r="H185" i="1" s="1"/>
  <c r="T145" i="7"/>
  <c r="H186" i="1" s="1"/>
  <c r="A13" i="4" l="1"/>
  <c r="G89" i="2"/>
  <c r="H28" i="44"/>
  <c r="C28" i="44"/>
  <c r="F27" i="44"/>
  <c r="I27" i="44" s="1"/>
  <c r="F26" i="44"/>
  <c r="I26" i="44" s="1"/>
  <c r="D26" i="44"/>
  <c r="D25" i="44" s="1"/>
  <c r="D24" i="44" s="1"/>
  <c r="D23" i="44" s="1"/>
  <c r="D22" i="44" s="1"/>
  <c r="D21" i="44" s="1"/>
  <c r="D20" i="44" s="1"/>
  <c r="D19" i="44" s="1"/>
  <c r="D18" i="44" s="1"/>
  <c r="D17" i="44" s="1"/>
  <c r="D16" i="44" s="1"/>
  <c r="F25" i="44"/>
  <c r="I25" i="44" s="1"/>
  <c r="F24" i="44"/>
  <c r="I24" i="44" s="1"/>
  <c r="F23" i="44"/>
  <c r="I23" i="44" s="1"/>
  <c r="F22" i="44"/>
  <c r="I22" i="44" s="1"/>
  <c r="F21" i="44"/>
  <c r="I21" i="44" s="1"/>
  <c r="F20" i="44"/>
  <c r="I20" i="44" s="1"/>
  <c r="F19" i="44"/>
  <c r="I19" i="44" s="1"/>
  <c r="F18" i="44"/>
  <c r="I18" i="44" s="1"/>
  <c r="F17" i="44"/>
  <c r="I17" i="44" s="1"/>
  <c r="F16" i="44"/>
  <c r="I16" i="44" s="1"/>
  <c r="E16" i="44"/>
  <c r="E17" i="44" s="1"/>
  <c r="E18" i="44" s="1"/>
  <c r="E19" i="44" s="1"/>
  <c r="E20" i="44" s="1"/>
  <c r="E21" i="44" s="1"/>
  <c r="E22" i="44" s="1"/>
  <c r="E23" i="44" s="1"/>
  <c r="E24" i="44" s="1"/>
  <c r="E25" i="44" s="1"/>
  <c r="E26" i="44" s="1"/>
  <c r="E27" i="44" s="1"/>
  <c r="L15" i="44"/>
  <c r="I28" i="44" l="1"/>
  <c r="O24" i="42" l="1"/>
  <c r="K24" i="42"/>
  <c r="D24" i="42"/>
  <c r="G23" i="42"/>
  <c r="G22" i="42"/>
  <c r="E22" i="42"/>
  <c r="E21" i="42" s="1"/>
  <c r="E20" i="42" s="1"/>
  <c r="E19" i="42" s="1"/>
  <c r="E18" i="42" s="1"/>
  <c r="E17" i="42" s="1"/>
  <c r="E16" i="42" s="1"/>
  <c r="E15" i="42" s="1"/>
  <c r="E14" i="42" s="1"/>
  <c r="E13" i="42" s="1"/>
  <c r="E12" i="42" s="1"/>
  <c r="G21" i="42"/>
  <c r="G20" i="42"/>
  <c r="G19" i="42"/>
  <c r="G18" i="42"/>
  <c r="G17" i="42"/>
  <c r="G16" i="42"/>
  <c r="G15" i="42"/>
  <c r="G14" i="42"/>
  <c r="G13" i="42"/>
  <c r="G12" i="42"/>
  <c r="F12" i="42"/>
  <c r="F13" i="42" s="1"/>
  <c r="F14" i="42" s="1"/>
  <c r="F15" i="42" s="1"/>
  <c r="F16" i="42" s="1"/>
  <c r="F17" i="42" s="1"/>
  <c r="F18" i="42" s="1"/>
  <c r="F19" i="42" s="1"/>
  <c r="F20" i="42" s="1"/>
  <c r="F21" i="42" s="1"/>
  <c r="F22" i="42" s="1"/>
  <c r="F23" i="42" s="1"/>
  <c r="J11" i="42"/>
  <c r="J23" i="42" l="1"/>
  <c r="J13" i="42"/>
  <c r="J14" i="42"/>
  <c r="J21" i="42"/>
  <c r="J17" i="42"/>
  <c r="J18" i="42"/>
  <c r="J22" i="42"/>
  <c r="J15" i="42"/>
  <c r="J19" i="42"/>
  <c r="J16" i="42"/>
  <c r="J20" i="42"/>
  <c r="A12" i="42" l="1"/>
  <c r="A13" i="42" s="1"/>
  <c r="A14" i="42" s="1"/>
  <c r="A15" i="42" s="1"/>
  <c r="A16" i="42" s="1"/>
  <c r="A17" i="42" s="1"/>
  <c r="A18" i="42" s="1"/>
  <c r="A19" i="42" s="1"/>
  <c r="A20" i="42" s="1"/>
  <c r="A21" i="42" s="1"/>
  <c r="A22" i="42" s="1"/>
  <c r="A23" i="42" s="1"/>
  <c r="A24" i="42" s="1"/>
  <c r="G13" i="4"/>
  <c r="G14" i="4"/>
  <c r="A14" i="4"/>
  <c r="A15" i="4" l="1"/>
  <c r="A19" i="4" s="1"/>
  <c r="A20" i="4" s="1"/>
  <c r="A24" i="4" s="1"/>
  <c r="G12" i="4"/>
  <c r="E15" i="4"/>
  <c r="I39" i="14"/>
  <c r="F222" i="1"/>
  <c r="G15" i="4" l="1"/>
  <c r="D37" i="5" l="1"/>
  <c r="D33" i="5" s="1"/>
  <c r="T140" i="7" l="1"/>
  <c r="H181" i="1" s="1"/>
  <c r="T141" i="7"/>
  <c r="H182" i="1" s="1"/>
  <c r="E181" i="1"/>
  <c r="E182" i="1"/>
  <c r="E279" i="1" l="1"/>
  <c r="F74" i="8"/>
  <c r="A10" i="14" l="1"/>
  <c r="G86" i="14"/>
  <c r="E86" i="14"/>
  <c r="D86" i="14"/>
  <c r="C86" i="14"/>
  <c r="G85" i="14"/>
  <c r="E85" i="14"/>
  <c r="D85" i="14"/>
  <c r="C85" i="14"/>
  <c r="F85" i="14"/>
  <c r="F86" i="14"/>
  <c r="E38" i="14"/>
  <c r="E40" i="14" s="1"/>
  <c r="A10" i="2"/>
  <c r="A15" i="5" l="1"/>
  <c r="A16" i="5" s="1"/>
  <c r="A17" i="5" s="1"/>
  <c r="A22" i="5" s="1"/>
  <c r="A11" i="14"/>
  <c r="A12" i="14" s="1"/>
  <c r="I12" i="14"/>
  <c r="A11" i="2"/>
  <c r="A12" i="2" s="1"/>
  <c r="I12" i="2"/>
  <c r="E87" i="14"/>
  <c r="F87" i="14"/>
  <c r="G40" i="14"/>
  <c r="A13" i="14" l="1"/>
  <c r="A14" i="14" s="1"/>
  <c r="A26" i="14" s="1"/>
  <c r="A27" i="14" s="1"/>
  <c r="A28" i="14" s="1"/>
  <c r="A29" i="14" s="1"/>
  <c r="A30" i="14" s="1"/>
  <c r="A31" i="14" s="1"/>
  <c r="A32" i="14" s="1"/>
  <c r="A33" i="14" s="1"/>
  <c r="A34" i="14" s="1"/>
  <c r="A35" i="14" s="1"/>
  <c r="A36" i="14" s="1"/>
  <c r="A37" i="14" s="1"/>
  <c r="A38" i="14" s="1"/>
  <c r="A39" i="14" s="1"/>
  <c r="A40" i="14" s="1"/>
  <c r="A13" i="2"/>
  <c r="A14" i="2" s="1"/>
  <c r="I16" i="2" s="1"/>
  <c r="I3" i="44"/>
  <c r="I2" i="44"/>
  <c r="B1" i="2"/>
  <c r="A59" i="14" l="1"/>
  <c r="A60" i="14" s="1"/>
  <c r="A61" i="14" s="1"/>
  <c r="I9" i="14"/>
  <c r="A16" i="2"/>
  <c r="A17" i="2" s="1"/>
  <c r="A18" i="2" s="1"/>
  <c r="A19" i="2" s="1"/>
  <c r="A16" i="44"/>
  <c r="A17" i="44" s="1"/>
  <c r="A18" i="44" s="1"/>
  <c r="A19" i="44" s="1"/>
  <c r="A20" i="44" s="1"/>
  <c r="A21" i="44" s="1"/>
  <c r="A22" i="44" s="1"/>
  <c r="A23" i="44" s="1"/>
  <c r="A24" i="44" s="1"/>
  <c r="A25" i="44" s="1"/>
  <c r="A26" i="44" s="1"/>
  <c r="A27" i="44" s="1"/>
  <c r="A28" i="44" l="1"/>
  <c r="A34" i="44" s="1"/>
  <c r="A35" i="44" s="1"/>
  <c r="A36" i="44" s="1"/>
  <c r="A37" i="44" s="1"/>
  <c r="A38" i="44" s="1"/>
  <c r="A39" i="44" s="1"/>
  <c r="A40" i="44" s="1"/>
  <c r="A41" i="44" s="1"/>
  <c r="A42" i="44" s="1"/>
  <c r="A43" i="44" s="1"/>
  <c r="A44" i="44" s="1"/>
  <c r="A45" i="44" s="1"/>
  <c r="A77" i="14"/>
  <c r="A78" i="14" s="1"/>
  <c r="A79" i="14" s="1"/>
  <c r="A80" i="14" s="1"/>
  <c r="A81" i="14" s="1"/>
  <c r="A82" i="14" s="1"/>
  <c r="A83" i="14" s="1"/>
  <c r="A84" i="14" s="1"/>
  <c r="A85" i="14" s="1"/>
  <c r="A86" i="14" s="1"/>
  <c r="A87" i="14" s="1"/>
  <c r="I11" i="14" s="1"/>
  <c r="I10" i="14"/>
  <c r="A31" i="2" l="1"/>
  <c r="A32" i="2" s="1"/>
  <c r="A33" i="2" s="1"/>
  <c r="A34" i="2" s="1"/>
  <c r="A35" i="2" s="1"/>
  <c r="A36" i="2" s="1"/>
  <c r="A37" i="2" s="1"/>
  <c r="A38" i="2" s="1"/>
  <c r="A39" i="2" s="1"/>
  <c r="A40" i="2" s="1"/>
  <c r="A41" i="2" s="1"/>
  <c r="A42" i="2" s="1"/>
  <c r="A43" i="2" s="1"/>
  <c r="A44" i="2" s="1"/>
  <c r="A45" i="2" s="1"/>
  <c r="A62" i="2" l="1"/>
  <c r="I9" i="2"/>
  <c r="A63" i="2" l="1"/>
  <c r="A64" i="2" s="1"/>
  <c r="I10" i="2" s="1"/>
  <c r="A83" i="2"/>
  <c r="A84" i="2" s="1"/>
  <c r="A85" i="2" s="1"/>
  <c r="A86" i="2" s="1"/>
  <c r="A87" i="2" s="1"/>
  <c r="A88" i="2" s="1"/>
  <c r="A89" i="2" s="1"/>
  <c r="A90" i="2" s="1"/>
  <c r="A91" i="2" s="1"/>
  <c r="A92" i="2" s="1"/>
  <c r="I11" i="2" s="1"/>
  <c r="B53" i="14" l="1"/>
  <c r="E91" i="2"/>
  <c r="G91" i="2"/>
  <c r="D91" i="2"/>
  <c r="F101" i="1" l="1"/>
  <c r="F82" i="1"/>
  <c r="H108" i="1"/>
  <c r="H98" i="1"/>
  <c r="H104" i="1"/>
  <c r="H100" i="1" l="1"/>
  <c r="I39" i="8" l="1"/>
  <c r="T203" i="7" l="1"/>
  <c r="H65" i="1" s="1"/>
  <c r="A11" i="41" l="1"/>
  <c r="F2" i="41"/>
  <c r="F1" i="41"/>
  <c r="B3" i="8"/>
  <c r="B2" i="8"/>
  <c r="I3" i="40"/>
  <c r="B2" i="51" s="1"/>
  <c r="I2" i="40"/>
  <c r="A2" i="7"/>
  <c r="B2" i="14"/>
  <c r="B52" i="14" s="1"/>
  <c r="B71" i="14" s="1"/>
  <c r="B55" i="2"/>
  <c r="B76" i="2" s="1"/>
  <c r="B1" i="51" l="1"/>
  <c r="B1" i="45"/>
  <c r="A12" i="41"/>
  <c r="A13" i="41" s="1"/>
  <c r="A14" i="41" s="1"/>
  <c r="A15" i="41" s="1"/>
  <c r="A16" i="41" s="1"/>
  <c r="A17" i="41" s="1"/>
  <c r="A18" i="41" s="1"/>
  <c r="A19" i="41" s="1"/>
  <c r="A20" i="41" s="1"/>
  <c r="A1" i="48"/>
  <c r="B2" i="45"/>
  <c r="A2" i="48"/>
  <c r="B89" i="14"/>
  <c r="B72" i="14"/>
  <c r="G61" i="14"/>
  <c r="F10" i="14" s="1"/>
  <c r="F61" i="14"/>
  <c r="E10" i="14" s="1"/>
  <c r="D61" i="14"/>
  <c r="D58" i="14"/>
  <c r="D76" i="14" s="1"/>
  <c r="D87" i="14" s="1"/>
  <c r="D9" i="14"/>
  <c r="B95" i="2"/>
  <c r="D90" i="2"/>
  <c r="E90" i="2"/>
  <c r="G90" i="2"/>
  <c r="G92" i="2" s="1"/>
  <c r="F11" i="2" s="1"/>
  <c r="F90" i="2"/>
  <c r="F91" i="2"/>
  <c r="D64" i="2"/>
  <c r="D61" i="2"/>
  <c r="D81" i="2" s="1"/>
  <c r="A21" i="41" l="1"/>
  <c r="A22" i="41" s="1"/>
  <c r="A23" i="41" s="1"/>
  <c r="D11" i="14"/>
  <c r="E11" i="14"/>
  <c r="F9" i="14"/>
  <c r="F68" i="1" l="1"/>
  <c r="B1" i="14"/>
  <c r="A10" i="7"/>
  <c r="A11" i="7" s="1"/>
  <c r="F20" i="1" s="1"/>
  <c r="E174" i="1"/>
  <c r="E50" i="1"/>
  <c r="E48" i="1"/>
  <c r="E46" i="1"/>
  <c r="E20" i="1"/>
  <c r="H229" i="1"/>
  <c r="H213" i="1"/>
  <c r="A12" i="7" l="1"/>
  <c r="F49" i="1" s="1"/>
  <c r="B70" i="14"/>
  <c r="B51" i="14"/>
  <c r="H169" i="1"/>
  <c r="A13" i="7" l="1"/>
  <c r="A14" i="7" s="1"/>
  <c r="A17" i="7" s="1"/>
  <c r="F33" i="1" s="1"/>
  <c r="H10" i="1"/>
  <c r="H12" i="1"/>
  <c r="H13" i="1"/>
  <c r="A18" i="7" l="1"/>
  <c r="F35" i="1" s="1"/>
  <c r="T20" i="7"/>
  <c r="T19" i="7"/>
  <c r="H36" i="1" s="1"/>
  <c r="H273" i="1"/>
  <c r="T10" i="7"/>
  <c r="T13" i="7"/>
  <c r="T14" i="7"/>
  <c r="A19" i="7" l="1"/>
  <c r="F36" i="1" s="1"/>
  <c r="H49" i="1"/>
  <c r="D44" i="2"/>
  <c r="A20" i="7" l="1"/>
  <c r="F37" i="1" s="1"/>
  <c r="E89" i="2"/>
  <c r="E92" i="2" s="1"/>
  <c r="A23" i="7" l="1"/>
  <c r="F46" i="1" s="1"/>
  <c r="D11" i="2"/>
  <c r="A24" i="7" l="1"/>
  <c r="F48" i="1" s="1"/>
  <c r="A25" i="7" l="1"/>
  <c r="F50" i="1" s="1"/>
  <c r="H258" i="1"/>
  <c r="H124" i="1"/>
  <c r="H129" i="1" s="1"/>
  <c r="H37" i="1"/>
  <c r="H50" i="1"/>
  <c r="F89" i="2"/>
  <c r="F92" i="2" s="1"/>
  <c r="E11" i="2" s="1"/>
  <c r="H194" i="7"/>
  <c r="T139" i="7"/>
  <c r="H180" i="1" s="1"/>
  <c r="T142" i="7"/>
  <c r="H183" i="1" s="1"/>
  <c r="H191" i="1"/>
  <c r="T135" i="7"/>
  <c r="H173" i="1" s="1"/>
  <c r="T136" i="7"/>
  <c r="H175" i="1" s="1"/>
  <c r="H212" i="1"/>
  <c r="H283" i="1"/>
  <c r="B77" i="2"/>
  <c r="B75" i="2"/>
  <c r="B56" i="2"/>
  <c r="B54" i="2"/>
  <c r="E20" i="4"/>
  <c r="E41" i="4"/>
  <c r="I194" i="7"/>
  <c r="I195" i="7" s="1"/>
  <c r="E191" i="7"/>
  <c r="C175" i="7"/>
  <c r="C168" i="7"/>
  <c r="C153" i="7"/>
  <c r="A3" i="5"/>
  <c r="A2" i="5"/>
  <c r="A25" i="4"/>
  <c r="A26" i="4" s="1"/>
  <c r="A27" i="4" s="1"/>
  <c r="A3" i="4"/>
  <c r="A2" i="4"/>
  <c r="E287" i="1"/>
  <c r="C272" i="1"/>
  <c r="E258" i="1"/>
  <c r="C257" i="1"/>
  <c r="E201" i="1"/>
  <c r="E184" i="1"/>
  <c r="E183" i="1"/>
  <c r="E180" i="1"/>
  <c r="E178" i="1"/>
  <c r="E175" i="1"/>
  <c r="E173" i="1"/>
  <c r="E172" i="1"/>
  <c r="F155" i="1"/>
  <c r="F130" i="1"/>
  <c r="E73" i="1"/>
  <c r="E68" i="1"/>
  <c r="F52" i="1"/>
  <c r="C52" i="1"/>
  <c r="E49" i="1"/>
  <c r="F39" i="1"/>
  <c r="E37" i="1"/>
  <c r="E36" i="1"/>
  <c r="E35" i="1"/>
  <c r="E19" i="1"/>
  <c r="A19" i="1"/>
  <c r="A12" i="1"/>
  <c r="H215" i="1" l="1"/>
  <c r="H200" i="1"/>
  <c r="A29" i="4"/>
  <c r="H195" i="7"/>
  <c r="K195" i="7" s="1"/>
  <c r="H71" i="1" s="1"/>
  <c r="K194" i="7"/>
  <c r="A20" i="1"/>
  <c r="A21" i="1" s="1"/>
  <c r="A34" i="4"/>
  <c r="A35" i="4" s="1"/>
  <c r="A36" i="4" s="1"/>
  <c r="A37" i="4" s="1"/>
  <c r="A38" i="4" s="1"/>
  <c r="A39" i="4" s="1"/>
  <c r="A40" i="4" s="1"/>
  <c r="A41" i="4" s="1"/>
  <c r="A43" i="4" s="1"/>
  <c r="A45" i="4" s="1"/>
  <c r="A47" i="4" s="1"/>
  <c r="A13" i="1"/>
  <c r="F14" i="1" s="1"/>
  <c r="H136" i="1"/>
  <c r="H257" i="1"/>
  <c r="H14" i="1"/>
  <c r="H217" i="1" l="1"/>
  <c r="H230" i="1"/>
  <c r="I17" i="46"/>
  <c r="H231" i="1"/>
  <c r="M17" i="46"/>
  <c r="Y17" i="46"/>
  <c r="F21" i="1"/>
  <c r="H184" i="1"/>
  <c r="A14" i="1"/>
  <c r="F16" i="1" s="1"/>
  <c r="H16" i="1"/>
  <c r="H259" i="1"/>
  <c r="H216" i="1"/>
  <c r="O17" i="46" l="1"/>
  <c r="H225" i="1"/>
  <c r="K17" i="46"/>
  <c r="U17" i="46"/>
  <c r="H236" i="1"/>
  <c r="W17" i="46"/>
  <c r="S17" i="46"/>
  <c r="G17" i="46"/>
  <c r="Q17" i="46"/>
  <c r="H232" i="1"/>
  <c r="V10" i="45"/>
  <c r="V14" i="45" s="1"/>
  <c r="V20" i="45" s="1"/>
  <c r="W22" i="45" s="1"/>
  <c r="T237" i="7" s="1"/>
  <c r="H110" i="1" s="1"/>
  <c r="P22" i="42"/>
  <c r="Q22" i="42" s="1"/>
  <c r="R22" i="42" s="1"/>
  <c r="P17" i="42"/>
  <c r="Q17" i="42" s="1"/>
  <c r="R17" i="42" s="1"/>
  <c r="P14" i="42"/>
  <c r="Q14" i="42" s="1"/>
  <c r="R14" i="42" s="1"/>
  <c r="P11" i="42"/>
  <c r="Q11" i="42" s="1"/>
  <c r="R11" i="42" s="1"/>
  <c r="P21" i="42"/>
  <c r="Q21" i="42" s="1"/>
  <c r="R21" i="42" s="1"/>
  <c r="P18" i="42"/>
  <c r="Q18" i="42" s="1"/>
  <c r="R18" i="42" s="1"/>
  <c r="P12" i="42"/>
  <c r="Q12" i="42" s="1"/>
  <c r="R12" i="42" s="1"/>
  <c r="P20" i="42"/>
  <c r="Q20" i="42" s="1"/>
  <c r="R20" i="42" s="1"/>
  <c r="P15" i="42"/>
  <c r="Q15" i="42" s="1"/>
  <c r="R15" i="42" s="1"/>
  <c r="P19" i="42"/>
  <c r="Q19" i="42" s="1"/>
  <c r="R19" i="42" s="1"/>
  <c r="P16" i="42"/>
  <c r="Q16" i="42" s="1"/>
  <c r="R16" i="42" s="1"/>
  <c r="P13" i="42"/>
  <c r="Q13" i="42" s="1"/>
  <c r="R13" i="42" s="1"/>
  <c r="P23" i="42"/>
  <c r="Q23" i="42" s="1"/>
  <c r="R23" i="42" s="1"/>
  <c r="H77" i="1"/>
  <c r="H222" i="1"/>
  <c r="J44" i="44"/>
  <c r="L44" i="44" s="1"/>
  <c r="J42" i="44"/>
  <c r="L42" i="44" s="1"/>
  <c r="J40" i="44"/>
  <c r="L40" i="44" s="1"/>
  <c r="J38" i="44"/>
  <c r="L38" i="44" s="1"/>
  <c r="J36" i="44"/>
  <c r="L36" i="44" s="1"/>
  <c r="J34" i="44"/>
  <c r="V34" i="44" s="1"/>
  <c r="W34" i="44" s="1"/>
  <c r="J43" i="44"/>
  <c r="L43" i="44" s="1"/>
  <c r="J37" i="44"/>
  <c r="L37" i="44" s="1"/>
  <c r="J45" i="44"/>
  <c r="L45" i="44" s="1"/>
  <c r="J41" i="44"/>
  <c r="L41" i="44" s="1"/>
  <c r="J39" i="44"/>
  <c r="L39" i="44" s="1"/>
  <c r="J35" i="44"/>
  <c r="L35" i="44" s="1"/>
  <c r="F13" i="2"/>
  <c r="G64" i="2"/>
  <c r="F10" i="2" s="1"/>
  <c r="F13" i="14"/>
  <c r="H101" i="1"/>
  <c r="H155" i="1"/>
  <c r="H52" i="1"/>
  <c r="H82" i="1"/>
  <c r="F27" i="4"/>
  <c r="H39" i="1"/>
  <c r="H130" i="1"/>
  <c r="H260" i="1"/>
  <c r="H237" i="1" l="1"/>
  <c r="L34" i="44"/>
  <c r="H102" i="1"/>
  <c r="H223" i="1"/>
  <c r="H78" i="1"/>
  <c r="R24" i="42"/>
  <c r="F18" i="2" s="1"/>
  <c r="H131" i="1"/>
  <c r="H83" i="1"/>
  <c r="H224" i="1" l="1"/>
  <c r="H86" i="1"/>
  <c r="A23" i="1"/>
  <c r="F24" i="1" s="1"/>
  <c r="H226" i="1" l="1"/>
  <c r="A24" i="1"/>
  <c r="A26" i="1" s="1"/>
  <c r="F64" i="2" l="1"/>
  <c r="E10" i="2" s="1"/>
  <c r="A27" i="1"/>
  <c r="A33" i="1" s="1"/>
  <c r="F27" i="1"/>
  <c r="I14" i="2" l="1"/>
  <c r="I14" i="14"/>
  <c r="F95" i="1"/>
  <c r="F139" i="1"/>
  <c r="A35" i="1" l="1"/>
  <c r="A36" i="1" s="1"/>
  <c r="A37" i="1" s="1"/>
  <c r="F38" i="1" s="1"/>
  <c r="F257" i="1" l="1"/>
  <c r="A38" i="1"/>
  <c r="A39" i="1" s="1"/>
  <c r="F40" i="1" s="1"/>
  <c r="A40" i="1" l="1"/>
  <c r="A42" i="1" l="1"/>
  <c r="F42" i="1"/>
  <c r="F23" i="1" l="1"/>
  <c r="A46" i="1"/>
  <c r="A48" i="1" l="1"/>
  <c r="A49" i="1" l="1"/>
  <c r="A50" i="1" s="1"/>
  <c r="A51" i="1" s="1"/>
  <c r="A31" i="7"/>
  <c r="F12" i="1" l="1"/>
  <c r="A32" i="7"/>
  <c r="F51" i="1"/>
  <c r="F13" i="1" l="1"/>
  <c r="A33" i="7"/>
  <c r="A40" i="7" s="1"/>
  <c r="A52" i="1"/>
  <c r="A53" i="1" s="1"/>
  <c r="F10" i="1" l="1"/>
  <c r="A55" i="1"/>
  <c r="F55" i="1"/>
  <c r="F53" i="1"/>
  <c r="F73" i="1" l="1"/>
  <c r="A57" i="1"/>
  <c r="F57" i="1"/>
  <c r="A47" i="7" l="1"/>
  <c r="A48" i="7" s="1"/>
  <c r="A49" i="7" s="1"/>
  <c r="A50" i="7" s="1"/>
  <c r="A51" i="7" s="1"/>
  <c r="A62" i="1"/>
  <c r="F244" i="1"/>
  <c r="F26" i="1"/>
  <c r="A59" i="7" l="1"/>
  <c r="F76" i="1"/>
  <c r="F81" i="1"/>
  <c r="A65" i="1"/>
  <c r="A68" i="1" s="1"/>
  <c r="A71" i="1" l="1"/>
  <c r="A73" i="1" s="1"/>
  <c r="A76" i="1" s="1"/>
  <c r="F273" i="1"/>
  <c r="A60" i="7"/>
  <c r="A61" i="7" s="1"/>
  <c r="A67" i="7" l="1"/>
  <c r="F84" i="1"/>
  <c r="F85" i="1"/>
  <c r="A77" i="1"/>
  <c r="A78" i="1" s="1"/>
  <c r="A81" i="1" s="1"/>
  <c r="F78" i="1" l="1"/>
  <c r="F119" i="1"/>
  <c r="A82" i="1"/>
  <c r="A83" i="1" s="1"/>
  <c r="A68" i="7" l="1"/>
  <c r="A69" i="7" s="1"/>
  <c r="F83" i="1"/>
  <c r="A85" i="1"/>
  <c r="A70" i="7" l="1"/>
  <c r="F120" i="1" s="1"/>
  <c r="A86" i="1"/>
  <c r="F86" i="1"/>
  <c r="A89" i="1" l="1"/>
  <c r="A90" i="1" s="1"/>
  <c r="A91" i="1" s="1"/>
  <c r="A77" i="7"/>
  <c r="F125" i="1" s="1"/>
  <c r="A83" i="7" l="1"/>
  <c r="F124" i="1" s="1"/>
  <c r="A94" i="1"/>
  <c r="F91" i="1"/>
  <c r="A95" i="1" l="1"/>
  <c r="A96" i="1" s="1"/>
  <c r="A98" i="1" l="1"/>
  <c r="F96" i="1"/>
  <c r="A99" i="1" l="1"/>
  <c r="A100" i="1" s="1"/>
  <c r="F100" i="1" l="1"/>
  <c r="A101" i="1"/>
  <c r="A102" i="1" s="1"/>
  <c r="F102" i="1" l="1"/>
  <c r="A104" i="1"/>
  <c r="A106" i="1" l="1"/>
  <c r="A108" i="1" l="1"/>
  <c r="A84" i="7"/>
  <c r="A85" i="7" s="1"/>
  <c r="F127" i="1" l="1"/>
  <c r="A92" i="7"/>
  <c r="F126" i="1" s="1"/>
  <c r="F135" i="1"/>
  <c r="A110" i="1"/>
  <c r="A112" i="1" l="1"/>
  <c r="A114" i="1" s="1"/>
  <c r="F112" i="1"/>
  <c r="A93" i="7"/>
  <c r="F134" i="1" s="1"/>
  <c r="A100" i="7" l="1"/>
  <c r="F245" i="1"/>
  <c r="F114" i="1"/>
  <c r="A119" i="1"/>
  <c r="F246" i="1"/>
  <c r="A101" i="7" l="1"/>
  <c r="A108" i="7" s="1"/>
  <c r="F149" i="1" s="1"/>
  <c r="A120" i="1"/>
  <c r="A121" i="1" s="1"/>
  <c r="F128" i="1" l="1"/>
  <c r="A124" i="1"/>
  <c r="A109" i="7"/>
  <c r="F152" i="1" s="1"/>
  <c r="F121" i="1"/>
  <c r="A125" i="1"/>
  <c r="A110" i="7" l="1"/>
  <c r="F153" i="1" s="1"/>
  <c r="A126" i="1"/>
  <c r="A127" i="1" s="1"/>
  <c r="A128" i="1" s="1"/>
  <c r="A129" i="1" s="1"/>
  <c r="F138" i="1"/>
  <c r="A117" i="7" l="1"/>
  <c r="H12" i="4" s="1"/>
  <c r="F129" i="1"/>
  <c r="A130" i="1"/>
  <c r="A131" i="1" s="1"/>
  <c r="A134" i="1" s="1"/>
  <c r="A135" i="1" s="1"/>
  <c r="A136" i="1" s="1"/>
  <c r="A118" i="7" l="1"/>
  <c r="A119" i="7" s="1"/>
  <c r="A126" i="7" s="1"/>
  <c r="A127" i="7" s="1"/>
  <c r="A128" i="7" s="1"/>
  <c r="A129" i="7" s="1"/>
  <c r="A130" i="7" s="1"/>
  <c r="A131" i="7" s="1"/>
  <c r="A132" i="7" s="1"/>
  <c r="F167" i="1" s="1"/>
  <c r="F136" i="1"/>
  <c r="F131" i="1"/>
  <c r="A138" i="1"/>
  <c r="A133" i="7" l="1"/>
  <c r="F169" i="1" s="1"/>
  <c r="A139" i="1"/>
  <c r="F140" i="1" s="1"/>
  <c r="A140" i="1" l="1"/>
  <c r="A142" i="1" l="1"/>
  <c r="F142" i="1"/>
  <c r="A144" i="1" l="1"/>
  <c r="F248" i="1" s="1"/>
  <c r="F144" i="1"/>
  <c r="F89" i="1" l="1"/>
  <c r="A149" i="1"/>
  <c r="A150" i="1" s="1"/>
  <c r="A152" i="1" s="1"/>
  <c r="A153" i="1" s="1"/>
  <c r="A154" i="1" s="1"/>
  <c r="A155" i="1" s="1"/>
  <c r="A156" i="1" s="1"/>
  <c r="F158" i="1" s="1"/>
  <c r="F156" i="1" l="1"/>
  <c r="F154" i="1"/>
  <c r="A158" i="1"/>
  <c r="A162" i="1" s="1"/>
  <c r="F249" i="1" l="1"/>
  <c r="A164" i="1"/>
  <c r="F164" i="1"/>
  <c r="A167" i="1" l="1"/>
  <c r="F250" i="1"/>
  <c r="A169" i="1" l="1"/>
  <c r="A172" i="1" l="1"/>
  <c r="A173" i="1" l="1"/>
  <c r="A174" i="1" l="1"/>
  <c r="F191" i="1" s="1"/>
  <c r="A175" i="1" l="1"/>
  <c r="F176" i="1" l="1"/>
  <c r="A176" i="1"/>
  <c r="F192" i="1" s="1"/>
  <c r="A178" i="1" l="1"/>
  <c r="F190" i="1" s="1"/>
  <c r="A180" i="1" l="1"/>
  <c r="A181" i="1" s="1"/>
  <c r="A182" i="1" s="1"/>
  <c r="A183" i="1" s="1"/>
  <c r="A184" i="1" s="1"/>
  <c r="A185" i="1" s="1"/>
  <c r="A186" i="1" s="1"/>
  <c r="A187" i="1" s="1"/>
  <c r="A190" i="1" s="1"/>
  <c r="A191" i="1" l="1"/>
  <c r="F187" i="1"/>
  <c r="F199" i="1"/>
  <c r="A192" i="1" l="1"/>
  <c r="F193" i="1" s="1"/>
  <c r="F200" i="1"/>
  <c r="A193" i="1" l="1"/>
  <c r="F197" i="1" l="1"/>
  <c r="F195" i="1"/>
  <c r="A195" i="1"/>
  <c r="F196" i="1"/>
  <c r="A196" i="1" l="1"/>
  <c r="A197" i="1" l="1"/>
  <c r="C16" i="46" l="1"/>
  <c r="A199" i="1"/>
  <c r="A200" i="1" l="1"/>
  <c r="F203" i="1"/>
  <c r="A201" i="1" l="1"/>
  <c r="F204" i="1"/>
  <c r="A203" i="1" l="1"/>
  <c r="F205" i="1"/>
  <c r="A204" i="1" l="1"/>
  <c r="A205" i="1" l="1"/>
  <c r="A206" i="1" s="1"/>
  <c r="A208" i="1" l="1"/>
  <c r="A211" i="1" s="1"/>
  <c r="A212" i="1" s="1"/>
  <c r="A213" i="1" s="1"/>
  <c r="A214" i="1" s="1"/>
  <c r="F206" i="1"/>
  <c r="F208" i="1"/>
  <c r="F251" i="1" l="1"/>
  <c r="A215" i="1"/>
  <c r="A216" i="1" l="1"/>
  <c r="F238" i="1" s="1"/>
  <c r="A217" i="1" l="1"/>
  <c r="C17" i="46" l="1"/>
  <c r="F231" i="1"/>
  <c r="A220" i="1"/>
  <c r="A221" i="1" s="1"/>
  <c r="A222" i="1" s="1"/>
  <c r="A223" i="1" s="1"/>
  <c r="F225" i="1"/>
  <c r="F236" i="1" s="1"/>
  <c r="A224" i="1" l="1"/>
  <c r="F224" i="1"/>
  <c r="F223" i="1"/>
  <c r="A225" i="1" l="1"/>
  <c r="F226" i="1" s="1"/>
  <c r="A226" i="1" l="1"/>
  <c r="A229" i="1" s="1"/>
  <c r="F230" i="1" s="1"/>
  <c r="A230" i="1" l="1"/>
  <c r="A231" i="1" l="1"/>
  <c r="A232" i="1" l="1"/>
  <c r="A235" i="1" s="1"/>
  <c r="F232" i="1"/>
  <c r="A236" i="1" l="1"/>
  <c r="A237" i="1" s="1"/>
  <c r="A238" i="1" s="1"/>
  <c r="F237" i="1" l="1"/>
  <c r="F239" i="1"/>
  <c r="A239" i="1"/>
  <c r="A244" i="1" l="1"/>
  <c r="A245" i="1" s="1"/>
  <c r="A246" i="1" s="1"/>
  <c r="A248" i="1" s="1"/>
  <c r="F252" i="1"/>
  <c r="A249" i="1" l="1"/>
  <c r="A250" i="1" s="1"/>
  <c r="A251" i="1" s="1"/>
  <c r="A252" i="1" s="1"/>
  <c r="A254" i="1" s="1"/>
  <c r="F254" i="1" l="1"/>
  <c r="F272" i="1"/>
  <c r="A257" i="1"/>
  <c r="F261" i="1"/>
  <c r="A258" i="1" l="1"/>
  <c r="A259" i="1" s="1"/>
  <c r="F259" i="1" l="1"/>
  <c r="F260" i="1"/>
  <c r="A260" i="1"/>
  <c r="A261" i="1" s="1"/>
  <c r="F262" i="1" l="1"/>
  <c r="A262" i="1"/>
  <c r="A265" i="1" l="1"/>
  <c r="A267" i="1" s="1"/>
  <c r="F267" i="1" l="1"/>
  <c r="A272" i="1"/>
  <c r="F278" i="1"/>
  <c r="A273" i="1" l="1"/>
  <c r="A274" i="1" s="1"/>
  <c r="A275" i="1" s="1"/>
  <c r="A276" i="1" s="1"/>
  <c r="A278" i="1" s="1"/>
  <c r="F275" i="1" l="1"/>
  <c r="C14" i="47"/>
  <c r="F274" i="1"/>
  <c r="F276" i="1"/>
  <c r="A279" i="1"/>
  <c r="A280" i="1" l="1"/>
  <c r="A281" i="1" s="1"/>
  <c r="A282" i="1" l="1"/>
  <c r="A283" i="1" s="1"/>
  <c r="A284" i="1" s="1"/>
  <c r="A287" i="1" s="1"/>
  <c r="A288" i="1" s="1"/>
  <c r="F284" i="1" l="1"/>
  <c r="F288" i="1"/>
  <c r="F290" i="1"/>
  <c r="A290" i="1"/>
  <c r="A291" i="1" l="1"/>
  <c r="A292" i="1" s="1"/>
  <c r="A293" i="1" s="1"/>
  <c r="A294" i="1" s="1"/>
  <c r="F292" i="1"/>
  <c r="F291" i="1"/>
  <c r="F293" i="1" l="1"/>
  <c r="F294" i="1"/>
  <c r="A23" i="5" l="1"/>
  <c r="A24" i="5" s="1"/>
  <c r="A25" i="5" s="1"/>
  <c r="A29" i="5" l="1"/>
  <c r="A30" i="5" s="1"/>
  <c r="C31" i="5" s="1"/>
  <c r="C36" i="5"/>
  <c r="A31" i="5" l="1"/>
  <c r="A33" i="5" l="1"/>
  <c r="A34" i="5" s="1"/>
  <c r="A134" i="7"/>
  <c r="F172" i="1" s="1"/>
  <c r="C34" i="5" l="1"/>
  <c r="A36" i="5"/>
  <c r="C37" i="5" s="1"/>
  <c r="F265" i="1"/>
  <c r="A135" i="7"/>
  <c r="F173" i="1" s="1"/>
  <c r="A37" i="5" l="1"/>
  <c r="A136" i="7"/>
  <c r="F175" i="1" s="1"/>
  <c r="A137" i="7" l="1"/>
  <c r="F178" i="1" l="1"/>
  <c r="A138" i="7"/>
  <c r="F179" i="1" l="1"/>
  <c r="A139" i="7"/>
  <c r="F180" i="1" s="1"/>
  <c r="A140" i="7" l="1"/>
  <c r="F181" i="1" s="1"/>
  <c r="A141" i="7"/>
  <c r="F182" i="1" s="1"/>
  <c r="A142" i="7" l="1"/>
  <c r="F183" i="1" s="1"/>
  <c r="A143" i="7" l="1"/>
  <c r="F184" i="1" s="1"/>
  <c r="A144" i="7" l="1"/>
  <c r="F185" i="1" s="1"/>
  <c r="A145" i="7" l="1"/>
  <c r="F186" i="1" s="1"/>
  <c r="A146" i="7" l="1"/>
  <c r="F174" i="1" s="1"/>
  <c r="A153" i="7" l="1"/>
  <c r="F212" i="1" s="1"/>
  <c r="A154" i="7" l="1"/>
  <c r="F213" i="1" s="1"/>
  <c r="A160" i="7" l="1"/>
  <c r="F221" i="1" s="1"/>
  <c r="A161" i="7" l="1"/>
  <c r="F220" i="1" s="1"/>
  <c r="A162" i="7" l="1"/>
  <c r="F229" i="1" l="1"/>
  <c r="A168" i="7"/>
  <c r="F258" i="1" l="1"/>
  <c r="A175" i="7"/>
  <c r="F283" i="1" s="1"/>
  <c r="A183" i="7" l="1"/>
  <c r="F287" i="1" s="1"/>
  <c r="A190" i="7" l="1"/>
  <c r="A191" i="7" l="1"/>
  <c r="A192" i="7" s="1"/>
  <c r="F150" i="1" s="1"/>
  <c r="A194" i="7" l="1"/>
  <c r="A195" i="7" s="1"/>
  <c r="F71" i="1" s="1"/>
  <c r="E194" i="7"/>
  <c r="E192" i="7"/>
  <c r="A203" i="7" l="1"/>
  <c r="F235" i="1" s="1"/>
  <c r="E195" i="7"/>
  <c r="F65" i="1" l="1"/>
  <c r="A212" i="7"/>
  <c r="F94" i="1" s="1"/>
  <c r="A213" i="7" l="1"/>
  <c r="A214" i="7" s="1"/>
  <c r="A215" i="7" l="1"/>
  <c r="F99" i="1"/>
  <c r="F98" i="1"/>
  <c r="F104" i="1" l="1"/>
  <c r="F108" i="1" l="1"/>
  <c r="A229" i="7"/>
  <c r="A230" i="7" s="1"/>
  <c r="A231" i="7" s="1"/>
  <c r="A237" i="7" l="1"/>
  <c r="F106" i="1"/>
  <c r="F110" i="1"/>
  <c r="A243" i="7" l="1"/>
  <c r="A244" i="7" s="1"/>
  <c r="C10" i="46"/>
  <c r="A245" i="7" l="1"/>
  <c r="C11" i="46"/>
  <c r="A248" i="7" l="1"/>
  <c r="A249" i="7" s="1"/>
  <c r="A250" i="7" s="1"/>
  <c r="A253" i="7" s="1"/>
  <c r="A254" i="7" s="1"/>
  <c r="A255" i="7" s="1"/>
  <c r="A258" i="7" s="1"/>
  <c r="A259" i="7" s="1"/>
  <c r="A260" i="7" s="1"/>
  <c r="A263" i="7" s="1"/>
  <c r="A264" i="7" s="1"/>
  <c r="A265" i="7" s="1"/>
  <c r="A268" i="7" s="1"/>
  <c r="A269" i="7" s="1"/>
  <c r="A270" i="7" s="1"/>
  <c r="A273" i="7" s="1"/>
  <c r="A274" i="7" s="1"/>
  <c r="A275" i="7" s="1"/>
  <c r="A278" i="7" s="1"/>
  <c r="A279" i="7" s="1"/>
  <c r="A280" i="7" s="1"/>
  <c r="A283" i="7" s="1"/>
  <c r="A284" i="7" s="1"/>
  <c r="A285" i="7" s="1"/>
  <c r="A288" i="7" s="1"/>
  <c r="A289" i="7" s="1"/>
  <c r="C13" i="46"/>
  <c r="A290" i="7" l="1"/>
  <c r="A296" i="7" s="1"/>
  <c r="A297" i="7" l="1"/>
  <c r="C10" i="47"/>
  <c r="A298" i="7" l="1"/>
  <c r="C11" i="47"/>
  <c r="A301" i="7" l="1"/>
  <c r="A302" i="7" s="1"/>
  <c r="A303" i="7" s="1"/>
  <c r="A306" i="7" s="1"/>
  <c r="A307" i="7" s="1"/>
  <c r="C16" i="47"/>
  <c r="A308" i="7" l="1"/>
  <c r="A311" i="7" s="1"/>
  <c r="A312" i="7" s="1"/>
  <c r="A313" i="7" s="1"/>
  <c r="A316" i="7" s="1"/>
  <c r="A317" i="7" s="1"/>
  <c r="A318" i="7" s="1"/>
  <c r="A321" i="7" s="1"/>
  <c r="A322" i="7" s="1"/>
  <c r="A323" i="7" s="1"/>
  <c r="A326" i="7" s="1"/>
  <c r="A327" i="7" s="1"/>
  <c r="A328" i="7" s="1"/>
  <c r="A331" i="7" s="1"/>
  <c r="A332" i="7" s="1"/>
  <c r="A333" i="7" s="1"/>
  <c r="A336" i="7" s="1"/>
  <c r="A337" i="7" s="1"/>
  <c r="A338" i="7" s="1"/>
  <c r="A341" i="7" s="1"/>
  <c r="A342" i="7" s="1"/>
  <c r="A343" i="7" s="1"/>
  <c r="E27" i="4" l="1"/>
  <c r="E29" i="4" l="1"/>
  <c r="E47" i="4" s="1"/>
  <c r="G27" i="4"/>
  <c r="T18" i="7" l="1"/>
  <c r="H35" i="1" s="1"/>
  <c r="H38" i="1" l="1"/>
  <c r="H154" i="1"/>
  <c r="T24" i="7"/>
  <c r="H48" i="1" s="1"/>
  <c r="H51" i="1" l="1"/>
  <c r="H156" i="1"/>
  <c r="H40" i="1"/>
  <c r="H158" i="1" l="1"/>
  <c r="H42" i="1"/>
  <c r="H53" i="1"/>
  <c r="T9" i="7"/>
  <c r="H19" i="1" s="1"/>
  <c r="H23" i="1" l="1"/>
  <c r="H55" i="1"/>
  <c r="H249" i="1"/>
  <c r="T11" i="7"/>
  <c r="H20" i="1" s="1"/>
  <c r="H24" i="1" l="1"/>
  <c r="H21" i="1"/>
  <c r="H57" i="1"/>
  <c r="W10" i="45" l="1"/>
  <c r="H26" i="1"/>
  <c r="H244" i="1"/>
  <c r="H27" i="1" l="1"/>
  <c r="E17" i="52" s="1"/>
  <c r="E18" i="52" s="1"/>
  <c r="E20" i="52" l="1"/>
  <c r="H20" i="52" s="1"/>
  <c r="H22" i="52" s="1"/>
  <c r="H18" i="52"/>
  <c r="F34" i="44"/>
  <c r="L15" i="42"/>
  <c r="M15" i="42" s="1"/>
  <c r="N15" i="42" s="1"/>
  <c r="L14" i="42"/>
  <c r="M14" i="42" s="1"/>
  <c r="N14" i="42" s="1"/>
  <c r="L22" i="42"/>
  <c r="M22" i="42" s="1"/>
  <c r="N22" i="42" s="1"/>
  <c r="F43" i="44"/>
  <c r="G43" i="44" s="1"/>
  <c r="N43" i="44" s="1"/>
  <c r="F38" i="44"/>
  <c r="G38" i="44" s="1"/>
  <c r="N38" i="44" s="1"/>
  <c r="E14" i="2"/>
  <c r="F37" i="44"/>
  <c r="G37" i="44" s="1"/>
  <c r="N37" i="44" s="1"/>
  <c r="L11" i="42"/>
  <c r="M11" i="42" s="1"/>
  <c r="N11" i="42" s="1"/>
  <c r="F44" i="44"/>
  <c r="G44" i="44" s="1"/>
  <c r="N44" i="44" s="1"/>
  <c r="L19" i="42"/>
  <c r="M19" i="42" s="1"/>
  <c r="N19" i="42" s="1"/>
  <c r="L12" i="42"/>
  <c r="M12" i="42" s="1"/>
  <c r="N12" i="42" s="1"/>
  <c r="F35" i="44"/>
  <c r="G35" i="44" s="1"/>
  <c r="N35" i="44" s="1"/>
  <c r="F36" i="44"/>
  <c r="G36" i="44" s="1"/>
  <c r="N36" i="44" s="1"/>
  <c r="L21" i="42"/>
  <c r="M21" i="42" s="1"/>
  <c r="N21" i="42" s="1"/>
  <c r="L17" i="42"/>
  <c r="M17" i="42" s="1"/>
  <c r="N17" i="42" s="1"/>
  <c r="L23" i="42"/>
  <c r="M23" i="42" s="1"/>
  <c r="N23" i="42" s="1"/>
  <c r="L18" i="42"/>
  <c r="M18" i="42" s="1"/>
  <c r="N18" i="42" s="1"/>
  <c r="F20" i="4"/>
  <c r="G20" i="4" s="1"/>
  <c r="G29" i="4" s="1"/>
  <c r="H162" i="1" s="1"/>
  <c r="F41" i="44"/>
  <c r="G41" i="44" s="1"/>
  <c r="N41" i="44" s="1"/>
  <c r="H95" i="1"/>
  <c r="E14" i="14"/>
  <c r="L16" i="42"/>
  <c r="M16" i="42" s="1"/>
  <c r="N16" i="42" s="1"/>
  <c r="F39" i="44"/>
  <c r="G39" i="44" s="1"/>
  <c r="N39" i="44" s="1"/>
  <c r="H139" i="1"/>
  <c r="L20" i="42"/>
  <c r="M20" i="42" s="1"/>
  <c r="N20" i="42" s="1"/>
  <c r="F42" i="44"/>
  <c r="G42" i="44" s="1"/>
  <c r="N42" i="44" s="1"/>
  <c r="L13" i="42"/>
  <c r="M13" i="42" s="1"/>
  <c r="N13" i="42" s="1"/>
  <c r="F45" i="44"/>
  <c r="G45" i="44" s="1"/>
  <c r="N45" i="44" s="1"/>
  <c r="F40" i="44"/>
  <c r="G40" i="44" s="1"/>
  <c r="N40" i="44" s="1"/>
  <c r="T137" i="7"/>
  <c r="H178" i="1" s="1"/>
  <c r="G34" i="44" l="1"/>
  <c r="N34" i="44" s="1"/>
  <c r="L16" i="44" s="1"/>
  <c r="V36" i="44"/>
  <c r="W36" i="44" s="1"/>
  <c r="W38" i="44" s="1"/>
  <c r="J15" i="44" s="1"/>
  <c r="H96" i="1"/>
  <c r="H18" i="42"/>
  <c r="S18" i="42"/>
  <c r="S14" i="42"/>
  <c r="H14" i="42"/>
  <c r="H20" i="42"/>
  <c r="S20" i="42"/>
  <c r="H190" i="1"/>
  <c r="H140" i="1"/>
  <c r="S23" i="42"/>
  <c r="H23" i="42"/>
  <c r="S15" i="42"/>
  <c r="H15" i="42"/>
  <c r="H13" i="42"/>
  <c r="S13" i="42"/>
  <c r="S17" i="42"/>
  <c r="H17" i="42"/>
  <c r="S11" i="42"/>
  <c r="H11" i="42"/>
  <c r="N24" i="42"/>
  <c r="E18" i="2" s="1"/>
  <c r="S16" i="42"/>
  <c r="H16" i="42"/>
  <c r="H164" i="1"/>
  <c r="H21" i="42"/>
  <c r="S21" i="42"/>
  <c r="S19" i="42"/>
  <c r="H19" i="42"/>
  <c r="S22" i="42"/>
  <c r="H22" i="42"/>
  <c r="H187" i="1"/>
  <c r="S132" i="7"/>
  <c r="H167" i="1" s="1"/>
  <c r="H142" i="1" l="1"/>
  <c r="Q15" i="44"/>
  <c r="J16" i="44"/>
  <c r="J17" i="44" s="1"/>
  <c r="J18" i="44" s="1"/>
  <c r="J19" i="44" s="1"/>
  <c r="J20" i="44" s="1"/>
  <c r="J21" i="44" s="1"/>
  <c r="J22" i="44" s="1"/>
  <c r="J23" i="44" s="1"/>
  <c r="J24" i="44" s="1"/>
  <c r="J25" i="44" s="1"/>
  <c r="J26" i="44" s="1"/>
  <c r="J27" i="44" s="1"/>
  <c r="H250" i="1"/>
  <c r="H199" i="1"/>
  <c r="L18" i="44"/>
  <c r="L27" i="44"/>
  <c r="L17" i="44"/>
  <c r="L19" i="44"/>
  <c r="L21" i="44"/>
  <c r="L24" i="44"/>
  <c r="L22" i="44"/>
  <c r="L26" i="44"/>
  <c r="L20" i="44"/>
  <c r="L23" i="44"/>
  <c r="L25" i="44"/>
  <c r="L28" i="44" l="1"/>
  <c r="P16" i="44"/>
  <c r="M16" i="44"/>
  <c r="O16" i="44" s="1"/>
  <c r="M26" i="44"/>
  <c r="O26" i="44" s="1"/>
  <c r="P26" i="44"/>
  <c r="P17" i="44"/>
  <c r="M17" i="44"/>
  <c r="O17" i="44" s="1"/>
  <c r="M22" i="44"/>
  <c r="O22" i="44" s="1"/>
  <c r="P22" i="44"/>
  <c r="M21" i="44"/>
  <c r="N21" i="44" s="1"/>
  <c r="P21" i="44"/>
  <c r="P25" i="44"/>
  <c r="M25" i="44"/>
  <c r="N25" i="44" s="1"/>
  <c r="M24" i="44"/>
  <c r="O24" i="44" s="1"/>
  <c r="P24" i="44"/>
  <c r="M27" i="44"/>
  <c r="O27" i="44" s="1"/>
  <c r="P27" i="44"/>
  <c r="M23" i="44"/>
  <c r="N23" i="44" s="1"/>
  <c r="P23" i="44"/>
  <c r="M20" i="44"/>
  <c r="N20" i="44" s="1"/>
  <c r="P20" i="44"/>
  <c r="P19" i="44"/>
  <c r="M19" i="44"/>
  <c r="O19" i="44" s="1"/>
  <c r="M18" i="44"/>
  <c r="N18" i="44" s="1"/>
  <c r="P18" i="44"/>
  <c r="N16" i="44" l="1"/>
  <c r="Q16" i="44" s="1"/>
  <c r="N26" i="44"/>
  <c r="N27" i="44"/>
  <c r="O23" i="44"/>
  <c r="N17" i="44"/>
  <c r="O21" i="44"/>
  <c r="N19" i="44"/>
  <c r="P28" i="44"/>
  <c r="O18" i="44"/>
  <c r="O25" i="44"/>
  <c r="O20" i="44"/>
  <c r="N24" i="44"/>
  <c r="N22" i="44"/>
  <c r="M28" i="44"/>
  <c r="Q17" i="44" l="1"/>
  <c r="Q18" i="44" s="1"/>
  <c r="N28" i="44"/>
  <c r="O28" i="44"/>
  <c r="Q19" i="44" l="1"/>
  <c r="Q20" i="44" s="1"/>
  <c r="Q21" i="44" s="1"/>
  <c r="Q22" i="44" s="1"/>
  <c r="Q23" i="44" s="1"/>
  <c r="Q24" i="44" s="1"/>
  <c r="Q25" i="44" s="1"/>
  <c r="Q26" i="44" s="1"/>
  <c r="H119" i="1"/>
  <c r="Q27" i="44" l="1"/>
  <c r="H18" i="2" s="1"/>
  <c r="H120" i="1"/>
  <c r="C64" i="2" l="1"/>
  <c r="H121" i="1"/>
  <c r="H144" i="1" l="1"/>
  <c r="T134" i="7"/>
  <c r="H172" i="1" s="1"/>
  <c r="H176" i="1" l="1"/>
  <c r="H248" i="1"/>
  <c r="H89" i="1"/>
  <c r="H91" i="1" l="1"/>
  <c r="H192" i="1"/>
  <c r="H193" i="1" l="1"/>
  <c r="H197" i="1" l="1"/>
  <c r="H195" i="1"/>
  <c r="H196" i="1"/>
  <c r="M16" i="46"/>
  <c r="M18" i="46" s="1"/>
  <c r="E64" i="2"/>
  <c r="D10" i="2" s="1"/>
  <c r="O16" i="46" l="1"/>
  <c r="O18" i="46" s="1"/>
  <c r="K16" i="46"/>
  <c r="K18" i="46" s="1"/>
  <c r="U16" i="46"/>
  <c r="U18" i="46" s="1"/>
  <c r="H205" i="1"/>
  <c r="I16" i="46"/>
  <c r="I18" i="46" s="1"/>
  <c r="W16" i="46"/>
  <c r="W18" i="46" s="1"/>
  <c r="Q16" i="46"/>
  <c r="Q18" i="46" s="1"/>
  <c r="S16" i="46"/>
  <c r="S18" i="46" s="1"/>
  <c r="Y16" i="46"/>
  <c r="Y18" i="46" s="1"/>
  <c r="G16" i="46"/>
  <c r="G18" i="46" s="1"/>
  <c r="H203" i="1"/>
  <c r="H204" i="1"/>
  <c r="E18" i="46" l="1"/>
  <c r="H281" i="1" s="1"/>
  <c r="H206" i="1"/>
  <c r="D34" i="5" l="1"/>
  <c r="H265" i="1" s="1"/>
  <c r="J12" i="42" l="1"/>
  <c r="J24" i="42" s="1"/>
  <c r="I24" i="42"/>
  <c r="H24" i="42" l="1"/>
  <c r="D18" i="2"/>
  <c r="S24" i="42"/>
  <c r="H12" i="42"/>
  <c r="S12" i="42"/>
  <c r="C61" i="14" l="1"/>
  <c r="E61" i="14"/>
  <c r="D10" i="14" s="1"/>
  <c r="D12" i="14" s="1"/>
  <c r="D15" i="14" s="1"/>
  <c r="D16" i="2" l="1"/>
  <c r="F44" i="2" l="1"/>
  <c r="C44" i="2" s="1"/>
  <c r="F43" i="2"/>
  <c r="F45" i="2" s="1"/>
  <c r="E9" i="2" s="1"/>
  <c r="E12" i="2" s="1"/>
  <c r="E15" i="2" s="1"/>
  <c r="C45" i="2" l="1"/>
  <c r="F38" i="14"/>
  <c r="C29" i="14"/>
  <c r="F39" i="14"/>
  <c r="C39" i="14" s="1"/>
  <c r="C40" i="14" l="1"/>
  <c r="D38" i="14"/>
  <c r="D40" i="14" s="1"/>
  <c r="F40" i="14"/>
  <c r="E9" i="14" s="1"/>
  <c r="E12" i="14" s="1"/>
  <c r="E15" i="14" s="1"/>
  <c r="E16" i="2" s="1"/>
  <c r="E17" i="2" l="1"/>
  <c r="E19" i="2" l="1"/>
  <c r="C84" i="14" l="1"/>
  <c r="C87" i="14" s="1"/>
  <c r="G84" i="14"/>
  <c r="G87" i="14" s="1"/>
  <c r="F11" i="14" s="1"/>
  <c r="F12" i="14" s="1"/>
  <c r="F15" i="14" s="1"/>
  <c r="F16" i="2" l="1"/>
  <c r="H15" i="14"/>
  <c r="H16" i="2" l="1"/>
  <c r="E21" i="47"/>
  <c r="G43" i="2"/>
  <c r="G45" i="2" s="1"/>
  <c r="F9" i="2" s="1"/>
  <c r="F12" i="2" s="1"/>
  <c r="F15" i="2" s="1"/>
  <c r="F17" i="2" s="1"/>
  <c r="F19" i="2" s="1"/>
  <c r="E43" i="2"/>
  <c r="E45" i="2"/>
  <c r="D9" i="2" s="1"/>
  <c r="D12" i="2" s="1"/>
  <c r="D15" i="2" s="1"/>
  <c r="C41" i="2"/>
  <c r="C42" i="2" s="1"/>
  <c r="D43" i="2"/>
  <c r="D45" i="2" s="1"/>
  <c r="D17" i="2" l="1"/>
  <c r="H15" i="2"/>
  <c r="H17" i="2" l="1"/>
  <c r="H19" i="2" s="1"/>
  <c r="H62" i="1" s="1"/>
  <c r="D19" i="2"/>
  <c r="H112" i="1" l="1"/>
  <c r="H114" i="1" l="1"/>
  <c r="H245" i="1"/>
  <c r="H208" i="1" l="1"/>
  <c r="H238" i="1"/>
  <c r="H246" i="1"/>
  <c r="H239" i="1" l="1"/>
  <c r="H251" i="1"/>
  <c r="H252" i="1" l="1"/>
  <c r="H254" i="1" l="1"/>
  <c r="H272" i="1" l="1"/>
  <c r="H261" i="1"/>
  <c r="H262" i="1" l="1"/>
  <c r="H276" i="1"/>
  <c r="H274" i="1"/>
  <c r="H275" i="1"/>
  <c r="U14" i="47" l="1"/>
  <c r="U15" i="47" s="1"/>
  <c r="U19" i="47" s="1"/>
  <c r="K14" i="47"/>
  <c r="K15" i="47" s="1"/>
  <c r="K19" i="47" s="1"/>
  <c r="Q14" i="47"/>
  <c r="Q15" i="47" s="1"/>
  <c r="Q19" i="47" s="1"/>
  <c r="I14" i="47"/>
  <c r="I15" i="47" s="1"/>
  <c r="I19" i="47" s="1"/>
  <c r="I23" i="47" s="1"/>
  <c r="I28" i="47" s="1"/>
  <c r="G14" i="47"/>
  <c r="G15" i="47" s="1"/>
  <c r="G19" i="47" s="1"/>
  <c r="W14" i="47"/>
  <c r="W15" i="47" s="1"/>
  <c r="W19" i="47" s="1"/>
  <c r="Y14" i="47"/>
  <c r="Y15" i="47" s="1"/>
  <c r="Y19" i="47" s="1"/>
  <c r="O14" i="47"/>
  <c r="O15" i="47" s="1"/>
  <c r="O19" i="47" s="1"/>
  <c r="M14" i="47"/>
  <c r="M15" i="47" s="1"/>
  <c r="M19" i="47" s="1"/>
  <c r="S14" i="47"/>
  <c r="S15" i="47" s="1"/>
  <c r="S19" i="47" s="1"/>
  <c r="H267" i="1"/>
  <c r="H278" i="1" l="1"/>
  <c r="E19" i="47"/>
  <c r="E23" i="47" s="1"/>
  <c r="H282" i="1"/>
  <c r="G23" i="47"/>
  <c r="G28" i="47" s="1"/>
  <c r="I36" i="49"/>
  <c r="I38" i="49" s="1"/>
  <c r="J38" i="49" l="1"/>
  <c r="J40" i="49" s="1"/>
  <c r="I40" i="49"/>
  <c r="W21" i="47"/>
  <c r="W23" i="47" s="1"/>
  <c r="W28" i="47" s="1"/>
  <c r="M21" i="47"/>
  <c r="M23" i="47" s="1"/>
  <c r="M28" i="47" s="1"/>
  <c r="U21" i="47"/>
  <c r="U23" i="47" s="1"/>
  <c r="U28" i="47" s="1"/>
  <c r="K21" i="47"/>
  <c r="K23" i="47" s="1"/>
  <c r="K28" i="47" s="1"/>
  <c r="I36" i="8"/>
  <c r="I38" i="8" s="1"/>
  <c r="H284" i="1"/>
  <c r="Q21" i="47"/>
  <c r="Q23" i="47" s="1"/>
  <c r="Q28" i="47" s="1"/>
  <c r="S21" i="47"/>
  <c r="S23" i="47" s="1"/>
  <c r="S28" i="47" s="1"/>
  <c r="Y21" i="47"/>
  <c r="Y23" i="47" s="1"/>
  <c r="Y28" i="47" s="1"/>
  <c r="O21" i="47"/>
  <c r="O23" i="47" s="1"/>
  <c r="O28" i="47" s="1"/>
  <c r="K40" i="49" l="1"/>
  <c r="E28" i="47"/>
  <c r="H288" i="1"/>
  <c r="H290" i="1" s="1"/>
  <c r="J38" i="8"/>
  <c r="J40" i="8" s="1"/>
  <c r="I40" i="8"/>
  <c r="K40" i="8" l="1"/>
  <c r="H292" i="1"/>
  <c r="H291" i="1"/>
  <c r="H294" i="1" l="1"/>
  <c r="H293" i="1"/>
  <c r="C87" i="2"/>
  <c r="C88" i="2" s="1"/>
  <c r="D88" i="2" s="1"/>
  <c r="D89" i="2" s="1"/>
  <c r="D92" i="2" s="1"/>
</calcChain>
</file>

<file path=xl/sharedStrings.xml><?xml version="1.0" encoding="utf-8"?>
<sst xmlns="http://schemas.openxmlformats.org/spreadsheetml/2006/main" count="2150" uniqueCount="1059">
  <si>
    <t>Dayton Power and Light</t>
  </si>
  <si>
    <t xml:space="preserve">ATTACHMENT H-15A </t>
  </si>
  <si>
    <t>Formula Rate -- Appendix A (electric only)</t>
  </si>
  <si>
    <t>Notes</t>
  </si>
  <si>
    <t>Formula Rate Attachment Reference or Instruction</t>
  </si>
  <si>
    <t>Shaded cells are input cells</t>
  </si>
  <si>
    <t>Allocators</t>
  </si>
  <si>
    <t>Wages &amp; Salary Allocation Factor</t>
  </si>
  <si>
    <t>Transmission Wages Expense</t>
  </si>
  <si>
    <t>Total O&amp;M Wages Expense</t>
  </si>
  <si>
    <t>Less A&amp;G Wages Expense</t>
  </si>
  <si>
    <t>Total Wages Less A&amp;G Wages Expense</t>
  </si>
  <si>
    <t>Wages &amp; Salary Allocator</t>
  </si>
  <si>
    <t>Plant Allocation Factors</t>
  </si>
  <si>
    <t>Electric Plant in Service</t>
  </si>
  <si>
    <t>Accumulated Depreciation (Total Electric Plant)</t>
  </si>
  <si>
    <t>Net Plant</t>
  </si>
  <si>
    <t>Transmission Gross Plant</t>
  </si>
  <si>
    <t>Gross Plant Allocator</t>
  </si>
  <si>
    <t>Transmission Net Plant</t>
  </si>
  <si>
    <t>Net Plant Allocator</t>
  </si>
  <si>
    <t>Plant Calculations</t>
  </si>
  <si>
    <t>Plant In Service</t>
  </si>
  <si>
    <t>Transmission Plant In Service</t>
  </si>
  <si>
    <t>General</t>
  </si>
  <si>
    <t>Intangible - Electric</t>
  </si>
  <si>
    <t>Common Plant - Electric</t>
  </si>
  <si>
    <t>Total General, Intangible &amp; Common Plant</t>
  </si>
  <si>
    <t>Wage &amp; Salary Allocator</t>
  </si>
  <si>
    <t>General and Intangible Plant Allocated to Transmission</t>
  </si>
  <si>
    <t>Total Plant In Service</t>
  </si>
  <si>
    <t>Accumulated Depreciation</t>
  </si>
  <si>
    <t>Transmission Accumulated Depreciation</t>
  </si>
  <si>
    <t>Accumulated General Depreciation</t>
  </si>
  <si>
    <t>Accumulated Intangible Amortization</t>
  </si>
  <si>
    <t>Accumulated Common Plant Depreciation and Amortization- Electric</t>
  </si>
  <si>
    <t>Accumulated General, Intangible and Common Depreciation</t>
  </si>
  <si>
    <t>Subtotal General, Intangible and Common Accum. Depreciation Allocated to Transmission</t>
  </si>
  <si>
    <t>Total Accumulated Depreciation</t>
  </si>
  <si>
    <t>Total Net Plant in Service</t>
  </si>
  <si>
    <t>Adjustments To Rate Base</t>
  </si>
  <si>
    <t>Accumulated Deferred Income Taxes</t>
  </si>
  <si>
    <t>Excluding FAS 109</t>
  </si>
  <si>
    <t>Excess ADIT</t>
  </si>
  <si>
    <t xml:space="preserve">CWIP Incentive </t>
  </si>
  <si>
    <t xml:space="preserve">CWIP Balances  </t>
  </si>
  <si>
    <t>Abandoned Transmission Projects</t>
  </si>
  <si>
    <t>Unamortized Abandoned Transmission Projects</t>
  </si>
  <si>
    <t xml:space="preserve">Plant Held for Future Use </t>
  </si>
  <si>
    <t>Prepayments</t>
  </si>
  <si>
    <t xml:space="preserve">Prepayments </t>
  </si>
  <si>
    <t>Prepayments Allocated to Transmission</t>
  </si>
  <si>
    <t>Materials and Supplies</t>
  </si>
  <si>
    <t>Undistributed Stores Expense</t>
  </si>
  <si>
    <t>Total Undistributed Stores Expense Allocated to Transmission</t>
  </si>
  <si>
    <t>Assigned to Construction - Transmission Portion</t>
  </si>
  <si>
    <t>Transmission</t>
  </si>
  <si>
    <t>Total Materials &amp; Supplies for Transmission</t>
  </si>
  <si>
    <t>Cash Working Capital</t>
  </si>
  <si>
    <t xml:space="preserve">Operation &amp; Maintenance Expense </t>
  </si>
  <si>
    <t>No Allowance</t>
  </si>
  <si>
    <t>Total Cash Working Capital for Transmission</t>
  </si>
  <si>
    <t>Unfunded Reserves</t>
  </si>
  <si>
    <t>Property Insurance</t>
  </si>
  <si>
    <t>Property Insurance Allocated to Transmission</t>
  </si>
  <si>
    <t>Injuries and Damages</t>
  </si>
  <si>
    <t>Non-Pension and Non-Other Post Employment Benefits</t>
  </si>
  <si>
    <t>Total</t>
  </si>
  <si>
    <t>Wage and Salary Allocator</t>
  </si>
  <si>
    <t>I&amp;J and P&amp;B Allocated to Transmission</t>
  </si>
  <si>
    <t>Miscellaneous Operating Provisions - Transmission Portion</t>
  </si>
  <si>
    <t>Customer Deposits and Advances for Construction</t>
  </si>
  <si>
    <t>Deferred Credits</t>
  </si>
  <si>
    <t>Miscellaneous Current and Accrued Liabilities</t>
  </si>
  <si>
    <t>Total Adjustments to Rate Base</t>
  </si>
  <si>
    <t>Rate Base</t>
  </si>
  <si>
    <t>Operations &amp; Maintenance Expense</t>
  </si>
  <si>
    <t>Transmission O&amp;M</t>
  </si>
  <si>
    <t>Less:  Excluded Transmission O&amp;M</t>
  </si>
  <si>
    <t>Allocated Administrative &amp; General Expenses</t>
  </si>
  <si>
    <t>Total A&amp;G</t>
  </si>
  <si>
    <t xml:space="preserve">    Less Property Insurance Expense</t>
  </si>
  <si>
    <t xml:space="preserve">    Less Regulatory Commission Expense</t>
  </si>
  <si>
    <t xml:space="preserve">    Less Service Company and DP&amp;L Costs Directly Assigned to A&amp;G Distribution and Transmission</t>
  </si>
  <si>
    <t xml:space="preserve">    Less EPRI Dues and Lobbying Expenses</t>
  </si>
  <si>
    <t>Administrative &amp; General Expenses</t>
  </si>
  <si>
    <t>Administrative &amp; General Expenses Allocated to Transmission</t>
  </si>
  <si>
    <t>Directly Assigned A&amp;G</t>
  </si>
  <si>
    <t>Regulatory Commission Expense - Transmission</t>
  </si>
  <si>
    <t>Service Company and DP&amp;L Costs Directly Assigned to A&amp;G Transmission</t>
  </si>
  <si>
    <t>Subtotal</t>
  </si>
  <si>
    <t>Property Insurance Account 924</t>
  </si>
  <si>
    <t>Total A&amp;G for Transmission</t>
  </si>
  <si>
    <t xml:space="preserve">Total Transmission O&amp;M </t>
  </si>
  <si>
    <t>Depreciation &amp; Amortization Expense</t>
  </si>
  <si>
    <t>Depreciation Expense</t>
  </si>
  <si>
    <t>Transmission Depreciation Expense</t>
  </si>
  <si>
    <t>Amortization of Abandoned Plant Projects</t>
  </si>
  <si>
    <t>General and Common Depreciation Expense</t>
  </si>
  <si>
    <t>Intangible Amortization Expense</t>
  </si>
  <si>
    <t>General and Common Depreciation &amp; Intangible Amortization Allocated to Transmission</t>
  </si>
  <si>
    <t>Total Transmission Depreciation &amp; Amortization</t>
  </si>
  <si>
    <t xml:space="preserve">Taxes Other than Income Taxes                                                   </t>
  </si>
  <si>
    <t>Taxes Other than Income Taxes</t>
  </si>
  <si>
    <t>Total Transmission Taxes Other than Income Taxes</t>
  </si>
  <si>
    <t>Rate of Return</t>
  </si>
  <si>
    <t>Long Term Interest</t>
  </si>
  <si>
    <t>Preferred Dividends</t>
  </si>
  <si>
    <t>Capitalization</t>
  </si>
  <si>
    <t>Common Stock</t>
  </si>
  <si>
    <t>Proprietary Capital</t>
  </si>
  <si>
    <t xml:space="preserve">    Less: Accumulated Other Comprehensive Income (Account 219)</t>
  </si>
  <si>
    <t xml:space="preserve">    Less: Preferred Stock</t>
  </si>
  <si>
    <t xml:space="preserve">    Less: Unappropriated, Undistributed Subsidiary Earnings (Account 216.1)</t>
  </si>
  <si>
    <t>Long Term Debt</t>
  </si>
  <si>
    <t xml:space="preserve">      Add: Unamortized  Debt Expense </t>
  </si>
  <si>
    <t xml:space="preserve">      Add: Unamortized  Loss on Reacquired Debt </t>
  </si>
  <si>
    <t xml:space="preserve">               Unamortized Premium</t>
  </si>
  <si>
    <t xml:space="preserve">               Unamortized Discount</t>
  </si>
  <si>
    <t xml:space="preserve">               Unamortized Gain on Reacquired Debt</t>
  </si>
  <si>
    <t xml:space="preserve">               ADIT Associated with Gain or Loss</t>
  </si>
  <si>
    <t xml:space="preserve">               Long-term Portion of Derivative Assets - Hedges</t>
  </si>
  <si>
    <t xml:space="preserve">              Derivative Instrument Liabilities - Hedges</t>
  </si>
  <si>
    <t>Long Term Debt to Determine Debt Rate</t>
  </si>
  <si>
    <t>Capital Structure</t>
  </si>
  <si>
    <t>Long-term Debt</t>
  </si>
  <si>
    <t>Preferred Stock</t>
  </si>
  <si>
    <t>Total  Capitalization</t>
  </si>
  <si>
    <t>Debt %</t>
  </si>
  <si>
    <t>Total Long Term Debt</t>
  </si>
  <si>
    <t>Preferred %</t>
  </si>
  <si>
    <t>Common %</t>
  </si>
  <si>
    <t>Debt Cost</t>
  </si>
  <si>
    <t>Preferred Cost</t>
  </si>
  <si>
    <t>Common Cost</t>
  </si>
  <si>
    <t>Fixed</t>
  </si>
  <si>
    <t>Weighted Cost of Debt</t>
  </si>
  <si>
    <t>Total Long Term Debt (WCLTD)</t>
  </si>
  <si>
    <t>Weighted Cost of Preferred</t>
  </si>
  <si>
    <t>Weighted Cost of Common</t>
  </si>
  <si>
    <t>Rate of Return on Rate Base ( ROR )</t>
  </si>
  <si>
    <t>Transmission Investment Return = Rate Base * Rate of Return</t>
  </si>
  <si>
    <t xml:space="preserve">Income Taxes                                                                                                       </t>
  </si>
  <si>
    <t xml:space="preserve"> </t>
  </si>
  <si>
    <t>Income Tax Rates</t>
  </si>
  <si>
    <t>FIT=Federal Income Tax Rate</t>
  </si>
  <si>
    <t>SIT=State Income Tax Rate or Composite</t>
  </si>
  <si>
    <t>MIT= Average Municipality Tax Rate</t>
  </si>
  <si>
    <t>p</t>
  </si>
  <si>
    <t>(percent of federal income tax deductible for state purposes)</t>
  </si>
  <si>
    <t>Per State Tax Code</t>
  </si>
  <si>
    <t>Composite Income Tax Rate (T)</t>
  </si>
  <si>
    <t xml:space="preserve">     = FIT + SIT + MIT - (SIT + MIT) * FIT - (FIT * p * SIT)</t>
  </si>
  <si>
    <t>T / (1-T)</t>
  </si>
  <si>
    <t>1/(1-T)</t>
  </si>
  <si>
    <t>ITC Adjustment</t>
  </si>
  <si>
    <t>Amortization of Investment Tax Credit - Transmission</t>
  </si>
  <si>
    <t>Amortization of Investment Tax Credit - General</t>
  </si>
  <si>
    <t>Amortization of Investment Tax Credit - General Allocated to Transmission</t>
  </si>
  <si>
    <t>Total Amortization of Investment Tax Credit - Transmission</t>
  </si>
  <si>
    <t>ITC Amortization Allocated to Transmission</t>
  </si>
  <si>
    <t>Equity AFUDC Component of Transmission Depreciation</t>
  </si>
  <si>
    <t>Tax Effect of AFUDC Equity Permanent Difference</t>
  </si>
  <si>
    <t>Equity AFUDC Adjustment for Transmission</t>
  </si>
  <si>
    <t>Amortization of Excess Accumulated Deferred Income Taxes</t>
  </si>
  <si>
    <t>Amortization of Excess ADIT</t>
  </si>
  <si>
    <t>Amortization of Excess ADIT for Transmission</t>
  </si>
  <si>
    <t>Income Tax Component</t>
  </si>
  <si>
    <t xml:space="preserve">     (T/1-T) * Weighted Cost of Preferred and Common * Rate Base</t>
  </si>
  <si>
    <t>Transmission Income Taxes</t>
  </si>
  <si>
    <t>Transmission Revenue Requirement</t>
  </si>
  <si>
    <t>Summary</t>
  </si>
  <si>
    <t>Net Property, Plant &amp; Equipment</t>
  </si>
  <si>
    <t>Total Transmission O&amp;M</t>
  </si>
  <si>
    <t>Taxes Other than Income</t>
  </si>
  <si>
    <t>Investment Return</t>
  </si>
  <si>
    <t>Income Taxes</t>
  </si>
  <si>
    <t>Gross Transmission Revenue Requirement</t>
  </si>
  <si>
    <t>Adjustment to Remove Revenue Requirements Associated with Excluded Transmission Facilities</t>
  </si>
  <si>
    <t>Excluded Transmission Facilities</t>
  </si>
  <si>
    <t>Included Transmission Facilities</t>
  </si>
  <si>
    <t>Inclusion Ratio</t>
  </si>
  <si>
    <t>Gross Revenue Requirement</t>
  </si>
  <si>
    <t>Adjusted Gross Revenue Requirement</t>
  </si>
  <si>
    <t>Revenue Credits &amp; Interest on Network Credits</t>
  </si>
  <si>
    <t>Revenue Credits</t>
  </si>
  <si>
    <t>Net Transmission Revenue Requirement</t>
  </si>
  <si>
    <t>Zonal Network Integration Transmission Service Rate and Carrying Charges</t>
  </si>
  <si>
    <t>Carrying Charges</t>
  </si>
  <si>
    <t xml:space="preserve">Net Transmission Plant and CWIP </t>
  </si>
  <si>
    <t xml:space="preserve">Net Plant Carrying Charge </t>
  </si>
  <si>
    <t>Net Plant Carrying Charge without Depreciation</t>
  </si>
  <si>
    <t>Net Plant Carrying Charge without Depreciation, Return, nor Income Taxes</t>
  </si>
  <si>
    <t>Corrections</t>
  </si>
  <si>
    <t>ROE Adder for DP&amp;L Projects Included Only in the Dayton Zone</t>
  </si>
  <si>
    <t>Revenues from DP&amp;L Schedule 12 Projects</t>
  </si>
  <si>
    <t>Facility Credits under Section 30.9 of the PJM OATT</t>
  </si>
  <si>
    <t>Annual Transmission Revenue Requirement - Dayton Zone</t>
  </si>
  <si>
    <t>Network Integration Transmission Service Rate - Dayton Zone</t>
  </si>
  <si>
    <t>1 CP Peak</t>
  </si>
  <si>
    <t>Rate ($/MW-Year)</t>
  </si>
  <si>
    <t>Network Integration Transmission Service Rate - Dayton Zone ($/MW/Year)</t>
  </si>
  <si>
    <t>Monthly Rate</t>
  </si>
  <si>
    <t>Weekly Rate</t>
  </si>
  <si>
    <t>Daily On-Peak Rate</t>
  </si>
  <si>
    <t>Daily Off-Peak Rate</t>
  </si>
  <si>
    <t>A</t>
  </si>
  <si>
    <t>Calculated using 13-month average balances</t>
  </si>
  <si>
    <t>B</t>
  </si>
  <si>
    <t>Includes the original cost of transmission electric plant (excluding land and land rights) owned and held by DP&amp;L for future use of electric service under a definite plan for such use and land and land rights held by DP&amp;L for future use of electric service under a plan for such use</t>
  </si>
  <si>
    <t>C</t>
  </si>
  <si>
    <t>Includes 100% of EPRI membership dues and lobbying expenses charged to A&amp;G which are excluded from the Annual Transmission Revenue Requirement ("ATRR")</t>
  </si>
  <si>
    <t>D</t>
  </si>
  <si>
    <t xml:space="preserve">Includes 100% of Regulatory Commission Expenses charged to A&amp;G </t>
  </si>
  <si>
    <t>E</t>
  </si>
  <si>
    <t>Includes Regulatory Commission Expenses charged to A&amp;G and directly related to transmission service, RTO filings, or transmission siting and all itemized in Form 1 at 351.h</t>
  </si>
  <si>
    <t>F</t>
  </si>
  <si>
    <t>CWIP can only be included in rate base if authorized by the Commission</t>
  </si>
  <si>
    <t>G</t>
  </si>
  <si>
    <t>Base ROE is fixed and will not change absent a determination by FERC in a Section 205 or 206 proceeding.   To the extent FERC has authorized a RTO Participation Adder for DP&amp;L, the sum of the Base ROE and the RTO Participation Adder shall be included in the ATRR subject to a maximum value of 9.99% during the Moratorium Period. To the extent FERC has authorized a RTO Participation Adder for DP&amp;L, the sum of the Base ROE plus the RTO Participation Adder shall be included in the ATRR at the end of the Moratorium Period.  The Annual PBOP Expense included in the Formula Rate Annual Update shall be based upon the Company's projections and trued-up to actual PBOP Expense as charged to FERC Account 926.  DP&amp;L will provide, in connection with each annual True-Up Adjustment filing, a confidential copy of relevant pages from the annual actuarial valuation report supporting the derivation of the Actual Annual PBOP Expense as charged to FERC Account 926.   Depreciation rates were approved in Docket No. ER20-1150-000.  They may be updated with future changes in depreciation rates but only after approval by FERC.  If book depreciation rates are different than the Attachment 8 rates, DP&amp;L will provide workpapers at the annual update to reconcile formula depreciation expense and FERC Form 1 depreciation accruals.</t>
  </si>
  <si>
    <t>H</t>
  </si>
  <si>
    <t xml:space="preserve">Coincident peak demand computed as provided for in Section 34.1 of the PJM OATT.  The PJM determined coincident peak demand will not be revised or updated in the Annual True-Up (ATU) Adjustment, as the ATU Adjustment compares the applicable calendar year actual revenue requirement to the actual revenue (based upon the projected revenue requirement). </t>
  </si>
  <si>
    <t>I</t>
  </si>
  <si>
    <t>Amount of transmission plant excluded from the ATRR.  The amounts are shown on Attachment 4</t>
  </si>
  <si>
    <t>J</t>
  </si>
  <si>
    <t>Costs associated with DP&amp;L’s integrated transmission system, including all transmission facilities in place as of the 2001 FERC Integration study (Docket ER01-2307), shall be recoverable under this formula rate template.  After that date, Step-up facilities with a lower-voltage side operating at below 69 kV shall be excluded.  Step-down transformers with a lower-voltage side operating at below 69kV will be excluded even if within a transmission substation.  Integrated high-side breakers, integrated lines operating at or above 69 kV and other integrated transmission facilities that are within a substation shall be recoverable under the formula rate template.  Transmission Owner Interconnection Facilities, when constructed pursuant to a Large or Small Generator Interconnection Agreement and paid for by the interconnecting entity, are not to be recovered under this formula rate template, which may be effectuated by crediting amounts received from the interconnecting entity to the formula rate.</t>
  </si>
  <si>
    <t>K</t>
  </si>
  <si>
    <t>Calculated using the average of the beginning and end of current year balances.  Goodwill may only be included pursuant to a Commission Order authorizing such inclusion</t>
  </si>
  <si>
    <t>L</t>
  </si>
  <si>
    <t xml:space="preserve">Calculated using the average of the beginning and end of current year balances </t>
  </si>
  <si>
    <t>M</t>
  </si>
  <si>
    <t>Unamortized Abandoned Plant and Amortization of Abandoned Plant may only be included pursuant to a Commission Order authorizing such inclusion</t>
  </si>
  <si>
    <t>N</t>
  </si>
  <si>
    <t>Includes Unamortized Excess Deferred Income Tax Regulatory Assets or Liabilities and the associated amortization arising from income tax rate changes related to the 2017 Tax Cut and Jobs Act and any future  change in federal, state or local income tax rates, as per Order 864, Public Utility Transmission Rate Changes to Address Accumulated Deferred Income Taxes.</t>
  </si>
  <si>
    <t>O</t>
  </si>
  <si>
    <t>As a general rule, A&amp;G costs will be directly assigned to or explicitly allocated within DP&amp;L’s accounting system between the transmission function and other functions, with the transmission function costs included in the ATRR.  A&amp;G costs directly assigned or allocated within DP&amp;L’s accounting system to distribution or relating to some other function shall be excluded.  A wage allocation will be used only to the extent there is any remaining amount that is unassigned.  These general rules will apply irrespective of whether the A&amp;G costs originate within DP&amp;L itself or from the centralized service company, AES US Services, LLC.  See Attachment 13 - A&amp;G amounts by account and by business function.</t>
  </si>
  <si>
    <t>P</t>
  </si>
  <si>
    <t xml:space="preserve">In the projected ATRR and the ATU Adjustment, the calculations of ADIT amounts resulting from liberalized depreciations are performed in accordance with the proration requirements of Treasury Regulation Section 1.167(l)-1(h)(6).  </t>
  </si>
  <si>
    <t>Q</t>
  </si>
  <si>
    <t xml:space="preserve">ROE Adder authorized by the Commission for projects included in Attachment 7A, which contains the docket in which ROE Adder was authorized by FERC.  </t>
  </si>
  <si>
    <t>R</t>
  </si>
  <si>
    <t>The revenue requirement for PJM Schedule 12 Facilities is separately identifed for cost allocation purposes, as the costs are allocated to more than the Dayton Zone.  Schedule 12 Project requirements are excluded from the DP&amp;L NITS revenue requirement.  PJM compensates DP&amp;L for the Schedule 12 Project revenue requirements pursuant to Schedule 12.  Amount includes any ATU Adjustment for Schedule 12 projects.</t>
  </si>
  <si>
    <t>S</t>
  </si>
  <si>
    <t xml:space="preserve">Include any Network or Facility Credits provided pursuant to Section 30.9 of the PJM OATT if not already included in another category of the Formula Rate.  </t>
  </si>
  <si>
    <t>T</t>
  </si>
  <si>
    <t xml:space="preserve">Only the transmission portion of M&amp;S amounts reported on line 5 of page 227 of FERC Form 1 is used ("Assigned to - Construction").  The transmission portion of line 5 is specified in a footnote on page 227. </t>
  </si>
  <si>
    <t>U</t>
  </si>
  <si>
    <t>FERC approval is required for the amortization of any Regulatory Asset through charges calculated pursuant to the template</t>
  </si>
  <si>
    <t>V</t>
  </si>
  <si>
    <t>No production-related costs or expenses or renewable energy credits will be included in A&amp;G allocated to transmission</t>
  </si>
  <si>
    <t>END</t>
  </si>
  <si>
    <t>W</t>
  </si>
  <si>
    <t>Customers have the right to challenge the inclusion of distribution-related costs to the extent inclusion of those costs would result in a disproportionate allocation of costs to transmission.  Such right shall be exercised pursuant to the Protocols, Attachment H-15B</t>
  </si>
  <si>
    <t>Only</t>
  </si>
  <si>
    <t xml:space="preserve">Plant </t>
  </si>
  <si>
    <t>Labor</t>
  </si>
  <si>
    <t>Related</t>
  </si>
  <si>
    <t>ADIT</t>
  </si>
  <si>
    <t>ADIT-190 w/o prorated items</t>
  </si>
  <si>
    <t>ADIT-282 w/o prorated items</t>
  </si>
  <si>
    <t>ADIT-283 w/o prorated items</t>
  </si>
  <si>
    <t>End of  Year ADIT</t>
  </si>
  <si>
    <t>End of  Previous Year ADIT (from 1C - ADIT Prior Year)</t>
  </si>
  <si>
    <t>Average Beginning and End of Year - Nonprorated Items</t>
  </si>
  <si>
    <t>ADIT-282 - Prorated Items</t>
  </si>
  <si>
    <t>Total ADIT</t>
  </si>
  <si>
    <t>Items that are not prorated are below.  Debit amounts are shown as positive and credit amounts are shown as negative.</t>
  </si>
  <si>
    <t>dissimilar items with amounts exceeding $100,000 will be listed separately;</t>
  </si>
  <si>
    <t>ADIT-190</t>
  </si>
  <si>
    <t>Excluded</t>
  </si>
  <si>
    <t>Justification</t>
  </si>
  <si>
    <t>Vacation Pay</t>
  </si>
  <si>
    <t xml:space="preserve">Book estimate accrued and expensed - tax deduction when paid. </t>
  </si>
  <si>
    <t>Post-retirement Benefits - FAS 106</t>
  </si>
  <si>
    <t xml:space="preserve">FAS 106 - Post Retirement Benefits Obligation </t>
  </si>
  <si>
    <t>Deferred Compensation</t>
  </si>
  <si>
    <t>Federal Taxes Deferred - FAS 109</t>
  </si>
  <si>
    <t>FAS 109 - primarily associated with items previously flowed through due to regulation.  Removed below.</t>
  </si>
  <si>
    <t>Union Disability</t>
  </si>
  <si>
    <t>Reversal for book reserves for employee disability, and medical reserves - tax deduction when paid</t>
  </si>
  <si>
    <t>Federal Deferred Tax on Future Tax Impacts</t>
  </si>
  <si>
    <t>FIN 48 deferred tax offsets to reflect tax position uncertainties.</t>
  </si>
  <si>
    <t>Employee Stock Plans</t>
  </si>
  <si>
    <t>Book estimate accrued and expensed - tax deduction when paid</t>
  </si>
  <si>
    <t>Bad Debt Expense</t>
  </si>
  <si>
    <t>Reversal of book reserve and tax deduction for actual bad debt charge offs</t>
  </si>
  <si>
    <t>State Income Taxes</t>
  </si>
  <si>
    <t>State and local taxes accrued on the listed temporary differences</t>
  </si>
  <si>
    <t>Capitalized Interest Income</t>
  </si>
  <si>
    <t>Tax capitalized interest on certain pollution control bonds</t>
  </si>
  <si>
    <t>Deferred Federal Taxes on CAT Tax Credit</t>
  </si>
  <si>
    <t>Other</t>
  </si>
  <si>
    <t>Miscellaneous book tax differences</t>
  </si>
  <si>
    <t>Subtotal - p234</t>
  </si>
  <si>
    <t>Less FASB 109 Above if not separately removed</t>
  </si>
  <si>
    <t>All FAS 109 items excluded from formula rate</t>
  </si>
  <si>
    <t>Instructions for Account 190:</t>
  </si>
  <si>
    <t>1.  ADIT items related to Non-Electric Operations or which are not significant are excluded and directly assigned to Column C</t>
  </si>
  <si>
    <t>2.  ADIT items related only to Transmission are directly assigned to Column D</t>
  </si>
  <si>
    <t>3.  ADIT items related to Plant are included in Column E</t>
  </si>
  <si>
    <t>4.  ADIT items related to Labor are included in Column F</t>
  </si>
  <si>
    <t xml:space="preserve">5. Deferred income taxes arise when items are included in taxable income in different periods than they are included in book income and rates. </t>
  </si>
  <si>
    <t xml:space="preserve">       If the item giving rise to the ADIT is not included in the formula rate revenue requirement, the associated ADIT amount shall be excluded</t>
  </si>
  <si>
    <t>Total Without Exclusions</t>
  </si>
  <si>
    <t>ADIT- 282</t>
  </si>
  <si>
    <t>Depreciation - Liberalized Depreciation</t>
  </si>
  <si>
    <t>Other - Exclude CIAC</t>
  </si>
  <si>
    <t>Other Plant related book tax temporary differences (e.g., repairs deductions, deductions for mixed service costs capitalized for book purposes, etc.)</t>
  </si>
  <si>
    <t>Instructions for Account 282:</t>
  </si>
  <si>
    <t>1.  ADIT items related only to Non-Electric Operations or Production are directly assigned to Column C</t>
  </si>
  <si>
    <t>3.  ADIT items related to Plant and not in Columns C &amp; D are included in Column E</t>
  </si>
  <si>
    <t>4.  ADIT items related to labor and not in Columns C &amp; D are included in Column F</t>
  </si>
  <si>
    <t>ADIT-283</t>
  </si>
  <si>
    <t>Capitalized Software</t>
  </si>
  <si>
    <t>Book tax difference related to software costs</t>
  </si>
  <si>
    <t>Reacquisition of Bonds</t>
  </si>
  <si>
    <t>Cost of reacquiring bonds deducted when incurred for tax purposes and being amortized over time for book purposes.  Removed below</t>
  </si>
  <si>
    <t>Pensions</t>
  </si>
  <si>
    <t>Book amortization of pension expense based on actuarial calculations. Tax deduction is allowed when cash contributions are made to the plan.</t>
  </si>
  <si>
    <t>Phase-in Deferral</t>
  </si>
  <si>
    <t xml:space="preserve">Books record regulatory assets and liabilities.  In certain cases, tax is able to take a current deduction for those activities (books records a reg asset for certain storm damages, tax is able to take a current deduction) </t>
  </si>
  <si>
    <t>FAS 109</t>
  </si>
  <si>
    <t>Pay Incentives</t>
  </si>
  <si>
    <t>Book/tax difference related to bonus accruals - tax deduction taken when bonuses are paid</t>
  </si>
  <si>
    <t>Primarily related to unrealized gains and losses on hedging transactions</t>
  </si>
  <si>
    <t xml:space="preserve">Subtotal - p277  </t>
  </si>
  <si>
    <t>Less: FASB 109 Above if not separately removed</t>
  </si>
  <si>
    <t>Less:  Reacquisition of Bonds</t>
  </si>
  <si>
    <t>Included in cost of debt</t>
  </si>
  <si>
    <t>Instructions for Account 283:</t>
  </si>
  <si>
    <t>Attachment H-15A</t>
  </si>
  <si>
    <t>Debit amounts are shown as positive and credit amounts are shown as negative.</t>
  </si>
  <si>
    <t>Account 282</t>
  </si>
  <si>
    <t>(a)</t>
  </si>
  <si>
    <t>(b)</t>
  </si>
  <si>
    <t>(c)</t>
  </si>
  <si>
    <t>(d)</t>
  </si>
  <si>
    <t>(e)</t>
  </si>
  <si>
    <t>(f)</t>
  </si>
  <si>
    <t>(g)</t>
  </si>
  <si>
    <t>(h)</t>
  </si>
  <si>
    <t>(i)</t>
  </si>
  <si>
    <t>(j)</t>
  </si>
  <si>
    <t>(k)</t>
  </si>
  <si>
    <t>(l)</t>
  </si>
  <si>
    <t>(m)</t>
  </si>
  <si>
    <t>(n)</t>
  </si>
  <si>
    <t>(o)</t>
  </si>
  <si>
    <t>(p)</t>
  </si>
  <si>
    <t>(q)</t>
  </si>
  <si>
    <t>(v)</t>
  </si>
  <si>
    <t>Beginning Balance &amp; Monthly Changes</t>
  </si>
  <si>
    <t>Year</t>
  </si>
  <si>
    <t>Days in the Month</t>
  </si>
  <si>
    <t>Number of Days Remaining in Year After Current Month</t>
  </si>
  <si>
    <t>Total Days in the Projected Rate Year</t>
  </si>
  <si>
    <t>Weighting for Projection</t>
  </si>
  <si>
    <t>Beginning Balance/
Monthly Amount/ Ending Balance</t>
  </si>
  <si>
    <t>Transmission Proration
(d) x (f)</t>
  </si>
  <si>
    <t>Plant Related</t>
  </si>
  <si>
    <t>Plant Allocation</t>
  </si>
  <si>
    <t>Plant Proration
(f) x (l)</t>
  </si>
  <si>
    <t>Labor Related</t>
  </si>
  <si>
    <t>Labor Allocation</t>
  </si>
  <si>
    <t>Labor Proration
(f) x (p)</t>
  </si>
  <si>
    <t>Total Transmission Prorated Amount</t>
  </si>
  <si>
    <t>December 31st balance Prorated Items (FF1 274.2.b less non Prorated Items)</t>
  </si>
  <si>
    <t>January</t>
  </si>
  <si>
    <t>February</t>
  </si>
  <si>
    <t>March</t>
  </si>
  <si>
    <t>April</t>
  </si>
  <si>
    <t>May</t>
  </si>
  <si>
    <t>June</t>
  </si>
  <si>
    <t>July</t>
  </si>
  <si>
    <t>August</t>
  </si>
  <si>
    <t>September</t>
  </si>
  <si>
    <t>October</t>
  </si>
  <si>
    <t>November</t>
  </si>
  <si>
    <t>December</t>
  </si>
  <si>
    <t>Prorated Balance</t>
  </si>
  <si>
    <t xml:space="preserve">Note:  In the projected ATRR and the ATU Adjustment, the calculations of ADIT amounts resulting from liberalized depreciations are performed in accordance with the proration requirements of Treasury Regulation Section 1.167(l)-1(h)(6).  </t>
  </si>
  <si>
    <t>Attachment 1C - Accumulated Deferred Income Taxes (ADIT) Worksheet - December 31 of Prior Year</t>
  </si>
  <si>
    <t>Contains all ADIT Items - Prorated and Nonprorated.  Debit amounts are shown as positive and credit amounts are shown as negative.</t>
  </si>
  <si>
    <t>FIN 48 deferred tax offsets to reflect tax position uncertainties</t>
  </si>
  <si>
    <t xml:space="preserve">State and local taxes accrued on the listed temporary differences </t>
  </si>
  <si>
    <t>1.  ADIT items related to Non-Electric Operations or are not significant are excluded and directly assigned to Column C</t>
  </si>
  <si>
    <t>4.  ADIT items related to Labor and not in Columns C &amp; D are included in Column F</t>
  </si>
  <si>
    <t xml:space="preserve">5.  Deferred income taxes arise when items are included in taxable income in different periods than they are included in book income and rates. </t>
  </si>
  <si>
    <t>G - Justification</t>
  </si>
  <si>
    <t>Tax and book differences resulting from accelerated tax depreciation .  Included in prorated amount</t>
  </si>
  <si>
    <t>Only Transmission</t>
  </si>
  <si>
    <t>Miscellaneous book tax differences primarily related to non-utility activities</t>
  </si>
  <si>
    <t xml:space="preserve">Differences attributable to over-projection of ADIT in the annual projection will result in a proportionate reversal of the projected prorated ADIT activity to the extent of the over-projection. </t>
  </si>
  <si>
    <t xml:space="preserve">Differences attributable to under-projection of ADIT in the annual projection will result in an adjustment to the projected prorated ADIT activity by the difference between the projected monthly activity </t>
  </si>
  <si>
    <t xml:space="preserve">and the actual monthly activity. However, when projected monthly ADIT activity is an increase and actual monthly ADIT activity is a decrease, actual monthly ADIT activity will be used. </t>
  </si>
  <si>
    <t xml:space="preserve">Likewise, when projected monthly ADIT activity is a decrease and actual monthly ADIT activity is an increase, actual monthly ADIT activity will be used.  </t>
  </si>
  <si>
    <t>ADIT Proration</t>
  </si>
  <si>
    <t xml:space="preserve"> Debit amounts are shown as positive and credit amounts are shown as negative.</t>
  </si>
  <si>
    <t>Account 282 (Note 1)</t>
  </si>
  <si>
    <t>Days in Period</t>
  </si>
  <si>
    <t>Projection - Proration of Projected Deferred Tax Activity</t>
  </si>
  <si>
    <t>Actual Activity - Proration of Projected Deferred Tax Activity and Averaging of Other Deferred Tax Activity</t>
  </si>
  <si>
    <t>Month</t>
  </si>
  <si>
    <t xml:space="preserve">Number of Days Remaining in Year After Month's Accrual of Deferred Taxes </t>
  </si>
  <si>
    <t>Total Days in Projected Rate Year (Line 14, Col B)</t>
  </si>
  <si>
    <t>Proration Percentage (Attachment 1B - Col. C / Col. D)</t>
  </si>
  <si>
    <t>Projected Monthly Activity</t>
  </si>
  <si>
    <t>Prorated Amount  (E*F)</t>
  </si>
  <si>
    <t>Prorated Projected Balance (Line 27, H plus G)</t>
  </si>
  <si>
    <t>Actual Monthly Activity</t>
  </si>
  <si>
    <t>Difference between projected monthly and actual monthly activity</t>
  </si>
  <si>
    <t>Preserve proration when actual monthly and projected monthly activity are either both increases or decreases.  
(See Note 1)</t>
  </si>
  <si>
    <t>Difference between projected and actual activity when actual and projected activity are either both increases or decreases.  
(See Note 1)</t>
  </si>
  <si>
    <t>Actual activity (Col I) when projected activity is an increase while actual activity is a decrease OR projected activity is a decrease while actual activity is an increase.
(See Note 1)</t>
  </si>
  <si>
    <t>Balance reflecting proration or averaging</t>
  </si>
  <si>
    <t>December 31st balance (FF1 274.2.b)</t>
  </si>
  <si>
    <t>Wage and Salary</t>
  </si>
  <si>
    <t>Allocator</t>
  </si>
  <si>
    <t>Grand Total</t>
  </si>
  <si>
    <t xml:space="preserve">Note 1:  The calculations for accelerated depreciation-related ADIT in the projected net revenue requirement and the ATU Adjustment will be performed in accordance with the proration requirements of Treasury regulation Section 1.167(l)-1(h)(6). </t>
  </si>
  <si>
    <t xml:space="preserve">                                                                                                                                                                                                                </t>
  </si>
  <si>
    <t>Page 263</t>
  </si>
  <si>
    <t>Allocated</t>
  </si>
  <si>
    <t>Other Taxes</t>
  </si>
  <si>
    <t>Col (i)</t>
  </si>
  <si>
    <t>Amount</t>
  </si>
  <si>
    <t>Direct Assign</t>
  </si>
  <si>
    <t>Real Estate</t>
  </si>
  <si>
    <t>DA</t>
  </si>
  <si>
    <t>Unused</t>
  </si>
  <si>
    <t>Total Direct Assign</t>
  </si>
  <si>
    <t>Net Plant Related</t>
  </si>
  <si>
    <t>Total Plant Related</t>
  </si>
  <si>
    <t xml:space="preserve">Wages &amp; Salary Allocator </t>
  </si>
  <si>
    <t>FICA</t>
  </si>
  <si>
    <t>Federal Unemployment</t>
  </si>
  <si>
    <t>Real Estate - General and Intangible</t>
  </si>
  <si>
    <t>Total Labor Related</t>
  </si>
  <si>
    <t>Total Included  (Lines 4 + 6 + 10)</t>
  </si>
  <si>
    <t>kWh Excise - Unbilled</t>
  </si>
  <si>
    <t>kWh Excise - Billed</t>
  </si>
  <si>
    <t>Subtotal, Excluded</t>
  </si>
  <si>
    <t>Total, Included and Excluded (Line 11 + Line 19)</t>
  </si>
  <si>
    <t>Difference  (Line 20 - Line 21)</t>
  </si>
  <si>
    <t>Account 451</t>
  </si>
  <si>
    <t>Transmission Related - Direct Assigned</t>
  </si>
  <si>
    <t>p300, Footnotes</t>
  </si>
  <si>
    <t>Account 454 - Rent from Electric Property</t>
  </si>
  <si>
    <t>Attachment Fee revenue associated with transmission facilities (Note 2)</t>
  </si>
  <si>
    <t>Right of Way Leases - transmission related (Note 2)</t>
  </si>
  <si>
    <t>Transmission tower licenses for wireless services (Note 2)</t>
  </si>
  <si>
    <t>Other - transmission-related</t>
  </si>
  <si>
    <t>Total Account 454</t>
  </si>
  <si>
    <t>Account 456 - Other Electric Revenues</t>
  </si>
  <si>
    <t>DP&amp;L Schedule 1A</t>
  </si>
  <si>
    <t>Transmission maintenance and consulting services (Note 2)</t>
  </si>
  <si>
    <t>Revenues from Directly Assigned Transmission Facility Charges (Note 1)</t>
  </si>
  <si>
    <t>Licenses for intellectual property (Note 2)</t>
  </si>
  <si>
    <t>Other PJM-related revenues</t>
  </si>
  <si>
    <t>Total Account 456</t>
  </si>
  <si>
    <t>Account 456.1 -Transmission of Electricity for Others</t>
  </si>
  <si>
    <t xml:space="preserve">Net revenues associated with Network Integration Transmission Service (NITS) for which the load is not included in the divisor on Appendix A (difference between NITS credits from PJM and PJM NITS charges paid by Transmission Owner) </t>
  </si>
  <si>
    <t>Point to Point Service revenues for which the load is not included in the divisor in Appendix A (Note 3)</t>
  </si>
  <si>
    <t>Total Account 456.1</t>
  </si>
  <si>
    <t>Gross Revenue Credits</t>
  </si>
  <si>
    <t>Less: Sharing of Certain Revenues (Note 2)</t>
  </si>
  <si>
    <t>Total Revenue Credits</t>
  </si>
  <si>
    <t>Revenues associated with lines 2, 3, 4, 8 and 10 (Note 2)</t>
  </si>
  <si>
    <t>Revenue Credit</t>
  </si>
  <si>
    <t>Note 1</t>
  </si>
  <si>
    <t xml:space="preserve">Only if the revenue requirement associated with Directly Assigned Transmission Facilities are included in the formula are the associated revenues also included in the formula.  </t>
  </si>
  <si>
    <t>Note 2</t>
  </si>
  <si>
    <t>Note 3</t>
  </si>
  <si>
    <t>DP&amp;L share of Schedule 7, Firm P2P Border Rate revenue</t>
  </si>
  <si>
    <t>Previous Year</t>
  </si>
  <si>
    <t>Line #s</t>
  </si>
  <si>
    <t>Descriptions</t>
  </si>
  <si>
    <t>FF1 Page # or Instructions</t>
  </si>
  <si>
    <t>FERC Account</t>
  </si>
  <si>
    <t xml:space="preserve">Form 1Dec </t>
  </si>
  <si>
    <t>Jan</t>
  </si>
  <si>
    <t>Feb</t>
  </si>
  <si>
    <t>Mar</t>
  </si>
  <si>
    <t>Apr</t>
  </si>
  <si>
    <t>Jun</t>
  </si>
  <si>
    <t>Jul</t>
  </si>
  <si>
    <t>Aug</t>
  </si>
  <si>
    <t>Sep</t>
  </si>
  <si>
    <t>Oct</t>
  </si>
  <si>
    <t>Nov</t>
  </si>
  <si>
    <t>Form 1 Dec</t>
  </si>
  <si>
    <t>Average</t>
  </si>
  <si>
    <t>Non-electric  Portion</t>
  </si>
  <si>
    <t>Electric Plant in Service (Excludes Asset Retirement Costs - ARC)</t>
  </si>
  <si>
    <t>Common Plant in Service - Electric</t>
  </si>
  <si>
    <t>p356</t>
  </si>
  <si>
    <t>Accumulated Common Plant Depreciation - Electric</t>
  </si>
  <si>
    <t>Accumulated Common Amortization - Electric</t>
  </si>
  <si>
    <t>Transmission Plant in Service ( Excludes Asset Retirement Costs - ARC)</t>
  </si>
  <si>
    <t>p207.58.g</t>
  </si>
  <si>
    <t>350-359</t>
  </si>
  <si>
    <t>General ( Excludes Asset Retirement Costs - ARC)</t>
  </si>
  <si>
    <t>p207.99.g</t>
  </si>
  <si>
    <t>389-399</t>
  </si>
  <si>
    <t xml:space="preserve">p205.5.g </t>
  </si>
  <si>
    <t>301-303</t>
  </si>
  <si>
    <t>p219.25.c</t>
  </si>
  <si>
    <t>p219.28.b</t>
  </si>
  <si>
    <t>Accumulated Common Plant Depreciation &amp; Amortization - Electric</t>
  </si>
  <si>
    <t>Wages &amp; Salary</t>
  </si>
  <si>
    <t>End of Year</t>
  </si>
  <si>
    <t>Total O&amp;M Wage Expense</t>
  </si>
  <si>
    <t>p354.28b</t>
  </si>
  <si>
    <t>Total A&amp;G Wages Expense</t>
  </si>
  <si>
    <t>p354.27b</t>
  </si>
  <si>
    <t>Transmission Wages</t>
  </si>
  <si>
    <t>p354.21b</t>
  </si>
  <si>
    <t>Transmission Property Held for Future Use</t>
  </si>
  <si>
    <t>Beginning Year Balance</t>
  </si>
  <si>
    <t>Prepayments - Total</t>
  </si>
  <si>
    <t>p111.57c</t>
  </si>
  <si>
    <t>Less:  Amounts Related to PUCO Proceedings</t>
  </si>
  <si>
    <t>Less:  Amounts Related to p-cards</t>
  </si>
  <si>
    <t>Less:  Amounts Related to PJM Credits in 2018</t>
  </si>
  <si>
    <t>Net Prepayments</t>
  </si>
  <si>
    <t>Undistributed Stores Exp</t>
  </si>
  <si>
    <t>p227.16.b,c</t>
  </si>
  <si>
    <t>Transmission Materials &amp; Supplies</t>
  </si>
  <si>
    <t>p227.8 and fn</t>
  </si>
  <si>
    <t>p227.5 and fn</t>
  </si>
  <si>
    <t>O&amp;M Expenses</t>
  </si>
  <si>
    <t>p.321.112.b</t>
  </si>
  <si>
    <t>560-574</t>
  </si>
  <si>
    <t>Transmission of Electricity by Others</t>
  </si>
  <si>
    <t>p321.96.b</t>
  </si>
  <si>
    <t>Scheduling, System Control and Dispatch Services</t>
  </si>
  <si>
    <t>p321.88.b</t>
  </si>
  <si>
    <t>Total of Accounts 565 and 561.4</t>
  </si>
  <si>
    <t>Property  Insurance Expenses</t>
  </si>
  <si>
    <t xml:space="preserve">    Property Insurance</t>
  </si>
  <si>
    <t>p323.185b</t>
  </si>
  <si>
    <t>Adjustments to A &amp; G Expense</t>
  </si>
  <si>
    <t xml:space="preserve">Total A&amp;G Expenses </t>
  </si>
  <si>
    <t>p323.197b</t>
  </si>
  <si>
    <t>920-935</t>
  </si>
  <si>
    <t xml:space="preserve">         </t>
  </si>
  <si>
    <t>Service Company and DP&amp;L A&amp;G Directly Assigned to Transmission</t>
  </si>
  <si>
    <t>p323.fn</t>
  </si>
  <si>
    <t>Service Company and DP&amp;L A&amp;G Directly Assigned to Distribution and Transmission</t>
  </si>
  <si>
    <t>Regulatory Expense Related to Transmission Cost Support</t>
  </si>
  <si>
    <t>Regulatory Commission Expenses</t>
  </si>
  <si>
    <t>p323.189b</t>
  </si>
  <si>
    <t>Regulatory Commission Expenses - Transmission Related</t>
  </si>
  <si>
    <t>Excluded A&amp;G Items</t>
  </si>
  <si>
    <t>EPRI Dues</t>
  </si>
  <si>
    <t>p352-353</t>
  </si>
  <si>
    <t>A&amp;G</t>
  </si>
  <si>
    <t>Lobbying Expenses</t>
  </si>
  <si>
    <t>Internal data</t>
  </si>
  <si>
    <t>Depreciation and Amortization Expense</t>
  </si>
  <si>
    <t>Depreciation-Transmission</t>
  </si>
  <si>
    <t>p336.7.f</t>
  </si>
  <si>
    <t>Depreciation-General &amp; Common</t>
  </si>
  <si>
    <t>p336.10&amp;11.f</t>
  </si>
  <si>
    <t>Amortization-Intangible</t>
  </si>
  <si>
    <t>p336.1.f</t>
  </si>
  <si>
    <t>Taxes Other Than Income Taxes</t>
  </si>
  <si>
    <t>Transmission Related</t>
  </si>
  <si>
    <t>Real Estate Taxes - Directly Assigned to Transmission</t>
  </si>
  <si>
    <t>p263, fn</t>
  </si>
  <si>
    <t>FICA - Insurance Contribution</t>
  </si>
  <si>
    <t>p263.1.20i</t>
  </si>
  <si>
    <t>p263.1.18i</t>
  </si>
  <si>
    <t xml:space="preserve">Return \ Capitalization - include all amounts as positive values </t>
  </si>
  <si>
    <t xml:space="preserve">Beginning of Year </t>
  </si>
  <si>
    <t>Long-term Interest Expense</t>
  </si>
  <si>
    <t>p117.62.c</t>
  </si>
  <si>
    <t>Amortization of Debt Discount and Expense</t>
  </si>
  <si>
    <t>p117.63.c</t>
  </si>
  <si>
    <t>Amortization of Loss on Reacquired Debt</t>
  </si>
  <si>
    <t>p117.64.c</t>
  </si>
  <si>
    <t>Amortization of Debt Premium</t>
  </si>
  <si>
    <t>p117.65.c</t>
  </si>
  <si>
    <t>Amortization of Gain on Reacquired Debt</t>
  </si>
  <si>
    <t>p117.66.c</t>
  </si>
  <si>
    <t>Interest on Debt to Associated Companies</t>
  </si>
  <si>
    <t>p117.67.c</t>
  </si>
  <si>
    <t>Total Long-term Interest Expense</t>
  </si>
  <si>
    <t>p118.29.c</t>
  </si>
  <si>
    <t>NA</t>
  </si>
  <si>
    <t>p112.16.c,d</t>
  </si>
  <si>
    <t>201-219</t>
  </si>
  <si>
    <t>Accumulated Other Comprehensive Income</t>
  </si>
  <si>
    <t>p112.15.c,d</t>
  </si>
  <si>
    <t>Unappropriated Undistributed Subsidiary Earnings</t>
  </si>
  <si>
    <t>p119.53.c&amp;d</t>
  </si>
  <si>
    <t>p112.24 c,d</t>
  </si>
  <si>
    <t>221-224</t>
  </si>
  <si>
    <t>Unamortized Debt Expense</t>
  </si>
  <si>
    <t>p111.69 c.d.</t>
  </si>
  <si>
    <t xml:space="preserve">Unamortized Loss on Reacquired Debt </t>
  </si>
  <si>
    <t>p111.81.c,d</t>
  </si>
  <si>
    <t>Unamortized Premium</t>
  </si>
  <si>
    <t>p112.22.d</t>
  </si>
  <si>
    <t>Unamortized Discount</t>
  </si>
  <si>
    <t>p112.23.d</t>
  </si>
  <si>
    <t>Unamortized Gain on Reacquired Debt</t>
  </si>
  <si>
    <t>p113.61.c,d</t>
  </si>
  <si>
    <t>ADIT Associated with Gain or Loss on Reacquired Debt</t>
  </si>
  <si>
    <t>p277.3.k and 277.4.k</t>
  </si>
  <si>
    <t>190 and 283</t>
  </si>
  <si>
    <t>Long-term Portion of Derivative Assets - Hedges</t>
  </si>
  <si>
    <t>p110.31d</t>
  </si>
  <si>
    <t>Derivative Instrument Liabilities - Hedges</t>
  </si>
  <si>
    <t>p113.52d</t>
  </si>
  <si>
    <t>p112.3.c,d</t>
  </si>
  <si>
    <t>Multi-State Workpaper</t>
  </si>
  <si>
    <t>State 1</t>
  </si>
  <si>
    <t>State 2</t>
  </si>
  <si>
    <t>State 3</t>
  </si>
  <si>
    <t>Ohio</t>
  </si>
  <si>
    <t>Average Municipality Income Tax Rate</t>
  </si>
  <si>
    <t>Miscellaneous Income Tax Items</t>
  </si>
  <si>
    <t>Amortization of Investment Tax Credits - General</t>
  </si>
  <si>
    <t>p266.8.f</t>
  </si>
  <si>
    <t>Amortization of Investment Tax Credits - Transmission</t>
  </si>
  <si>
    <t>Equity AFUDC Portion of Transmission Depreciation Expense</t>
  </si>
  <si>
    <t xml:space="preserve"> Excluded Transmission Facilities</t>
  </si>
  <si>
    <t>PJM Load Cost Support</t>
  </si>
  <si>
    <t>1 CP Peak in MWs</t>
  </si>
  <si>
    <t>Network Zonal Service Rate</t>
  </si>
  <si>
    <t>1 CP Demand</t>
  </si>
  <si>
    <t>PJM Data</t>
  </si>
  <si>
    <t>Project X</t>
  </si>
  <si>
    <t>Project Y</t>
  </si>
  <si>
    <t>Project Z</t>
  </si>
  <si>
    <t>Beginning of Year Balance of Unamortized Abandoned Transmission Project Costs</t>
  </si>
  <si>
    <t>Per FERC Order</t>
  </si>
  <si>
    <t>Remaining Amortization Period in Years</t>
  </si>
  <si>
    <t xml:space="preserve">Amortization of Property Losses, Unrecovered Plant and Regulatory Study Costs </t>
  </si>
  <si>
    <t>Ending Balance of Unamortized Transmission Projects</t>
  </si>
  <si>
    <t>Average Balance of Unamortized Abandoned Transmission Projects</t>
  </si>
  <si>
    <t>Only costs that have been approved for recovery by the Commission are included</t>
  </si>
  <si>
    <t xml:space="preserve">Docket No. </t>
  </si>
  <si>
    <t>Docket No.</t>
  </si>
  <si>
    <t>Excess Accumulated Deferred Income Taxes</t>
  </si>
  <si>
    <t>Amortization</t>
  </si>
  <si>
    <t xml:space="preserve">End of Year </t>
  </si>
  <si>
    <t>p112.27,c</t>
  </si>
  <si>
    <t>p112.28,c</t>
  </si>
  <si>
    <t>Non-Pension and Non-PBOP Items</t>
  </si>
  <si>
    <t>p112.29 c</t>
  </si>
  <si>
    <t>Misc. Operating Provisions</t>
  </si>
  <si>
    <t>p112.30,c</t>
  </si>
  <si>
    <t>Note:  Only include items pertaining to transmission business</t>
  </si>
  <si>
    <t>Deferred Credits - Direct Assign</t>
  </si>
  <si>
    <t>p269.10,f</t>
  </si>
  <si>
    <t>Customer Advances for Construction</t>
  </si>
  <si>
    <t>p113.56.c</t>
  </si>
  <si>
    <t>Customer Deposits</t>
  </si>
  <si>
    <t>p112.41.c</t>
  </si>
  <si>
    <t>(Direct Assigned)</t>
  </si>
  <si>
    <t>Included Items</t>
  </si>
  <si>
    <t>Plant in Service, Accumulated Depreciation and Accumulated Deferred Income Taxes - Projects with ROE Adder</t>
  </si>
  <si>
    <t xml:space="preserve">Year </t>
  </si>
  <si>
    <t>Plant in Service</t>
  </si>
  <si>
    <t>Plant in Service and Accumulated Depreciation - Schedule 12 Projects</t>
  </si>
  <si>
    <t>Average or Annual</t>
  </si>
  <si>
    <t>Marysville Reconductoring and Substation</t>
  </si>
  <si>
    <t>Plant in Service/CWIP</t>
  </si>
  <si>
    <t>206/216</t>
  </si>
  <si>
    <t>Depreciation</t>
  </si>
  <si>
    <t>Current Year</t>
  </si>
  <si>
    <t xml:space="preserve">Dec </t>
  </si>
  <si>
    <t>Dec</t>
  </si>
  <si>
    <t>Projects</t>
  </si>
  <si>
    <t>The NITS True-Up Adjustment component of the Formula Rate for each Rate Year shall be determined as follows:</t>
  </si>
  <si>
    <t>In accordance with its formula rate protocols, DP&amp;L shall recalculate an adjusted Annual Transmission</t>
  </si>
  <si>
    <t>Revenue Requirement for the previous calendar year based on its actual costs as reflected in its Form No. 1 and its</t>
  </si>
  <si>
    <t>books and records for that calendar year, consistent with FERC accounting policies.</t>
  </si>
  <si>
    <t>(ii)</t>
  </si>
  <si>
    <t>(Annual True-Up Adjustment Before Interest).</t>
  </si>
  <si>
    <t xml:space="preserve">DP&amp;L shall determine the Annual True-Up Adjustment as follows: </t>
  </si>
  <si>
    <t>(iii)</t>
  </si>
  <si>
    <t xml:space="preserve">Determine the difference between the actual Net Transmission Revenue Requirement as determined in paragraph (i) above, </t>
  </si>
  <si>
    <t xml:space="preserve"> and actual revenues based upon the projected ATRR for the previous calendar year, the resulting rate and actual peak demand</t>
  </si>
  <si>
    <t>(iv)</t>
  </si>
  <si>
    <t>Multiply the Annual True-Up Adjustment  Before Interest by (1+i)^24 months</t>
  </si>
  <si>
    <t xml:space="preserve">Where: </t>
  </si>
  <si>
    <t>i =</t>
  </si>
  <si>
    <t>Average of the monthly rates from the middle of the Rate Year for which the Annual True-up Adjustment</t>
  </si>
  <si>
    <t xml:space="preserve"> is being calculated through the middle of the year in which the Annual True-up Adjustment is included in rates (24 months)</t>
  </si>
  <si>
    <t>The interest rates are initially estimated and then trued-up to actual</t>
  </si>
  <si>
    <t>To the extent possible each input to the Formula Rate used to calculate the actual Annual Transmission Revenue</t>
  </si>
  <si>
    <t>Requirement included in the Annual True-Up Adjustment either will be taken directly from the FERC Form No. 1 or will be</t>
  </si>
  <si>
    <t>reconcilable to the FERC Form 1 by the application of clearly identified and supported information.  If the reconciliation</t>
  </si>
  <si>
    <t>is provided through a worksheet included in the filed Formula Rate template, the inputs to the worksheet must meet this</t>
  </si>
  <si>
    <t>transparency standard, and doing so will satisfy this transparency requirement for the amounts that are output from the</t>
  </si>
  <si>
    <t>worksheet and input to the main body of the Formula Rate.</t>
  </si>
  <si>
    <t xml:space="preserve">Line </t>
  </si>
  <si>
    <t>Estimated</t>
  </si>
  <si>
    <t>Actual</t>
  </si>
  <si>
    <t>Interest Rate</t>
  </si>
  <si>
    <t>Difference</t>
  </si>
  <si>
    <t>NITS ATRR based on actual costs included for the previous calendar year but excludes the true-up adjustment.</t>
  </si>
  <si>
    <t>NITS Revenues based upon the projected ATRR for the previous calendar year and excluding any true-up adjustment included therein</t>
  </si>
  <si>
    <t>Difference  (A-B)</t>
  </si>
  <si>
    <t>Future Value Factor (1+i)^24</t>
  </si>
  <si>
    <t>True-up Adjustment   (C*D)</t>
  </si>
  <si>
    <t>Where:</t>
  </si>
  <si>
    <t>i = average interest rate as calculated below</t>
  </si>
  <si>
    <t>Interest on Amount of Refunds or Surcharges</t>
  </si>
  <si>
    <t xml:space="preserve">Actual </t>
  </si>
  <si>
    <t>Monthly</t>
  </si>
  <si>
    <t>The Schedule 12 True-Up Adjustment component of the Formula Rate for each Rate Year shall be determined as follows:</t>
  </si>
  <si>
    <t>Line #</t>
  </si>
  <si>
    <t>Schedule 12 ATRR based on actual costs included for the previous calendar year but excludes the true-up adjustment.</t>
  </si>
  <si>
    <t>Schedule 12 revenues based upon the projected ATRR for the previous calendar year and excluding any true-up adjustment included therein</t>
  </si>
  <si>
    <t>ROE Adder</t>
  </si>
  <si>
    <t>Project 1</t>
  </si>
  <si>
    <t>Project 2</t>
  </si>
  <si>
    <t>Project 3</t>
  </si>
  <si>
    <t>Project 4</t>
  </si>
  <si>
    <t>Project 5</t>
  </si>
  <si>
    <t>Project 6</t>
  </si>
  <si>
    <t>Project 7</t>
  </si>
  <si>
    <t>Project 8</t>
  </si>
  <si>
    <t>Project 9</t>
  </si>
  <si>
    <t>Project 10</t>
  </si>
  <si>
    <t>Name</t>
  </si>
  <si>
    <t>Note A</t>
  </si>
  <si>
    <t>Equity Capitalization Ratio</t>
  </si>
  <si>
    <t>ROE Adder Value</t>
  </si>
  <si>
    <t>Note A: FERC Authorization - Order in Docket No.</t>
  </si>
  <si>
    <t>Revenue Requirement</t>
  </si>
  <si>
    <t>Marysville Substation and Line Reconductoring</t>
  </si>
  <si>
    <t>Schedule 12 Designation</t>
  </si>
  <si>
    <t>b1570</t>
  </si>
  <si>
    <t>Net Plant Carrying Charge w/o Depreciation</t>
  </si>
  <si>
    <t>Revenue Requirement w/o Depreciation and ROE Adder</t>
  </si>
  <si>
    <t>ROE Adder (if applicable)</t>
  </si>
  <si>
    <t>Attachment 7A</t>
  </si>
  <si>
    <t>Total Revenue Requirement</t>
  </si>
  <si>
    <t>(Note A)</t>
  </si>
  <si>
    <t>Total Schedule 12 Revenue Requirement</t>
  </si>
  <si>
    <t xml:space="preserve"> (To Appendix A, Line 193)</t>
  </si>
  <si>
    <t>Allocation Percentage to Other Than the Dayton Zone</t>
  </si>
  <si>
    <t>Allocation to Other Than the Dayton Zone</t>
  </si>
  <si>
    <t>Note A:  Schedule 12 Annual True-up Adjustment allocated to projects based upon Total Revenue Requirement</t>
  </si>
  <si>
    <t>Attachment 8 - Depreciation and Amortization Rates</t>
  </si>
  <si>
    <t>Description</t>
  </si>
  <si>
    <t>Rate (Note 1)</t>
  </si>
  <si>
    <t>Transmission (based upon data as of June 2019)</t>
  </si>
  <si>
    <t>Land Rights</t>
  </si>
  <si>
    <t>N/A</t>
  </si>
  <si>
    <t>Structures and Improvements</t>
  </si>
  <si>
    <t>Station Equipment</t>
  </si>
  <si>
    <t>Towers and Fixtures</t>
  </si>
  <si>
    <t>Poles and Fixtures</t>
  </si>
  <si>
    <t>Overhead Conductors &amp; Devices</t>
  </si>
  <si>
    <t>Underground Conduit</t>
  </si>
  <si>
    <t>Underground Conductors &amp; Devices</t>
  </si>
  <si>
    <t>Roads and Trails</t>
  </si>
  <si>
    <t>General and Intangible (determined in a Public Utilities Commission of Ohio proceeding and using data as of December 31, 2014)</t>
  </si>
  <si>
    <t>Franchises and Consents</t>
  </si>
  <si>
    <t>Intangible Plant</t>
  </si>
  <si>
    <t>Office Furniture and Equipment</t>
  </si>
  <si>
    <t>Computer Equipment</t>
  </si>
  <si>
    <t>Transportation Equipment - Auto</t>
  </si>
  <si>
    <t>Transportation Equipment - Light Truck</t>
  </si>
  <si>
    <t>Transportation Equipment - Trailers</t>
  </si>
  <si>
    <t>Transportation Equipment - Heavy Trucks</t>
  </si>
  <si>
    <t>Stores Equipment</t>
  </si>
  <si>
    <t>Tools, Shop and Garage Equipment</t>
  </si>
  <si>
    <t>Laboratory Equipment</t>
  </si>
  <si>
    <t>Power Operated Equipment</t>
  </si>
  <si>
    <t>Communication Equipment</t>
  </si>
  <si>
    <t>Miscellaneous Equipment</t>
  </si>
  <si>
    <t>Note 1:  The Dayton Power and Light Company's transmission depreciation rates may not change absent Commission authorization</t>
  </si>
  <si>
    <t xml:space="preserve"> General and intangible depreciation and amortization rates are as approved by the Public Utilities Commission of Ohio</t>
  </si>
  <si>
    <t>(A)</t>
  </si>
  <si>
    <t>(B)</t>
  </si>
  <si>
    <t>(C)</t>
  </si>
  <si>
    <t>(D)</t>
  </si>
  <si>
    <t>(E)</t>
  </si>
  <si>
    <t>(F)</t>
  </si>
  <si>
    <t>(G)</t>
  </si>
  <si>
    <t>(H)</t>
  </si>
  <si>
    <t>(I)</t>
  </si>
  <si>
    <t>(J)</t>
  </si>
  <si>
    <t>(K)</t>
  </si>
  <si>
    <t>(L)</t>
  </si>
  <si>
    <t>(M)</t>
  </si>
  <si>
    <t>(N)</t>
  </si>
  <si>
    <t>(O)</t>
  </si>
  <si>
    <t>(P)</t>
  </si>
  <si>
    <t>(Q)</t>
  </si>
  <si>
    <t>(R)</t>
  </si>
  <si>
    <t>(S)</t>
  </si>
  <si>
    <t>(T)</t>
  </si>
  <si>
    <t>(U)</t>
  </si>
  <si>
    <t>(V)</t>
  </si>
  <si>
    <t>(W)</t>
  </si>
  <si>
    <t>(X)</t>
  </si>
  <si>
    <t>(Y)</t>
  </si>
  <si>
    <t>Line</t>
  </si>
  <si>
    <t>ADIT Balances Prior to Remeasurement</t>
  </si>
  <si>
    <t>ADIT Balances After Remeasurement (Note F)</t>
  </si>
  <si>
    <t>Deficient or Excess Accumulated Deferred Taxes at December 31, 2017</t>
  </si>
  <si>
    <t>Adjustments After Remeasurement</t>
  </si>
  <si>
    <t>Adjusted Deficient or Excess Accumulated Deferred Taxes</t>
  </si>
  <si>
    <t>Transmission Allocation Factors (Note A)</t>
  </si>
  <si>
    <t>Allocated to Transmission</t>
  </si>
  <si>
    <t>Protected (P) Unprotected Property (UP)  Unprotected Other (UO) (Note B)</t>
  </si>
  <si>
    <t>Amortization Through December 31, 2019</t>
  </si>
  <si>
    <t>Balance at December 31, 2019</t>
  </si>
  <si>
    <t>2020 Amortization (Note B)</t>
  </si>
  <si>
    <t>Balance at December 31, 2020</t>
  </si>
  <si>
    <t>2021 Amortization (Note B)</t>
  </si>
  <si>
    <t>Balance at December 31, 2021 (Note B)</t>
  </si>
  <si>
    <t>2022 Amortization (Note B)</t>
  </si>
  <si>
    <t>Balance at December 31, 2022 (Note B)</t>
  </si>
  <si>
    <t>2023 Amortization (Note B)</t>
  </si>
  <si>
    <t>Balance at December 31, 2023 (Note B)</t>
  </si>
  <si>
    <t>2024 Amortization (Note B)</t>
  </si>
  <si>
    <t>Balance at December 31, 2024 (Note B)</t>
  </si>
  <si>
    <t>2025 Amortization (Note B)</t>
  </si>
  <si>
    <t>Balance at December 31, 2025 (Note B)</t>
  </si>
  <si>
    <t>2026 Amortization (Note B)</t>
  </si>
  <si>
    <t>Balance at December 31, 2026 (Note B)</t>
  </si>
  <si>
    <t>Deficient Deferred Income Taxes - amortized to 410.1</t>
  </si>
  <si>
    <t>FERC Account 190</t>
  </si>
  <si>
    <t xml:space="preserve">   Vacation Pay</t>
  </si>
  <si>
    <t>UO</t>
  </si>
  <si>
    <t xml:space="preserve">   Post Retirement Benefits</t>
  </si>
  <si>
    <t xml:space="preserve">   Deferred Compensation</t>
  </si>
  <si>
    <t xml:space="preserve">   FAS 109 - Electric</t>
  </si>
  <si>
    <t xml:space="preserve">   Union Disability</t>
  </si>
  <si>
    <t xml:space="preserve">   Fed Dfrd Tax on Future Tax Impacts</t>
  </si>
  <si>
    <t xml:space="preserve">   Employee Stock Plans</t>
  </si>
  <si>
    <t xml:space="preserve">   Bad Debts Expense</t>
  </si>
  <si>
    <t xml:space="preserve">   State Income Tax Expense</t>
  </si>
  <si>
    <t xml:space="preserve">   Capitalized Interest Income</t>
  </si>
  <si>
    <t xml:space="preserve">   Deferred Federal Tax on CAT Tax Credit</t>
  </si>
  <si>
    <t xml:space="preserve">   Other</t>
  </si>
  <si>
    <t>Various</t>
  </si>
  <si>
    <t>Total FERC Account 190</t>
  </si>
  <si>
    <t>FERC Account 282</t>
  </si>
  <si>
    <t>TBD</t>
  </si>
  <si>
    <t>Total Account 282</t>
  </si>
  <si>
    <t>FERC Account 283</t>
  </si>
  <si>
    <t>Total FERC Account 283</t>
  </si>
  <si>
    <t>Subtotal Before Being Grossed up for Income Taxes</t>
  </si>
  <si>
    <t>Gross Up</t>
  </si>
  <si>
    <t>Total Deficient Accumulated Deferred Income Taxes - Account 182.3</t>
  </si>
  <si>
    <t>Excess Accumulated Deferred Income Taxes - amortized to 411.1</t>
  </si>
  <si>
    <t>Total Account 190</t>
  </si>
  <si>
    <t>Liberalized Depreciation - Protected</t>
  </si>
  <si>
    <t>Other (Note D)</t>
  </si>
  <si>
    <t>UP</t>
  </si>
  <si>
    <t>Reaquisition of Bonds</t>
  </si>
  <si>
    <t>Regulatory Assets/Liabilities</t>
  </si>
  <si>
    <t>Total Account 283</t>
  </si>
  <si>
    <t>Total Excess Accumulated Deferred Income Taxes - Account 254</t>
  </si>
  <si>
    <t>Total Amortization</t>
  </si>
  <si>
    <t xml:space="preserve">Note A:  The allocators are based upon the Cost Alignment and Allocation Manual and derived from the detailed tax records of DP&amp;L.   Zero allocations are used for generation items and items charged to Other Comprehensive Income.  </t>
  </si>
  <si>
    <t>Note B:  Per the settlement in ER20-1150, protected excess accumulated deferred income tax items are amortized using the Average Rate Assumption Method.  All other items are amortized over 10 years for 2020 and 2021 and the remaining unamortized amounts at 12/31/2021 amortized over five years thereafter</t>
  </si>
  <si>
    <t xml:space="preserve">Note C:  Includes Unamortized Excess Deferred Income Tax Regulatory Assets or Liabilities and the associated amortization arising from income tax rate changes related to the 2017 Tax Cut and Jobs Act and any future change in federal, state or local income tax rates, as per Order 864, Public Utility Transmission Rate Changes to Address Accumulated Deferred Income Taxes.  This sheet will be replicated for any future change in federal, state or local income tax rates. </t>
  </si>
  <si>
    <t>Note D:  CIAC related excess ADIT not included.</t>
  </si>
  <si>
    <t>Note E:  DP&amp;L shall provide workpapers supporting amounts in Columns B and E for all items.</t>
  </si>
  <si>
    <t>Note F:  Remeasurement Factor equals the ratio of the current nominal tax rate to the prior nominal tax rate</t>
  </si>
  <si>
    <t>New nominal rate</t>
  </si>
  <si>
    <t>Prior nominal rate</t>
  </si>
  <si>
    <t>Remeasurement Factor</t>
  </si>
  <si>
    <t>Account 242 - Current Year</t>
  </si>
  <si>
    <t>Wage</t>
  </si>
  <si>
    <t>Plant</t>
  </si>
  <si>
    <t>Categories of Items</t>
  </si>
  <si>
    <t>Payroll Accrual</t>
  </si>
  <si>
    <t>Benefits</t>
  </si>
  <si>
    <t>Energy Suppliers</t>
  </si>
  <si>
    <t>Total Transmission Allocation</t>
  </si>
  <si>
    <t>Calendar Year</t>
  </si>
  <si>
    <t>Revenue</t>
  </si>
  <si>
    <t>Impact of</t>
  </si>
  <si>
    <t>No.</t>
  </si>
  <si>
    <t>Source</t>
  </si>
  <si>
    <t>Correction</t>
  </si>
  <si>
    <t>Requirement</t>
  </si>
  <si>
    <t>Filing Name and Date</t>
  </si>
  <si>
    <t>Original Revenue Requirement</t>
  </si>
  <si>
    <t>Description of Correction 1</t>
  </si>
  <si>
    <t>Description of Correction 2</t>
  </si>
  <si>
    <t>Total Corrections</t>
  </si>
  <si>
    <t>Corrected Revenue Requirement</t>
  </si>
  <si>
    <t>Average Monthly FERC Refund Rate</t>
  </si>
  <si>
    <t>Number of Months of Interest</t>
  </si>
  <si>
    <t>Note B</t>
  </si>
  <si>
    <t>Interest on Correction</t>
  </si>
  <si>
    <t>Line 7 x 8 x 9</t>
  </si>
  <si>
    <t>Sum of Corrections Plus Interest</t>
  </si>
  <si>
    <t>Line 7 + 10</t>
  </si>
  <si>
    <t>Notes:</t>
  </si>
  <si>
    <t>The interest rate on corrections will be the average monthly FERC interest rate for the period from the beginning of the year being corrected through the end of the rate year where the correction is reflected in rates - similar to how interest on the ATU Adjustment is computed.</t>
  </si>
  <si>
    <t>The number of months in which interest is computed is from the middle of the rate year in which the correction is needed to the middle of the rate year where the correction is reflected in rates - - similar to how interest on the ATU Adjustment is computed.</t>
  </si>
  <si>
    <t>FERC Form 1</t>
  </si>
  <si>
    <t>Account</t>
  </si>
  <si>
    <t>Page</t>
  </si>
  <si>
    <t xml:space="preserve">No. </t>
  </si>
  <si>
    <t>Load Dispatch - Reliability</t>
  </si>
  <si>
    <t>321.85b</t>
  </si>
  <si>
    <t>Load Dispatch - Monitor and Operate Transmission System</t>
  </si>
  <si>
    <t>321.86b</t>
  </si>
  <si>
    <t>Load Dispatch - Transmission Services and Scheduling</t>
  </si>
  <si>
    <t>321.87b</t>
  </si>
  <si>
    <t>Data provided by PJM</t>
  </si>
  <si>
    <t>MWHs</t>
  </si>
  <si>
    <t>Schedule 1A Rate per MWH</t>
  </si>
  <si>
    <t>Directly Assigned to:</t>
  </si>
  <si>
    <t>Distribution</t>
  </si>
  <si>
    <t>To Be Allocated Via the Wage Allocator</t>
  </si>
  <si>
    <t>Administrative and general salaries</t>
  </si>
  <si>
    <t>Office supplies and expenses</t>
  </si>
  <si>
    <t>Administrative expense transferred</t>
  </si>
  <si>
    <t>Outside services employed</t>
  </si>
  <si>
    <t>Property insurance</t>
  </si>
  <si>
    <t>Injuries and damages</t>
  </si>
  <si>
    <t>Employee pension and benefits</t>
  </si>
  <si>
    <t>Franchise requirements</t>
  </si>
  <si>
    <t>Regulatory commission expenses</t>
  </si>
  <si>
    <t>Duplicate charges</t>
  </si>
  <si>
    <t>General advertising</t>
  </si>
  <si>
    <t>Miscellaneous general expenses</t>
  </si>
  <si>
    <t>Rents</t>
  </si>
  <si>
    <t>Maintenance of general plant</t>
  </si>
  <si>
    <t>Not used for actual ATRR calculations</t>
  </si>
  <si>
    <t>Total Other Taxes from p114.14.k</t>
  </si>
  <si>
    <t>p200.8c</t>
  </si>
  <si>
    <t>p200.21c/derived</t>
  </si>
  <si>
    <t>p214.2.d</t>
  </si>
  <si>
    <t>p336.7f</t>
  </si>
  <si>
    <t>p350.c</t>
  </si>
  <si>
    <t xml:space="preserve">Form 1 Dec </t>
  </si>
  <si>
    <t>Federal Income Tax</t>
  </si>
  <si>
    <t>Ohio Municipal Income Taxes</t>
  </si>
  <si>
    <t>Sales and Use Tax</t>
  </si>
  <si>
    <t>Heavy Vehicle Use Tax</t>
  </si>
  <si>
    <t>Ohio CAT Tax</t>
  </si>
  <si>
    <t>Balance at 12/31/22 - T</t>
  </si>
  <si>
    <t>Balance at 12/31/22-G</t>
  </si>
  <si>
    <t>12/31/21 - T</t>
  </si>
  <si>
    <t>12/31/21 - G</t>
  </si>
  <si>
    <t>For 5/3/20-12/31/20</t>
  </si>
  <si>
    <t>FERC Interest Rate</t>
  </si>
  <si>
    <t>2020-2024 Average</t>
  </si>
  <si>
    <t>2021-2024 Average</t>
  </si>
  <si>
    <t>ATSI Zone only</t>
  </si>
  <si>
    <t>Months (see Corrections Tab)</t>
  </si>
  <si>
    <t>Interest Amount</t>
  </si>
  <si>
    <t>Total Correction Plus Interest</t>
  </si>
  <si>
    <t>Schedule 12 Annual True-Up Adjustment Plus Correction</t>
  </si>
  <si>
    <t>ATSI Only Correction - 2020</t>
  </si>
  <si>
    <t>Includes Correction - 2021</t>
  </si>
  <si>
    <t>Approved for Inclusion</t>
  </si>
  <si>
    <t>Not used in projections - see 1B - ADIT Proration</t>
  </si>
  <si>
    <t>Balance at 12/31/22-P</t>
  </si>
  <si>
    <t>12/31/21-P</t>
  </si>
  <si>
    <t>Comments</t>
  </si>
  <si>
    <t xml:space="preserve">Status as of </t>
  </si>
  <si>
    <t>Estimated In-Service Date</t>
  </si>
  <si>
    <t>Information Added for CWIP Report</t>
  </si>
  <si>
    <t>Interest Rate True-up (Note 1)</t>
  </si>
  <si>
    <t>Note 1:  Use Workpaper 6A - NITS True-up to determine ATU with actual interest rates and include interest rate true-up adjustment with subsequent ATU adjustment.</t>
  </si>
  <si>
    <t>Note 1:  Use Workpaper 6B - Schedule 12 True-up to determine ATU with actual interest rates and include interest rate true-up adjustment with subsequent ATU adjustment.</t>
  </si>
  <si>
    <r>
      <t xml:space="preserve">The following revenues, which are derived from new, secondary uses of transmission facilities, are shared equally between customers and DP&amp;L:  (1) right-of-way leases and leases for space on transmission facilities for telecommunications;  (2) transmission tower licenses for wireless antennas; (3) right-of-way property leases for farming, grazing or nurseries; (4) licenses of intellectual property; and (5) transmission maintenance and consulting services to other utilities and large customers.  DP&amp;L will retain 50% of net revenues consistent with </t>
    </r>
    <r>
      <rPr>
        <i/>
        <u/>
        <sz val="16"/>
        <rFont val="Arial"/>
        <family val="2"/>
      </rPr>
      <t>Pacific Gas and Electric Company</t>
    </r>
    <r>
      <rPr>
        <sz val="16"/>
        <rFont val="Arial"/>
        <family val="2"/>
      </rPr>
      <t>, 90 FERC ¶ 61,314.  In order to use lines 13-18, DP&amp;L must track in separate subaccounts the revenues and costs associated with each new, secondary use.  There is no sharing of losses and DP&amp;L shall not use portfolio accounting.  Any revenues from existing services shall continue to be credit 100% to the ATRR.</t>
    </r>
  </si>
  <si>
    <t>Plant Investment Support [excludes any Asset Retirement Obligations]</t>
  </si>
  <si>
    <t>Revenue Credit from Schedule 1 Border Rate Transactions</t>
  </si>
  <si>
    <t>True-up amount (with Projected ATRR Only)</t>
  </si>
  <si>
    <t>Deferred taxes a CAT (Commercial Activities Tax similar to a gross receipts tax) credit</t>
  </si>
  <si>
    <t>Structures and Improvements - Other</t>
  </si>
  <si>
    <t>Structures and Improvements - McGregor</t>
  </si>
  <si>
    <t>362.1/391</t>
  </si>
  <si>
    <t>362.2/392</t>
  </si>
  <si>
    <t>362.7/397.2</t>
  </si>
  <si>
    <t>Other Tangible Property</t>
  </si>
  <si>
    <t>(Workpaper 10)</t>
  </si>
  <si>
    <t>182.3/254</t>
  </si>
  <si>
    <t>Attachment 10 - Miscellaneous Current and Accrued Liabilities</t>
  </si>
  <si>
    <t>Tax and book differences resulting from accelerated tax depreciation .  Included in prorated amount.</t>
  </si>
  <si>
    <t>Resulting from Income Tax Rate Changes (Note C and D)</t>
  </si>
  <si>
    <t>In filling out this attachment, a full and complete description of each item and justification for the allocation to Columns C-F and each separate ADIT item will be listed,</t>
  </si>
  <si>
    <t>Attachment 12 - Schedule 1A</t>
  </si>
  <si>
    <t>Attachment 13 - Administrative and General Expense Detail</t>
  </si>
  <si>
    <t>Attachment 1A - Accumulated Deferred Income Taxes (ADIT) Worksheet - Projected December 31, 2023</t>
  </si>
  <si>
    <t>12 Months Ended December 31, 2023</t>
  </si>
  <si>
    <t>Attachment 1B - Accumulated Deferred Income Taxes - Prorated Projection - December 31, 2023</t>
  </si>
  <si>
    <t>Rate Year = 2023</t>
  </si>
  <si>
    <t>Attachment 1D - Accumulated Deferred Income Taxes for Annual True-up - December 31, 2023</t>
  </si>
  <si>
    <t>Attachment 2 - Taxes Other Than Income - December 31, 2023</t>
  </si>
  <si>
    <t>Attachment 3 - Revenue Credits - December 31, 2023</t>
  </si>
  <si>
    <t>Attachment 4 - Cost Support - December 31, 2023</t>
  </si>
  <si>
    <t>Attachment 5 - CWIP in Rate Base - December 31, 2023</t>
  </si>
  <si>
    <t>Attachment 6B - True-up Adjustment for Schedule 12 Projects (Transmission Enhancement Charges) - December 31, 2023</t>
  </si>
  <si>
    <t>Attachment 7A - ROE Adder for Projects - December 31, 2023</t>
  </si>
  <si>
    <t>Attachment 7B - Revenue Requirement of Schedule 12 Projects - December 31, 2023</t>
  </si>
  <si>
    <t>Attachment 9 - Excess Accumulated Deferred Income Taxes - December 31, 2023</t>
  </si>
  <si>
    <t>Attachment 11 - Corrections - December 31, 2023</t>
  </si>
  <si>
    <t>January through December 2023</t>
  </si>
  <si>
    <t>December 31, 2023</t>
  </si>
  <si>
    <t>Attachment 6A - True-up Adjustment for Network Integration Transmission Service - December 31, 2023</t>
  </si>
  <si>
    <t>Lewisburg - new 138 kV Line New Westville-AEP Hodgin</t>
  </si>
  <si>
    <t>Lewisburg - new 138 kV Line New Westville-West Manchester</t>
  </si>
  <si>
    <t>Lewisburg- West Manchester 138 kV Substation Expansion</t>
  </si>
  <si>
    <t>Amsterdam - Amsterdam to West Moulton 138 kV Improvements</t>
  </si>
  <si>
    <t>Amsterdam - Substation Expansion</t>
  </si>
  <si>
    <t>Marysville - Upgrades to Marysville Substation</t>
  </si>
  <si>
    <t>Amsterdam Area Improvements - Sidney Substation Expansion</t>
  </si>
  <si>
    <t>Botkins 69 kV Capacitor Relocation</t>
  </si>
  <si>
    <t>Amsterdam Area Improvements -Franklin Substation and 138 kV Extension</t>
  </si>
  <si>
    <t>Amsterdam Area Improvements - Sidney-Franklin Honda 138 kV Rebuild and Extension</t>
  </si>
  <si>
    <t>Madison Complex - New Madison 345 kV Substation</t>
  </si>
  <si>
    <t>Madison Complex - New Fayette Substation</t>
  </si>
  <si>
    <t xml:space="preserve">Airport Project </t>
  </si>
  <si>
    <t>Yes</t>
  </si>
  <si>
    <t>From 2023 LT Forecast Report to PUCO, page FE-D1 2, reporting 2023 data - total end user consumption</t>
  </si>
  <si>
    <t>Clinton 345/69 kV Transformer</t>
  </si>
  <si>
    <t>South Charleston (Madison) Substation</t>
  </si>
  <si>
    <t>West Milton-Eldean 138 kV Line</t>
  </si>
  <si>
    <t xml:space="preserve">West Milton Substation Transformers </t>
  </si>
  <si>
    <t>Madison Complex - New 345 kV Line Madison to Fayette (TUSDY01050130)</t>
  </si>
  <si>
    <t>Madison Complex - New 345 kV Line Madison to Fayette (TUSDY01050131)</t>
  </si>
  <si>
    <t>Madison Complex - New 138 kV Line Fayette to Honda (TUSDY 01050133)</t>
  </si>
  <si>
    <t>Madison Complex - New 138 kV Line Fayette to Honda (TUSDY 01050134)</t>
  </si>
  <si>
    <t>Creekside Millcreek to Creekside Circuit</t>
  </si>
  <si>
    <t xml:space="preserve">Creekside Eldean to Creekside Circuit </t>
  </si>
  <si>
    <t>Complete</t>
  </si>
  <si>
    <t>In Construction</t>
  </si>
  <si>
    <t>Not Yet Started</t>
  </si>
  <si>
    <t xml:space="preserve">Actual for </t>
  </si>
  <si>
    <t>X</t>
  </si>
  <si>
    <t>See FF1 262 fn</t>
  </si>
  <si>
    <t>Inclusion in CWIP</t>
  </si>
  <si>
    <t>Zero - DA</t>
  </si>
  <si>
    <t>Filled in below and Col. F</t>
  </si>
  <si>
    <t>Engineering and Design</t>
  </si>
  <si>
    <t>Net Operating Loss</t>
  </si>
  <si>
    <t xml:space="preserve">Attachment 1D - Accumulated Deferred Income Taxes for Annual True-up - December 31, </t>
  </si>
  <si>
    <t>Average Beginning and End of Year ADIT 283 and 190</t>
  </si>
  <si>
    <t>Actual Average and Prorated ADIT Balance</t>
  </si>
  <si>
    <t>In filling out this attachment, a full and complete description of each item and justification for the allocation to Columns B-G and each separate ADIT item will be listed,</t>
  </si>
  <si>
    <t>Only Transmission Related</t>
  </si>
  <si>
    <t>Remove as included in cost of debt</t>
  </si>
  <si>
    <t xml:space="preserve">  </t>
  </si>
  <si>
    <t xml:space="preserve">Note:  The calculations for depreciation-related  ADIT in the projected net revenue requirement and the Annual True-Up calculation will be performed in accordance with Treasury regulation Section 1.167(l)-1(h)(6). </t>
  </si>
  <si>
    <t>Not used - see 1A-ADIT</t>
  </si>
  <si>
    <t>Attachment 9</t>
  </si>
  <si>
    <t>2023 data</t>
  </si>
  <si>
    <t>Excluded Transmission Items</t>
  </si>
  <si>
    <t>p219.29c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</si>
</sst>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3" formatCode="_(* #,##0.00_);_(* \(#,##0.00\);_(* &quot;-&quot;??_);_(@_)"/>
    <numFmt numFmtId="164" formatCode="_(* #,##0_);_(* \(#,##0\);_(* &quot;-&quot;??_);_(@_)"/>
    <numFmt numFmtId="165" formatCode="0.0000"/>
    <numFmt numFmtId="166" formatCode="_(&quot;$&quot;* #,##0_);_(&quot;$&quot;* \(#,##0\);_(&quot;$&quot;* &quot;-&quot;??_);_(@_)"/>
    <numFmt numFmtId="167" formatCode="0.000%"/>
    <numFmt numFmtId="168" formatCode="0.00000"/>
    <numFmt numFmtId="169" formatCode="&quot;$&quot;#,##0.00"/>
    <numFmt numFmtId="170" formatCode="0.0%"/>
    <numFmt numFmtId="171" formatCode="0.0000%"/>
    <numFmt numFmtId="172" formatCode="0.00000%"/>
    <numFmt numFmtId="173" formatCode="_(* #,##0.00000_);_(* \(#,##0.00000\);_(* &quot;-&quot;??_);_(@_)"/>
    <numFmt numFmtId="174" formatCode="#,##0.0"/>
    <numFmt numFmtId="175" formatCode="0_);\(0\)"/>
    <numFmt numFmtId="176" formatCode="#,##0.0000000000000"/>
    <numFmt numFmtId="177" formatCode="0.0_);\(0.0\)"/>
    <numFmt numFmtId="178" formatCode="_(&quot;$&quot;* #,##0.0000_);_(&quot;$&quot;* \(#,##0.0000\);_(&quot;$&quot;* &quot;-&quot;??_);_(@_)"/>
    <numFmt numFmtId="179" formatCode="[$-409]mmmm\ d\,\ yyyy;@"/>
  </numFmts>
  <fonts count="44">
    <font>
      <sz val="10"/>
      <name val="Arial"/>
    </font>
    <font>
      <b/>
      <sz val="16"/>
      <color indexed="10"/>
      <name val="Arial"/>
      <family val="2"/>
    </font>
    <font>
      <b/>
      <sz val="16"/>
      <name val="Arial"/>
      <family val="2"/>
    </font>
    <font>
      <sz val="16"/>
      <name val="Arial"/>
      <family val="2"/>
    </font>
    <font>
      <b/>
      <sz val="16"/>
      <color indexed="13"/>
      <name val="Arial"/>
      <family val="2"/>
    </font>
    <font>
      <sz val="8"/>
      <name val="Arial"/>
      <family val="2"/>
    </font>
    <font>
      <sz val="16"/>
      <color indexed="12"/>
      <name val="Arial"/>
      <family val="2"/>
    </font>
    <font>
      <sz val="16"/>
      <color indexed="13"/>
      <name val="Arial"/>
      <family val="2"/>
    </font>
    <font>
      <b/>
      <i/>
      <sz val="16"/>
      <color indexed="14"/>
      <name val="Arial"/>
      <family val="2"/>
    </font>
    <font>
      <b/>
      <u/>
      <sz val="16"/>
      <name val="Arial"/>
      <family val="2"/>
    </font>
    <font>
      <sz val="16"/>
      <color indexed="10"/>
      <name val="Arial"/>
      <family val="2"/>
    </font>
    <font>
      <sz val="16"/>
      <color indexed="43"/>
      <name val="Arial"/>
      <family val="2"/>
    </font>
    <font>
      <u/>
      <sz val="16"/>
      <name val="Arial"/>
      <family val="2"/>
    </font>
    <font>
      <b/>
      <i/>
      <sz val="16"/>
      <name val="Arial"/>
      <family val="2"/>
    </font>
    <font>
      <sz val="8"/>
      <name val="Arial"/>
      <family val="2"/>
    </font>
    <font>
      <b/>
      <sz val="16"/>
      <color rgb="FFFF0000"/>
      <name val="Arial"/>
      <family val="2"/>
    </font>
    <font>
      <sz val="16"/>
      <color rgb="FFFF0000"/>
      <name val="Arial"/>
      <family val="2"/>
    </font>
    <font>
      <sz val="16"/>
      <color rgb="FF0070C0"/>
      <name val="Arial"/>
      <family val="2"/>
    </font>
    <font>
      <sz val="16"/>
      <color theme="1"/>
      <name val="Arial"/>
      <family val="2"/>
    </font>
    <font>
      <u val="singleAccounting"/>
      <sz val="16"/>
      <name val="Arial"/>
      <family val="2"/>
    </font>
    <font>
      <b/>
      <sz val="16"/>
      <color theme="1"/>
      <name val="Arial"/>
      <family val="2"/>
    </font>
    <font>
      <b/>
      <sz val="16"/>
      <color rgb="FF000000"/>
      <name val="Arial"/>
      <family val="2"/>
    </font>
    <font>
      <sz val="16"/>
      <color rgb="FF000000"/>
      <name val="Arial"/>
      <family val="2"/>
    </font>
    <font>
      <b/>
      <sz val="16"/>
      <color indexed="14"/>
      <name val="Arial"/>
      <family val="2"/>
    </font>
    <font>
      <b/>
      <i/>
      <sz val="16"/>
      <color indexed="10"/>
      <name val="Arial"/>
      <family val="2"/>
    </font>
    <font>
      <i/>
      <u/>
      <sz val="16"/>
      <name val="Arial"/>
      <family val="2"/>
    </font>
    <font>
      <u/>
      <sz val="16"/>
      <color indexed="10"/>
      <name val="Arial"/>
      <family val="2"/>
    </font>
    <font>
      <b/>
      <u/>
      <sz val="16"/>
      <color indexed="10"/>
      <name val="Arial"/>
      <family val="2"/>
    </font>
    <font>
      <vertAlign val="superscript"/>
      <sz val="16"/>
      <name val="Arial"/>
      <family val="2"/>
    </font>
    <font>
      <u/>
      <vertAlign val="superscript"/>
      <sz val="16"/>
      <name val="Arial"/>
      <family val="2"/>
    </font>
    <font>
      <sz val="16"/>
      <name val="Times New Roman"/>
      <family val="1"/>
    </font>
    <font>
      <b/>
      <sz val="16"/>
      <name val="Times New Roman"/>
      <family val="1"/>
    </font>
    <font>
      <sz val="16"/>
      <color rgb="FF0000FF"/>
      <name val="Arial"/>
      <family val="2"/>
    </font>
    <font>
      <sz val="16"/>
      <color rgb="FFD60093"/>
      <name val="Arial"/>
      <family val="2"/>
    </font>
    <font>
      <sz val="10"/>
      <name val="Arial"/>
      <family val="2"/>
    </font>
    <font>
      <sz val="10"/>
      <name val="Arial"/>
      <family val="2"/>
    </font>
    <font>
      <b/>
      <sz val="12"/>
      <name val="Arial"/>
      <family val="2"/>
    </font>
    <font>
      <b/>
      <sz val="14"/>
      <name val="Arial"/>
      <family val="2"/>
    </font>
    <font>
      <sz val="12"/>
      <name val="Arial"/>
      <family val="2"/>
    </font>
    <font>
      <b/>
      <i/>
      <sz val="12"/>
      <name val="Arial"/>
      <family val="2"/>
    </font>
    <font>
      <sz val="14"/>
      <name val="Arial"/>
      <family val="2"/>
    </font>
    <font>
      <sz val="20"/>
      <color rgb="FFFF0000"/>
      <name val="Arial"/>
      <family val="2"/>
    </font>
    <font>
      <sz val="12"/>
      <color rgb="FFFF0000"/>
      <name val="Arial"/>
      <family val="2"/>
    </font>
    <font>
      <b/>
      <i/>
      <sz val="14"/>
      <name val="Arial"/>
      <family val="2"/>
    </font>
  </fonts>
  <fills count="14">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9"/>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rgb="FFFFFF99"/>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s>
  <borders count="52">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bottom style="medium">
        <color auto="1"/>
      </bottom>
      <diagonal/>
    </border>
    <border>
      <left/>
      <right style="thin">
        <color indexed="64"/>
      </right>
      <top style="medium">
        <color indexed="64"/>
      </top>
      <bottom/>
      <diagonal/>
    </border>
    <border>
      <left/>
      <right style="medium">
        <color indexed="64"/>
      </right>
      <top style="thin">
        <color indexed="64"/>
      </top>
      <bottom/>
      <diagonal/>
    </border>
    <border>
      <left/>
      <right style="thin">
        <color indexed="64"/>
      </right>
      <top/>
      <bottom style="medium">
        <color auto="1"/>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34" fillId="0" borderId="0" applyFont="0" applyFill="0" applyBorder="0" applyAlignment="0" applyProtection="0"/>
    <xf numFmtId="9" fontId="34" fillId="0" borderId="0" applyFont="0" applyFill="0" applyBorder="0" applyAlignment="0" applyProtection="0"/>
    <xf numFmtId="0" fontId="35" fillId="0" borderId="0"/>
    <xf numFmtId="41" fontId="34" fillId="0" borderId="0" applyFont="0" applyFill="0" applyBorder="0" applyAlignment="0" applyProtection="0"/>
  </cellStyleXfs>
  <cellXfs count="700">
    <xf numFmtId="0" fontId="0" fillId="0" borderId="0" xfId="0"/>
    <xf numFmtId="37" fontId="2" fillId="0" borderId="46" xfId="0" applyNumberFormat="1" applyFont="1" applyBorder="1" applyAlignment="1">
      <alignment horizontal="center"/>
    </xf>
    <xf numFmtId="0" fontId="2" fillId="7" borderId="46" xfId="0" applyFont="1" applyFill="1" applyBorder="1" applyAlignment="1">
      <alignment horizontal="center"/>
    </xf>
    <xf numFmtId="1" fontId="33" fillId="0" borderId="0" xfId="0" applyNumberFormat="1" applyFont="1"/>
    <xf numFmtId="0" fontId="12" fillId="0" borderId="0" xfId="0" applyFont="1" applyAlignment="1">
      <alignment horizontal="center" wrapText="1"/>
    </xf>
    <xf numFmtId="178" fontId="3" fillId="0" borderId="0" xfId="0" applyNumberFormat="1" applyFont="1"/>
    <xf numFmtId="166" fontId="3" fillId="8" borderId="0" xfId="0" applyNumberFormat="1" applyFont="1" applyFill="1"/>
    <xf numFmtId="0" fontId="30" fillId="0" borderId="0" xfId="0" applyFont="1" applyAlignment="1">
      <alignment vertical="top" wrapText="1"/>
    </xf>
    <xf numFmtId="0" fontId="3" fillId="8" borderId="0" xfId="0" applyFont="1" applyFill="1" applyAlignment="1">
      <alignment vertical="center"/>
    </xf>
    <xf numFmtId="3" fontId="32" fillId="8" borderId="0" xfId="0" applyNumberFormat="1" applyFont="1" applyFill="1"/>
    <xf numFmtId="164" fontId="32" fillId="8" borderId="0" xfId="0" applyNumberFormat="1" applyFont="1" applyFill="1"/>
    <xf numFmtId="37" fontId="3" fillId="0" borderId="0" xfId="0" applyNumberFormat="1" applyFont="1" applyAlignment="1">
      <alignment horizontal="center" vertical="top"/>
    </xf>
    <xf numFmtId="0" fontId="3" fillId="8" borderId="0" xfId="0" quotePrefix="1" applyFont="1" applyFill="1" applyAlignment="1">
      <alignment horizontal="center"/>
    </xf>
    <xf numFmtId="0" fontId="30" fillId="0" borderId="0" xfId="0" applyFont="1" applyAlignment="1">
      <alignment horizontal="centerContinuous"/>
    </xf>
    <xf numFmtId="0" fontId="31" fillId="0" borderId="0" xfId="0" applyFont="1" applyAlignment="1">
      <alignment horizontal="centerContinuous"/>
    </xf>
    <xf numFmtId="0" fontId="30" fillId="0" borderId="0" xfId="0" applyFont="1"/>
    <xf numFmtId="170" fontId="12" fillId="0" borderId="0" xfId="0" applyNumberFormat="1" applyFont="1"/>
    <xf numFmtId="0" fontId="2" fillId="10" borderId="9" xfId="0" applyFont="1" applyFill="1" applyBorder="1" applyAlignment="1">
      <alignment horizontal="center"/>
    </xf>
    <xf numFmtId="0" fontId="2" fillId="10" borderId="2" xfId="0" applyFont="1" applyFill="1" applyBorder="1" applyAlignment="1">
      <alignment horizontal="center"/>
    </xf>
    <xf numFmtId="0" fontId="2" fillId="10" borderId="6" xfId="0" applyFont="1" applyFill="1" applyBorder="1" applyAlignment="1">
      <alignment horizontal="center"/>
    </xf>
    <xf numFmtId="0" fontId="2" fillId="7" borderId="11" xfId="0" applyFont="1" applyFill="1" applyBorder="1" applyAlignment="1">
      <alignment horizontal="center"/>
    </xf>
    <xf numFmtId="0" fontId="2" fillId="10" borderId="24" xfId="0" applyFont="1" applyFill="1" applyBorder="1" applyAlignment="1">
      <alignment horizontal="center"/>
    </xf>
    <xf numFmtId="0" fontId="2" fillId="10" borderId="8" xfId="0" applyFont="1" applyFill="1" applyBorder="1" applyAlignment="1">
      <alignment horizontal="center"/>
    </xf>
    <xf numFmtId="0" fontId="3" fillId="10" borderId="7" xfId="0" applyFont="1" applyFill="1" applyBorder="1"/>
    <xf numFmtId="0" fontId="22" fillId="8" borderId="0" xfId="0" applyFont="1" applyFill="1" applyAlignment="1">
      <alignment wrapText="1"/>
    </xf>
    <xf numFmtId="3" fontId="19" fillId="0" borderId="0" xfId="0" applyNumberFormat="1" applyFont="1"/>
    <xf numFmtId="0" fontId="21" fillId="0" borderId="0" xfId="0" applyFont="1" applyAlignment="1">
      <alignment wrapText="1"/>
    </xf>
    <xf numFmtId="0" fontId="22" fillId="0" borderId="0" xfId="0" applyFont="1" applyAlignment="1">
      <alignment wrapText="1"/>
    </xf>
    <xf numFmtId="167" fontId="3" fillId="8" borderId="0" xfId="0" applyNumberFormat="1" applyFont="1" applyFill="1"/>
    <xf numFmtId="0" fontId="18" fillId="8" borderId="0" xfId="0" applyFont="1" applyFill="1"/>
    <xf numFmtId="0" fontId="3" fillId="0" borderId="4" xfId="0" applyFont="1" applyBorder="1" applyAlignment="1">
      <alignment horizontal="center" wrapText="1"/>
    </xf>
    <xf numFmtId="2" fontId="3" fillId="0" borderId="0" xfId="0" applyNumberFormat="1" applyFont="1" applyAlignment="1">
      <alignment horizontal="left"/>
    </xf>
    <xf numFmtId="0" fontId="3" fillId="0" borderId="0" xfId="0" applyFont="1" applyAlignment="1">
      <alignment horizontal="left"/>
    </xf>
    <xf numFmtId="0" fontId="3" fillId="0" borderId="0" xfId="0" quotePrefix="1" applyFont="1"/>
    <xf numFmtId="177" fontId="3" fillId="0" borderId="0" xfId="0" applyNumberFormat="1" applyFont="1" applyAlignment="1">
      <alignment horizontal="left"/>
    </xf>
    <xf numFmtId="175" fontId="12" fillId="0" borderId="0" xfId="0" applyNumberFormat="1" applyFont="1" applyAlignment="1">
      <alignment horizontal="left"/>
    </xf>
    <xf numFmtId="9" fontId="3" fillId="0" borderId="0" xfId="0" applyNumberFormat="1" applyFont="1"/>
    <xf numFmtId="10" fontId="3" fillId="0" borderId="0" xfId="0" applyNumberFormat="1" applyFont="1" applyAlignment="1">
      <alignment horizontal="center"/>
    </xf>
    <xf numFmtId="171" fontId="3" fillId="0" borderId="0" xfId="0" applyNumberFormat="1" applyFont="1" applyAlignment="1">
      <alignment horizontal="center"/>
    </xf>
    <xf numFmtId="175" fontId="3" fillId="0" borderId="0" xfId="0" applyNumberFormat="1" applyFont="1" applyAlignment="1">
      <alignment horizontal="left"/>
    </xf>
    <xf numFmtId="171" fontId="2" fillId="0" borderId="0" xfId="0" applyNumberFormat="1" applyFont="1" applyAlignment="1">
      <alignment horizontal="center"/>
    </xf>
    <xf numFmtId="179" fontId="2" fillId="8" borderId="0" xfId="0" applyNumberFormat="1" applyFont="1" applyFill="1" applyAlignment="1">
      <alignment horizontal="center"/>
    </xf>
    <xf numFmtId="17" fontId="3" fillId="8" borderId="0" xfId="0" applyNumberFormat="1" applyFont="1" applyFill="1"/>
    <xf numFmtId="164" fontId="3" fillId="8" borderId="4" xfId="0" applyNumberFormat="1" applyFont="1" applyFill="1" applyBorder="1"/>
    <xf numFmtId="0" fontId="3" fillId="8" borderId="0" xfId="0" applyFont="1" applyFill="1" applyAlignment="1">
      <alignment wrapText="1"/>
    </xf>
    <xf numFmtId="10" fontId="3" fillId="8" borderId="4" xfId="0" applyNumberFormat="1" applyFont="1" applyFill="1" applyBorder="1"/>
    <xf numFmtId="3" fontId="2" fillId="0" borderId="14" xfId="0" applyNumberFormat="1" applyFont="1" applyBorder="1"/>
    <xf numFmtId="3" fontId="3" fillId="0" borderId="12" xfId="0" applyNumberFormat="1" applyFont="1" applyBorder="1"/>
    <xf numFmtId="3" fontId="2" fillId="0" borderId="11" xfId="0" applyNumberFormat="1" applyFont="1" applyBorder="1"/>
    <xf numFmtId="167" fontId="3" fillId="0" borderId="4" xfId="0" applyNumberFormat="1" applyFont="1" applyBorder="1"/>
    <xf numFmtId="0" fontId="3" fillId="0" borderId="4" xfId="0" applyFont="1" applyBorder="1" applyAlignment="1">
      <alignment wrapText="1"/>
    </xf>
    <xf numFmtId="1" fontId="3" fillId="0" borderId="4" xfId="0" applyNumberFormat="1" applyFont="1" applyBorder="1"/>
    <xf numFmtId="0" fontId="3" fillId="8" borderId="4" xfId="0" applyFont="1" applyFill="1" applyBorder="1" applyAlignment="1">
      <alignment horizontal="center" wrapText="1"/>
    </xf>
    <xf numFmtId="0" fontId="12" fillId="8" borderId="0" xfId="0" applyFont="1" applyFill="1" applyAlignment="1">
      <alignment horizontal="center"/>
    </xf>
    <xf numFmtId="172" fontId="3" fillId="0" borderId="0" xfId="0" applyNumberFormat="1" applyFont="1"/>
    <xf numFmtId="164" fontId="3" fillId="0" borderId="0" xfId="0" applyNumberFormat="1" applyFont="1" applyAlignment="1">
      <alignment horizontal="center"/>
    </xf>
    <xf numFmtId="176" fontId="3" fillId="0" borderId="0" xfId="0" applyNumberFormat="1" applyFont="1" applyAlignment="1">
      <alignment horizontal="center"/>
    </xf>
    <xf numFmtId="4" fontId="3" fillId="0" borderId="0" xfId="0" applyNumberFormat="1" applyFont="1"/>
    <xf numFmtId="171" fontId="3" fillId="5" borderId="0" xfId="0" applyNumberFormat="1" applyFont="1" applyFill="1" applyProtection="1">
      <protection locked="0"/>
    </xf>
    <xf numFmtId="164" fontId="19" fillId="0" borderId="0" xfId="0" applyNumberFormat="1" applyFont="1" applyAlignment="1">
      <alignment horizontal="center"/>
    </xf>
    <xf numFmtId="165" fontId="12" fillId="0" borderId="0" xfId="0" applyNumberFormat="1" applyFont="1"/>
    <xf numFmtId="3" fontId="12" fillId="5" borderId="0" xfId="0" applyNumberFormat="1" applyFont="1" applyFill="1" applyProtection="1">
      <protection locked="0"/>
    </xf>
    <xf numFmtId="0" fontId="3" fillId="0" borderId="0" xfId="0" applyFont="1" applyProtection="1">
      <protection locked="0"/>
    </xf>
    <xf numFmtId="0" fontId="29" fillId="0" borderId="0" xfId="0" applyFont="1" applyAlignment="1">
      <alignment horizontal="center"/>
    </xf>
    <xf numFmtId="0" fontId="28" fillId="0" borderId="0" xfId="0" applyFont="1" applyAlignment="1">
      <alignment horizontal="center"/>
    </xf>
    <xf numFmtId="173" fontId="3" fillId="0" borderId="0" xfId="0" applyNumberFormat="1" applyFont="1"/>
    <xf numFmtId="0" fontId="3" fillId="0" borderId="46" xfId="0" applyFont="1" applyBorder="1" applyAlignment="1">
      <alignment horizontal="center"/>
    </xf>
    <xf numFmtId="3" fontId="3" fillId="0" borderId="21" xfId="0" applyNumberFormat="1" applyFont="1" applyBorder="1"/>
    <xf numFmtId="0" fontId="3" fillId="11" borderId="16" xfId="0" applyFont="1" applyFill="1" applyBorder="1" applyAlignment="1">
      <alignment horizontal="center"/>
    </xf>
    <xf numFmtId="17" fontId="3" fillId="8" borderId="15" xfId="0" applyNumberFormat="1" applyFont="1" applyFill="1" applyBorder="1" applyAlignment="1">
      <alignment horizontal="center"/>
    </xf>
    <xf numFmtId="3" fontId="3" fillId="8" borderId="20" xfId="0" applyNumberFormat="1" applyFont="1" applyFill="1" applyBorder="1"/>
    <xf numFmtId="3" fontId="3" fillId="0" borderId="31" xfId="0" applyNumberFormat="1" applyFont="1" applyBorder="1"/>
    <xf numFmtId="0" fontId="3" fillId="0" borderId="8" xfId="0" applyFont="1" applyBorder="1" applyAlignment="1">
      <alignment horizontal="center"/>
    </xf>
    <xf numFmtId="0" fontId="2" fillId="7" borderId="11" xfId="0" applyFont="1" applyFill="1" applyBorder="1" applyAlignment="1">
      <alignment horizontal="center" wrapText="1"/>
    </xf>
    <xf numFmtId="0" fontId="2" fillId="7" borderId="1" xfId="0" applyFont="1" applyFill="1" applyBorder="1" applyAlignment="1">
      <alignment horizontal="center" wrapText="1"/>
    </xf>
    <xf numFmtId="0" fontId="3" fillId="8" borderId="49" xfId="0" applyFont="1" applyFill="1" applyBorder="1"/>
    <xf numFmtId="0" fontId="3" fillId="8" borderId="2" xfId="0" applyFont="1" applyFill="1" applyBorder="1"/>
    <xf numFmtId="3" fontId="3" fillId="8" borderId="45" xfId="0" applyNumberFormat="1" applyFont="1" applyFill="1" applyBorder="1"/>
    <xf numFmtId="0" fontId="3" fillId="0" borderId="49" xfId="0" applyFont="1" applyBorder="1"/>
    <xf numFmtId="3" fontId="3" fillId="0" borderId="45" xfId="0" applyNumberFormat="1" applyFont="1" applyBorder="1"/>
    <xf numFmtId="3" fontId="3" fillId="8" borderId="0" xfId="0" applyNumberFormat="1" applyFont="1" applyFill="1" applyAlignment="1">
      <alignment horizontal="center"/>
    </xf>
    <xf numFmtId="0" fontId="3" fillId="0" borderId="47" xfId="0" applyFont="1" applyBorder="1"/>
    <xf numFmtId="0" fontId="2" fillId="7" borderId="1" xfId="0" applyFont="1" applyFill="1" applyBorder="1" applyAlignment="1">
      <alignment horizontal="center"/>
    </xf>
    <xf numFmtId="37" fontId="2" fillId="0" borderId="1" xfId="0" applyNumberFormat="1" applyFont="1" applyBorder="1" applyAlignment="1">
      <alignment horizontal="center"/>
    </xf>
    <xf numFmtId="0" fontId="2" fillId="10" borderId="12" xfId="0" applyFont="1" applyFill="1" applyBorder="1" applyAlignment="1">
      <alignment horizontal="center"/>
    </xf>
    <xf numFmtId="0" fontId="10" fillId="0" borderId="2" xfId="0" applyFont="1" applyBorder="1"/>
    <xf numFmtId="166" fontId="3" fillId="0" borderId="2" xfId="0" applyNumberFormat="1" applyFont="1" applyBorder="1" applyAlignment="1">
      <alignment horizontal="center"/>
    </xf>
    <xf numFmtId="0" fontId="3" fillId="0" borderId="6" xfId="0" applyFont="1" applyBorder="1" applyAlignment="1">
      <alignment horizontal="left"/>
    </xf>
    <xf numFmtId="0" fontId="3" fillId="0" borderId="16" xfId="0" applyFont="1" applyBorder="1" applyAlignment="1">
      <alignment horizontal="left"/>
    </xf>
    <xf numFmtId="0" fontId="12" fillId="0" borderId="0" xfId="0" applyFont="1" applyAlignment="1">
      <alignment horizontal="left"/>
    </xf>
    <xf numFmtId="3" fontId="3" fillId="8" borderId="0" xfId="0" applyNumberFormat="1" applyFont="1" applyFill="1" applyAlignment="1">
      <alignment horizontal="left"/>
    </xf>
    <xf numFmtId="0" fontId="27" fillId="0" borderId="0" xfId="0" applyFont="1" applyAlignment="1">
      <alignment horizontal="center"/>
    </xf>
    <xf numFmtId="0" fontId="12" fillId="0" borderId="0" xfId="0" applyFont="1" applyAlignment="1">
      <alignment wrapText="1"/>
    </xf>
    <xf numFmtId="0" fontId="12" fillId="0" borderId="16" xfId="0" applyFont="1" applyBorder="1" applyAlignment="1">
      <alignment horizontal="left"/>
    </xf>
    <xf numFmtId="0" fontId="26" fillId="0" borderId="0" xfId="0" applyFont="1"/>
    <xf numFmtId="2" fontId="3" fillId="0" borderId="0" xfId="0" applyNumberFormat="1" applyFont="1" applyAlignment="1">
      <alignment horizontal="center"/>
    </xf>
    <xf numFmtId="174" fontId="3" fillId="8" borderId="0" xfId="0" applyNumberFormat="1" applyFont="1" applyFill="1"/>
    <xf numFmtId="0" fontId="2" fillId="7" borderId="8" xfId="0" applyFont="1" applyFill="1" applyBorder="1" applyAlignment="1">
      <alignment horizontal="center" wrapText="1"/>
    </xf>
    <xf numFmtId="0" fontId="2" fillId="0" borderId="24" xfId="0" applyFont="1" applyBorder="1" applyAlignment="1">
      <alignment wrapText="1"/>
    </xf>
    <xf numFmtId="0" fontId="3" fillId="0" borderId="8" xfId="0" applyFont="1" applyBorder="1" applyAlignment="1">
      <alignment wrapText="1"/>
    </xf>
    <xf numFmtId="0" fontId="2" fillId="0" borderId="9" xfId="0" applyFont="1" applyBorder="1" applyAlignment="1">
      <alignment horizontal="center" wrapText="1"/>
    </xf>
    <xf numFmtId="0" fontId="2" fillId="0" borderId="2" xfId="0" applyFont="1" applyBorder="1" applyAlignment="1">
      <alignment horizontal="center" wrapText="1"/>
    </xf>
    <xf numFmtId="0" fontId="2" fillId="0" borderId="15" xfId="0" applyFont="1" applyBorder="1" applyAlignment="1">
      <alignment horizontal="center" wrapText="1"/>
    </xf>
    <xf numFmtId="0" fontId="2" fillId="0" borderId="0" xfId="0" applyFont="1" applyAlignment="1">
      <alignment horizontal="center" wrapText="1"/>
    </xf>
    <xf numFmtId="10" fontId="3" fillId="8" borderId="2" xfId="0" applyNumberFormat="1" applyFont="1" applyFill="1" applyBorder="1"/>
    <xf numFmtId="10" fontId="3" fillId="0" borderId="15" xfId="0" applyNumberFormat="1" applyFont="1" applyBorder="1" applyAlignment="1">
      <alignment horizontal="center"/>
    </xf>
    <xf numFmtId="10" fontId="3" fillId="8" borderId="0" xfId="0" applyNumberFormat="1" applyFont="1" applyFill="1"/>
    <xf numFmtId="0" fontId="2" fillId="0" borderId="15" xfId="0" applyFont="1" applyBorder="1" applyAlignment="1">
      <alignment horizontal="center"/>
    </xf>
    <xf numFmtId="164" fontId="3" fillId="8" borderId="2" xfId="0" applyNumberFormat="1" applyFont="1" applyFill="1" applyBorder="1"/>
    <xf numFmtId="3" fontId="3" fillId="0" borderId="2" xfId="0" applyNumberFormat="1" applyFont="1" applyBorder="1" applyAlignment="1">
      <alignment horizontal="right"/>
    </xf>
    <xf numFmtId="3" fontId="3" fillId="0" borderId="2" xfId="0" applyNumberFormat="1" applyFont="1" applyBorder="1" applyAlignment="1">
      <alignment horizontal="left"/>
    </xf>
    <xf numFmtId="3" fontId="3" fillId="0" borderId="2" xfId="0" applyNumberFormat="1" applyFont="1" applyBorder="1"/>
    <xf numFmtId="3" fontId="3" fillId="11" borderId="0" xfId="0" applyNumberFormat="1" applyFont="1" applyFill="1"/>
    <xf numFmtId="3" fontId="3" fillId="0" borderId="0" xfId="0" applyNumberFormat="1" applyFont="1" applyAlignment="1">
      <alignment horizontal="left" wrapText="1"/>
    </xf>
    <xf numFmtId="167" fontId="2" fillId="0" borderId="0" xfId="0" applyNumberFormat="1" applyFont="1"/>
    <xf numFmtId="167" fontId="3" fillId="0" borderId="0" xfId="0" applyNumberFormat="1" applyFont="1"/>
    <xf numFmtId="1" fontId="3" fillId="8" borderId="0" xfId="0" applyNumberFormat="1" applyFont="1" applyFill="1"/>
    <xf numFmtId="3" fontId="18" fillId="0" borderId="0" xfId="0" applyNumberFormat="1" applyFont="1"/>
    <xf numFmtId="1" fontId="18" fillId="0" borderId="0" xfId="0" applyNumberFormat="1" applyFont="1"/>
    <xf numFmtId="3" fontId="3" fillId="0" borderId="8" xfId="0" applyNumberFormat="1" applyFont="1" applyBorder="1" applyAlignment="1">
      <alignment horizontal="center"/>
    </xf>
    <xf numFmtId="3" fontId="2" fillId="7" borderId="12" xfId="0" applyNumberFormat="1" applyFont="1" applyFill="1" applyBorder="1" applyAlignment="1">
      <alignment horizontal="center" wrapText="1"/>
    </xf>
    <xf numFmtId="1" fontId="3" fillId="0" borderId="0" xfId="0" applyNumberFormat="1" applyFont="1"/>
    <xf numFmtId="3" fontId="17" fillId="0" borderId="15" xfId="0" applyNumberFormat="1" applyFont="1" applyBorder="1" applyAlignment="1">
      <alignment horizontal="center" wrapText="1"/>
    </xf>
    <xf numFmtId="43" fontId="3" fillId="0" borderId="15" xfId="0" applyNumberFormat="1" applyFont="1" applyBorder="1"/>
    <xf numFmtId="3" fontId="3" fillId="8" borderId="0" xfId="0" applyNumberFormat="1" applyFont="1" applyFill="1" applyAlignment="1">
      <alignment horizontal="right"/>
    </xf>
    <xf numFmtId="0" fontId="3" fillId="0" borderId="9" xfId="0" applyFont="1" applyBorder="1" applyAlignment="1">
      <alignment horizontal="center"/>
    </xf>
    <xf numFmtId="164" fontId="3" fillId="0" borderId="2" xfId="0" applyNumberFormat="1" applyFont="1" applyBorder="1" applyAlignment="1">
      <alignment horizontal="center"/>
    </xf>
    <xf numFmtId="0" fontId="3" fillId="0" borderId="15" xfId="0" applyFont="1" applyBorder="1" applyAlignment="1">
      <alignment horizontal="center"/>
    </xf>
    <xf numFmtId="37" fontId="3" fillId="5" borderId="0" xfId="0" applyNumberFormat="1" applyFont="1" applyFill="1"/>
    <xf numFmtId="0" fontId="3" fillId="0" borderId="6" xfId="0" applyFont="1" applyBorder="1"/>
    <xf numFmtId="3" fontId="3" fillId="0" borderId="15" xfId="0" applyNumberFormat="1" applyFont="1" applyBorder="1" applyAlignment="1">
      <alignment horizontal="right"/>
    </xf>
    <xf numFmtId="0" fontId="2" fillId="0" borderId="24" xfId="0" applyFont="1" applyBorder="1" applyAlignment="1">
      <alignment horizontal="center" wrapText="1"/>
    </xf>
    <xf numFmtId="0" fontId="2" fillId="0" borderId="8" xfId="0" applyFont="1" applyBorder="1" applyAlignment="1">
      <alignment horizontal="center" wrapText="1"/>
    </xf>
    <xf numFmtId="0" fontId="2" fillId="0" borderId="8" xfId="0" applyFont="1" applyBorder="1" applyAlignment="1">
      <alignment wrapText="1"/>
    </xf>
    <xf numFmtId="0" fontId="2" fillId="0" borderId="7" xfId="0" applyFont="1" applyBorder="1"/>
    <xf numFmtId="0" fontId="16" fillId="0" borderId="0" xfId="0" applyFont="1" applyAlignment="1">
      <alignment horizontal="left"/>
    </xf>
    <xf numFmtId="0" fontId="2" fillId="7" borderId="14" xfId="0" applyFont="1" applyFill="1" applyBorder="1" applyAlignment="1">
      <alignment horizontal="center" wrapText="1"/>
    </xf>
    <xf numFmtId="0" fontId="2" fillId="7" borderId="12" xfId="0" applyFont="1" applyFill="1" applyBorder="1" applyAlignment="1">
      <alignment horizontal="center" wrapText="1"/>
    </xf>
    <xf numFmtId="166" fontId="3" fillId="0" borderId="0" xfId="0" applyNumberFormat="1" applyFont="1"/>
    <xf numFmtId="3" fontId="3" fillId="0" borderId="9" xfId="0" applyNumberFormat="1" applyFont="1" applyBorder="1" applyAlignment="1">
      <alignment horizontal="center"/>
    </xf>
    <xf numFmtId="0" fontId="2" fillId="0" borderId="2" xfId="0" applyFont="1" applyBorder="1"/>
    <xf numFmtId="3" fontId="3" fillId="0" borderId="15" xfId="0" applyNumberFormat="1" applyFont="1" applyBorder="1" applyAlignment="1">
      <alignment horizontal="center"/>
    </xf>
    <xf numFmtId="164" fontId="3" fillId="7" borderId="12" xfId="0" applyNumberFormat="1" applyFont="1" applyFill="1" applyBorder="1"/>
    <xf numFmtId="0" fontId="3" fillId="10" borderId="12" xfId="0" applyFont="1" applyFill="1" applyBorder="1"/>
    <xf numFmtId="166" fontId="3" fillId="0" borderId="2" xfId="0" applyNumberFormat="1" applyFont="1" applyBorder="1"/>
    <xf numFmtId="37" fontId="3" fillId="8" borderId="0" xfId="0" applyNumberFormat="1" applyFont="1" applyFill="1" applyAlignment="1">
      <alignment horizontal="right"/>
    </xf>
    <xf numFmtId="37" fontId="2" fillId="0" borderId="0" xfId="0" applyNumberFormat="1" applyFont="1" applyAlignment="1">
      <alignment horizontal="center"/>
    </xf>
    <xf numFmtId="164" fontId="3" fillId="0" borderId="0" xfId="0" applyNumberFormat="1" applyFont="1" applyAlignment="1">
      <alignment horizontal="left"/>
    </xf>
    <xf numFmtId="164" fontId="3" fillId="8" borderId="0" xfId="0" applyNumberFormat="1" applyFont="1" applyFill="1" applyAlignment="1">
      <alignment horizontal="right"/>
    </xf>
    <xf numFmtId="164" fontId="3" fillId="8" borderId="0" xfId="0" applyNumberFormat="1" applyFont="1" applyFill="1" applyAlignment="1">
      <alignment horizontal="center"/>
    </xf>
    <xf numFmtId="0" fontId="3" fillId="0" borderId="15" xfId="0" applyFont="1" applyBorder="1" applyAlignment="1">
      <alignment horizontal="center" wrapText="1"/>
    </xf>
    <xf numFmtId="167" fontId="3" fillId="0" borderId="8" xfId="0" applyNumberFormat="1" applyFont="1" applyBorder="1"/>
    <xf numFmtId="3" fontId="2" fillId="0" borderId="8" xfId="0" applyNumberFormat="1" applyFont="1" applyBorder="1" applyAlignment="1">
      <alignment horizontal="center"/>
    </xf>
    <xf numFmtId="0" fontId="3" fillId="0" borderId="7" xfId="0" applyFont="1" applyBorder="1"/>
    <xf numFmtId="0" fontId="3" fillId="0" borderId="2" xfId="0" applyFont="1" applyBorder="1" applyAlignment="1">
      <alignment horizontal="center"/>
    </xf>
    <xf numFmtId="0" fontId="2" fillId="0" borderId="0" xfId="0" applyFont="1" applyAlignment="1">
      <alignment horizontal="left" indent="1"/>
    </xf>
    <xf numFmtId="0" fontId="3" fillId="0" borderId="9" xfId="0" applyFont="1" applyBorder="1"/>
    <xf numFmtId="164" fontId="3" fillId="0" borderId="2" xfId="0" applyNumberFormat="1" applyFont="1" applyBorder="1"/>
    <xf numFmtId="0" fontId="3" fillId="0" borderId="15" xfId="0" applyFont="1" applyBorder="1"/>
    <xf numFmtId="0" fontId="2" fillId="0" borderId="16" xfId="0" applyFont="1" applyBorder="1"/>
    <xf numFmtId="0" fontId="3" fillId="7" borderId="14" xfId="0" applyFont="1" applyFill="1" applyBorder="1"/>
    <xf numFmtId="0" fontId="3" fillId="7" borderId="12" xfId="0" applyFont="1" applyFill="1" applyBorder="1"/>
    <xf numFmtId="0" fontId="2" fillId="7" borderId="12" xfId="0" applyFont="1" applyFill="1" applyBorder="1" applyAlignment="1">
      <alignment wrapText="1"/>
    </xf>
    <xf numFmtId="0" fontId="2" fillId="7" borderId="12" xfId="0" applyFont="1" applyFill="1" applyBorder="1"/>
    <xf numFmtId="0" fontId="2" fillId="7" borderId="11" xfId="0" applyFont="1" applyFill="1" applyBorder="1"/>
    <xf numFmtId="37" fontId="2" fillId="0" borderId="0" xfId="0" applyNumberFormat="1" applyFont="1" applyAlignment="1">
      <alignment horizontal="left"/>
    </xf>
    <xf numFmtId="3" fontId="3" fillId="0" borderId="21" xfId="0" applyNumberFormat="1" applyFont="1" applyBorder="1" applyAlignment="1">
      <alignment horizontal="center"/>
    </xf>
    <xf numFmtId="3" fontId="3" fillId="0" borderId="9" xfId="0" applyNumberFormat="1" applyFont="1" applyBorder="1"/>
    <xf numFmtId="3" fontId="3" fillId="8" borderId="2" xfId="0" applyNumberFormat="1" applyFont="1" applyFill="1" applyBorder="1"/>
    <xf numFmtId="0" fontId="3" fillId="0" borderId="2" xfId="0" applyFont="1" applyBorder="1" applyAlignment="1">
      <alignment horizontal="right"/>
    </xf>
    <xf numFmtId="0" fontId="3" fillId="0" borderId="2" xfId="0" applyFont="1" applyBorder="1"/>
    <xf numFmtId="0" fontId="3" fillId="0" borderId="6" xfId="0" applyFont="1" applyBorder="1" applyAlignment="1">
      <alignment horizontal="center"/>
    </xf>
    <xf numFmtId="0" fontId="3" fillId="4" borderId="0" xfId="0" applyFont="1" applyFill="1" applyAlignment="1">
      <alignment horizontal="right"/>
    </xf>
    <xf numFmtId="3" fontId="3" fillId="0" borderId="20" xfId="0" applyNumberFormat="1" applyFont="1" applyBorder="1"/>
    <xf numFmtId="0" fontId="3" fillId="4" borderId="0" xfId="0" applyFont="1" applyFill="1"/>
    <xf numFmtId="3" fontId="3" fillId="0" borderId="20" xfId="0" applyNumberFormat="1" applyFont="1" applyBorder="1" applyAlignment="1">
      <alignment horizontal="center"/>
    </xf>
    <xf numFmtId="3" fontId="3" fillId="0" borderId="15" xfId="0" applyNumberFormat="1" applyFont="1" applyBorder="1"/>
    <xf numFmtId="0" fontId="3" fillId="0" borderId="16" xfId="0" applyFont="1" applyBorder="1" applyAlignment="1">
      <alignment horizontal="center"/>
    </xf>
    <xf numFmtId="0" fontId="3" fillId="0" borderId="31" xfId="0" applyFont="1" applyBorder="1"/>
    <xf numFmtId="0" fontId="3" fillId="0" borderId="24" xfId="0" applyFont="1" applyBorder="1"/>
    <xf numFmtId="3" fontId="3" fillId="0" borderId="8" xfId="0" applyNumberFormat="1" applyFont="1" applyBorder="1"/>
    <xf numFmtId="0" fontId="3" fillId="0" borderId="8" xfId="0" applyFont="1" applyBorder="1"/>
    <xf numFmtId="0" fontId="2" fillId="0" borderId="8" xfId="0" applyFont="1" applyBorder="1"/>
    <xf numFmtId="0" fontId="3" fillId="0" borderId="7" xfId="0" applyFont="1" applyBorder="1" applyAlignment="1">
      <alignment horizontal="center"/>
    </xf>
    <xf numFmtId="0" fontId="2" fillId="7" borderId="31" xfId="0" applyFont="1" applyFill="1" applyBorder="1" applyAlignment="1">
      <alignment horizontal="center" wrapText="1"/>
    </xf>
    <xf numFmtId="0" fontId="2" fillId="7" borderId="8" xfId="0" applyFont="1" applyFill="1" applyBorder="1" applyAlignment="1">
      <alignment horizontal="center"/>
    </xf>
    <xf numFmtId="0" fontId="2" fillId="7" borderId="12" xfId="0" applyFont="1" applyFill="1" applyBorder="1" applyAlignment="1">
      <alignment horizontal="center"/>
    </xf>
    <xf numFmtId="0" fontId="2" fillId="7" borderId="8" xfId="0" applyFont="1" applyFill="1" applyBorder="1" applyAlignment="1">
      <alignment wrapText="1"/>
    </xf>
    <xf numFmtId="0" fontId="2" fillId="7" borderId="8" xfId="0" applyFont="1" applyFill="1" applyBorder="1"/>
    <xf numFmtId="0" fontId="2" fillId="7" borderId="7" xfId="0" applyFont="1" applyFill="1" applyBorder="1"/>
    <xf numFmtId="37" fontId="9" fillId="0" borderId="0" xfId="0" applyNumberFormat="1" applyFont="1" applyAlignment="1">
      <alignment horizontal="left"/>
    </xf>
    <xf numFmtId="0" fontId="3" fillId="0" borderId="0" xfId="0" applyFont="1" applyAlignment="1">
      <alignment vertical="center" wrapText="1"/>
    </xf>
    <xf numFmtId="3" fontId="3" fillId="0" borderId="0" xfId="0" applyNumberFormat="1" applyFont="1" applyAlignment="1">
      <alignment vertical="center" wrapText="1"/>
    </xf>
    <xf numFmtId="0" fontId="9" fillId="0" borderId="0" xfId="0" applyFont="1"/>
    <xf numFmtId="3" fontId="3" fillId="0" borderId="22" xfId="0" applyNumberFormat="1" applyFont="1" applyBorder="1"/>
    <xf numFmtId="3" fontId="3" fillId="8" borderId="4" xfId="0" applyNumberFormat="1" applyFont="1" applyFill="1" applyBorder="1"/>
    <xf numFmtId="0" fontId="3" fillId="0" borderId="0" xfId="0" applyFont="1" applyAlignment="1">
      <alignment horizontal="center" vertical="top"/>
    </xf>
    <xf numFmtId="0" fontId="3" fillId="6" borderId="0" xfId="0" applyFont="1" applyFill="1"/>
    <xf numFmtId="3" fontId="12" fillId="8" borderId="0" xfId="0" applyNumberFormat="1" applyFont="1" applyFill="1"/>
    <xf numFmtId="3" fontId="3" fillId="8" borderId="0" xfId="0" applyNumberFormat="1" applyFont="1" applyFill="1" applyProtection="1">
      <protection locked="0"/>
    </xf>
    <xf numFmtId="0" fontId="3" fillId="0" borderId="4" xfId="0" applyFont="1" applyBorder="1" applyAlignment="1">
      <alignment horizontal="center"/>
    </xf>
    <xf numFmtId="3" fontId="3" fillId="0" borderId="0" xfId="0" applyNumberFormat="1" applyFont="1" applyProtection="1">
      <protection locked="0"/>
    </xf>
    <xf numFmtId="41" fontId="3" fillId="0" borderId="0" xfId="0" applyNumberFormat="1" applyFont="1" applyAlignment="1">
      <alignment horizontal="right"/>
    </xf>
    <xf numFmtId="37" fontId="13" fillId="0" borderId="0" xfId="0" applyNumberFormat="1" applyFont="1"/>
    <xf numFmtId="3" fontId="3" fillId="4" borderId="0" xfId="0" applyNumberFormat="1" applyFont="1" applyFill="1" applyAlignment="1">
      <alignment horizontal="right"/>
    </xf>
    <xf numFmtId="3" fontId="3" fillId="0" borderId="22" xfId="0" applyNumberFormat="1" applyFont="1" applyBorder="1" applyAlignment="1">
      <alignment horizontal="right" wrapText="1"/>
    </xf>
    <xf numFmtId="3" fontId="3" fillId="5" borderId="0" xfId="0" applyNumberFormat="1" applyFont="1" applyFill="1" applyAlignment="1">
      <alignment horizontal="right" wrapText="1"/>
    </xf>
    <xf numFmtId="37" fontId="3" fillId="8" borderId="0" xfId="0" applyNumberFormat="1" applyFont="1" applyFill="1"/>
    <xf numFmtId="37" fontId="3" fillId="0" borderId="0" xfId="0" applyNumberFormat="1" applyFont="1" applyAlignment="1" applyProtection="1">
      <alignment horizontal="right" wrapText="1"/>
      <protection locked="0"/>
    </xf>
    <xf numFmtId="37" fontId="3" fillId="0" borderId="5" xfId="0" applyNumberFormat="1" applyFont="1" applyBorder="1" applyAlignment="1" applyProtection="1">
      <alignment horizontal="right" wrapText="1"/>
      <protection locked="0"/>
    </xf>
    <xf numFmtId="171" fontId="3" fillId="0" borderId="0" xfId="0" applyNumberFormat="1" applyFont="1" applyAlignment="1">
      <alignment horizontal="center" wrapText="1"/>
    </xf>
    <xf numFmtId="170" fontId="3" fillId="0" borderId="0" xfId="0" applyNumberFormat="1" applyFont="1" applyAlignment="1">
      <alignment horizontal="center" wrapText="1"/>
    </xf>
    <xf numFmtId="37" fontId="3" fillId="8" borderId="4" xfId="0" applyNumberFormat="1" applyFont="1" applyFill="1" applyBorder="1" applyAlignment="1">
      <alignment horizontal="right" wrapText="1"/>
    </xf>
    <xf numFmtId="37" fontId="3" fillId="8" borderId="0" xfId="0" applyNumberFormat="1" applyFont="1" applyFill="1" applyAlignment="1">
      <alignment horizontal="right" wrapText="1"/>
    </xf>
    <xf numFmtId="164" fontId="3" fillId="0" borderId="0" xfId="0" applyNumberFormat="1" applyFont="1" applyAlignment="1">
      <alignment horizontal="left" wrapText="1"/>
    </xf>
    <xf numFmtId="170" fontId="3" fillId="0" borderId="0" xfId="0" applyNumberFormat="1" applyFont="1" applyAlignment="1">
      <alignment horizontal="center"/>
    </xf>
    <xf numFmtId="37" fontId="3" fillId="0" borderId="0" xfId="0" applyNumberFormat="1" applyFont="1" applyAlignment="1">
      <alignment horizontal="right" wrapText="1"/>
    </xf>
    <xf numFmtId="3" fontId="3" fillId="0" borderId="4" xfId="0" applyNumberFormat="1" applyFont="1" applyBorder="1" applyAlignment="1">
      <alignment horizontal="center" wrapText="1"/>
    </xf>
    <xf numFmtId="3" fontId="3" fillId="8" borderId="4" xfId="0" applyNumberFormat="1" applyFont="1" applyFill="1" applyBorder="1" applyAlignment="1">
      <alignment horizontal="right" wrapText="1"/>
    </xf>
    <xf numFmtId="3" fontId="13" fillId="0" borderId="0" xfId="0" applyNumberFormat="1" applyFont="1" applyAlignment="1">
      <alignment horizontal="right"/>
    </xf>
    <xf numFmtId="3" fontId="13" fillId="0" borderId="0" xfId="0" applyNumberFormat="1" applyFont="1" applyAlignment="1">
      <alignment horizontal="center"/>
    </xf>
    <xf numFmtId="3" fontId="24" fillId="0" borderId="0" xfId="0" applyNumberFormat="1" applyFont="1" applyAlignment="1">
      <alignment horizontal="center"/>
    </xf>
    <xf numFmtId="3" fontId="3" fillId="0" borderId="0" xfId="0" applyNumberFormat="1" applyFont="1" applyAlignment="1">
      <alignment horizontal="right" wrapText="1"/>
    </xf>
    <xf numFmtId="3" fontId="3" fillId="0" borderId="4" xfId="0" applyNumberFormat="1" applyFont="1" applyBorder="1" applyAlignment="1">
      <alignment horizontal="center"/>
    </xf>
    <xf numFmtId="3" fontId="3" fillId="5" borderId="4" xfId="0" applyNumberFormat="1" applyFont="1" applyFill="1" applyBorder="1" applyAlignment="1">
      <alignment horizontal="right" wrapText="1"/>
    </xf>
    <xf numFmtId="3" fontId="3" fillId="5" borderId="0" xfId="0" applyNumberFormat="1" applyFont="1" applyFill="1" applyAlignment="1">
      <alignment horizontal="right"/>
    </xf>
    <xf numFmtId="0" fontId="3" fillId="8" borderId="0" xfId="0" applyFont="1" applyFill="1" applyAlignment="1">
      <alignment horizontal="left" vertical="center" wrapText="1"/>
    </xf>
    <xf numFmtId="3" fontId="3" fillId="0" borderId="0" xfId="0" applyNumberFormat="1" applyFont="1" applyAlignment="1">
      <alignment horizontal="center" wrapText="1"/>
    </xf>
    <xf numFmtId="3" fontId="3" fillId="8" borderId="0" xfId="0" applyNumberFormat="1" applyFont="1" applyFill="1" applyAlignment="1">
      <alignment horizontal="right" wrapText="1"/>
    </xf>
    <xf numFmtId="0" fontId="24" fillId="0" borderId="0" xfId="0" applyFont="1" applyAlignment="1">
      <alignment horizontal="center"/>
    </xf>
    <xf numFmtId="0" fontId="23" fillId="0" borderId="0" xfId="0" applyFont="1" applyAlignment="1">
      <alignment horizontal="center"/>
    </xf>
    <xf numFmtId="0" fontId="2" fillId="0" borderId="0" xfId="0" applyFont="1"/>
    <xf numFmtId="164" fontId="3" fillId="8" borderId="0" xfId="0" applyNumberFormat="1" applyFont="1" applyFill="1"/>
    <xf numFmtId="0" fontId="12" fillId="0" borderId="0" xfId="0" applyFont="1" applyAlignment="1">
      <alignment horizontal="center"/>
    </xf>
    <xf numFmtId="0" fontId="12" fillId="0" borderId="0" xfId="0" applyFont="1"/>
    <xf numFmtId="0" fontId="18" fillId="0" borderId="0" xfId="0" applyFont="1" applyAlignment="1">
      <alignment horizontal="justify" vertical="center" wrapText="1"/>
    </xf>
    <xf numFmtId="0" fontId="18" fillId="0" borderId="0" xfId="0" applyFont="1" applyAlignment="1">
      <alignment horizontal="right" vertical="center" wrapText="1"/>
    </xf>
    <xf numFmtId="0" fontId="18" fillId="0" borderId="0" xfId="0" applyFont="1" applyAlignment="1">
      <alignment vertical="center" wrapText="1"/>
    </xf>
    <xf numFmtId="3" fontId="22" fillId="0" borderId="3" xfId="0" applyNumberFormat="1" applyFont="1" applyBorder="1"/>
    <xf numFmtId="3" fontId="18" fillId="0" borderId="3" xfId="0" applyNumberFormat="1" applyFont="1" applyBorder="1" applyAlignment="1">
      <alignment horizontal="right" vertical="center" wrapText="1"/>
    </xf>
    <xf numFmtId="3" fontId="18" fillId="0" borderId="3" xfId="0" applyNumberFormat="1" applyFont="1" applyBorder="1" applyAlignment="1">
      <alignment vertical="center" wrapText="1"/>
    </xf>
    <xf numFmtId="0" fontId="18" fillId="0" borderId="3" xfId="0" applyFont="1" applyBorder="1" applyAlignment="1">
      <alignment horizontal="right" vertical="center" wrapText="1"/>
    </xf>
    <xf numFmtId="164" fontId="18" fillId="0" borderId="3" xfId="0" applyNumberFormat="1" applyFont="1" applyBorder="1" applyAlignment="1">
      <alignment vertical="center" wrapText="1"/>
    </xf>
    <xf numFmtId="0" fontId="18" fillId="0" borderId="3" xfId="0" applyFont="1" applyBorder="1" applyAlignment="1">
      <alignment vertical="center" wrapText="1"/>
    </xf>
    <xf numFmtId="3" fontId="18" fillId="8" borderId="0" xfId="0" applyNumberFormat="1" applyFont="1" applyFill="1"/>
    <xf numFmtId="3" fontId="22" fillId="0" borderId="0" xfId="0" applyNumberFormat="1" applyFont="1" applyAlignment="1">
      <alignment vertical="center" wrapText="1"/>
    </xf>
    <xf numFmtId="3" fontId="18" fillId="0" borderId="0" xfId="0" applyNumberFormat="1" applyFont="1" applyAlignment="1">
      <alignment horizontal="left" vertical="center"/>
    </xf>
    <xf numFmtId="3" fontId="18" fillId="0" borderId="0" xfId="0" applyNumberFormat="1" applyFont="1" applyAlignment="1">
      <alignment horizontal="left" vertical="center" wrapText="1"/>
    </xf>
    <xf numFmtId="3" fontId="18" fillId="0" borderId="0" xfId="0" applyNumberFormat="1" applyFont="1" applyAlignment="1">
      <alignment vertical="center" wrapText="1"/>
    </xf>
    <xf numFmtId="15" fontId="18" fillId="0" borderId="0" xfId="0" applyNumberFormat="1" applyFont="1" applyAlignment="1">
      <alignment vertical="center" wrapText="1"/>
    </xf>
    <xf numFmtId="0" fontId="18" fillId="0" borderId="0" xfId="0" applyFont="1" applyAlignment="1">
      <alignment horizontal="left" vertical="center"/>
    </xf>
    <xf numFmtId="0" fontId="22" fillId="0" borderId="0" xfId="0" applyFont="1"/>
    <xf numFmtId="0" fontId="22" fillId="0" borderId="33" xfId="0" applyFont="1" applyBorder="1" applyAlignment="1">
      <alignment horizontal="center" vertical="center" wrapText="1"/>
    </xf>
    <xf numFmtId="0" fontId="18" fillId="0" borderId="0" xfId="0" applyFont="1" applyAlignment="1">
      <alignment horizontal="center" vertical="center" wrapText="1"/>
    </xf>
    <xf numFmtId="0" fontId="18" fillId="0" borderId="33" xfId="0" applyFont="1" applyBorder="1" applyAlignment="1">
      <alignment horizontal="center" vertical="center" wrapText="1"/>
    </xf>
    <xf numFmtId="0" fontId="21" fillId="0" borderId="27" xfId="0" applyFont="1" applyBorder="1" applyAlignment="1">
      <alignment horizontal="center" vertical="center"/>
    </xf>
    <xf numFmtId="0" fontId="20" fillId="0" borderId="0" xfId="0" applyFont="1" applyAlignment="1">
      <alignment horizontal="center" vertical="center"/>
    </xf>
    <xf numFmtId="0" fontId="20" fillId="0" borderId="27" xfId="0" applyFont="1" applyBorder="1" applyAlignment="1">
      <alignment horizontal="center" vertical="center"/>
    </xf>
    <xf numFmtId="0" fontId="20" fillId="0" borderId="0" xfId="0" applyFont="1" applyAlignment="1">
      <alignment vertical="center"/>
    </xf>
    <xf numFmtId="0" fontId="20" fillId="0" borderId="0" xfId="0" applyFont="1" applyAlignment="1">
      <alignment horizontal="center" vertical="center" wrapText="1"/>
    </xf>
    <xf numFmtId="0" fontId="20" fillId="0" borderId="0" xfId="0" applyFont="1"/>
    <xf numFmtId="0" fontId="18" fillId="0" borderId="0" xfId="0" applyFont="1"/>
    <xf numFmtId="3" fontId="3" fillId="0" borderId="39" xfId="0" applyNumberFormat="1" applyFont="1" applyBorder="1"/>
    <xf numFmtId="0" fontId="3" fillId="8" borderId="0" xfId="0" applyFont="1" applyFill="1"/>
    <xf numFmtId="0" fontId="3" fillId="8" borderId="19" xfId="0" applyFont="1" applyFill="1" applyBorder="1" applyAlignment="1">
      <alignment wrapText="1"/>
    </xf>
    <xf numFmtId="3" fontId="2" fillId="0" borderId="43" xfId="0" applyNumberFormat="1" applyFont="1" applyBorder="1"/>
    <xf numFmtId="3" fontId="3" fillId="8" borderId="13" xfId="0" applyNumberFormat="1" applyFont="1" applyFill="1" applyBorder="1"/>
    <xf numFmtId="0" fontId="2" fillId="0" borderId="0" xfId="0" applyFont="1" applyAlignment="1">
      <alignment horizontal="right"/>
    </xf>
    <xf numFmtId="0" fontId="2" fillId="0" borderId="0" xfId="0" applyFont="1" applyAlignment="1">
      <alignment wrapText="1"/>
    </xf>
    <xf numFmtId="1" fontId="2" fillId="0" borderId="0" xfId="0" applyNumberFormat="1" applyFont="1"/>
    <xf numFmtId="3" fontId="3" fillId="8" borderId="35" xfId="0" applyNumberFormat="1" applyFont="1" applyFill="1" applyBorder="1"/>
    <xf numFmtId="3" fontId="3" fillId="5" borderId="50" xfId="0" applyNumberFormat="1" applyFont="1" applyFill="1" applyBorder="1"/>
    <xf numFmtId="3" fontId="3" fillId="5" borderId="33" xfId="0" applyNumberFormat="1" applyFont="1" applyFill="1" applyBorder="1"/>
    <xf numFmtId="3" fontId="3" fillId="5" borderId="26" xfId="0" applyNumberFormat="1" applyFont="1" applyFill="1" applyBorder="1"/>
    <xf numFmtId="3" fontId="3" fillId="5" borderId="13" xfId="0" applyNumberFormat="1" applyFont="1" applyFill="1" applyBorder="1"/>
    <xf numFmtId="41" fontId="3" fillId="9" borderId="0" xfId="0" applyNumberFormat="1" applyFont="1" applyFill="1"/>
    <xf numFmtId="0" fontId="13" fillId="0" borderId="4" xfId="0" applyFont="1" applyBorder="1"/>
    <xf numFmtId="0" fontId="15" fillId="0" borderId="0" xfId="0" applyFont="1"/>
    <xf numFmtId="164" fontId="19" fillId="0" borderId="0" xfId="0" applyNumberFormat="1" applyFont="1"/>
    <xf numFmtId="3" fontId="12" fillId="0" borderId="0" xfId="0" applyNumberFormat="1" applyFont="1"/>
    <xf numFmtId="164" fontId="18" fillId="8" borderId="0" xfId="0" applyNumberFormat="1" applyFont="1" applyFill="1" applyAlignment="1">
      <alignment vertical="center" wrapText="1"/>
    </xf>
    <xf numFmtId="164" fontId="18" fillId="0" borderId="0" xfId="0" applyNumberFormat="1" applyFont="1" applyAlignment="1">
      <alignment horizontal="right" vertical="center" wrapText="1"/>
    </xf>
    <xf numFmtId="164" fontId="18" fillId="0" borderId="0" xfId="0" applyNumberFormat="1" applyFont="1" applyAlignment="1">
      <alignment vertical="center" wrapText="1"/>
    </xf>
    <xf numFmtId="3" fontId="3" fillId="8" borderId="0" xfId="0" applyNumberFormat="1" applyFont="1" applyFill="1"/>
    <xf numFmtId="0" fontId="18" fillId="0" borderId="0" xfId="0" applyFont="1" applyAlignment="1">
      <alignment horizontal="left" vertical="center" wrapText="1"/>
    </xf>
    <xf numFmtId="0" fontId="3" fillId="0" borderId="4" xfId="0" applyFont="1" applyBorder="1" applyAlignment="1">
      <alignment horizontal="center" vertical="top" wrapText="1"/>
    </xf>
    <xf numFmtId="0" fontId="3" fillId="8" borderId="0" xfId="0" applyFont="1" applyFill="1" applyAlignment="1">
      <alignment horizontal="left"/>
    </xf>
    <xf numFmtId="0" fontId="3" fillId="8" borderId="0" xfId="0" applyFont="1" applyFill="1" applyAlignment="1">
      <alignment horizontal="center"/>
    </xf>
    <xf numFmtId="41" fontId="2" fillId="0" borderId="0" xfId="0" applyNumberFormat="1" applyFont="1" applyAlignment="1">
      <alignment horizontal="center"/>
    </xf>
    <xf numFmtId="164" fontId="3" fillId="0" borderId="0" xfId="0" applyNumberFormat="1" applyFont="1" applyAlignment="1">
      <alignment wrapText="1"/>
    </xf>
    <xf numFmtId="0" fontId="3" fillId="0" borderId="32" xfId="0" applyFont="1" applyBorder="1" applyAlignment="1">
      <alignment wrapText="1"/>
    </xf>
    <xf numFmtId="3" fontId="3" fillId="0" borderId="27" xfId="0" applyNumberFormat="1" applyFont="1" applyBorder="1"/>
    <xf numFmtId="0" fontId="2" fillId="0" borderId="38" xfId="0" applyFont="1" applyBorder="1"/>
    <xf numFmtId="0" fontId="2" fillId="0" borderId="17" xfId="0" applyFont="1" applyBorder="1"/>
    <xf numFmtId="0" fontId="3" fillId="0" borderId="29" xfId="0" applyFont="1" applyBorder="1" applyAlignment="1">
      <alignment wrapText="1"/>
    </xf>
    <xf numFmtId="3" fontId="2" fillId="0" borderId="26" xfId="0" applyNumberFormat="1" applyFont="1" applyBorder="1"/>
    <xf numFmtId="0" fontId="2" fillId="0" borderId="23" xfId="0" applyFont="1" applyBorder="1"/>
    <xf numFmtId="164" fontId="3" fillId="8" borderId="29" xfId="0" applyNumberFormat="1" applyFont="1" applyFill="1" applyBorder="1" applyAlignment="1">
      <alignment wrapText="1"/>
    </xf>
    <xf numFmtId="3" fontId="3" fillId="0" borderId="26" xfId="0" applyNumberFormat="1" applyFont="1" applyBorder="1"/>
    <xf numFmtId="41" fontId="2" fillId="0" borderId="0" xfId="0" applyNumberFormat="1" applyFont="1" applyAlignment="1">
      <alignment horizontal="center" wrapText="1"/>
    </xf>
    <xf numFmtId="0" fontId="3" fillId="0" borderId="0" xfId="0" applyFont="1" applyAlignment="1">
      <alignment horizontal="centerContinuous"/>
    </xf>
    <xf numFmtId="0" fontId="2" fillId="0" borderId="0" xfId="0" applyFont="1" applyAlignment="1">
      <alignment horizontal="centerContinuous"/>
    </xf>
    <xf numFmtId="0" fontId="3" fillId="8" borderId="25" xfId="0" applyFont="1" applyFill="1" applyBorder="1" applyAlignment="1">
      <alignment wrapText="1"/>
    </xf>
    <xf numFmtId="164" fontId="3" fillId="0" borderId="0" xfId="0" applyNumberFormat="1" applyFont="1"/>
    <xf numFmtId="3" fontId="3" fillId="0" borderId="43" xfId="0" applyNumberFormat="1" applyFont="1" applyBorder="1"/>
    <xf numFmtId="0" fontId="3" fillId="0" borderId="28" xfId="0" applyFont="1" applyBorder="1"/>
    <xf numFmtId="0" fontId="3" fillId="0" borderId="0" xfId="0" applyFont="1"/>
    <xf numFmtId="41" fontId="3" fillId="0" borderId="0" xfId="0" applyNumberFormat="1" applyFont="1" applyAlignment="1">
      <alignment horizontal="center"/>
    </xf>
    <xf numFmtId="0" fontId="3" fillId="0" borderId="0" xfId="0" applyFont="1" applyAlignment="1">
      <alignment wrapText="1"/>
    </xf>
    <xf numFmtId="37" fontId="3" fillId="0" borderId="0" xfId="0" applyNumberFormat="1" applyFont="1" applyAlignment="1">
      <alignment wrapText="1"/>
    </xf>
    <xf numFmtId="37" fontId="3" fillId="0" borderId="0" xfId="0" applyNumberFormat="1" applyFont="1" applyAlignment="1">
      <alignment horizontal="center"/>
    </xf>
    <xf numFmtId="0" fontId="2" fillId="0" borderId="37" xfId="0" applyFont="1" applyBorder="1" applyAlignment="1">
      <alignment wrapText="1"/>
    </xf>
    <xf numFmtId="3" fontId="2" fillId="0" borderId="30" xfId="0" applyNumberFormat="1" applyFont="1" applyBorder="1"/>
    <xf numFmtId="0" fontId="2" fillId="0" borderId="36" xfId="0" applyFont="1" applyBorder="1"/>
    <xf numFmtId="0" fontId="3" fillId="0" borderId="25" xfId="0" applyFont="1" applyBorder="1" applyAlignment="1">
      <alignment wrapText="1"/>
    </xf>
    <xf numFmtId="3" fontId="3" fillId="0" borderId="13" xfId="0" applyNumberFormat="1" applyFont="1" applyBorder="1" applyAlignment="1">
      <alignment horizontal="right"/>
    </xf>
    <xf numFmtId="3" fontId="3" fillId="0" borderId="33" xfId="0" applyNumberFormat="1" applyFont="1" applyBorder="1"/>
    <xf numFmtId="3" fontId="3" fillId="0" borderId="13" xfId="0" applyNumberFormat="1" applyFont="1" applyBorder="1"/>
    <xf numFmtId="0" fontId="2" fillId="0" borderId="19" xfId="0" applyFont="1" applyBorder="1"/>
    <xf numFmtId="37" fontId="3" fillId="0" borderId="34" xfId="0" applyNumberFormat="1" applyFont="1" applyBorder="1" applyAlignment="1">
      <alignment wrapText="1"/>
    </xf>
    <xf numFmtId="3" fontId="2" fillId="0" borderId="33" xfId="0" applyNumberFormat="1" applyFont="1" applyBorder="1"/>
    <xf numFmtId="0" fontId="2" fillId="0" borderId="18" xfId="0" applyFont="1" applyBorder="1"/>
    <xf numFmtId="164" fontId="3" fillId="5" borderId="25" xfId="0" applyNumberFormat="1" applyFont="1" applyFill="1" applyBorder="1" applyAlignment="1">
      <alignment wrapText="1"/>
    </xf>
    <xf numFmtId="164" fontId="3" fillId="0" borderId="25" xfId="0" applyNumberFormat="1" applyFont="1" applyBorder="1" applyAlignment="1">
      <alignment wrapText="1"/>
    </xf>
    <xf numFmtId="0" fontId="3" fillId="0" borderId="19" xfId="0" applyFont="1" applyBorder="1" applyAlignment="1">
      <alignment wrapText="1"/>
    </xf>
    <xf numFmtId="3" fontId="3" fillId="0" borderId="41" xfId="0" applyNumberFormat="1" applyFont="1" applyBorder="1"/>
    <xf numFmtId="3" fontId="17" fillId="8" borderId="13" xfId="0" applyNumberFormat="1" applyFont="1" applyFill="1" applyBorder="1"/>
    <xf numFmtId="0" fontId="3" fillId="5" borderId="19" xfId="0" applyFont="1" applyFill="1" applyBorder="1" applyAlignment="1">
      <alignment wrapText="1"/>
    </xf>
    <xf numFmtId="41" fontId="3" fillId="0" borderId="0" xfId="0" applyNumberFormat="1" applyFont="1"/>
    <xf numFmtId="164" fontId="3" fillId="8" borderId="25" xfId="0" applyNumberFormat="1" applyFont="1" applyFill="1" applyBorder="1" applyAlignment="1">
      <alignment wrapText="1"/>
    </xf>
    <xf numFmtId="3" fontId="3" fillId="0" borderId="42" xfId="0" applyNumberFormat="1" applyFont="1" applyBorder="1"/>
    <xf numFmtId="3" fontId="17" fillId="8" borderId="26" xfId="0" applyNumberFormat="1" applyFont="1" applyFill="1" applyBorder="1"/>
    <xf numFmtId="0" fontId="3" fillId="5" borderId="28" xfId="0" applyFont="1" applyFill="1" applyBorder="1" applyAlignment="1">
      <alignment wrapText="1"/>
    </xf>
    <xf numFmtId="0" fontId="13" fillId="0" borderId="2" xfId="0" applyFont="1" applyBorder="1" applyAlignment="1">
      <alignment horizontal="center"/>
    </xf>
    <xf numFmtId="0" fontId="13" fillId="0" borderId="0" xfId="0" applyFont="1" applyAlignment="1">
      <alignment horizontal="left"/>
    </xf>
    <xf numFmtId="0" fontId="13" fillId="0" borderId="0" xfId="0" applyFont="1"/>
    <xf numFmtId="37" fontId="9" fillId="0" borderId="0" xfId="0" applyNumberFormat="1" applyFont="1"/>
    <xf numFmtId="37" fontId="2" fillId="0" borderId="0" xfId="0" applyNumberFormat="1" applyFont="1"/>
    <xf numFmtId="170" fontId="3" fillId="0" borderId="0" xfId="0" applyNumberFormat="1" applyFont="1"/>
    <xf numFmtId="37" fontId="3" fillId="0" borderId="4" xfId="0" applyNumberFormat="1" applyFont="1" applyBorder="1"/>
    <xf numFmtId="37" fontId="3" fillId="0" borderId="0" xfId="0" applyNumberFormat="1" applyFont="1"/>
    <xf numFmtId="0" fontId="16" fillId="0" borderId="0" xfId="0" applyFont="1"/>
    <xf numFmtId="0" fontId="3" fillId="0" borderId="0" xfId="0" applyFont="1" applyAlignment="1">
      <alignment horizontal="right" wrapText="1"/>
    </xf>
    <xf numFmtId="0" fontId="13" fillId="0" borderId="0" xfId="0" applyFont="1" applyAlignment="1">
      <alignment horizontal="center"/>
    </xf>
    <xf numFmtId="0" fontId="2" fillId="8" borderId="0" xfId="0" applyFont="1" applyFill="1" applyAlignment="1">
      <alignment horizontal="center"/>
    </xf>
    <xf numFmtId="0" fontId="2"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center"/>
    </xf>
    <xf numFmtId="164" fontId="2" fillId="0" borderId="0" xfId="0" applyNumberFormat="1" applyFont="1"/>
    <xf numFmtId="0" fontId="3" fillId="2" borderId="0" xfId="0" applyFont="1" applyFill="1" applyAlignment="1">
      <alignment horizontal="center" wrapText="1"/>
    </xf>
    <xf numFmtId="0" fontId="3" fillId="0" borderId="0" xfId="0" applyFont="1" applyAlignment="1">
      <alignment horizontal="center" wrapText="1"/>
    </xf>
    <xf numFmtId="3" fontId="3" fillId="0" borderId="0" xfId="0" applyNumberFormat="1" applyFont="1"/>
    <xf numFmtId="3" fontId="3" fillId="0" borderId="3" xfId="0" applyNumberFormat="1" applyFont="1" applyBorder="1"/>
    <xf numFmtId="171" fontId="2" fillId="0" borderId="0" xfId="0" applyNumberFormat="1" applyFont="1"/>
    <xf numFmtId="3" fontId="3" fillId="0" borderId="4" xfId="0" applyNumberFormat="1" applyFont="1" applyBorder="1"/>
    <xf numFmtId="3" fontId="3" fillId="0" borderId="0" xfId="0" applyNumberFormat="1" applyFont="1" applyAlignment="1">
      <alignment horizontal="center"/>
    </xf>
    <xf numFmtId="0" fontId="3" fillId="2" borderId="0" xfId="0" applyFont="1" applyFill="1"/>
    <xf numFmtId="3" fontId="3" fillId="0" borderId="0" xfId="0" applyNumberFormat="1" applyFont="1" applyAlignment="1">
      <alignment horizontal="right"/>
    </xf>
    <xf numFmtId="171" fontId="3" fillId="0" borderId="0" xfId="0" applyNumberFormat="1" applyFont="1" applyAlignment="1">
      <alignment horizontal="right"/>
    </xf>
    <xf numFmtId="3" fontId="3" fillId="0" borderId="3" xfId="0" applyNumberFormat="1" applyFont="1" applyBorder="1" applyAlignment="1">
      <alignment horizontal="right"/>
    </xf>
    <xf numFmtId="3" fontId="3" fillId="0" borderId="4" xfId="0" applyNumberFormat="1" applyFont="1" applyBorder="1" applyAlignment="1">
      <alignment horizontal="right"/>
    </xf>
    <xf numFmtId="170" fontId="3" fillId="0" borderId="4" xfId="0" applyNumberFormat="1" applyFont="1" applyBorder="1" applyAlignment="1">
      <alignment horizontal="right"/>
    </xf>
    <xf numFmtId="3" fontId="2" fillId="0" borderId="0" xfId="0" applyNumberFormat="1" applyFont="1" applyAlignment="1">
      <alignment horizontal="right"/>
    </xf>
    <xf numFmtId="3" fontId="2" fillId="0" borderId="3" xfId="0" applyNumberFormat="1" applyFont="1" applyBorder="1"/>
    <xf numFmtId="3" fontId="6" fillId="0" borderId="0" xfId="0" applyNumberFormat="1" applyFont="1" applyAlignment="1">
      <alignment horizontal="right"/>
    </xf>
    <xf numFmtId="3" fontId="2" fillId="0" borderId="3" xfId="0" applyNumberFormat="1" applyFont="1" applyBorder="1" applyAlignment="1">
      <alignment horizontal="right"/>
    </xf>
    <xf numFmtId="3" fontId="2" fillId="0" borderId="10" xfId="0" applyNumberFormat="1" applyFont="1" applyBorder="1"/>
    <xf numFmtId="171" fontId="6" fillId="0" borderId="0" xfId="0" applyNumberFormat="1" applyFont="1" applyAlignment="1">
      <alignment horizontal="right"/>
    </xf>
    <xf numFmtId="164" fontId="3" fillId="0" borderId="0" xfId="0" applyNumberFormat="1" applyFont="1" applyAlignment="1">
      <alignment horizontal="right"/>
    </xf>
    <xf numFmtId="165" fontId="3" fillId="0" borderId="0" xfId="0" applyNumberFormat="1" applyFont="1"/>
    <xf numFmtId="10" fontId="3" fillId="5" borderId="0" xfId="0" applyNumberFormat="1" applyFont="1" applyFill="1"/>
    <xf numFmtId="10" fontId="3" fillId="0" borderId="0" xfId="0" applyNumberFormat="1" applyFont="1" applyAlignment="1">
      <alignment horizontal="right"/>
    </xf>
    <xf numFmtId="10" fontId="3" fillId="0" borderId="0" xfId="0" applyNumberFormat="1" applyFont="1"/>
    <xf numFmtId="3" fontId="2" fillId="0" borderId="12" xfId="0" applyNumberFormat="1" applyFont="1" applyBorder="1"/>
    <xf numFmtId="37" fontId="2" fillId="0" borderId="0" xfId="0" applyNumberFormat="1" applyFont="1" applyAlignment="1">
      <alignment horizontal="right"/>
    </xf>
    <xf numFmtId="37" fontId="3" fillId="0" borderId="0" xfId="0" applyNumberFormat="1" applyFont="1" applyAlignment="1">
      <alignment horizontal="left"/>
    </xf>
    <xf numFmtId="0" fontId="1" fillId="0" borderId="0" xfId="0" applyFont="1"/>
    <xf numFmtId="0" fontId="2" fillId="3" borderId="7" xfId="0" applyFont="1" applyFill="1" applyBorder="1" applyAlignment="1">
      <alignment horizontal="left"/>
    </xf>
    <xf numFmtId="0" fontId="3" fillId="3" borderId="8" xfId="0" applyFont="1" applyFill="1" applyBorder="1"/>
    <xf numFmtId="0" fontId="2" fillId="3" borderId="16" xfId="0" applyFont="1" applyFill="1" applyBorder="1" applyAlignment="1">
      <alignment horizontal="left"/>
    </xf>
    <xf numFmtId="0" fontId="3" fillId="3" borderId="0" xfId="0" applyFont="1" applyFill="1"/>
    <xf numFmtId="0" fontId="3" fillId="3" borderId="0" xfId="0" applyFont="1" applyFill="1" applyAlignment="1">
      <alignment horizontal="center"/>
    </xf>
    <xf numFmtId="0" fontId="3" fillId="3" borderId="15" xfId="0" applyFont="1" applyFill="1" applyBorder="1" applyAlignment="1">
      <alignment horizontal="center"/>
    </xf>
    <xf numFmtId="0" fontId="2" fillId="3" borderId="6" xfId="0" applyFont="1" applyFill="1" applyBorder="1" applyAlignment="1">
      <alignment horizontal="left"/>
    </xf>
    <xf numFmtId="0" fontId="2" fillId="3" borderId="2" xfId="0" applyFont="1" applyFill="1" applyBorder="1"/>
    <xf numFmtId="0" fontId="2" fillId="3" borderId="2" xfId="0" applyFont="1" applyFill="1" applyBorder="1" applyAlignment="1">
      <alignment horizontal="center"/>
    </xf>
    <xf numFmtId="0" fontId="2" fillId="3" borderId="9" xfId="0" applyFont="1" applyFill="1" applyBorder="1" applyAlignment="1">
      <alignment horizontal="center" wrapText="1"/>
    </xf>
    <xf numFmtId="0" fontId="2" fillId="0" borderId="0" xfId="0" applyFont="1" applyAlignment="1">
      <alignment horizontal="left"/>
    </xf>
    <xf numFmtId="0" fontId="4" fillId="2" borderId="0" xfId="0" applyFont="1" applyFill="1" applyAlignment="1">
      <alignment horizontal="left"/>
    </xf>
    <xf numFmtId="0" fontId="4" fillId="2" borderId="0" xfId="0" applyFont="1" applyFill="1"/>
    <xf numFmtId="0" fontId="2" fillId="2" borderId="0" xfId="0" applyFont="1" applyFill="1" applyAlignment="1">
      <alignment horizontal="center"/>
    </xf>
    <xf numFmtId="0" fontId="6" fillId="0" borderId="0" xfId="0" applyFont="1" applyAlignment="1">
      <alignment horizontal="left"/>
    </xf>
    <xf numFmtId="0" fontId="6" fillId="0" borderId="0" xfId="0" applyFont="1" applyAlignment="1">
      <alignment horizontal="center"/>
    </xf>
    <xf numFmtId="0" fontId="3" fillId="0" borderId="3" xfId="0" applyFont="1" applyBorder="1"/>
    <xf numFmtId="3" fontId="3" fillId="0" borderId="3" xfId="0" applyNumberFormat="1" applyFont="1" applyBorder="1" applyAlignment="1">
      <alignment horizontal="center"/>
    </xf>
    <xf numFmtId="0" fontId="2" fillId="0" borderId="5" xfId="0" applyFont="1" applyBorder="1"/>
    <xf numFmtId="0" fontId="3" fillId="0" borderId="5" xfId="0" applyFont="1" applyBorder="1"/>
    <xf numFmtId="3" fontId="3" fillId="0" borderId="5" xfId="0" applyNumberFormat="1" applyFont="1" applyBorder="1" applyAlignment="1">
      <alignment horizontal="center"/>
    </xf>
    <xf numFmtId="3" fontId="3" fillId="0" borderId="5" xfId="0" applyNumberFormat="1" applyFont="1" applyBorder="1"/>
    <xf numFmtId="0" fontId="3" fillId="0" borderId="4" xfId="0" applyFont="1" applyBorder="1"/>
    <xf numFmtId="0" fontId="6" fillId="0" borderId="4" xfId="0" applyFont="1"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center"/>
    </xf>
    <xf numFmtId="0" fontId="7" fillId="0" borderId="0" xfId="0" applyFont="1" applyAlignment="1">
      <alignment horizontal="center"/>
    </xf>
    <xf numFmtId="0" fontId="4" fillId="0" borderId="0" xfId="0" applyFont="1"/>
    <xf numFmtId="0" fontId="3" fillId="0" borderId="4" xfId="0" applyFont="1" applyBorder="1" applyAlignment="1">
      <alignment horizontal="left"/>
    </xf>
    <xf numFmtId="0" fontId="2" fillId="0" borderId="5" xfId="0" applyFont="1" applyBorder="1" applyAlignment="1">
      <alignment horizontal="center"/>
    </xf>
    <xf numFmtId="167" fontId="3" fillId="0" borderId="0" xfId="0" applyNumberFormat="1" applyFont="1" applyAlignment="1">
      <alignment horizontal="center"/>
    </xf>
    <xf numFmtId="0" fontId="3" fillId="0" borderId="5" xfId="0" applyFont="1" applyBorder="1" applyAlignment="1">
      <alignment horizontal="left"/>
    </xf>
    <xf numFmtId="0" fontId="8" fillId="0" borderId="0" xfId="0" applyFont="1" applyAlignment="1">
      <alignment horizontal="left"/>
    </xf>
    <xf numFmtId="0" fontId="8" fillId="0" borderId="0" xfId="0" applyFont="1"/>
    <xf numFmtId="0" fontId="3" fillId="0" borderId="0" xfId="0" applyFont="1" applyAlignment="1">
      <alignment horizontal="right"/>
    </xf>
    <xf numFmtId="0" fontId="6" fillId="0" borderId="0" xfId="0" applyFont="1"/>
    <xf numFmtId="4" fontId="6" fillId="0" borderId="0" xfId="0" applyNumberFormat="1" applyFont="1" applyAlignment="1">
      <alignment horizontal="right"/>
    </xf>
    <xf numFmtId="0" fontId="9" fillId="0" borderId="0" xfId="0" applyFont="1" applyAlignment="1">
      <alignment horizontal="left"/>
    </xf>
    <xf numFmtId="0" fontId="10" fillId="0" borderId="0" xfId="0" applyFont="1" applyAlignment="1">
      <alignment horizontal="center"/>
    </xf>
    <xf numFmtId="0" fontId="3" fillId="0" borderId="3" xfId="0" applyFont="1" applyBorder="1" applyAlignment="1">
      <alignment horizontal="left"/>
    </xf>
    <xf numFmtId="0" fontId="2" fillId="0" borderId="3" xfId="0" applyFont="1" applyBorder="1" applyAlignment="1">
      <alignment horizontal="center"/>
    </xf>
    <xf numFmtId="0" fontId="2" fillId="0" borderId="3" xfId="0" applyFont="1" applyBorder="1"/>
    <xf numFmtId="0" fontId="3" fillId="0" borderId="10" xfId="0" applyFont="1" applyBorder="1" applyAlignment="1">
      <alignment horizontal="center"/>
    </xf>
    <xf numFmtId="0" fontId="2" fillId="0" borderId="10" xfId="0" applyFont="1" applyBorder="1"/>
    <xf numFmtId="0" fontId="2" fillId="0" borderId="10" xfId="0" applyFont="1" applyBorder="1" applyAlignment="1">
      <alignment horizontal="center"/>
    </xf>
    <xf numFmtId="3" fontId="3" fillId="0" borderId="10" xfId="0" applyNumberFormat="1" applyFont="1" applyBorder="1"/>
    <xf numFmtId="0" fontId="2" fillId="2" borderId="0" xfId="0" applyFont="1" applyFill="1" applyAlignment="1">
      <alignment horizontal="left"/>
    </xf>
    <xf numFmtId="0" fontId="6" fillId="0" borderId="4" xfId="0" applyFont="1" applyBorder="1"/>
    <xf numFmtId="0" fontId="3" fillId="0" borderId="10" xfId="0" applyFont="1" applyBorder="1"/>
    <xf numFmtId="3" fontId="3" fillId="0" borderId="10" xfId="0" applyNumberFormat="1" applyFont="1" applyBorder="1" applyAlignment="1">
      <alignment horizontal="center"/>
    </xf>
    <xf numFmtId="0" fontId="10" fillId="0" borderId="0" xfId="0" applyFont="1"/>
    <xf numFmtId="0" fontId="2" fillId="0" borderId="10" xfId="0" applyFont="1" applyBorder="1" applyAlignment="1">
      <alignment horizontal="left"/>
    </xf>
    <xf numFmtId="0" fontId="4" fillId="2" borderId="0" xfId="0" applyFont="1" applyFill="1" applyAlignment="1">
      <alignment horizontal="center"/>
    </xf>
    <xf numFmtId="3" fontId="2" fillId="0" borderId="0" xfId="0" applyNumberFormat="1" applyFont="1"/>
    <xf numFmtId="3" fontId="3" fillId="0" borderId="0" xfId="0" applyNumberFormat="1" applyFont="1" applyAlignment="1">
      <alignment horizontal="left"/>
    </xf>
    <xf numFmtId="167" fontId="2" fillId="0" borderId="10" xfId="0" applyNumberFormat="1" applyFont="1" applyBorder="1" applyAlignment="1">
      <alignment horizontal="left"/>
    </xf>
    <xf numFmtId="3" fontId="2" fillId="0" borderId="10" xfId="0" applyNumberFormat="1" applyFont="1" applyBorder="1" applyAlignment="1">
      <alignment horizontal="center"/>
    </xf>
    <xf numFmtId="167" fontId="2" fillId="0" borderId="0" xfId="0" applyNumberFormat="1" applyFont="1" applyAlignment="1">
      <alignment horizontal="left"/>
    </xf>
    <xf numFmtId="169" fontId="3" fillId="0" borderId="0" xfId="0" applyNumberFormat="1" applyFont="1"/>
    <xf numFmtId="167" fontId="3" fillId="0" borderId="0" xfId="0" applyNumberFormat="1" applyFont="1" applyAlignment="1">
      <alignment horizontal="left"/>
    </xf>
    <xf numFmtId="0" fontId="2" fillId="0" borderId="3" xfId="0" applyFont="1" applyBorder="1" applyAlignment="1">
      <alignment horizontal="left"/>
    </xf>
    <xf numFmtId="167" fontId="2" fillId="0" borderId="5" xfId="0" applyNumberFormat="1" applyFont="1" applyBorder="1" applyAlignment="1">
      <alignment horizontal="left"/>
    </xf>
    <xf numFmtId="3" fontId="2" fillId="0" borderId="5" xfId="0" applyNumberFormat="1" applyFont="1" applyBorder="1"/>
    <xf numFmtId="3" fontId="2" fillId="0" borderId="3" xfId="0" applyNumberFormat="1" applyFont="1" applyBorder="1" applyAlignment="1">
      <alignment horizontal="center"/>
    </xf>
    <xf numFmtId="0" fontId="2" fillId="0" borderId="17" xfId="0" applyFont="1" applyBorder="1" applyAlignment="1">
      <alignment horizontal="center"/>
    </xf>
    <xf numFmtId="0" fontId="3" fillId="0" borderId="22" xfId="0" applyFont="1" applyBorder="1" applyAlignment="1">
      <alignment horizontal="center"/>
    </xf>
    <xf numFmtId="0" fontId="2" fillId="0" borderId="22" xfId="0" applyFont="1" applyBorder="1"/>
    <xf numFmtId="3" fontId="2" fillId="0" borderId="22" xfId="0" applyNumberFormat="1" applyFont="1" applyBorder="1"/>
    <xf numFmtId="3" fontId="2" fillId="0" borderId="0" xfId="0" applyNumberFormat="1" applyFont="1" applyAlignment="1">
      <alignment horizontal="center"/>
    </xf>
    <xf numFmtId="0" fontId="2" fillId="0" borderId="4" xfId="0" applyFont="1" applyBorder="1"/>
    <xf numFmtId="3" fontId="2" fillId="0" borderId="4" xfId="0" applyNumberFormat="1" applyFont="1" applyBorder="1" applyAlignment="1">
      <alignment horizontal="center"/>
    </xf>
    <xf numFmtId="43" fontId="3" fillId="0" borderId="0" xfId="0" applyNumberFormat="1" applyFont="1"/>
    <xf numFmtId="0" fontId="2" fillId="0" borderId="11" xfId="0" applyFont="1" applyBorder="1" applyAlignment="1">
      <alignment horizontal="center"/>
    </xf>
    <xf numFmtId="0" fontId="2" fillId="0" borderId="12" xfId="0" applyFont="1" applyBorder="1"/>
    <xf numFmtId="0" fontId="2" fillId="0" borderId="12" xfId="0" applyFont="1" applyBorder="1" applyAlignment="1">
      <alignment horizontal="left"/>
    </xf>
    <xf numFmtId="0" fontId="2" fillId="0" borderId="12" xfId="0" applyFont="1" applyBorder="1" applyAlignment="1">
      <alignment horizontal="center"/>
    </xf>
    <xf numFmtId="0" fontId="1" fillId="0" borderId="0" xfId="0" applyFont="1" applyAlignment="1">
      <alignment horizontal="center"/>
    </xf>
    <xf numFmtId="0" fontId="4" fillId="0" borderId="0" xfId="0" applyFont="1" applyAlignment="1">
      <alignment horizontal="left"/>
    </xf>
    <xf numFmtId="0" fontId="2" fillId="0" borderId="4" xfId="0" applyFont="1" applyBorder="1" applyAlignment="1">
      <alignment horizontal="center"/>
    </xf>
    <xf numFmtId="3" fontId="12" fillId="0" borderId="0" xfId="0" applyNumberFormat="1" applyFont="1" applyAlignment="1">
      <alignment horizontal="right"/>
    </xf>
    <xf numFmtId="0" fontId="2" fillId="0" borderId="5" xfId="0" applyFont="1" applyBorder="1" applyAlignment="1">
      <alignment wrapText="1"/>
    </xf>
    <xf numFmtId="171" fontId="3" fillId="0" borderId="0" xfId="0" applyNumberFormat="1" applyFont="1"/>
    <xf numFmtId="10" fontId="3" fillId="0" borderId="4" xfId="0" applyNumberFormat="1" applyFont="1" applyBorder="1"/>
    <xf numFmtId="170" fontId="3" fillId="0" borderId="0" xfId="0" applyNumberFormat="1" applyFont="1" applyAlignment="1">
      <alignment horizontal="right"/>
    </xf>
    <xf numFmtId="0" fontId="11" fillId="0" borderId="4" xfId="0" applyFont="1" applyBorder="1"/>
    <xf numFmtId="0" fontId="10" fillId="0" borderId="4" xfId="0" applyFont="1" applyBorder="1"/>
    <xf numFmtId="170" fontId="3" fillId="0" borderId="5" xfId="0" applyNumberFormat="1" applyFont="1" applyBorder="1" applyAlignment="1">
      <alignment horizontal="right"/>
    </xf>
    <xf numFmtId="3" fontId="2" fillId="0" borderId="5" xfId="0" applyNumberFormat="1" applyFont="1" applyBorder="1" applyAlignment="1">
      <alignment horizontal="right"/>
    </xf>
    <xf numFmtId="3" fontId="2" fillId="0" borderId="10" xfId="0" applyNumberFormat="1" applyFont="1" applyBorder="1" applyAlignment="1">
      <alignment horizontal="right"/>
    </xf>
    <xf numFmtId="0" fontId="3" fillId="2" borderId="0" xfId="0" applyFont="1" applyFill="1" applyAlignment="1">
      <alignment horizontal="right" wrapText="1"/>
    </xf>
    <xf numFmtId="171" fontId="2" fillId="0" borderId="0" xfId="0" applyNumberFormat="1" applyFont="1" applyAlignment="1">
      <alignment horizontal="right"/>
    </xf>
    <xf numFmtId="10" fontId="3" fillId="0" borderId="4" xfId="0" applyNumberFormat="1" applyFont="1" applyBorder="1" applyAlignment="1">
      <alignment horizontal="right"/>
    </xf>
    <xf numFmtId="10" fontId="2" fillId="0" borderId="0" xfId="0" applyNumberFormat="1" applyFont="1" applyAlignment="1">
      <alignment horizontal="right"/>
    </xf>
    <xf numFmtId="165" fontId="2" fillId="0" borderId="0" xfId="0" applyNumberFormat="1" applyFont="1" applyAlignment="1">
      <alignment horizontal="right"/>
    </xf>
    <xf numFmtId="3" fontId="2" fillId="0" borderId="22" xfId="0" applyNumberFormat="1" applyFont="1" applyBorder="1" applyAlignment="1">
      <alignment horizontal="right"/>
    </xf>
    <xf numFmtId="3" fontId="2" fillId="0" borderId="12" xfId="0" applyNumberFormat="1" applyFont="1" applyBorder="1" applyAlignment="1">
      <alignment horizontal="right"/>
    </xf>
    <xf numFmtId="170" fontId="2" fillId="0" borderId="0" xfId="0" applyNumberFormat="1" applyFont="1" applyAlignment="1">
      <alignment horizontal="right"/>
    </xf>
    <xf numFmtId="3" fontId="2" fillId="0" borderId="4" xfId="0" applyNumberFormat="1" applyFont="1" applyBorder="1" applyAlignment="1">
      <alignment horizontal="right"/>
    </xf>
    <xf numFmtId="164" fontId="2" fillId="0" borderId="0" xfId="0" applyNumberFormat="1" applyFont="1" applyAlignment="1">
      <alignment horizontal="right"/>
    </xf>
    <xf numFmtId="3" fontId="3" fillId="0" borderId="0" xfId="0" applyNumberFormat="1" applyFont="1" applyAlignment="1">
      <alignment wrapText="1"/>
    </xf>
    <xf numFmtId="4" fontId="2" fillId="0" borderId="0" xfId="0" applyNumberFormat="1" applyFont="1" applyAlignment="1">
      <alignment horizontal="right"/>
    </xf>
    <xf numFmtId="0" fontId="2" fillId="8" borderId="21" xfId="0" applyFont="1" applyFill="1" applyBorder="1" applyAlignment="1">
      <alignment horizontal="center" wrapText="1"/>
    </xf>
    <xf numFmtId="0" fontId="2" fillId="8" borderId="31" xfId="0" applyFont="1" applyFill="1" applyBorder="1" applyAlignment="1">
      <alignment horizontal="center"/>
    </xf>
    <xf numFmtId="0" fontId="2" fillId="0" borderId="0" xfId="0" applyFont="1" applyAlignment="1">
      <alignment horizontal="right" wrapText="1"/>
    </xf>
    <xf numFmtId="10" fontId="3" fillId="8" borderId="0" xfId="0" applyNumberFormat="1" applyFont="1" applyFill="1" applyAlignment="1">
      <alignment horizontal="right"/>
    </xf>
    <xf numFmtId="0" fontId="2" fillId="0" borderId="7" xfId="0" applyFont="1" applyBorder="1" applyAlignment="1">
      <alignment horizontal="center"/>
    </xf>
    <xf numFmtId="0" fontId="2" fillId="0" borderId="8" xfId="0" applyFont="1" applyBorder="1" applyAlignment="1">
      <alignment horizontal="center"/>
    </xf>
    <xf numFmtId="0" fontId="2" fillId="0" borderId="8" xfId="0" applyFont="1" applyBorder="1" applyAlignment="1">
      <alignment horizontal="left"/>
    </xf>
    <xf numFmtId="0" fontId="3" fillId="0" borderId="8" xfId="0" applyFont="1" applyBorder="1" applyAlignment="1">
      <alignment horizontal="left"/>
    </xf>
    <xf numFmtId="4" fontId="2" fillId="0" borderId="24" xfId="0" applyNumberFormat="1" applyFont="1" applyBorder="1" applyAlignment="1">
      <alignment horizontal="right"/>
    </xf>
    <xf numFmtId="0" fontId="2" fillId="0" borderId="16" xfId="0" applyFont="1" applyBorder="1" applyAlignment="1">
      <alignment horizontal="center"/>
    </xf>
    <xf numFmtId="4" fontId="2" fillId="0" borderId="15" xfId="0" applyNumberFormat="1" applyFont="1" applyBorder="1" applyAlignment="1">
      <alignment horizontal="right"/>
    </xf>
    <xf numFmtId="0" fontId="2" fillId="0" borderId="6"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left"/>
    </xf>
    <xf numFmtId="4" fontId="2" fillId="0" borderId="9" xfId="0" applyNumberFormat="1" applyFont="1" applyBorder="1" applyAlignment="1">
      <alignment horizontal="right"/>
    </xf>
    <xf numFmtId="0" fontId="3" fillId="0" borderId="2" xfId="0" applyFont="1" applyBorder="1" applyAlignment="1">
      <alignment horizontal="left"/>
    </xf>
    <xf numFmtId="0" fontId="6" fillId="0" borderId="22" xfId="0" applyFont="1" applyBorder="1" applyAlignment="1">
      <alignment horizontal="center"/>
    </xf>
    <xf numFmtId="0" fontId="3" fillId="0" borderId="0" xfId="0" applyFont="1" applyAlignment="1">
      <alignment horizontal="center" vertical="center"/>
    </xf>
    <xf numFmtId="0" fontId="3" fillId="0" borderId="0" xfId="0" applyFont="1" applyAlignment="1">
      <alignment vertical="center"/>
    </xf>
    <xf numFmtId="3" fontId="3" fillId="0" borderId="4" xfId="0" applyNumberFormat="1" applyFont="1" applyBorder="1" applyAlignment="1">
      <alignment wrapText="1"/>
    </xf>
    <xf numFmtId="0" fontId="15" fillId="0" borderId="0" xfId="0" applyFont="1" applyAlignment="1">
      <alignment horizontal="center"/>
    </xf>
    <xf numFmtId="0" fontId="15" fillId="0" borderId="5"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43" fontId="15" fillId="0" borderId="5" xfId="0" applyNumberFormat="1" applyFont="1" applyBorder="1" applyAlignment="1">
      <alignment horizontal="center"/>
    </xf>
    <xf numFmtId="0" fontId="15" fillId="0" borderId="10" xfId="0" applyFont="1" applyBorder="1" applyAlignment="1">
      <alignment horizontal="center"/>
    </xf>
    <xf numFmtId="3" fontId="15" fillId="0" borderId="0" xfId="0" quotePrefix="1" applyNumberFormat="1" applyFont="1" applyAlignment="1">
      <alignment horizontal="center"/>
    </xf>
    <xf numFmtId="168" fontId="15" fillId="0" borderId="10" xfId="0" applyNumberFormat="1" applyFont="1" applyBorder="1" applyAlignment="1">
      <alignment horizontal="center"/>
    </xf>
    <xf numFmtId="168" fontId="15" fillId="0" borderId="5" xfId="0" applyNumberFormat="1" applyFont="1" applyBorder="1" applyAlignment="1">
      <alignment horizontal="center"/>
    </xf>
    <xf numFmtId="0" fontId="15" fillId="0" borderId="12" xfId="0" applyFont="1" applyBorder="1" applyAlignment="1">
      <alignment horizontal="center"/>
    </xf>
    <xf numFmtId="0" fontId="15" fillId="0" borderId="8" xfId="0" applyFont="1" applyBorder="1" applyAlignment="1">
      <alignment horizontal="center"/>
    </xf>
    <xf numFmtId="0" fontId="15" fillId="0" borderId="2" xfId="0" applyFont="1" applyBorder="1" applyAlignment="1">
      <alignment horizontal="center"/>
    </xf>
    <xf numFmtId="0" fontId="15" fillId="2" borderId="0" xfId="0" applyFont="1" applyFill="1" applyAlignment="1">
      <alignment horizontal="center"/>
    </xf>
    <xf numFmtId="3" fontId="15" fillId="0" borderId="0" xfId="0" applyNumberFormat="1" applyFont="1" applyAlignment="1">
      <alignment horizontal="center"/>
    </xf>
    <xf numFmtId="167" fontId="15" fillId="0" borderId="0" xfId="0" applyNumberFormat="1" applyFont="1" applyAlignment="1">
      <alignment horizontal="center"/>
    </xf>
    <xf numFmtId="3" fontId="15" fillId="0" borderId="4" xfId="0" applyNumberFormat="1" applyFont="1" applyBorder="1" applyAlignment="1">
      <alignment horizontal="center"/>
    </xf>
    <xf numFmtId="3" fontId="15" fillId="0" borderId="3" xfId="0" applyNumberFormat="1" applyFont="1" applyBorder="1" applyAlignment="1">
      <alignment horizontal="center"/>
    </xf>
    <xf numFmtId="168" fontId="15" fillId="0" borderId="0" xfId="0" applyNumberFormat="1" applyFont="1" applyAlignment="1">
      <alignment horizontal="center"/>
    </xf>
    <xf numFmtId="168" fontId="15" fillId="0" borderId="4" xfId="0" applyNumberFormat="1" applyFont="1" applyBorder="1" applyAlignment="1">
      <alignment horizontal="center"/>
    </xf>
    <xf numFmtId="0" fontId="15" fillId="0" borderId="22" xfId="0" applyFont="1" applyBorder="1" applyAlignment="1">
      <alignment horizontal="center"/>
    </xf>
    <xf numFmtId="37" fontId="15" fillId="0" borderId="0" xfId="0" applyNumberFormat="1" applyFont="1" applyAlignment="1">
      <alignment horizontal="center"/>
    </xf>
    <xf numFmtId="3" fontId="15" fillId="0" borderId="0" xfId="0" applyNumberFormat="1" applyFont="1" applyAlignment="1">
      <alignment horizontal="center" wrapText="1"/>
    </xf>
    <xf numFmtId="174" fontId="2" fillId="0" borderId="0" xfId="0" applyNumberFormat="1" applyFont="1" applyAlignment="1">
      <alignment horizontal="right"/>
    </xf>
    <xf numFmtId="0" fontId="3" fillId="8" borderId="0" xfId="0" applyFont="1" applyFill="1" applyAlignment="1">
      <alignment horizontal="center" wrapText="1"/>
    </xf>
    <xf numFmtId="10" fontId="3" fillId="0" borderId="0" xfId="0" applyNumberFormat="1" applyFont="1" applyAlignment="1">
      <alignment wrapText="1"/>
    </xf>
    <xf numFmtId="37" fontId="3" fillId="8" borderId="4" xfId="0" applyNumberFormat="1" applyFont="1" applyFill="1" applyBorder="1"/>
    <xf numFmtId="3" fontId="12" fillId="10" borderId="0" xfId="0" applyNumberFormat="1" applyFont="1" applyFill="1"/>
    <xf numFmtId="0" fontId="3" fillId="7" borderId="25" xfId="0" applyFont="1" applyFill="1" applyBorder="1" applyAlignment="1">
      <alignment wrapText="1"/>
    </xf>
    <xf numFmtId="164" fontId="3" fillId="8" borderId="0" xfId="1" applyNumberFormat="1" applyFont="1" applyFill="1"/>
    <xf numFmtId="17" fontId="3" fillId="0" borderId="0" xfId="0" applyNumberFormat="1" applyFont="1"/>
    <xf numFmtId="0" fontId="36" fillId="0" borderId="17" xfId="0" applyFont="1" applyBorder="1"/>
    <xf numFmtId="167" fontId="3" fillId="8" borderId="0" xfId="0" applyNumberFormat="1" applyFont="1" applyFill="1" applyAlignment="1">
      <alignment horizontal="center"/>
    </xf>
    <xf numFmtId="3" fontId="3" fillId="12" borderId="0" xfId="0" applyNumberFormat="1" applyFont="1" applyFill="1"/>
    <xf numFmtId="0" fontId="3" fillId="12" borderId="0" xfId="0" applyFont="1" applyFill="1"/>
    <xf numFmtId="0" fontId="15" fillId="12" borderId="0" xfId="0" applyFont="1" applyFill="1" applyAlignment="1">
      <alignment horizontal="center"/>
    </xf>
    <xf numFmtId="3" fontId="2" fillId="12" borderId="0" xfId="0" applyNumberFormat="1" applyFont="1" applyFill="1" applyAlignment="1">
      <alignment horizontal="right"/>
    </xf>
    <xf numFmtId="0" fontId="3" fillId="13" borderId="0" xfId="0" applyFont="1" applyFill="1"/>
    <xf numFmtId="0" fontId="3" fillId="13" borderId="0" xfId="0" applyFont="1" applyFill="1" applyAlignment="1">
      <alignment horizontal="left"/>
    </xf>
    <xf numFmtId="0" fontId="2" fillId="13" borderId="0" xfId="0" applyFont="1" applyFill="1" applyAlignment="1">
      <alignment horizontal="center"/>
    </xf>
    <xf numFmtId="0" fontId="16" fillId="13" borderId="0" xfId="0" applyFont="1" applyFill="1"/>
    <xf numFmtId="0" fontId="37" fillId="0" borderId="0" xfId="3" applyFont="1" applyAlignment="1">
      <alignment horizontal="center"/>
    </xf>
    <xf numFmtId="0" fontId="38" fillId="12" borderId="0" xfId="0" applyFont="1" applyFill="1"/>
    <xf numFmtId="0" fontId="38" fillId="0" borderId="0" xfId="0" applyFont="1"/>
    <xf numFmtId="0" fontId="38" fillId="0" borderId="0" xfId="3" applyFont="1"/>
    <xf numFmtId="0" fontId="39" fillId="0" borderId="0" xfId="0" applyFont="1" applyAlignment="1">
      <alignment horizontal="center"/>
    </xf>
    <xf numFmtId="0" fontId="38" fillId="0" borderId="0" xfId="0" applyFont="1" applyAlignment="1">
      <alignment horizontal="left"/>
    </xf>
    <xf numFmtId="0" fontId="40" fillId="0" borderId="0" xfId="3" applyFont="1" applyAlignment="1">
      <alignment horizontal="right" wrapText="1"/>
    </xf>
    <xf numFmtId="0" fontId="40" fillId="0" borderId="0" xfId="0" applyFont="1" applyAlignment="1">
      <alignment horizontal="right"/>
    </xf>
    <xf numFmtId="0" fontId="41" fillId="0" borderId="0" xfId="0" applyFont="1"/>
    <xf numFmtId="0" fontId="42" fillId="0" borderId="0" xfId="0" applyFont="1"/>
    <xf numFmtId="0" fontId="0" fillId="0" borderId="0" xfId="0" applyAlignment="1">
      <alignment horizontal="center"/>
    </xf>
    <xf numFmtId="0" fontId="36" fillId="0" borderId="0" xfId="0" applyFont="1"/>
    <xf numFmtId="37" fontId="38" fillId="0" borderId="0" xfId="0" applyNumberFormat="1" applyFont="1"/>
    <xf numFmtId="3" fontId="38" fillId="0" borderId="0" xfId="3" applyNumberFormat="1" applyFont="1"/>
    <xf numFmtId="37" fontId="38" fillId="0" borderId="4" xfId="0" applyNumberFormat="1" applyFont="1" applyBorder="1"/>
    <xf numFmtId="170" fontId="38" fillId="0" borderId="0" xfId="2" applyNumberFormat="1" applyFont="1" applyFill="1"/>
    <xf numFmtId="3" fontId="38" fillId="0" borderId="0" xfId="0" applyNumberFormat="1" applyFont="1"/>
    <xf numFmtId="3" fontId="36" fillId="0" borderId="0" xfId="0" applyNumberFormat="1" applyFont="1"/>
    <xf numFmtId="37" fontId="36" fillId="0" borderId="0" xfId="0" applyNumberFormat="1" applyFont="1"/>
    <xf numFmtId="0" fontId="39" fillId="0" borderId="0" xfId="0" applyFont="1"/>
    <xf numFmtId="0" fontId="36" fillId="0" borderId="0" xfId="0" applyFont="1" applyAlignment="1">
      <alignment horizontal="center"/>
    </xf>
    <xf numFmtId="0" fontId="39" fillId="0" borderId="0" xfId="0" applyFont="1" applyAlignment="1">
      <alignment horizontal="left"/>
    </xf>
    <xf numFmtId="0" fontId="39" fillId="0" borderId="46" xfId="0" applyFont="1" applyBorder="1" applyAlignment="1">
      <alignment horizontal="center"/>
    </xf>
    <xf numFmtId="0" fontId="38" fillId="5" borderId="28" xfId="3" applyFont="1" applyFill="1" applyBorder="1" applyAlignment="1">
      <alignment wrapText="1"/>
    </xf>
    <xf numFmtId="3" fontId="38" fillId="5" borderId="51" xfId="3" applyNumberFormat="1" applyFont="1" applyFill="1" applyBorder="1"/>
    <xf numFmtId="3" fontId="38" fillId="5" borderId="26" xfId="1" applyNumberFormat="1" applyFont="1" applyFill="1" applyBorder="1"/>
    <xf numFmtId="3" fontId="38" fillId="0" borderId="42" xfId="1" applyNumberFormat="1" applyFont="1" applyFill="1" applyBorder="1"/>
    <xf numFmtId="164" fontId="38" fillId="8" borderId="25" xfId="4" applyNumberFormat="1" applyFont="1" applyFill="1" applyBorder="1" applyAlignment="1">
      <alignment wrapText="1"/>
    </xf>
    <xf numFmtId="0" fontId="38" fillId="5" borderId="19" xfId="3" applyFont="1" applyFill="1" applyBorder="1" applyAlignment="1">
      <alignment wrapText="1"/>
    </xf>
    <xf numFmtId="3" fontId="38" fillId="5" borderId="35" xfId="3" applyNumberFormat="1" applyFont="1" applyFill="1" applyBorder="1"/>
    <xf numFmtId="3" fontId="38" fillId="5" borderId="13" xfId="1" applyNumberFormat="1" applyFont="1" applyFill="1" applyBorder="1"/>
    <xf numFmtId="3" fontId="38" fillId="0" borderId="41" xfId="1" applyNumberFormat="1" applyFont="1" applyFill="1" applyBorder="1"/>
    <xf numFmtId="0" fontId="38" fillId="0" borderId="19" xfId="3" applyFont="1" applyBorder="1" applyAlignment="1">
      <alignment wrapText="1"/>
    </xf>
    <xf numFmtId="164" fontId="38" fillId="0" borderId="25" xfId="4" applyNumberFormat="1" applyFont="1" applyFill="1" applyBorder="1" applyAlignment="1">
      <alignment wrapText="1"/>
    </xf>
    <xf numFmtId="3" fontId="38" fillId="8" borderId="35" xfId="3" applyNumberFormat="1" applyFont="1" applyFill="1" applyBorder="1"/>
    <xf numFmtId="164" fontId="38" fillId="5" borderId="25" xfId="4" applyNumberFormat="1" applyFont="1" applyFill="1" applyBorder="1" applyAlignment="1">
      <alignment wrapText="1"/>
    </xf>
    <xf numFmtId="0" fontId="36" fillId="0" borderId="18" xfId="3" applyFont="1" applyBorder="1"/>
    <xf numFmtId="3" fontId="36" fillId="0" borderId="33" xfId="3" applyNumberFormat="1" applyFont="1" applyBorder="1"/>
    <xf numFmtId="37" fontId="38" fillId="0" borderId="34" xfId="0" applyNumberFormat="1" applyFont="1" applyBorder="1" applyAlignment="1">
      <alignment wrapText="1"/>
    </xf>
    <xf numFmtId="0" fontId="36" fillId="0" borderId="19" xfId="3" applyFont="1" applyBorder="1" applyAlignment="1">
      <alignment wrapText="1"/>
    </xf>
    <xf numFmtId="3" fontId="38" fillId="0" borderId="13" xfId="3" applyNumberFormat="1" applyFont="1" applyBorder="1"/>
    <xf numFmtId="3" fontId="38" fillId="0" borderId="33" xfId="3" applyNumberFormat="1" applyFont="1" applyBorder="1"/>
    <xf numFmtId="3" fontId="38" fillId="0" borderId="13" xfId="3" applyNumberFormat="1" applyFont="1" applyBorder="1" applyAlignment="1">
      <alignment horizontal="right"/>
    </xf>
    <xf numFmtId="0" fontId="38" fillId="0" borderId="25" xfId="0" applyFont="1" applyBorder="1" applyAlignment="1">
      <alignment wrapText="1"/>
    </xf>
    <xf numFmtId="0" fontId="36" fillId="0" borderId="36" xfId="0" applyFont="1" applyBorder="1"/>
    <xf numFmtId="3" fontId="36" fillId="0" borderId="30" xfId="3" applyNumberFormat="1" applyFont="1" applyBorder="1"/>
    <xf numFmtId="0" fontId="36" fillId="0" borderId="37" xfId="0" applyFont="1" applyBorder="1" applyAlignment="1">
      <alignment wrapText="1"/>
    </xf>
    <xf numFmtId="1" fontId="36" fillId="0" borderId="0" xfId="3" applyNumberFormat="1" applyFont="1"/>
    <xf numFmtId="37" fontId="36" fillId="0" borderId="0" xfId="3" applyNumberFormat="1" applyFont="1"/>
    <xf numFmtId="0" fontId="36" fillId="0" borderId="0" xfId="0" applyFont="1" applyAlignment="1">
      <alignment wrapText="1"/>
    </xf>
    <xf numFmtId="37" fontId="38" fillId="0" borderId="0" xfId="0" applyNumberFormat="1" applyFont="1" applyAlignment="1">
      <alignment horizontal="center"/>
    </xf>
    <xf numFmtId="0" fontId="38" fillId="0" borderId="0" xfId="0" applyFont="1" applyAlignment="1">
      <alignment horizontal="center"/>
    </xf>
    <xf numFmtId="37" fontId="38" fillId="0" borderId="0" xfId="0" applyNumberFormat="1" applyFont="1" applyAlignment="1">
      <alignment wrapText="1"/>
    </xf>
    <xf numFmtId="0" fontId="38" fillId="0" borderId="0" xfId="0" applyFont="1" applyAlignment="1">
      <alignment wrapText="1"/>
    </xf>
    <xf numFmtId="41" fontId="38" fillId="0" borderId="0" xfId="0" applyNumberFormat="1" applyFont="1" applyAlignment="1">
      <alignment horizontal="center"/>
    </xf>
    <xf numFmtId="0" fontId="40" fillId="0" borderId="0" xfId="0" applyFont="1"/>
    <xf numFmtId="3" fontId="38" fillId="5" borderId="26" xfId="4" applyNumberFormat="1" applyFont="1" applyFill="1" applyBorder="1"/>
    <xf numFmtId="3" fontId="38" fillId="8" borderId="26" xfId="4" applyNumberFormat="1" applyFont="1" applyFill="1" applyBorder="1"/>
    <xf numFmtId="3" fontId="38" fillId="8" borderId="26" xfId="1" applyNumberFormat="1" applyFont="1" applyFill="1" applyBorder="1"/>
    <xf numFmtId="3" fontId="38" fillId="0" borderId="43" xfId="1" applyNumberFormat="1" applyFont="1" applyFill="1" applyBorder="1"/>
    <xf numFmtId="0" fontId="38" fillId="0" borderId="25" xfId="4" applyNumberFormat="1" applyFont="1" applyFill="1" applyBorder="1" applyAlignment="1">
      <alignment wrapText="1"/>
    </xf>
    <xf numFmtId="3" fontId="38" fillId="8" borderId="13" xfId="1" applyNumberFormat="1" applyFont="1" applyFill="1" applyBorder="1"/>
    <xf numFmtId="0" fontId="38" fillId="5" borderId="25" xfId="4" applyNumberFormat="1" applyFont="1" applyFill="1" applyBorder="1" applyAlignment="1">
      <alignment wrapText="1"/>
    </xf>
    <xf numFmtId="0" fontId="36" fillId="0" borderId="0" xfId="0" applyFont="1" applyAlignment="1">
      <alignment horizontal="left"/>
    </xf>
    <xf numFmtId="0" fontId="37" fillId="0" borderId="0" xfId="0" applyFont="1" applyAlignment="1">
      <alignment horizontal="centerContinuous"/>
    </xf>
    <xf numFmtId="0" fontId="40" fillId="0" borderId="0" xfId="0" applyFont="1" applyAlignment="1">
      <alignment horizontal="centerContinuous"/>
    </xf>
    <xf numFmtId="0" fontId="40" fillId="0" borderId="0" xfId="0" applyFont="1" applyAlignment="1">
      <alignment horizontal="left"/>
    </xf>
    <xf numFmtId="0" fontId="43" fillId="0" borderId="0" xfId="0" applyFont="1"/>
    <xf numFmtId="0" fontId="40" fillId="0" borderId="0" xfId="0" applyFont="1" applyAlignment="1">
      <alignment wrapText="1"/>
    </xf>
    <xf numFmtId="0" fontId="36" fillId="0" borderId="0" xfId="0" applyFont="1" applyAlignment="1">
      <alignment horizontal="right"/>
    </xf>
    <xf numFmtId="41" fontId="36" fillId="0" borderId="0" xfId="0" applyNumberFormat="1" applyFont="1" applyAlignment="1">
      <alignment horizontal="center" wrapText="1"/>
    </xf>
    <xf numFmtId="164" fontId="38" fillId="8" borderId="29" xfId="1" applyNumberFormat="1" applyFont="1" applyFill="1" applyBorder="1" applyAlignment="1">
      <alignment wrapText="1"/>
    </xf>
    <xf numFmtId="164" fontId="38" fillId="8" borderId="25" xfId="1" applyNumberFormat="1" applyFont="1" applyFill="1" applyBorder="1" applyAlignment="1">
      <alignment wrapText="1"/>
    </xf>
    <xf numFmtId="164" fontId="38" fillId="0" borderId="25" xfId="1" applyNumberFormat="1" applyFont="1" applyFill="1" applyBorder="1" applyAlignment="1">
      <alignment wrapText="1"/>
    </xf>
    <xf numFmtId="0" fontId="36" fillId="0" borderId="23" xfId="0" applyFont="1" applyBorder="1"/>
    <xf numFmtId="3" fontId="36" fillId="0" borderId="26" xfId="3" applyNumberFormat="1" applyFont="1" applyBorder="1"/>
    <xf numFmtId="0" fontId="38" fillId="0" borderId="29" xfId="0" applyFont="1" applyBorder="1" applyAlignment="1">
      <alignment wrapText="1"/>
    </xf>
    <xf numFmtId="0" fontId="36" fillId="0" borderId="17" xfId="0" applyFont="1" applyBorder="1" applyAlignment="1">
      <alignment wrapText="1"/>
    </xf>
    <xf numFmtId="3" fontId="38" fillId="0" borderId="41" xfId="3" applyNumberFormat="1" applyFont="1" applyBorder="1"/>
    <xf numFmtId="0" fontId="36" fillId="0" borderId="38" xfId="0" applyFont="1" applyBorder="1" applyAlignment="1">
      <alignment wrapText="1"/>
    </xf>
    <xf numFmtId="3" fontId="38" fillId="0" borderId="27" xfId="3" applyNumberFormat="1" applyFont="1" applyBorder="1"/>
    <xf numFmtId="3" fontId="38" fillId="0" borderId="39" xfId="3" applyNumberFormat="1" applyFont="1" applyBorder="1"/>
    <xf numFmtId="0" fontId="38" fillId="0" borderId="32" xfId="0" applyFont="1" applyBorder="1" applyAlignment="1">
      <alignment wrapText="1"/>
    </xf>
    <xf numFmtId="164" fontId="38" fillId="0" borderId="0" xfId="0" applyNumberFormat="1" applyFont="1" applyAlignment="1">
      <alignment wrapText="1"/>
    </xf>
    <xf numFmtId="0" fontId="36" fillId="0" borderId="0" xfId="0" applyFont="1" applyAlignment="1">
      <alignment horizontal="centerContinuous"/>
    </xf>
    <xf numFmtId="0" fontId="38" fillId="0" borderId="0" xfId="0" applyFont="1" applyAlignment="1">
      <alignment horizontal="centerContinuous"/>
    </xf>
    <xf numFmtId="41" fontId="36" fillId="0" borderId="0" xfId="0" applyNumberFormat="1" applyFont="1" applyAlignment="1">
      <alignment horizontal="center"/>
    </xf>
    <xf numFmtId="164" fontId="38" fillId="0" borderId="0" xfId="1" applyNumberFormat="1" applyFont="1" applyFill="1" applyBorder="1"/>
    <xf numFmtId="0" fontId="3" fillId="13" borderId="0" xfId="0" applyFont="1" applyFill="1" applyAlignment="1">
      <alignment horizontal="left" wrapText="1"/>
    </xf>
    <xf numFmtId="164" fontId="3" fillId="13" borderId="0" xfId="0" applyNumberFormat="1" applyFont="1" applyFill="1"/>
    <xf numFmtId="170" fontId="3" fillId="13" borderId="0" xfId="0" applyNumberFormat="1" applyFont="1" applyFill="1"/>
    <xf numFmtId="164" fontId="3" fillId="13" borderId="0" xfId="0" applyNumberFormat="1" applyFont="1" applyFill="1" applyAlignment="1">
      <alignment wrapText="1"/>
    </xf>
    <xf numFmtId="3" fontId="3" fillId="13" borderId="0" xfId="0" applyNumberFormat="1" applyFont="1" applyFill="1"/>
    <xf numFmtId="3" fontId="3" fillId="13" borderId="0" xfId="0" applyNumberFormat="1" applyFont="1" applyFill="1" applyAlignment="1">
      <alignment wrapText="1"/>
    </xf>
    <xf numFmtId="0" fontId="3" fillId="13" borderId="4" xfId="0" applyFont="1" applyFill="1" applyBorder="1"/>
    <xf numFmtId="0" fontId="2" fillId="13" borderId="0" xfId="0" applyFont="1" applyFill="1"/>
    <xf numFmtId="0" fontId="3" fillId="13" borderId="2" xfId="0" applyFont="1" applyFill="1" applyBorder="1" applyAlignment="1">
      <alignment horizontal="left"/>
    </xf>
    <xf numFmtId="0" fontId="3" fillId="13" borderId="4" xfId="0" applyFont="1" applyFill="1" applyBorder="1" applyAlignment="1">
      <alignment horizontal="center"/>
    </xf>
    <xf numFmtId="9" fontId="3" fillId="13" borderId="0" xfId="0" applyNumberFormat="1" applyFont="1" applyFill="1"/>
    <xf numFmtId="10" fontId="3" fillId="13" borderId="0" xfId="0" applyNumberFormat="1" applyFont="1" applyFill="1"/>
    <xf numFmtId="0" fontId="3" fillId="13" borderId="0" xfId="0" applyFont="1" applyFill="1" applyAlignment="1">
      <alignment wrapText="1"/>
    </xf>
    <xf numFmtId="164" fontId="3" fillId="13" borderId="4" xfId="0" applyNumberFormat="1" applyFont="1" applyFill="1" applyBorder="1"/>
    <xf numFmtId="3" fontId="3" fillId="13" borderId="4" xfId="0" applyNumberFormat="1" applyFont="1" applyFill="1" applyBorder="1"/>
    <xf numFmtId="170" fontId="3" fillId="13" borderId="0" xfId="2" applyNumberFormat="1" applyFont="1" applyFill="1"/>
    <xf numFmtId="0" fontId="13" fillId="13" borderId="0" xfId="0" applyFont="1" applyFill="1"/>
    <xf numFmtId="41" fontId="3" fillId="13" borderId="0" xfId="0" applyNumberFormat="1" applyFont="1" applyFill="1" applyAlignment="1">
      <alignment horizontal="left"/>
    </xf>
    <xf numFmtId="41" fontId="3" fillId="13" borderId="0" xfId="0" applyNumberFormat="1" applyFont="1" applyFill="1" applyAlignment="1">
      <alignment horizontal="right"/>
    </xf>
    <xf numFmtId="165" fontId="12" fillId="13" borderId="0" xfId="0" applyNumberFormat="1" applyFont="1" applyFill="1"/>
    <xf numFmtId="164" fontId="18" fillId="8" borderId="0" xfId="1" applyNumberFormat="1" applyFont="1" applyFill="1"/>
    <xf numFmtId="0" fontId="2" fillId="0" borderId="0" xfId="0" applyFont="1" applyAlignment="1">
      <alignment horizontal="center"/>
    </xf>
    <xf numFmtId="0" fontId="2" fillId="8" borderId="0" xfId="0" applyFont="1" applyFill="1" applyAlignment="1">
      <alignment horizontal="center"/>
    </xf>
    <xf numFmtId="0" fontId="3" fillId="0" borderId="0" xfId="0" applyFont="1" applyAlignment="1">
      <alignment horizontal="left" wrapText="1"/>
    </xf>
    <xf numFmtId="0" fontId="3" fillId="0" borderId="0" xfId="0" applyFont="1" applyAlignment="1">
      <alignment horizontal="center"/>
    </xf>
    <xf numFmtId="0" fontId="3" fillId="3" borderId="8" xfId="0" applyFont="1" applyFill="1" applyBorder="1" applyAlignment="1">
      <alignment horizontal="center"/>
    </xf>
    <xf numFmtId="0" fontId="3" fillId="3" borderId="24" xfId="0" applyFont="1" applyFill="1" applyBorder="1" applyAlignment="1">
      <alignment horizontal="center"/>
    </xf>
    <xf numFmtId="0" fontId="3" fillId="0" borderId="0" xfId="0" applyFont="1" applyAlignment="1">
      <alignment wrapText="1"/>
    </xf>
    <xf numFmtId="0" fontId="3" fillId="0" borderId="0" xfId="0" applyFont="1"/>
    <xf numFmtId="0" fontId="2" fillId="0" borderId="0" xfId="0" applyFont="1" applyAlignment="1">
      <alignment horizontal="right"/>
    </xf>
    <xf numFmtId="0" fontId="36" fillId="0" borderId="0" xfId="0" applyFont="1" applyAlignment="1">
      <alignment horizontal="center"/>
    </xf>
    <xf numFmtId="0" fontId="37" fillId="0" borderId="0" xfId="0" applyFont="1" applyAlignment="1">
      <alignment horizontal="center"/>
    </xf>
    <xf numFmtId="0" fontId="38" fillId="0" borderId="0" xfId="0" applyFont="1" applyAlignment="1">
      <alignment wrapText="1"/>
    </xf>
    <xf numFmtId="0" fontId="40" fillId="0" borderId="0" xfId="0" applyFont="1"/>
    <xf numFmtId="0" fontId="37" fillId="0" borderId="0" xfId="3" applyFont="1" applyAlignment="1">
      <alignment horizontal="center"/>
    </xf>
    <xf numFmtId="0" fontId="20" fillId="0" borderId="39" xfId="0" applyFont="1" applyBorder="1" applyAlignment="1">
      <alignment horizontal="center" vertical="center"/>
    </xf>
    <xf numFmtId="0" fontId="20" fillId="0" borderId="3" xfId="0" applyFont="1" applyBorder="1" applyAlignment="1">
      <alignment horizontal="center" vertical="center"/>
    </xf>
    <xf numFmtId="0" fontId="20" fillId="0" borderId="40" xfId="0" applyFont="1" applyBorder="1" applyAlignment="1">
      <alignment horizontal="center" vertical="center"/>
    </xf>
    <xf numFmtId="0" fontId="20" fillId="0" borderId="4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35" xfId="0" applyFont="1" applyBorder="1" applyAlignment="1">
      <alignment horizontal="center" vertical="center" wrapText="1"/>
    </xf>
    <xf numFmtId="0" fontId="21" fillId="0" borderId="41" xfId="0" applyFont="1" applyBorder="1" applyAlignment="1">
      <alignment horizontal="center" vertical="center"/>
    </xf>
    <xf numFmtId="0" fontId="21" fillId="0" borderId="22" xfId="0" applyFont="1" applyBorder="1" applyAlignment="1">
      <alignment horizontal="center" vertical="center"/>
    </xf>
    <xf numFmtId="0" fontId="2" fillId="8" borderId="0" xfId="0" applyFont="1" applyFill="1"/>
    <xf numFmtId="0" fontId="2" fillId="0" borderId="0" xfId="0" applyFont="1"/>
    <xf numFmtId="3" fontId="13" fillId="0" borderId="0" xfId="0" applyNumberFormat="1" applyFont="1" applyAlignment="1">
      <alignment horizontal="center"/>
    </xf>
    <xf numFmtId="0" fontId="3" fillId="0" borderId="4" xfId="0" applyFont="1" applyBorder="1" applyAlignment="1">
      <alignment horizontal="center"/>
    </xf>
    <xf numFmtId="0" fontId="3" fillId="0" borderId="0" xfId="0" applyFont="1" applyAlignment="1">
      <alignment vertical="top" wrapText="1"/>
    </xf>
    <xf numFmtId="0" fontId="3" fillId="0" borderId="0" xfId="0" applyFont="1" applyAlignment="1">
      <alignment vertical="center" wrapText="1"/>
    </xf>
    <xf numFmtId="37" fontId="2" fillId="8" borderId="10" xfId="0" applyNumberFormat="1" applyFont="1" applyFill="1" applyBorder="1" applyAlignment="1">
      <alignment horizontal="center"/>
    </xf>
    <xf numFmtId="37" fontId="2" fillId="8" borderId="44" xfId="0" applyNumberFormat="1" applyFont="1" applyFill="1" applyBorder="1" applyAlignment="1">
      <alignment horizontal="center"/>
    </xf>
    <xf numFmtId="0" fontId="2" fillId="0" borderId="2" xfId="0" applyFont="1" applyBorder="1" applyAlignment="1">
      <alignment horizontal="center" wrapText="1"/>
    </xf>
    <xf numFmtId="0" fontId="2" fillId="0" borderId="9" xfId="0" applyFont="1" applyBorder="1" applyAlignment="1">
      <alignment horizontal="center" wrapText="1"/>
    </xf>
    <xf numFmtId="37" fontId="2" fillId="0" borderId="0" xfId="0" applyNumberFormat="1" applyFont="1" applyAlignment="1">
      <alignment horizontal="center"/>
    </xf>
    <xf numFmtId="0" fontId="3" fillId="0" borderId="15" xfId="0" applyFont="1" applyBorder="1" applyAlignment="1">
      <alignment horizontal="left" wrapText="1"/>
    </xf>
    <xf numFmtId="0" fontId="2" fillId="7" borderId="12" xfId="0" applyFont="1" applyFill="1" applyBorder="1" applyAlignment="1">
      <alignment horizontal="center" wrapText="1"/>
    </xf>
    <xf numFmtId="0" fontId="2" fillId="7" borderId="14" xfId="0" applyFont="1" applyFill="1" applyBorder="1" applyAlignment="1">
      <alignment horizontal="center" wrapText="1"/>
    </xf>
    <xf numFmtId="0" fontId="2" fillId="7" borderId="8" xfId="0" applyFont="1" applyFill="1" applyBorder="1" applyAlignment="1">
      <alignment horizontal="center" wrapText="1"/>
    </xf>
    <xf numFmtId="0" fontId="2" fillId="7" borderId="24" xfId="0" applyFont="1" applyFill="1" applyBorder="1" applyAlignment="1">
      <alignment horizontal="center" wrapText="1"/>
    </xf>
    <xf numFmtId="0" fontId="2" fillId="0" borderId="0" xfId="0" applyFont="1" applyAlignment="1">
      <alignment horizontal="center" wrapText="1"/>
    </xf>
    <xf numFmtId="0" fontId="2" fillId="0" borderId="15" xfId="0" applyFont="1" applyBorder="1" applyAlignment="1">
      <alignment horizontal="center" wrapText="1"/>
    </xf>
    <xf numFmtId="37" fontId="2" fillId="8" borderId="3" xfId="0" applyNumberFormat="1" applyFont="1" applyFill="1" applyBorder="1" applyAlignment="1">
      <alignment horizontal="center"/>
    </xf>
    <xf numFmtId="37" fontId="2" fillId="8" borderId="48" xfId="0" applyNumberFormat="1" applyFont="1" applyFill="1" applyBorder="1" applyAlignment="1">
      <alignment horizontal="center"/>
    </xf>
    <xf numFmtId="37" fontId="2" fillId="0" borderId="12" xfId="0" applyNumberFormat="1" applyFont="1" applyBorder="1" applyAlignment="1">
      <alignment horizontal="center"/>
    </xf>
    <xf numFmtId="37" fontId="2" fillId="0" borderId="14" xfId="0" applyNumberFormat="1" applyFont="1" applyBorder="1" applyAlignment="1">
      <alignment horizontal="center"/>
    </xf>
    <xf numFmtId="0" fontId="3" fillId="13" borderId="46" xfId="0" applyFont="1" applyFill="1" applyBorder="1" applyAlignment="1">
      <alignment horizontal="center" wrapText="1"/>
    </xf>
    <xf numFmtId="10" fontId="3" fillId="0" borderId="0" xfId="0" applyNumberFormat="1" applyFont="1" applyAlignment="1">
      <alignment horizontal="center"/>
    </xf>
    <xf numFmtId="2" fontId="3" fillId="0" borderId="0" xfId="0" applyNumberFormat="1" applyFont="1" applyAlignment="1">
      <alignment horizontal="left" wrapText="1"/>
    </xf>
    <xf numFmtId="0" fontId="3" fillId="0" borderId="0" xfId="0" applyFont="1" applyAlignment="1">
      <alignment horizontal="left"/>
    </xf>
    <xf numFmtId="179" fontId="2" fillId="8" borderId="0" xfId="0" applyNumberFormat="1" applyFont="1" applyFill="1" applyAlignment="1">
      <alignment horizontal="center"/>
    </xf>
    <xf numFmtId="0" fontId="3" fillId="0" borderId="0" xfId="0" applyFont="1" applyAlignment="1">
      <alignment horizontal="left" vertical="top" wrapText="1"/>
    </xf>
    <xf numFmtId="0" fontId="2" fillId="0" borderId="0" xfId="0" applyFont="1" applyAlignment="1" applyProtection="1">
      <alignment horizontal="center"/>
      <protection locked="0"/>
    </xf>
    <xf numFmtId="10" fontId="2" fillId="8" borderId="0" xfId="0" applyNumberFormat="1" applyFont="1" applyFill="1" applyAlignment="1">
      <alignment horizontal="center"/>
    </xf>
    <xf numFmtId="49" fontId="2" fillId="8" borderId="0" xfId="0" applyNumberFormat="1" applyFont="1" applyFill="1" applyAlignment="1">
      <alignment horizontal="center"/>
    </xf>
  </cellXfs>
  <cellStyles count="5">
    <cellStyle name="A3 297 x 420 mm 2" xfId="3" xr:uid="{DBC52A8C-0F6C-48F2-8D2F-2E7A0CA507C1}"/>
    <cellStyle name="Comma" xfId="1" builtinId="3"/>
    <cellStyle name="Comma [0]" xfId="4" builtinId="6"/>
    <cellStyle name="Normal" xfId="0" builtinId="0"/>
    <cellStyle name="Percent" xfId="2" builtinId="5"/>
  </cellStyles>
  <dxfs count="0"/>
  <tableStyles count="0" defaultTableStyle="TableStyleMedium9" defaultPivotStyle="PivotStyleLight16"/>
  <colors>
    <mruColors>
      <color rgb="FFFFFF99"/>
      <color rgb="FFD60093"/>
      <color rgb="FFFF66FF"/>
      <color rgb="FF81428E"/>
      <color rgb="FF33CC33"/>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583454967128e953/Dumais%20Consulting/AES%20Corporation/AES%20Ohio/2023%20Projection/Posted/Attachment%20A%202023%20Projections%20NSPL%20Update.xlsx" TargetMode="External"/><Relationship Id="rId1" Type="http://schemas.openxmlformats.org/officeDocument/2006/relationships/externalLinkPath" Target="https://aescloud-my.sharepoint.com/583454967128e953/Dumais%20Consulting/AES%20Corporation/AES%20Ohio/2023%20Projection/Posted/Attachment%20A%202023%20Projections%20NSPL%20Updat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d.docs.live.net/583454967128e953/Dumais%20Consulting/AES%20Corporation/AES%20Ohio/2024%20Projection/Posted/Attachment%20A%20-%20%202024%20Projected%20ATRR%20V2%20Final%20Updated%20NSPL.xlsx" TargetMode="External"/><Relationship Id="rId1" Type="http://schemas.openxmlformats.org/officeDocument/2006/relationships/externalLinkPath" Target="https://aescloud-my.sharepoint.com/583454967128e953/Dumais%20Consulting/AES%20Corporation/AES%20Ohio/2024%20Projection/Posted/Attachment%20A%20-%20%202024%20Projected%20ATRR%20V2%20Final%20Updated%20NSP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escloud-my.sharepoint.com/583454967128e953/Dumais%20Consulting/AES%20Corporation/AES%20Ohio/2021%20ATU/Corrected/Support/Transmission%20Forecast%20Support%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endix A"/>
      <sheetName val="1A - ADIT"/>
      <sheetName val="1B - ADIT Proration"/>
      <sheetName val="1C - ADIT Prior Year"/>
      <sheetName val="1D - ADIT True-up"/>
      <sheetName val="1E - ADIT True-Up Proration"/>
      <sheetName val="2 - Other Taxes"/>
      <sheetName val="3 - Revenue Credits"/>
      <sheetName val="4 - Cost Support"/>
      <sheetName val="5 - CWIP in Rate Base"/>
      <sheetName val="6A - NITS True-Up "/>
      <sheetName val="6B - Schedule 12 True-Up"/>
      <sheetName val="7A - Project ROE Adder"/>
      <sheetName val="7B - Schedule 12 Projects"/>
      <sheetName val="8 - Depreciations Rates"/>
      <sheetName val="9 - Excess ADIT"/>
      <sheetName val="10 - Misc. Liabilities"/>
      <sheetName val="11 - Corrections"/>
      <sheetName val="12 - Schedule 1A"/>
      <sheetName val="13 - A&amp;G Detail"/>
    </sheetNames>
    <sheetDataSet>
      <sheetData sheetId="0">
        <row r="281">
          <cell r="H281">
            <v>4444772.9889506204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endix A"/>
      <sheetName val="1A - ADIT"/>
      <sheetName val="1B - ADIT Proration"/>
      <sheetName val="1C - ADIT Prior Year"/>
      <sheetName val="1D - ADIT True-up"/>
      <sheetName val="1E - ADIT True-Up Proration"/>
      <sheetName val="2 - Other Taxes"/>
      <sheetName val="3 - Revenue Credits"/>
      <sheetName val="4 - Cost Support"/>
      <sheetName val="5 - CWIP in Rate Base"/>
      <sheetName val="6A - NITS True-Up "/>
      <sheetName val="6B - Schedule 12 True-Up"/>
      <sheetName val="7A - Project ROE Adder"/>
      <sheetName val="7B - Schedule 12 Projects"/>
      <sheetName val="8 - Depreciations Rates"/>
      <sheetName val="9 - Excess ADIT"/>
      <sheetName val="10 - Misc. Liabilities"/>
      <sheetName val="11 - Corrections"/>
      <sheetName val="12 - Schedule 1A"/>
      <sheetName val="13 - A&amp;G Detail"/>
    </sheetNames>
    <sheetDataSet>
      <sheetData sheetId="0">
        <row r="4">
          <cell r="A4" t="str">
            <v xml:space="preserve">ATTACHMENT H-15A </v>
          </cell>
        </row>
        <row r="16">
          <cell r="A16">
            <v>5</v>
          </cell>
        </row>
        <row r="27">
          <cell r="A27">
            <v>12</v>
          </cell>
        </row>
      </sheetData>
      <sheetData sheetId="1">
        <row r="44">
          <cell r="I44" t="str">
            <v>All FAS 109 items excluded from formula rate</v>
          </cell>
        </row>
        <row r="95">
          <cell r="B95" t="str">
            <v>1.  ADIT items related only to Non-Electric Operations or Production are directly assigned to Column C</v>
          </cell>
        </row>
      </sheetData>
      <sheetData sheetId="2" refreshError="1"/>
      <sheetData sheetId="3">
        <row r="59">
          <cell r="I59" t="str">
            <v>Tax and book differences resulting from accelerated tax depreciation .  Included in prorated amount</v>
          </cell>
        </row>
      </sheetData>
      <sheetData sheetId="4" refreshError="1"/>
      <sheetData sheetId="5">
        <row r="27">
          <cell r="A27">
            <v>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Service Projects"/>
      <sheetName val="Transmission Project Summary"/>
      <sheetName val="All Plant"/>
      <sheetName val="Taxes"/>
      <sheetName val="O&amp;M"/>
      <sheetName val="Capitalization"/>
      <sheetName val="Pension"/>
    </sheetNames>
    <sheetDataSet>
      <sheetData sheetId="0"/>
      <sheetData sheetId="1">
        <row r="5">
          <cell r="AY5">
            <v>2.2069837310252503E-2</v>
          </cell>
        </row>
      </sheetData>
      <sheetData sheetId="2">
        <row r="11">
          <cell r="C11">
            <v>553624258.50999999</v>
          </cell>
        </row>
      </sheetData>
      <sheetData sheetId="3">
        <row r="3">
          <cell r="E3">
            <v>17885103.838067949</v>
          </cell>
        </row>
      </sheetData>
      <sheetData sheetId="4">
        <row r="2">
          <cell r="C2">
            <v>72440822.300697654</v>
          </cell>
        </row>
      </sheetData>
      <sheetData sheetId="5">
        <row r="3">
          <cell r="E3">
            <v>24042459.43609941</v>
          </cell>
        </row>
        <row r="10">
          <cell r="E10">
            <v>0</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customProperty" Target="../customProperty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ustomProperty" Target="../customProperty4.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14.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1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23.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customProperty" Target="../customProperty1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customProperty" Target="../customProperty11.bin"/><Relationship Id="rId5" Type="http://schemas.openxmlformats.org/officeDocument/2006/relationships/printerSettings" Target="../printerSettings/printerSettings2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33.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customProperty" Target="../customProperty14.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printerSettings" Target="../printerSettings/printerSettings31.bin"/><Relationship Id="rId11" Type="http://schemas.openxmlformats.org/officeDocument/2006/relationships/customProperty" Target="../customProperty13.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4" Type="http://schemas.openxmlformats.org/officeDocument/2006/relationships/customProperty" Target="../customProperty16.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38.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4" Type="http://schemas.openxmlformats.org/officeDocument/2006/relationships/customProperty" Target="../customProperty20.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41.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42.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6.bin"/><Relationship Id="rId2" Type="http://schemas.openxmlformats.org/officeDocument/2006/relationships/customProperty" Target="../customProperty25.bin"/><Relationship Id="rId1" Type="http://schemas.openxmlformats.org/officeDocument/2006/relationships/printerSettings" Target="../printerSettings/printerSettings43.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28.bin"/><Relationship Id="rId2" Type="http://schemas.openxmlformats.org/officeDocument/2006/relationships/customProperty" Target="../customProperty27.bin"/><Relationship Id="rId1" Type="http://schemas.openxmlformats.org/officeDocument/2006/relationships/printerSettings" Target="../printerSettings/printerSettings44.bin"/></Relationships>
</file>

<file path=xl/worksheets/_rels/sheet16.xml.rels><?xml version="1.0" encoding="UTF-8" standalone="yes"?>
<Relationships xmlns="http://schemas.openxmlformats.org/package/2006/relationships"><Relationship Id="rId3" Type="http://schemas.openxmlformats.org/officeDocument/2006/relationships/customProperty" Target="../customProperty30.bin"/><Relationship Id="rId2" Type="http://schemas.openxmlformats.org/officeDocument/2006/relationships/customProperty" Target="../customProperty29.bin"/><Relationship Id="rId1" Type="http://schemas.openxmlformats.org/officeDocument/2006/relationships/printerSettings" Target="../printerSettings/printerSettings45.bin"/></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32.bin"/><Relationship Id="rId2" Type="http://schemas.openxmlformats.org/officeDocument/2006/relationships/customProperty" Target="../customProperty31.bin"/><Relationship Id="rId1" Type="http://schemas.openxmlformats.org/officeDocument/2006/relationships/printerSettings" Target="../printerSettings/printerSettings46.bin"/></Relationships>
</file>

<file path=xl/worksheets/_rels/sheet18.xml.rels><?xml version="1.0" encoding="UTF-8" standalone="yes"?>
<Relationships xmlns="http://schemas.openxmlformats.org/package/2006/relationships"><Relationship Id="rId3" Type="http://schemas.openxmlformats.org/officeDocument/2006/relationships/customProperty" Target="../customProperty34.bin"/><Relationship Id="rId2" Type="http://schemas.openxmlformats.org/officeDocument/2006/relationships/customProperty" Target="../customProperty33.bin"/><Relationship Id="rId1" Type="http://schemas.openxmlformats.org/officeDocument/2006/relationships/printerSettings" Target="../printerSettings/printerSettings47.bin"/></Relationships>
</file>

<file path=xl/worksheets/_rels/sheet19.xml.rels><?xml version="1.0" encoding="UTF-8" standalone="yes"?>
<Relationships xmlns="http://schemas.openxmlformats.org/package/2006/relationships"><Relationship Id="rId3" Type="http://schemas.openxmlformats.org/officeDocument/2006/relationships/customProperty" Target="../customProperty36.bin"/><Relationship Id="rId2" Type="http://schemas.openxmlformats.org/officeDocument/2006/relationships/customProperty" Target="../customProperty35.bin"/><Relationship Id="rId1" Type="http://schemas.openxmlformats.org/officeDocument/2006/relationships/printerSettings" Target="../printerSettings/printerSettings48.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4">
    <tabColor rgb="FF92D050"/>
    <pageSetUpPr fitToPage="1"/>
  </sheetPr>
  <dimension ref="A2:L320"/>
  <sheetViews>
    <sheetView showGridLines="0" zoomScale="50" zoomScaleNormal="50" workbookViewId="0">
      <selection activeCell="H20" sqref="H20"/>
    </sheetView>
  </sheetViews>
  <sheetFormatPr defaultColWidth="9.28515625" defaultRowHeight="20.25"/>
  <cols>
    <col min="1" max="1" width="8.5703125" style="32" customWidth="1"/>
    <col min="2" max="2" width="4.5703125" style="306" customWidth="1"/>
    <col min="3" max="3" width="72.28515625" style="306" customWidth="1"/>
    <col min="4" max="4" width="39.85546875" style="306" customWidth="1"/>
    <col min="5" max="5" width="27.42578125" style="347" customWidth="1"/>
    <col min="6" max="6" width="36.85546875" style="306" customWidth="1"/>
    <col min="7" max="7" width="36.42578125" style="498" customWidth="1"/>
    <col min="8" max="8" width="33.7109375" style="306" customWidth="1"/>
    <col min="9" max="11" width="9.28515625" style="306"/>
    <col min="12" max="12" width="18.7109375" style="306" bestFit="1" customWidth="1"/>
    <col min="13" max="16384" width="9.28515625" style="306"/>
  </cols>
  <sheetData>
    <row r="2" spans="1:8" ht="25.5" customHeight="1" thickBot="1">
      <c r="C2" s="376"/>
      <c r="D2" s="650"/>
      <c r="E2" s="650"/>
      <c r="F2" s="650"/>
    </row>
    <row r="3" spans="1:8" ht="30" customHeight="1" thickBot="1">
      <c r="A3" s="377" t="s">
        <v>0</v>
      </c>
      <c r="B3" s="378"/>
      <c r="C3" s="378"/>
      <c r="D3" s="651"/>
      <c r="E3" s="651"/>
      <c r="F3" s="652"/>
    </row>
    <row r="4" spans="1:8" ht="24.6" customHeight="1">
      <c r="A4" s="379" t="s">
        <v>1</v>
      </c>
      <c r="B4" s="380"/>
      <c r="C4" s="380"/>
      <c r="D4" s="381"/>
      <c r="E4" s="381"/>
      <c r="F4" s="382"/>
      <c r="H4" s="479" t="s">
        <v>1038</v>
      </c>
    </row>
    <row r="5" spans="1:8" s="231" customFormat="1" ht="45" customHeight="1" thickBot="1">
      <c r="A5" s="383" t="s">
        <v>2</v>
      </c>
      <c r="B5" s="384"/>
      <c r="C5" s="384"/>
      <c r="D5" s="384"/>
      <c r="E5" s="385" t="s">
        <v>3</v>
      </c>
      <c r="F5" s="386" t="s">
        <v>4</v>
      </c>
      <c r="G5" s="498"/>
      <c r="H5" s="478" t="s">
        <v>994</v>
      </c>
    </row>
    <row r="6" spans="1:8" s="231" customFormat="1" ht="23.25" customHeight="1">
      <c r="A6" s="387" t="s">
        <v>5</v>
      </c>
      <c r="E6" s="345"/>
      <c r="F6" s="103"/>
      <c r="G6" s="498"/>
      <c r="H6" s="103"/>
    </row>
    <row r="7" spans="1:8">
      <c r="A7" s="388" t="s">
        <v>6</v>
      </c>
      <c r="B7" s="389"/>
      <c r="C7" s="356"/>
      <c r="D7" s="356"/>
      <c r="E7" s="390"/>
      <c r="F7" s="356"/>
      <c r="G7" s="510"/>
      <c r="H7" s="349"/>
    </row>
    <row r="8" spans="1:8">
      <c r="E8" s="345"/>
      <c r="H8" s="480"/>
    </row>
    <row r="9" spans="1:8">
      <c r="A9" s="345"/>
      <c r="B9" s="231" t="s">
        <v>7</v>
      </c>
      <c r="E9" s="355"/>
      <c r="F9" s="351"/>
      <c r="G9" s="511"/>
      <c r="H9" s="351"/>
    </row>
    <row r="10" spans="1:8">
      <c r="A10" s="347">
        <v>1</v>
      </c>
      <c r="B10" s="347"/>
      <c r="C10" s="306" t="s">
        <v>8</v>
      </c>
      <c r="D10" s="391"/>
      <c r="E10" s="392"/>
      <c r="F10" s="351" t="str">
        <f>"(Attachment 4, Line "&amp;'4 - Cost Support'!$A$33&amp;")"</f>
        <v>(Attachment 4, Line 16)</v>
      </c>
      <c r="H10" s="351">
        <f>+'4 - Cost Support'!T33</f>
        <v>4655915</v>
      </c>
    </row>
    <row r="11" spans="1:8">
      <c r="A11" s="347"/>
    </row>
    <row r="12" spans="1:8">
      <c r="A12" s="347">
        <f>+A10+1</f>
        <v>2</v>
      </c>
      <c r="B12" s="347"/>
      <c r="C12" s="306" t="s">
        <v>9</v>
      </c>
      <c r="E12" s="392"/>
      <c r="F12" s="351" t="str">
        <f>"(Attachment 4, Line "&amp;'4 - Cost Support'!$A$31&amp;")"</f>
        <v>(Attachment 4, Line 14)</v>
      </c>
      <c r="H12" s="351">
        <f>+'4 - Cost Support'!T31</f>
        <v>58001419</v>
      </c>
    </row>
    <row r="13" spans="1:8">
      <c r="A13" s="347">
        <f>+A12+1</f>
        <v>3</v>
      </c>
      <c r="B13" s="347"/>
      <c r="C13" s="306" t="s">
        <v>10</v>
      </c>
      <c r="E13" s="392"/>
      <c r="F13" s="354" t="str">
        <f>"(Attachment 4, Line "&amp;'4 - Cost Support'!$A$32&amp;")"</f>
        <v>(Attachment 4, Line 15)</v>
      </c>
      <c r="H13" s="351">
        <f>+'4 - Cost Support'!T32</f>
        <v>15715987</v>
      </c>
    </row>
    <row r="14" spans="1:8">
      <c r="A14" s="347">
        <f>+A13+1</f>
        <v>4</v>
      </c>
      <c r="B14" s="347"/>
      <c r="C14" s="393" t="s">
        <v>11</v>
      </c>
      <c r="D14" s="352"/>
      <c r="E14" s="394"/>
      <c r="F14" s="352" t="str">
        <f>"(Line "&amp;A12&amp;" - Line "&amp;A13&amp;")"</f>
        <v>(Line 2 - Line 3)</v>
      </c>
      <c r="G14" s="500"/>
      <c r="H14" s="352">
        <f>H12-H13</f>
        <v>42285432</v>
      </c>
    </row>
    <row r="15" spans="1:8">
      <c r="A15" s="347"/>
      <c r="B15" s="347"/>
      <c r="E15" s="355"/>
      <c r="H15" s="351"/>
    </row>
    <row r="16" spans="1:8" ht="21" thickBot="1">
      <c r="A16" s="347">
        <v>5</v>
      </c>
      <c r="B16" s="395" t="s">
        <v>12</v>
      </c>
      <c r="C16" s="395"/>
      <c r="D16" s="396"/>
      <c r="E16" s="397"/>
      <c r="F16" s="398" t="str">
        <f>"(Line "&amp;A10&amp;" / Line "&amp;A14&amp;")"</f>
        <v>(Line 1 / Line 4)</v>
      </c>
      <c r="G16" s="499"/>
      <c r="H16" s="463">
        <f>H10/H14</f>
        <v>0.11010683301047983</v>
      </c>
    </row>
    <row r="17" spans="1:8" ht="21" thickTop="1">
      <c r="A17" s="347"/>
      <c r="B17" s="347"/>
      <c r="C17" s="231"/>
      <c r="E17" s="355"/>
      <c r="H17" s="353"/>
    </row>
    <row r="18" spans="1:8">
      <c r="A18" s="347"/>
      <c r="B18" s="231" t="s">
        <v>13</v>
      </c>
    </row>
    <row r="19" spans="1:8">
      <c r="A19" s="347">
        <f>+A16+1</f>
        <v>6</v>
      </c>
      <c r="C19" s="306" t="s">
        <v>14</v>
      </c>
      <c r="E19" s="392" t="str">
        <f>"(Note "&amp;B$297&amp;")"</f>
        <v>(Note A)</v>
      </c>
      <c r="F19" s="351" t="str">
        <f>"(Attachment 4, Line "&amp;'4 - Cost Support'!A9&amp;")"</f>
        <v>(Attachment 4, Line 1)</v>
      </c>
      <c r="H19" s="351">
        <f>+'4 - Cost Support'!T9</f>
        <v>2956296774</v>
      </c>
    </row>
    <row r="20" spans="1:8">
      <c r="A20" s="347">
        <f>+A19+1</f>
        <v>7</v>
      </c>
      <c r="C20" s="399" t="s">
        <v>15</v>
      </c>
      <c r="D20" s="399"/>
      <c r="E20" s="400" t="str">
        <f>"(Note "&amp;B$297&amp;")"</f>
        <v>(Note A)</v>
      </c>
      <c r="F20" s="354" t="str">
        <f>"(Attachment 4, Line "&amp;'4 - Cost Support'!A11&amp;")"</f>
        <v>(Attachment 4, Line 3)</v>
      </c>
      <c r="G20" s="501"/>
      <c r="H20" s="354">
        <f>+'4 - Cost Support'!T11</f>
        <v>-1226701403.8461537</v>
      </c>
    </row>
    <row r="21" spans="1:8">
      <c r="A21" s="347">
        <f>+A20+1</f>
        <v>8</v>
      </c>
      <c r="C21" s="306" t="s">
        <v>16</v>
      </c>
      <c r="F21" s="351" t="str">
        <f>"(Line "&amp;A19&amp;" - Line "&amp;A20&amp;")"</f>
        <v>(Line 6 - Line 7)</v>
      </c>
      <c r="H21" s="351">
        <f>+H19+H20</f>
        <v>1729595370.1538463</v>
      </c>
    </row>
    <row r="22" spans="1:8">
      <c r="A22" s="347"/>
    </row>
    <row r="23" spans="1:8">
      <c r="A23" s="347">
        <f>+A21+1</f>
        <v>9</v>
      </c>
      <c r="C23" s="306" t="s">
        <v>17</v>
      </c>
      <c r="E23" s="392" t="str">
        <f>"(Note "&amp;B$297&amp;")"</f>
        <v>(Note A)</v>
      </c>
      <c r="F23" s="354" t="str">
        <f>"(Line "&amp;A42&amp;")"</f>
        <v>(Line 20)</v>
      </c>
      <c r="H23" s="357">
        <f>H42</f>
        <v>671379346.24270046</v>
      </c>
    </row>
    <row r="24" spans="1:8" ht="21" thickBot="1">
      <c r="A24" s="347">
        <f>+A23+1</f>
        <v>10</v>
      </c>
      <c r="B24" s="395" t="s">
        <v>18</v>
      </c>
      <c r="C24" s="395"/>
      <c r="D24" s="396"/>
      <c r="E24" s="402"/>
      <c r="F24" s="398" t="str">
        <f>"(Line "&amp;A23&amp;" / Line "&amp;A19&amp;")"</f>
        <v>(Line 9 / Line 6)</v>
      </c>
      <c r="G24" s="499"/>
      <c r="H24" s="463">
        <f>H23/H19</f>
        <v>0.22710147105234452</v>
      </c>
    </row>
    <row r="25" spans="1:8" ht="21" thickTop="1">
      <c r="A25" s="347"/>
    </row>
    <row r="26" spans="1:8">
      <c r="A26" s="347">
        <f>+A24+1</f>
        <v>11</v>
      </c>
      <c r="B26" s="347"/>
      <c r="C26" s="306" t="s">
        <v>19</v>
      </c>
      <c r="E26" s="392" t="str">
        <f>"(Note "&amp;B$297&amp;")"</f>
        <v>(Note A)</v>
      </c>
      <c r="F26" s="354" t="str">
        <f>"(Line "&amp;A57&amp;")"</f>
        <v>(Line 29)</v>
      </c>
      <c r="H26" s="357">
        <f>H57</f>
        <v>427438876.57330608</v>
      </c>
    </row>
    <row r="27" spans="1:8" ht="21" thickBot="1">
      <c r="A27" s="347">
        <f>+A26+1</f>
        <v>12</v>
      </c>
      <c r="B27" s="395" t="s">
        <v>20</v>
      </c>
      <c r="C27" s="395"/>
      <c r="D27" s="396"/>
      <c r="E27" s="402"/>
      <c r="F27" s="398" t="str">
        <f>"(Line "&amp;A26&amp;" / Line "&amp;A21&amp;")"</f>
        <v>(Line 11 / Line 8)</v>
      </c>
      <c r="G27" s="499"/>
      <c r="H27" s="463">
        <f>H26/H21</f>
        <v>0.24713229692288416</v>
      </c>
    </row>
    <row r="28" spans="1:8" ht="21" thickTop="1">
      <c r="A28" s="347"/>
      <c r="B28" s="231"/>
      <c r="C28" s="231"/>
      <c r="F28" s="351"/>
      <c r="H28" s="458"/>
    </row>
    <row r="29" spans="1:8">
      <c r="A29" s="347"/>
      <c r="B29" s="231"/>
      <c r="F29" s="351"/>
      <c r="H29" s="458"/>
    </row>
    <row r="30" spans="1:8">
      <c r="A30" s="388" t="s">
        <v>21</v>
      </c>
      <c r="B30" s="389"/>
      <c r="C30" s="356"/>
      <c r="D30" s="356"/>
      <c r="E30" s="390"/>
      <c r="F30" s="356"/>
      <c r="G30" s="510"/>
      <c r="H30" s="349"/>
    </row>
    <row r="31" spans="1:8">
      <c r="A31" s="403"/>
      <c r="B31" s="404"/>
      <c r="E31" s="345"/>
      <c r="H31" s="350"/>
    </row>
    <row r="32" spans="1:8">
      <c r="A32" s="347"/>
      <c r="B32" s="231" t="s">
        <v>22</v>
      </c>
      <c r="E32" s="355"/>
      <c r="F32" s="351"/>
      <c r="H32" s="351"/>
    </row>
    <row r="33" spans="1:8">
      <c r="A33" s="347">
        <f>+A27+1</f>
        <v>13</v>
      </c>
      <c r="B33" s="347"/>
      <c r="C33" s="306" t="s">
        <v>23</v>
      </c>
      <c r="E33" s="392" t="str">
        <f>"(Note "&amp;B$297&amp;" &amp; "&amp;B306&amp;")"</f>
        <v>(Note A &amp; J)</v>
      </c>
      <c r="F33" s="351" t="str">
        <f>"(Attachment 4, Line "&amp;'4 - Cost Support'!A17&amp;")"</f>
        <v>(Attachment 4, Line 7)</v>
      </c>
      <c r="H33" s="351">
        <f>+'4 - Cost Support'!T17</f>
        <v>661769097.53846157</v>
      </c>
    </row>
    <row r="34" spans="1:8">
      <c r="A34" s="347"/>
      <c r="B34" s="347"/>
      <c r="F34" s="351"/>
      <c r="H34" s="351"/>
    </row>
    <row r="35" spans="1:8">
      <c r="A35" s="347">
        <f>+A33+1</f>
        <v>14</v>
      </c>
      <c r="B35" s="347"/>
      <c r="C35" s="306" t="s">
        <v>24</v>
      </c>
      <c r="E35" s="392" t="str">
        <f>"(Note "&amp;B$297&amp;")"</f>
        <v>(Note A)</v>
      </c>
      <c r="F35" s="351" t="str">
        <f>"(Attachment 4, Line "&amp;'4 - Cost Support'!A18&amp;")"</f>
        <v>(Attachment 4, Line 8)</v>
      </c>
      <c r="H35" s="351">
        <f>+'4 - Cost Support'!T18</f>
        <v>34384219.07692308</v>
      </c>
    </row>
    <row r="36" spans="1:8">
      <c r="A36" s="347">
        <f>A35+1</f>
        <v>15</v>
      </c>
      <c r="B36" s="347"/>
      <c r="C36" s="306" t="s">
        <v>25</v>
      </c>
      <c r="E36" s="392" t="str">
        <f>"(Note "&amp;B$297&amp;")"</f>
        <v>(Note A)</v>
      </c>
      <c r="F36" s="351" t="str">
        <f>"(Attachment 4, Line "&amp;'4 - Cost Support'!A19&amp;")"</f>
        <v>(Attachment 4, Line 9)</v>
      </c>
      <c r="H36" s="351">
        <f>+'4 - Cost Support'!T19</f>
        <v>52896910</v>
      </c>
    </row>
    <row r="37" spans="1:8">
      <c r="A37" s="347">
        <f>A36+1</f>
        <v>16</v>
      </c>
      <c r="B37" s="347"/>
      <c r="C37" s="306" t="s">
        <v>26</v>
      </c>
      <c r="E37" s="392" t="str">
        <f>"(Note "&amp;B$297&amp;")"</f>
        <v>(Note A)</v>
      </c>
      <c r="F37" s="354" t="str">
        <f>"(Attachment 4, Line "&amp;'4 - Cost Support'!A20&amp;")"</f>
        <v>(Attachment 4, Line 10)</v>
      </c>
      <c r="H37" s="351">
        <f>+'4 - Cost Support'!T20</f>
        <v>0</v>
      </c>
    </row>
    <row r="38" spans="1:8">
      <c r="A38" s="347">
        <f>A37+1</f>
        <v>17</v>
      </c>
      <c r="B38" s="347"/>
      <c r="C38" s="393" t="s">
        <v>27</v>
      </c>
      <c r="D38" s="393"/>
      <c r="E38" s="401"/>
      <c r="F38" s="351" t="str">
        <f>"(Line "&amp;A35&amp;" + Line "&amp;A36&amp;" + Line "&amp;A37&amp;")"</f>
        <v>(Line 14 + Line 15 + Line 16)</v>
      </c>
      <c r="G38" s="500"/>
      <c r="H38" s="352">
        <f>SUM(H35:H37)</f>
        <v>87281129.076923072</v>
      </c>
    </row>
    <row r="39" spans="1:8">
      <c r="A39" s="347">
        <f>+A38+1</f>
        <v>18</v>
      </c>
      <c r="B39" s="347"/>
      <c r="C39" s="32" t="s">
        <v>28</v>
      </c>
      <c r="E39" s="355"/>
      <c r="F39" s="354" t="str">
        <f>"(Line "&amp;A$16&amp;")"</f>
        <v>(Line 5)</v>
      </c>
      <c r="H39" s="460">
        <f>H16</f>
        <v>0.11010683301047983</v>
      </c>
    </row>
    <row r="40" spans="1:8">
      <c r="A40" s="347">
        <f>A39+1</f>
        <v>19</v>
      </c>
      <c r="C40" s="393" t="s">
        <v>29</v>
      </c>
      <c r="D40" s="393"/>
      <c r="E40" s="394"/>
      <c r="F40" s="351" t="str">
        <f>"(Line "&amp;A38&amp;" * Line "&amp;A39&amp;")"</f>
        <v>(Line 17 * Line 18)</v>
      </c>
      <c r="G40" s="500"/>
      <c r="H40" s="359">
        <f>+H38*H39</f>
        <v>9610248.7042389046</v>
      </c>
    </row>
    <row r="41" spans="1:8">
      <c r="A41" s="347"/>
      <c r="C41" s="231"/>
      <c r="H41" s="357"/>
    </row>
    <row r="42" spans="1:8" s="231" customFormat="1" ht="21" thickBot="1">
      <c r="A42" s="347">
        <f>+A40+1</f>
        <v>20</v>
      </c>
      <c r="B42" s="395" t="s">
        <v>30</v>
      </c>
      <c r="C42" s="395"/>
      <c r="D42" s="395"/>
      <c r="E42" s="406"/>
      <c r="F42" s="398" t="str">
        <f>"(Line "&amp;A33&amp;" + Line "&amp;A40&amp;")"</f>
        <v>(Line 13 + Line 19)</v>
      </c>
      <c r="G42" s="499"/>
      <c r="H42" s="464">
        <f>+H33+H40</f>
        <v>671379346.24270046</v>
      </c>
    </row>
    <row r="43" spans="1:8" ht="21" thickTop="1">
      <c r="A43" s="347"/>
    </row>
    <row r="44" spans="1:8">
      <c r="A44" s="347"/>
      <c r="B44" s="231" t="s">
        <v>31</v>
      </c>
      <c r="C44" s="231"/>
      <c r="D44" s="351"/>
      <c r="E44" s="392"/>
      <c r="F44" s="351"/>
      <c r="G44" s="512"/>
      <c r="H44" s="351"/>
    </row>
    <row r="45" spans="1:8">
      <c r="A45" s="347"/>
      <c r="F45" s="351"/>
      <c r="G45" s="511"/>
      <c r="H45" s="351"/>
    </row>
    <row r="46" spans="1:8">
      <c r="A46" s="347">
        <f>+A42+1</f>
        <v>21</v>
      </c>
      <c r="B46" s="347"/>
      <c r="C46" s="306" t="s">
        <v>32</v>
      </c>
      <c r="E46" s="392" t="str">
        <f>"(Note "&amp;B$297&amp;")"</f>
        <v>(Note A)</v>
      </c>
      <c r="F46" s="351" t="str">
        <f>"(Attachment 4, Line "&amp;'4 - Cost Support'!A23&amp;")"</f>
        <v>(Attachment 4, Line 11)</v>
      </c>
      <c r="H46" s="351">
        <f>+'4 - Cost Support'!T23</f>
        <v>-239111404.53846154</v>
      </c>
    </row>
    <row r="47" spans="1:8">
      <c r="A47" s="347"/>
      <c r="B47" s="347"/>
      <c r="E47" s="392"/>
      <c r="F47" s="351"/>
      <c r="H47" s="351"/>
    </row>
    <row r="48" spans="1:8">
      <c r="A48" s="347">
        <f>A46+1</f>
        <v>22</v>
      </c>
      <c r="B48" s="347"/>
      <c r="C48" s="306" t="s">
        <v>33</v>
      </c>
      <c r="E48" s="392" t="str">
        <f>"(Note "&amp;B$297&amp;")"</f>
        <v>(Note A)</v>
      </c>
      <c r="F48" s="351" t="str">
        <f>"(Attachment 4, Line "&amp;'4 - Cost Support'!A24&amp;")"</f>
        <v>(Attachment 4, Line 12)</v>
      </c>
      <c r="H48" s="351">
        <f>+'4 - Cost Support'!T24</f>
        <v>-10264910.615384616</v>
      </c>
    </row>
    <row r="49" spans="1:8">
      <c r="A49" s="347">
        <f>+A48+1</f>
        <v>23</v>
      </c>
      <c r="B49" s="347"/>
      <c r="C49" s="306" t="s">
        <v>34</v>
      </c>
      <c r="E49" s="392" t="str">
        <f>"(Note "&amp;B$297&amp;")"</f>
        <v>(Note A)</v>
      </c>
      <c r="F49" s="351" t="str">
        <f>"(Attachment 4, Line "&amp;'4 - Cost Support'!A12&amp;")"</f>
        <v>(Attachment 4, Line 4)</v>
      </c>
      <c r="H49" s="351">
        <f>+'4 - Cost Support'!T12</f>
        <v>-33593086.194615379</v>
      </c>
    </row>
    <row r="50" spans="1:8">
      <c r="A50" s="347">
        <f>+A49+1</f>
        <v>24</v>
      </c>
      <c r="B50" s="347"/>
      <c r="C50" s="399" t="s">
        <v>35</v>
      </c>
      <c r="D50" s="399"/>
      <c r="E50" s="400" t="str">
        <f>"(Note "&amp;B$297&amp;")"</f>
        <v>(Note A)</v>
      </c>
      <c r="F50" s="354" t="str">
        <f>"(Attachment 4, Line "&amp;'4 - Cost Support'!A25&amp;")"</f>
        <v>(Attachment 4, Line 13)</v>
      </c>
      <c r="G50" s="501"/>
      <c r="H50" s="354">
        <f>+'4 - Cost Support'!T25</f>
        <v>0</v>
      </c>
    </row>
    <row r="51" spans="1:8">
      <c r="A51" s="347">
        <f>+A50+1</f>
        <v>25</v>
      </c>
      <c r="B51" s="347"/>
      <c r="C51" s="306" t="s">
        <v>36</v>
      </c>
      <c r="E51" s="355"/>
      <c r="F51" s="351" t="str">
        <f>"(Line "&amp;A48&amp;" + "&amp;A49&amp;" + "&amp;A50&amp;")"</f>
        <v>(Line 22 + 23 + 24)</v>
      </c>
      <c r="G51" s="511"/>
      <c r="H51" s="351">
        <f>+H48+H50+H49</f>
        <v>-43857996.809999995</v>
      </c>
    </row>
    <row r="52" spans="1:8">
      <c r="A52" s="347">
        <f>+A51+1</f>
        <v>26</v>
      </c>
      <c r="B52" s="347"/>
      <c r="C52" s="306" t="str">
        <f>+C39</f>
        <v>Wage &amp; Salary Allocator</v>
      </c>
      <c r="E52" s="355"/>
      <c r="F52" s="354" t="str">
        <f>"(Line "&amp;A$16&amp;")"</f>
        <v>(Line 5)</v>
      </c>
      <c r="G52" s="511"/>
      <c r="H52" s="460">
        <f>H16</f>
        <v>0.11010683301047983</v>
      </c>
    </row>
    <row r="53" spans="1:8">
      <c r="A53" s="347">
        <f>+A52+1</f>
        <v>27</v>
      </c>
      <c r="C53" s="393" t="s">
        <v>37</v>
      </c>
      <c r="D53" s="393"/>
      <c r="E53" s="401"/>
      <c r="F53" s="351" t="str">
        <f>"(Line "&amp;A51&amp;" * Line "&amp;A52&amp;")"</f>
        <v>(Line 25 * Line 26)</v>
      </c>
      <c r="G53" s="500"/>
      <c r="H53" s="359">
        <f>H51*H52</f>
        <v>-4829065.1309328265</v>
      </c>
    </row>
    <row r="54" spans="1:8">
      <c r="A54" s="347"/>
      <c r="F54" s="347"/>
      <c r="H54" s="357"/>
    </row>
    <row r="55" spans="1:8" ht="21" thickBot="1">
      <c r="A55" s="347">
        <f>+A53+1</f>
        <v>28</v>
      </c>
      <c r="B55" s="395" t="s">
        <v>38</v>
      </c>
      <c r="C55" s="395"/>
      <c r="D55" s="395"/>
      <c r="E55" s="406"/>
      <c r="F55" s="408" t="str">
        <f>"(Lines "&amp;A46&amp;" + "&amp;A53&amp;")"</f>
        <v>(Lines 21 + 27)</v>
      </c>
      <c r="G55" s="499"/>
      <c r="H55" s="464">
        <f>+H46+H53</f>
        <v>-243940469.66939437</v>
      </c>
    </row>
    <row r="56" spans="1:8" ht="21" thickTop="1">
      <c r="A56" s="347"/>
      <c r="H56" s="411"/>
    </row>
    <row r="57" spans="1:8" ht="21" thickBot="1">
      <c r="A57" s="347">
        <f>+A55+1</f>
        <v>29</v>
      </c>
      <c r="B57" s="395" t="s">
        <v>39</v>
      </c>
      <c r="C57" s="395"/>
      <c r="D57" s="395"/>
      <c r="E57" s="406"/>
      <c r="F57" s="398" t="str">
        <f>"(Line "&amp;A42&amp;" - Line "&amp;A55&amp;")"</f>
        <v>(Line 20 - Line 28)</v>
      </c>
      <c r="G57" s="499"/>
      <c r="H57" s="464">
        <f>H42+H55</f>
        <v>427438876.57330608</v>
      </c>
    </row>
    <row r="58" spans="1:8" ht="21" thickTop="1">
      <c r="A58" s="347"/>
    </row>
    <row r="59" spans="1:8">
      <c r="A59" s="388" t="s">
        <v>40</v>
      </c>
      <c r="B59" s="356"/>
      <c r="C59" s="356"/>
      <c r="D59" s="356"/>
      <c r="E59" s="390"/>
      <c r="F59" s="356"/>
      <c r="G59" s="510"/>
      <c r="H59" s="356"/>
    </row>
    <row r="60" spans="1:8">
      <c r="A60" s="409"/>
      <c r="B60" s="410"/>
      <c r="C60" s="410"/>
      <c r="D60" s="410"/>
      <c r="H60" s="480"/>
    </row>
    <row r="61" spans="1:8">
      <c r="A61" s="347"/>
      <c r="B61" s="387" t="s">
        <v>41</v>
      </c>
      <c r="E61" s="411"/>
      <c r="H61" s="351"/>
    </row>
    <row r="62" spans="1:8" ht="22.5" customHeight="1">
      <c r="A62" s="347">
        <f>+A57+1</f>
        <v>30</v>
      </c>
      <c r="B62" s="387"/>
      <c r="C62" s="231" t="s">
        <v>42</v>
      </c>
      <c r="D62" s="411"/>
      <c r="E62" s="392" t="str">
        <f>"(Notes "&amp;B$308&amp;" and "&amp;B312&amp;")"</f>
        <v>(Notes L and P)</v>
      </c>
      <c r="F62" s="476" t="str">
        <f>"(Attachment 1A, Line "&amp;'1A - ADIT Current Year'!A19&amp;")"</f>
        <v>(Attachment 1A, Line 11)</v>
      </c>
      <c r="H62" s="357">
        <f>+'1A - ADIT Current Year'!H19</f>
        <v>-38834018.006913684</v>
      </c>
    </row>
    <row r="63" spans="1:8">
      <c r="A63" s="347"/>
      <c r="C63" s="387"/>
      <c r="H63" s="357"/>
    </row>
    <row r="64" spans="1:8">
      <c r="A64" s="347"/>
      <c r="B64" s="387" t="s">
        <v>41</v>
      </c>
      <c r="H64" s="357"/>
    </row>
    <row r="65" spans="1:12">
      <c r="A65" s="347">
        <f>+A62+1</f>
        <v>31</v>
      </c>
      <c r="B65" s="387"/>
      <c r="C65" s="231" t="s">
        <v>43</v>
      </c>
      <c r="E65" s="392" t="str">
        <f>"(Note "&amp;B308&amp;" and "&amp;B310&amp;")"</f>
        <v>(Note L and N)</v>
      </c>
      <c r="F65" s="351" t="str">
        <f>"(Attachment 4, Line "&amp;'4 - Cost Support'!A203&amp;")"</f>
        <v>(Attachment 4, Line 78)</v>
      </c>
      <c r="H65" s="357">
        <f>+'4 - Cost Support'!T203</f>
        <v>-25482784.939925537</v>
      </c>
      <c r="L65" s="351"/>
    </row>
    <row r="66" spans="1:12">
      <c r="A66" s="347"/>
      <c r="B66" s="387"/>
      <c r="C66" s="231"/>
      <c r="E66" s="392"/>
      <c r="H66" s="357"/>
    </row>
    <row r="67" spans="1:12">
      <c r="A67" s="347"/>
      <c r="B67" s="231" t="s">
        <v>44</v>
      </c>
      <c r="E67" s="306"/>
    </row>
    <row r="68" spans="1:12">
      <c r="A68" s="347">
        <f>+A65+1</f>
        <v>32</v>
      </c>
      <c r="B68" s="345"/>
      <c r="C68" s="306" t="s">
        <v>45</v>
      </c>
      <c r="D68" s="392"/>
      <c r="E68" s="392" t="str">
        <f>"(Note "&amp;B$297&amp;" &amp; "&amp;B$302&amp;")"</f>
        <v>(Note A &amp; F)</v>
      </c>
      <c r="F68" s="351" t="str">
        <f>"(Attachment 5, Line "&amp;'5 - CWIP in Rate Base'!A32&amp;")"</f>
        <v>(Attachment 5, Line 23)</v>
      </c>
      <c r="H68" s="351">
        <f>+'5 - CWIP in Rate Base'!S37</f>
        <v>52830945.000000007</v>
      </c>
    </row>
    <row r="69" spans="1:12">
      <c r="A69" s="347"/>
      <c r="B69" s="345"/>
      <c r="D69" s="392"/>
      <c r="E69" s="392"/>
      <c r="F69" s="32"/>
      <c r="H69" s="351"/>
    </row>
    <row r="70" spans="1:12">
      <c r="A70" s="347"/>
      <c r="B70" s="231" t="s">
        <v>46</v>
      </c>
      <c r="E70" s="306"/>
    </row>
    <row r="71" spans="1:12">
      <c r="A71" s="347">
        <f>+A68+1</f>
        <v>33</v>
      </c>
      <c r="B71" s="345"/>
      <c r="C71" s="306" t="s">
        <v>47</v>
      </c>
      <c r="D71" s="392"/>
      <c r="E71" s="392" t="str">
        <f>"(Note "&amp;B297&amp;" and "&amp;B$309&amp;")"</f>
        <v>(Note A and M)</v>
      </c>
      <c r="F71" s="351" t="str">
        <f>"(Attachment 4, Line "&amp;'4 - Cost Support'!A195&amp;")"</f>
        <v>(Attachment 4, Line 77)</v>
      </c>
      <c r="H71" s="351">
        <f>+'4 - Cost Support'!K195</f>
        <v>0</v>
      </c>
    </row>
    <row r="72" spans="1:12">
      <c r="A72" s="347"/>
      <c r="B72" s="347"/>
      <c r="D72" s="392"/>
      <c r="E72" s="32"/>
      <c r="G72" s="511"/>
    </row>
    <row r="73" spans="1:12">
      <c r="A73" s="347">
        <f>+A71+1</f>
        <v>34</v>
      </c>
      <c r="B73" s="231" t="s">
        <v>48</v>
      </c>
      <c r="D73" s="412"/>
      <c r="E73" s="392" t="str">
        <f>"(Note "&amp;B$298&amp;" &amp; "&amp;B$308&amp;")"</f>
        <v>(Note B &amp; L)</v>
      </c>
      <c r="F73" s="351" t="str">
        <f>"(Attachment 4, Line "&amp;'4 - Cost Support'!A40&amp;")"</f>
        <v>(Attachment 4, Line 17)</v>
      </c>
      <c r="H73" s="351">
        <f>'4 - Cost Support'!T40</f>
        <v>42369</v>
      </c>
    </row>
    <row r="74" spans="1:12">
      <c r="A74" s="347"/>
      <c r="B74" s="347"/>
      <c r="D74" s="392"/>
      <c r="E74" s="32"/>
      <c r="G74" s="511"/>
    </row>
    <row r="75" spans="1:12">
      <c r="A75" s="347"/>
      <c r="B75" s="387" t="s">
        <v>49</v>
      </c>
      <c r="C75" s="32"/>
      <c r="F75" s="413"/>
      <c r="G75" s="511"/>
    </row>
    <row r="76" spans="1:12">
      <c r="A76" s="347">
        <f>+A73+1</f>
        <v>35</v>
      </c>
      <c r="B76" s="414"/>
      <c r="C76" s="32" t="s">
        <v>50</v>
      </c>
      <c r="D76" s="392"/>
      <c r="E76" s="392" t="str">
        <f>"(Note "&amp;B$297&amp;")"</f>
        <v>(Note A)</v>
      </c>
      <c r="F76" s="351" t="str">
        <f>"(Attachment 4, Line "&amp;'4 - Cost Support'!A51&amp;")"</f>
        <v>(Attachment 4, Line 22)</v>
      </c>
      <c r="G76" s="511"/>
      <c r="H76" s="357">
        <f>+'4 - Cost Support'!T51</f>
        <v>36096237.461538464</v>
      </c>
    </row>
    <row r="77" spans="1:12">
      <c r="A77" s="347">
        <f>+A76+1</f>
        <v>36</v>
      </c>
      <c r="B77" s="414"/>
      <c r="C77" s="405" t="s">
        <v>28</v>
      </c>
      <c r="D77" s="405"/>
      <c r="E77" s="200"/>
      <c r="F77" s="354" t="str">
        <f>"(Line "&amp;A$16&amp;")"</f>
        <v>(Line 5)</v>
      </c>
      <c r="G77" s="513"/>
      <c r="H77" s="460">
        <f>+H16</f>
        <v>0.11010683301047983</v>
      </c>
    </row>
    <row r="78" spans="1:12">
      <c r="A78" s="347">
        <f>+A77+1</f>
        <v>37</v>
      </c>
      <c r="B78" s="414"/>
      <c r="C78" s="32" t="s">
        <v>51</v>
      </c>
      <c r="F78" s="351" t="str">
        <f>"(Line "&amp;A76&amp;" * Line "&amp;A77&amp;")"</f>
        <v>(Line 35 * Line 36)</v>
      </c>
      <c r="G78" s="511"/>
      <c r="H78" s="359">
        <f>H76*H77</f>
        <v>3974442.3904842418</v>
      </c>
    </row>
    <row r="79" spans="1:12">
      <c r="A79" s="347"/>
      <c r="B79" s="411"/>
      <c r="C79" s="32"/>
      <c r="F79" s="364"/>
      <c r="G79" s="511"/>
      <c r="H79" s="358"/>
    </row>
    <row r="80" spans="1:12">
      <c r="A80" s="347"/>
      <c r="B80" s="387" t="s">
        <v>52</v>
      </c>
      <c r="E80" s="415"/>
      <c r="F80" s="364"/>
      <c r="G80" s="511"/>
      <c r="H80" s="358"/>
    </row>
    <row r="81" spans="1:8">
      <c r="A81" s="347">
        <f>+A78+1</f>
        <v>38</v>
      </c>
      <c r="C81" s="306" t="s">
        <v>53</v>
      </c>
      <c r="E81" s="392" t="str">
        <f>"(Note "&amp;B$297&amp;")"</f>
        <v>(Note A)</v>
      </c>
      <c r="F81" s="351" t="str">
        <f>"(Attachment 4, Line "&amp;'4 - Cost Support'!A59&amp;")"</f>
        <v>(Attachment 4, Line 23)</v>
      </c>
      <c r="H81" s="351">
        <f>+'4 - Cost Support'!T59</f>
        <v>15067.076923076924</v>
      </c>
    </row>
    <row r="82" spans="1:8">
      <c r="A82" s="347">
        <f>+A81+1</f>
        <v>39</v>
      </c>
      <c r="B82" s="411"/>
      <c r="C82" s="405" t="s">
        <v>28</v>
      </c>
      <c r="D82" s="405"/>
      <c r="E82" s="200"/>
      <c r="F82" s="354" t="str">
        <f>"(Line "&amp;A$16&amp;")"</f>
        <v>(Line 5)</v>
      </c>
      <c r="G82" s="513"/>
      <c r="H82" s="460">
        <f>H16</f>
        <v>0.11010683301047983</v>
      </c>
    </row>
    <row r="83" spans="1:8">
      <c r="A83" s="347">
        <f>+A82+1</f>
        <v>40</v>
      </c>
      <c r="B83" s="411"/>
      <c r="C83" s="32" t="s">
        <v>54</v>
      </c>
      <c r="F83" s="351" t="str">
        <f>"(Line "&amp;A81&amp;" * Line "&amp;A82&amp;")"</f>
        <v>(Line 38 * Line 39)</v>
      </c>
      <c r="G83" s="511"/>
      <c r="H83" s="359">
        <f>H81*H82</f>
        <v>1658.9881227252849</v>
      </c>
    </row>
    <row r="84" spans="1:8">
      <c r="A84" s="347"/>
      <c r="B84" s="411"/>
      <c r="C84" s="32" t="s">
        <v>55</v>
      </c>
      <c r="E84" s="392" t="str">
        <f>"(Note "&amp;B$297&amp;" &amp; "&amp;B316&amp;")"</f>
        <v>(Note A &amp; T)</v>
      </c>
      <c r="F84" s="351" t="str">
        <f>"(Attachment 4, Line "&amp;'4 - Cost Support'!A61&amp;")"</f>
        <v>(Attachment 4, Line 25)</v>
      </c>
      <c r="G84" s="511"/>
      <c r="H84" s="357">
        <f>+'4 - Cost Support'!T61</f>
        <v>3175982.5384615385</v>
      </c>
    </row>
    <row r="85" spans="1:8">
      <c r="A85" s="347">
        <f>A83+1</f>
        <v>41</v>
      </c>
      <c r="B85" s="411"/>
      <c r="C85" s="32" t="s">
        <v>56</v>
      </c>
      <c r="E85" s="392" t="str">
        <f>"(Note  "&amp;B$297&amp;" )"</f>
        <v>(Note  A )</v>
      </c>
      <c r="F85" s="354" t="str">
        <f>"(Attachment 4, Line "&amp;'4 - Cost Support'!A60&amp;")"</f>
        <v>(Attachment 4, Line 24)</v>
      </c>
      <c r="G85" s="511"/>
      <c r="H85" s="360">
        <f>+'4 - Cost Support'!T60</f>
        <v>359693.46153846156</v>
      </c>
    </row>
    <row r="86" spans="1:8" ht="27.75" customHeight="1">
      <c r="A86" s="347">
        <f>A85+1</f>
        <v>42</v>
      </c>
      <c r="B86" s="411"/>
      <c r="C86" s="393" t="s">
        <v>57</v>
      </c>
      <c r="D86" s="393"/>
      <c r="E86" s="401"/>
      <c r="F86" s="351" t="str">
        <f>"(Line "&amp;A83&amp;" + Line "&amp;A85&amp;")"</f>
        <v>(Line 40 + Line 41)</v>
      </c>
      <c r="G86" s="514"/>
      <c r="H86" s="357">
        <f>H83+H84+H85</f>
        <v>3537334.9881227254</v>
      </c>
    </row>
    <row r="87" spans="1:8" ht="27.75" customHeight="1">
      <c r="A87" s="347"/>
      <c r="B87" s="411"/>
      <c r="F87" s="351"/>
      <c r="G87" s="511"/>
      <c r="H87" s="351"/>
    </row>
    <row r="88" spans="1:8">
      <c r="A88" s="347"/>
      <c r="B88" s="387" t="s">
        <v>58</v>
      </c>
      <c r="F88" s="364"/>
      <c r="G88" s="511"/>
    </row>
    <row r="89" spans="1:8">
      <c r="A89" s="347">
        <f>+A86+1</f>
        <v>43</v>
      </c>
      <c r="B89" s="411"/>
      <c r="C89" s="32" t="s">
        <v>59</v>
      </c>
      <c r="D89" s="32"/>
      <c r="F89" s="351" t="str">
        <f>"(Line "&amp;A$144&amp;")"</f>
        <v>(Line 78)</v>
      </c>
      <c r="G89" s="511"/>
      <c r="H89" s="357">
        <f>H144</f>
        <v>21617475.650604419</v>
      </c>
    </row>
    <row r="90" spans="1:8">
      <c r="A90" s="347">
        <f>+A89+1</f>
        <v>44</v>
      </c>
      <c r="B90" s="411"/>
      <c r="C90" s="32" t="s">
        <v>60</v>
      </c>
      <c r="D90" s="32"/>
      <c r="F90" s="405"/>
      <c r="H90" s="361">
        <v>0</v>
      </c>
    </row>
    <row r="91" spans="1:8" s="231" customFormat="1">
      <c r="A91" s="347">
        <f>+A90+1</f>
        <v>45</v>
      </c>
      <c r="B91" s="267"/>
      <c r="C91" s="416" t="s">
        <v>61</v>
      </c>
      <c r="D91" s="416"/>
      <c r="E91" s="417"/>
      <c r="F91" s="351" t="str">
        <f>"(Line "&amp;A89&amp;" * Line "&amp;A90&amp;")"</f>
        <v>(Line 43 * Line 44)</v>
      </c>
      <c r="G91" s="500"/>
      <c r="H91" s="357">
        <f>H89*H90</f>
        <v>0</v>
      </c>
    </row>
    <row r="92" spans="1:8" s="231" customFormat="1">
      <c r="A92" s="347"/>
      <c r="B92" s="267"/>
      <c r="C92" s="32"/>
      <c r="D92" s="32"/>
      <c r="E92" s="345"/>
      <c r="F92" s="351"/>
      <c r="G92" s="498"/>
      <c r="H92" s="357"/>
    </row>
    <row r="93" spans="1:8" s="231" customFormat="1">
      <c r="A93" s="347"/>
      <c r="B93" s="387" t="s">
        <v>62</v>
      </c>
      <c r="C93" s="32"/>
      <c r="D93" s="32"/>
      <c r="E93" s="345"/>
      <c r="F93" s="351"/>
      <c r="G93" s="498"/>
      <c r="H93" s="357"/>
    </row>
    <row r="94" spans="1:8" s="231" customFormat="1">
      <c r="A94" s="347">
        <f>+A91+1</f>
        <v>46</v>
      </c>
      <c r="B94" s="267"/>
      <c r="C94" s="32" t="s">
        <v>63</v>
      </c>
      <c r="D94" s="32"/>
      <c r="E94" s="392" t="str">
        <f>"(Note  "&amp;B$297&amp;")"</f>
        <v>(Note  A)</v>
      </c>
      <c r="F94" s="351" t="str">
        <f>"(Attachment 4, Line "&amp;'4 - Cost Support'!A212&amp;")"</f>
        <v>(Attachment 4, Line 79)</v>
      </c>
      <c r="G94" s="498"/>
      <c r="H94" s="357">
        <f>+'4 - Cost Support'!T212</f>
        <v>0</v>
      </c>
    </row>
    <row r="95" spans="1:8" s="231" customFormat="1">
      <c r="A95" s="347">
        <f>+A94+1</f>
        <v>47</v>
      </c>
      <c r="B95" s="267"/>
      <c r="C95" s="405" t="s">
        <v>20</v>
      </c>
      <c r="D95" s="405"/>
      <c r="E95" s="455"/>
      <c r="F95" s="354" t="str">
        <f>"(Line "&amp;A$27&amp;")"</f>
        <v>(Line 12)</v>
      </c>
      <c r="G95" s="501"/>
      <c r="H95" s="361">
        <f>+H27</f>
        <v>0.24713229692288416</v>
      </c>
    </row>
    <row r="96" spans="1:8" s="231" customFormat="1">
      <c r="A96" s="347">
        <f>+A95+1</f>
        <v>48</v>
      </c>
      <c r="B96" s="267"/>
      <c r="C96" s="32" t="s">
        <v>64</v>
      </c>
      <c r="D96" s="32"/>
      <c r="E96" s="345"/>
      <c r="F96" s="351" t="str">
        <f>"(Line "&amp;A94&amp;" * Line "&amp;A95&amp;")"</f>
        <v>(Line 46 * Line 47)</v>
      </c>
      <c r="G96" s="498"/>
      <c r="H96" s="357">
        <f>+H94*H95</f>
        <v>0</v>
      </c>
    </row>
    <row r="97" spans="1:8" s="231" customFormat="1">
      <c r="A97" s="347"/>
      <c r="B97" s="267"/>
      <c r="C97" s="32"/>
      <c r="D97" s="32"/>
      <c r="E97" s="345"/>
      <c r="F97" s="351"/>
      <c r="G97" s="498"/>
      <c r="H97" s="357"/>
    </row>
    <row r="98" spans="1:8" s="231" customFormat="1">
      <c r="A98" s="347">
        <f>+A96+1</f>
        <v>49</v>
      </c>
      <c r="B98" s="267"/>
      <c r="C98" s="32" t="s">
        <v>65</v>
      </c>
      <c r="D98" s="32"/>
      <c r="E98" s="392" t="str">
        <f>"(Note  "&amp;B$297&amp;")"</f>
        <v>(Note  A)</v>
      </c>
      <c r="F98" s="351" t="str">
        <f>"(Attachment 4, Line "&amp;'4 - Cost Support'!A213&amp;")"</f>
        <v>(Attachment 4, Line 80)</v>
      </c>
      <c r="G98" s="498"/>
      <c r="H98" s="357">
        <f>+'4 - Cost Support'!T213</f>
        <v>-1115531.076923077</v>
      </c>
    </row>
    <row r="99" spans="1:8" s="231" customFormat="1">
      <c r="A99" s="347">
        <f>+A98+1</f>
        <v>50</v>
      </c>
      <c r="B99" s="267"/>
      <c r="C99" s="32" t="s">
        <v>66</v>
      </c>
      <c r="D99" s="32"/>
      <c r="E99" s="392" t="str">
        <f>"(Note  "&amp;B$297&amp;")"</f>
        <v>(Note  A)</v>
      </c>
      <c r="F99" s="351" t="str">
        <f>"(Attachment 4, Line "&amp;'4 - Cost Support'!A214&amp;")"</f>
        <v>(Attachment 4, Line 81)</v>
      </c>
      <c r="G99" s="498"/>
      <c r="H99" s="456">
        <f>+'4 - Cost Support'!T214</f>
        <v>-1750777.5384615385</v>
      </c>
    </row>
    <row r="100" spans="1:8" s="231" customFormat="1">
      <c r="A100" s="347">
        <f>+A99+1</f>
        <v>51</v>
      </c>
      <c r="B100" s="267"/>
      <c r="C100" s="32" t="s">
        <v>67</v>
      </c>
      <c r="D100" s="32"/>
      <c r="E100" s="345"/>
      <c r="F100" s="351" t="str">
        <f>"(Line "&amp;A98&amp;" + Line "&amp;A99&amp;")"</f>
        <v>(Line 49 + Line 50)</v>
      </c>
      <c r="G100" s="498"/>
      <c r="H100" s="357">
        <f>+H98+H99</f>
        <v>-2866308.6153846155</v>
      </c>
    </row>
    <row r="101" spans="1:8" s="231" customFormat="1">
      <c r="A101" s="347">
        <f>+A100+1</f>
        <v>52</v>
      </c>
      <c r="B101" s="267"/>
      <c r="C101" s="405" t="s">
        <v>68</v>
      </c>
      <c r="D101" s="405"/>
      <c r="E101" s="455"/>
      <c r="F101" s="354" t="str">
        <f>"(Line "&amp;A$16&amp;")"</f>
        <v>(Line 5)</v>
      </c>
      <c r="G101" s="501"/>
      <c r="H101" s="361">
        <f>+H16</f>
        <v>0.11010683301047983</v>
      </c>
    </row>
    <row r="102" spans="1:8" s="231" customFormat="1">
      <c r="A102" s="347">
        <f>+A101+1</f>
        <v>53</v>
      </c>
      <c r="B102" s="267"/>
      <c r="C102" s="32" t="s">
        <v>69</v>
      </c>
      <c r="D102" s="32"/>
      <c r="E102" s="345"/>
      <c r="F102" s="351" t="str">
        <f>"(Line "&amp;A100&amp;" * Line "&amp;A101&amp;")"</f>
        <v>(Line 51 * Line 52)</v>
      </c>
      <c r="G102" s="498"/>
      <c r="H102" s="357">
        <f>+H100*H101</f>
        <v>-315600.1640706535</v>
      </c>
    </row>
    <row r="103" spans="1:8" s="231" customFormat="1">
      <c r="A103" s="347"/>
      <c r="B103" s="267"/>
      <c r="C103" s="32"/>
      <c r="D103" s="32"/>
      <c r="E103" s="345"/>
      <c r="F103" s="351"/>
      <c r="G103" s="498"/>
      <c r="H103" s="357"/>
    </row>
    <row r="104" spans="1:8" s="231" customFormat="1">
      <c r="A104" s="347">
        <f>+A102+1</f>
        <v>54</v>
      </c>
      <c r="B104" s="267"/>
      <c r="C104" s="32" t="s">
        <v>70</v>
      </c>
      <c r="D104" s="32"/>
      <c r="E104" s="392" t="str">
        <f>"(Note  "&amp;B$297&amp;")"</f>
        <v>(Note  A)</v>
      </c>
      <c r="F104" s="351" t="str">
        <f>"(Attachment 4, Line "&amp;'4 - Cost Support'!A215&amp;")"</f>
        <v>(Attachment 4, Line 82)</v>
      </c>
      <c r="G104" s="498"/>
      <c r="H104" s="357">
        <f>+'4 - Cost Support'!T215</f>
        <v>0</v>
      </c>
    </row>
    <row r="105" spans="1:8" s="231" customFormat="1">
      <c r="A105" s="347"/>
      <c r="B105" s="267"/>
      <c r="C105" s="32"/>
      <c r="D105" s="32"/>
      <c r="E105" s="345"/>
      <c r="F105" s="351"/>
      <c r="G105" s="498"/>
      <c r="H105" s="357"/>
    </row>
    <row r="106" spans="1:8" s="231" customFormat="1">
      <c r="A106" s="347">
        <f>+A104+1</f>
        <v>55</v>
      </c>
      <c r="B106" s="387" t="s">
        <v>71</v>
      </c>
      <c r="C106" s="32"/>
      <c r="D106" s="32"/>
      <c r="E106" s="392" t="str">
        <f>"(Note  "&amp;B$308&amp;")"</f>
        <v>(Note  L)</v>
      </c>
      <c r="F106" s="351" t="str">
        <f>"(Attachment 4, Line "&amp;'4 - Cost Support'!A231&amp;")"</f>
        <v>(Attachment 4, Line 86)</v>
      </c>
      <c r="G106" s="498"/>
      <c r="H106" s="357">
        <f>+'4 - Cost Support'!T231</f>
        <v>0</v>
      </c>
    </row>
    <row r="107" spans="1:8" s="231" customFormat="1">
      <c r="A107" s="347"/>
      <c r="B107" s="267"/>
      <c r="C107" s="32"/>
      <c r="D107" s="32"/>
      <c r="E107" s="345"/>
      <c r="F107" s="306"/>
      <c r="G107" s="498"/>
      <c r="H107" s="460"/>
    </row>
    <row r="108" spans="1:8" s="231" customFormat="1">
      <c r="A108" s="347">
        <f>+A106+1</f>
        <v>56</v>
      </c>
      <c r="B108" s="387" t="s">
        <v>72</v>
      </c>
      <c r="C108" s="32"/>
      <c r="D108" s="32"/>
      <c r="E108" s="392" t="str">
        <f>"(Note  "&amp;B$297&amp;")"</f>
        <v>(Note  A)</v>
      </c>
      <c r="F108" s="351" t="str">
        <f>"(Attachment 4, Line "&amp;'4 - Cost Support'!A222&amp;")"</f>
        <v>(Attachment 4, Line 83)</v>
      </c>
      <c r="G108" s="498"/>
      <c r="H108" s="357">
        <f>+'4 - Cost Support'!T222</f>
        <v>0</v>
      </c>
    </row>
    <row r="109" spans="1:8" s="231" customFormat="1">
      <c r="A109" s="347"/>
      <c r="B109" s="387"/>
      <c r="C109" s="32"/>
      <c r="D109" s="32"/>
      <c r="E109" s="345"/>
      <c r="F109" s="351"/>
      <c r="G109" s="498"/>
      <c r="H109" s="357"/>
    </row>
    <row r="110" spans="1:8" s="231" customFormat="1">
      <c r="A110" s="347">
        <f>+A108+1</f>
        <v>57</v>
      </c>
      <c r="B110" s="387" t="s">
        <v>73</v>
      </c>
      <c r="C110" s="32"/>
      <c r="D110" s="32"/>
      <c r="E110" s="392" t="str">
        <f>"(Note  "&amp;B$297&amp;")"</f>
        <v>(Note  A)</v>
      </c>
      <c r="F110" s="351" t="str">
        <f>"(Attachment 4, Line "&amp;'4 - Cost Support'!A237&amp;")"</f>
        <v>(Attachment 4, Line 87)</v>
      </c>
      <c r="G110" s="498"/>
      <c r="H110" s="357">
        <f>+'4 - Cost Support'!T237</f>
        <v>-1130087.6974042465</v>
      </c>
    </row>
    <row r="111" spans="1:8">
      <c r="A111" s="347"/>
      <c r="H111" s="351"/>
    </row>
    <row r="112" spans="1:8" ht="64.5" customHeight="1" thickBot="1">
      <c r="A112" s="347">
        <f>+A110+1</f>
        <v>58</v>
      </c>
      <c r="B112" s="395" t="s">
        <v>74</v>
      </c>
      <c r="C112" s="395"/>
      <c r="D112" s="395"/>
      <c r="E112" s="406"/>
      <c r="F112" s="457" t="str">
        <f>"(Lines "&amp;A62&amp;" + "&amp;A65&amp;" + "&amp;A68&amp;" + "&amp;A71&amp;" + "&amp;A73&amp;" + "&amp;A78&amp;" + "&amp;A86&amp;" + "&amp;A91&amp;" + "&amp;A96&amp;" + "&amp;A102&amp;" + "&amp;A104&amp;" + "&amp;A106&amp;" + "&amp;A108&amp;" + "&amp;A110&amp;")"</f>
        <v>(Lines 30 + 31 + 32 + 33 + 34 + 37 + 42 + 45 + 48 + 53 + 54 + 55 + 56 + 57)</v>
      </c>
      <c r="G112" s="502"/>
      <c r="H112" s="464">
        <f>+H62+H65+H68+H71+H73+H78+H86+H91+H96+H102+H104+H106+H108+H110</f>
        <v>-5377399.4297071462</v>
      </c>
    </row>
    <row r="113" spans="1:10" ht="21" thickTop="1">
      <c r="A113" s="347"/>
      <c r="H113" s="357"/>
    </row>
    <row r="114" spans="1:10" ht="21" thickBot="1">
      <c r="A114" s="419">
        <f>+A112+1</f>
        <v>59</v>
      </c>
      <c r="B114" s="420" t="s">
        <v>75</v>
      </c>
      <c r="C114" s="420"/>
      <c r="D114" s="420"/>
      <c r="E114" s="421"/>
      <c r="F114" s="422" t="str">
        <f>"(Line "&amp;A57&amp;" + Line "&amp;A112&amp;")"</f>
        <v>(Line 29 + Line 58)</v>
      </c>
      <c r="G114" s="503"/>
      <c r="H114" s="465">
        <f>H57+H112</f>
        <v>422061477.14359891</v>
      </c>
    </row>
    <row r="116" spans="1:10">
      <c r="A116" s="388" t="s">
        <v>76</v>
      </c>
      <c r="B116" s="389"/>
      <c r="C116" s="423"/>
      <c r="D116" s="356"/>
      <c r="E116" s="390"/>
      <c r="F116" s="356"/>
      <c r="G116" s="510"/>
      <c r="H116" s="349"/>
    </row>
    <row r="117" spans="1:10">
      <c r="A117" s="306"/>
      <c r="E117" s="345"/>
      <c r="H117" s="480"/>
    </row>
    <row r="118" spans="1:10">
      <c r="A118" s="347"/>
      <c r="B118" s="231" t="s">
        <v>77</v>
      </c>
      <c r="D118" s="351"/>
      <c r="E118" s="355"/>
      <c r="G118" s="511"/>
      <c r="H118" s="351"/>
    </row>
    <row r="119" spans="1:10">
      <c r="A119" s="347">
        <f>+A114+1</f>
        <v>60</v>
      </c>
      <c r="B119" s="347"/>
      <c r="C119" s="306" t="s">
        <v>77</v>
      </c>
      <c r="E119" s="392"/>
      <c r="F119" s="351" t="str">
        <f>"(Attachment 4, Line "&amp;'4 - Cost Support'!A67&amp;")"</f>
        <v>(Attachment 4, Line 26)</v>
      </c>
      <c r="H119" s="351">
        <f>+'4 - Cost Support'!S67</f>
        <v>81946674</v>
      </c>
    </row>
    <row r="120" spans="1:10">
      <c r="A120" s="347">
        <f>+A119+1</f>
        <v>61</v>
      </c>
      <c r="B120" s="347"/>
      <c r="C120" s="306" t="s">
        <v>78</v>
      </c>
      <c r="D120" s="351"/>
      <c r="E120" s="392"/>
      <c r="F120" s="354" t="str">
        <f>"(Attachment 4, Line "&amp;'4 - Cost Support'!A70&amp;")"</f>
        <v>(Attachment 4, Line 29)</v>
      </c>
      <c r="H120" s="351">
        <f>+'4 - Cost Support'!S70</f>
        <v>70641753</v>
      </c>
    </row>
    <row r="121" spans="1:10">
      <c r="A121" s="347">
        <f>1+A120</f>
        <v>62</v>
      </c>
      <c r="C121" s="418" t="s">
        <v>77</v>
      </c>
      <c r="D121" s="393"/>
      <c r="E121" s="401"/>
      <c r="F121" s="351" t="str">
        <f>"(Lines "&amp;A119&amp;" - "&amp;A120&amp;")"</f>
        <v>(Lines 60 - 61)</v>
      </c>
      <c r="G121" s="500"/>
      <c r="H121" s="363">
        <f>+H119-H120</f>
        <v>11304921</v>
      </c>
    </row>
    <row r="122" spans="1:10">
      <c r="A122" s="347"/>
      <c r="B122" s="347"/>
      <c r="C122" s="231"/>
      <c r="E122" s="355"/>
      <c r="H122" s="353"/>
    </row>
    <row r="123" spans="1:10">
      <c r="A123" s="347"/>
      <c r="B123" s="231" t="s">
        <v>79</v>
      </c>
      <c r="E123" s="355"/>
      <c r="H123" s="353"/>
    </row>
    <row r="124" spans="1:10">
      <c r="A124" s="347">
        <f>A121+1</f>
        <v>63</v>
      </c>
      <c r="B124" s="347"/>
      <c r="C124" s="306" t="s">
        <v>80</v>
      </c>
      <c r="E124" s="392" t="str">
        <f>"(Note  "&amp;B303&amp;", "&amp;B318&amp;" &amp; "&amp;B319&amp;")"</f>
        <v>(Note  G, V &amp; W)</v>
      </c>
      <c r="F124" s="351" t="str">
        <f>"(Attachment 4, Line "&amp;'4 - Cost Support'!A83&amp;")"</f>
        <v>(Attachment 4, Line 31)</v>
      </c>
      <c r="H124" s="351">
        <f>+'4 - Cost Support'!S83</f>
        <v>80410067</v>
      </c>
    </row>
    <row r="125" spans="1:10">
      <c r="A125" s="347">
        <f t="shared" ref="A125:A131" si="0">+A124+1</f>
        <v>64</v>
      </c>
      <c r="B125" s="347"/>
      <c r="C125" s="306" t="s">
        <v>81</v>
      </c>
      <c r="D125" s="351"/>
      <c r="E125" s="392"/>
      <c r="F125" s="351" t="str">
        <f>"(Attachment 4, Line "&amp;'4 - Cost Support'!A77&amp;")"</f>
        <v>(Attachment 4, Line 30)</v>
      </c>
      <c r="H125" s="351">
        <v>0</v>
      </c>
      <c r="I125" s="641" t="s">
        <v>1042</v>
      </c>
      <c r="J125" s="534"/>
    </row>
    <row r="126" spans="1:10">
      <c r="A126" s="347">
        <f t="shared" si="0"/>
        <v>65</v>
      </c>
      <c r="B126" s="347"/>
      <c r="C126" s="306" t="s">
        <v>82</v>
      </c>
      <c r="D126" s="351"/>
      <c r="E126" s="392" t="str">
        <f>"(Note "&amp;B$300&amp;")"</f>
        <v>(Note D)</v>
      </c>
      <c r="F126" s="351" t="str">
        <f>"(Attachment 4, Line "&amp;'4 - Cost Support'!A92&amp;")"</f>
        <v>(Attachment 4, Line 34)</v>
      </c>
      <c r="H126" s="351">
        <v>0</v>
      </c>
      <c r="I126" s="641" t="s">
        <v>1042</v>
      </c>
      <c r="J126" s="534"/>
    </row>
    <row r="127" spans="1:10" ht="60.75">
      <c r="A127" s="347">
        <f t="shared" si="0"/>
        <v>66</v>
      </c>
      <c r="B127" s="347"/>
      <c r="C127" s="308" t="s">
        <v>83</v>
      </c>
      <c r="D127" s="351"/>
      <c r="E127" s="392" t="str">
        <f>"(Note "&amp;B311&amp;")"</f>
        <v>(Note O)</v>
      </c>
      <c r="F127" s="351" t="str">
        <f>"(Attachment 4, Line "&amp;'4 - Cost Support'!A85&amp;")"</f>
        <v>(Attachment 4, Line 33)</v>
      </c>
      <c r="H127" s="351">
        <f>+'4 - Cost Support'!S85</f>
        <v>80360264</v>
      </c>
    </row>
    <row r="128" spans="1:10" ht="40.5">
      <c r="A128" s="347">
        <f t="shared" si="0"/>
        <v>67</v>
      </c>
      <c r="B128" s="347"/>
      <c r="C128" s="306" t="s">
        <v>84</v>
      </c>
      <c r="E128" s="392" t="str">
        <f>"(Note "&amp;B$299&amp;")"</f>
        <v>(Note C)</v>
      </c>
      <c r="F128" s="497" t="str">
        <f>"(Attachment 4, Line "&amp;'4 - Cost Support'!A100&amp;" &amp; Attachment 4, Line "&amp;'4 - Cost Support'!A101&amp;")"</f>
        <v>(Attachment 4, Line 36 &amp; Attachment 4, Line 37)</v>
      </c>
      <c r="H128" s="351">
        <f>+'4 - Cost Support'!S100+'4 - Cost Support'!S101</f>
        <v>0</v>
      </c>
    </row>
    <row r="129" spans="1:8">
      <c r="A129" s="347">
        <f t="shared" si="0"/>
        <v>68</v>
      </c>
      <c r="B129" s="347"/>
      <c r="C129" s="418" t="s">
        <v>85</v>
      </c>
      <c r="D129" s="393"/>
      <c r="E129" s="394"/>
      <c r="F129" s="351" t="str">
        <f>"(Lines "&amp;A124&amp;" - "&amp;A125&amp;" - "&amp;A126&amp;" - "&amp;A127&amp;" - "&amp;A128&amp;")"</f>
        <v>(Lines 63 - 64 - 65 - 66 - 67)</v>
      </c>
      <c r="G129" s="500"/>
      <c r="H129" s="352">
        <f>+H124-SUM(H125:H128)</f>
        <v>49803</v>
      </c>
    </row>
    <row r="130" spans="1:8">
      <c r="A130" s="347">
        <f t="shared" si="0"/>
        <v>69</v>
      </c>
      <c r="B130" s="347"/>
      <c r="C130" s="405" t="s">
        <v>28</v>
      </c>
      <c r="D130" s="32"/>
      <c r="F130" s="399" t="str">
        <f>"(Line "&amp;A$16&amp;")"</f>
        <v>(Line 5)</v>
      </c>
      <c r="G130" s="511"/>
      <c r="H130" s="460">
        <f>H16</f>
        <v>0.11010683301047983</v>
      </c>
    </row>
    <row r="131" spans="1:8">
      <c r="A131" s="347">
        <f t="shared" si="0"/>
        <v>70</v>
      </c>
      <c r="B131" s="347"/>
      <c r="C131" s="418" t="s">
        <v>86</v>
      </c>
      <c r="D131" s="393"/>
      <c r="E131" s="394"/>
      <c r="F131" s="351" t="str">
        <f>"(Line "&amp;A129&amp;" * Line "&amp;A130&amp;")"</f>
        <v>(Line 68 * Line 69)</v>
      </c>
      <c r="G131" s="500"/>
      <c r="H131" s="365">
        <f>H129*H130</f>
        <v>5483.6506044209264</v>
      </c>
    </row>
    <row r="132" spans="1:8">
      <c r="A132" s="347"/>
      <c r="B132" s="347"/>
      <c r="C132" s="231"/>
      <c r="E132" s="355"/>
      <c r="H132" s="351"/>
    </row>
    <row r="133" spans="1:8">
      <c r="A133" s="347"/>
      <c r="B133" s="231" t="s">
        <v>87</v>
      </c>
      <c r="E133" s="355"/>
      <c r="H133" s="351"/>
    </row>
    <row r="134" spans="1:8">
      <c r="A134" s="347">
        <f>+A131+1</f>
        <v>71</v>
      </c>
      <c r="B134" s="411"/>
      <c r="C134" s="32" t="s">
        <v>88</v>
      </c>
      <c r="D134" s="392"/>
      <c r="E134" s="392" t="str">
        <f>"(Note "&amp;B$301&amp;")"</f>
        <v>(Note E)</v>
      </c>
      <c r="F134" s="351" t="str">
        <f>"(Attachment 4, Line "&amp;'4 - Cost Support'!A93&amp;")"</f>
        <v>(Attachment 4, Line 35)</v>
      </c>
      <c r="H134" s="351">
        <f>+'4 - Cost Support'!S93</f>
        <v>94126</v>
      </c>
    </row>
    <row r="135" spans="1:8">
      <c r="A135" s="347">
        <f>+A134+1</f>
        <v>72</v>
      </c>
      <c r="B135" s="411"/>
      <c r="C135" s="399" t="s">
        <v>89</v>
      </c>
      <c r="D135" s="424"/>
      <c r="E135" s="400" t="str">
        <f>"(Note "&amp;B311&amp;")"</f>
        <v>(Note O)</v>
      </c>
      <c r="F135" s="354" t="str">
        <f>"(Attachment 4, Line "&amp;'4 - Cost Support'!A84&amp;")"</f>
        <v>(Attachment 4, Line 32)</v>
      </c>
      <c r="G135" s="501"/>
      <c r="H135" s="354">
        <f>+'4 - Cost Support'!S84</f>
        <v>10212945</v>
      </c>
    </row>
    <row r="136" spans="1:8">
      <c r="A136" s="347">
        <f>+A135+1</f>
        <v>73</v>
      </c>
      <c r="B136" s="411"/>
      <c r="C136" s="32" t="s">
        <v>90</v>
      </c>
      <c r="E136" s="415"/>
      <c r="F136" s="351" t="str">
        <f>"(Line "&amp;A134&amp;" + Line "&amp;A135&amp;")"</f>
        <v>(Line 71 + Line 72)</v>
      </c>
      <c r="H136" s="357">
        <f>SUM(H134:H135)</f>
        <v>10307071</v>
      </c>
    </row>
    <row r="137" spans="1:8">
      <c r="A137" s="347"/>
      <c r="B137" s="411"/>
      <c r="C137" s="32"/>
      <c r="E137" s="415"/>
      <c r="F137" s="32"/>
      <c r="H137" s="364"/>
    </row>
    <row r="138" spans="1:8">
      <c r="A138" s="347">
        <f>+A136+1</f>
        <v>74</v>
      </c>
      <c r="B138" s="411"/>
      <c r="C138" s="32" t="s">
        <v>91</v>
      </c>
      <c r="E138" s="392"/>
      <c r="F138" s="32" t="str">
        <f>"(Line "&amp;A125&amp;")"</f>
        <v>(Line 64)</v>
      </c>
      <c r="H138" s="357">
        <f>H125</f>
        <v>0</v>
      </c>
    </row>
    <row r="139" spans="1:8">
      <c r="A139" s="347">
        <f>+A138+1</f>
        <v>75</v>
      </c>
      <c r="B139" s="347"/>
      <c r="C139" s="32" t="s">
        <v>20</v>
      </c>
      <c r="D139" s="32"/>
      <c r="F139" s="354" t="str">
        <f>"(Line "&amp;A$27&amp;")"</f>
        <v>(Line 12)</v>
      </c>
      <c r="G139" s="511"/>
      <c r="H139" s="460">
        <f>H27</f>
        <v>0.24713229692288416</v>
      </c>
    </row>
    <row r="140" spans="1:8">
      <c r="A140" s="347">
        <f>+A139+1</f>
        <v>76</v>
      </c>
      <c r="B140" s="347"/>
      <c r="C140" s="418" t="s">
        <v>64</v>
      </c>
      <c r="D140" s="393"/>
      <c r="E140" s="394"/>
      <c r="F140" s="351" t="str">
        <f>"(Line "&amp;A138&amp;" * Line "&amp;A139&amp;")"</f>
        <v>(Line 74 * Line 75)</v>
      </c>
      <c r="G140" s="514"/>
      <c r="H140" s="365">
        <f>+H138*H139</f>
        <v>0</v>
      </c>
    </row>
    <row r="141" spans="1:8">
      <c r="A141" s="347"/>
      <c r="B141" s="347"/>
      <c r="C141" s="231"/>
      <c r="E141" s="355"/>
      <c r="F141" s="351"/>
      <c r="G141" s="511"/>
      <c r="H141" s="362"/>
    </row>
    <row r="142" spans="1:8">
      <c r="A142" s="347">
        <f>+A140+1</f>
        <v>77</v>
      </c>
      <c r="B142" s="347"/>
      <c r="C142" s="231" t="s">
        <v>92</v>
      </c>
      <c r="E142" s="355"/>
      <c r="F142" s="351" t="str">
        <f>"(Lines "&amp;A131&amp;" + "&amp;A136&amp;" + "&amp;A140&amp;")"</f>
        <v>(Lines 70 + 73 + 76)</v>
      </c>
      <c r="H142" s="357">
        <f>+H131+H136+H140</f>
        <v>10312554.650604421</v>
      </c>
    </row>
    <row r="143" spans="1:8">
      <c r="A143" s="347"/>
      <c r="B143" s="347"/>
      <c r="C143" s="231"/>
      <c r="E143" s="355"/>
      <c r="F143" s="351"/>
      <c r="H143" s="351"/>
    </row>
    <row r="144" spans="1:8" ht="21" thickBot="1">
      <c r="A144" s="347">
        <f>+A142+1</f>
        <v>78</v>
      </c>
      <c r="B144" s="347"/>
      <c r="C144" s="420" t="s">
        <v>93</v>
      </c>
      <c r="D144" s="425"/>
      <c r="E144" s="426"/>
      <c r="F144" s="366" t="str">
        <f>"(Lines "&amp;A121&amp;" + "&amp;A142&amp;")"</f>
        <v>(Lines 62 + 77)</v>
      </c>
      <c r="G144" s="503"/>
      <c r="H144" s="465">
        <f>+H121+H142</f>
        <v>21617475.650604419</v>
      </c>
    </row>
    <row r="145" spans="1:8">
      <c r="B145" s="347"/>
      <c r="C145" s="231"/>
      <c r="E145" s="355"/>
      <c r="H145" s="353"/>
    </row>
    <row r="146" spans="1:8">
      <c r="A146" s="388" t="s">
        <v>94</v>
      </c>
      <c r="B146" s="389"/>
      <c r="C146" s="423"/>
      <c r="D146" s="356"/>
      <c r="E146" s="390"/>
      <c r="F146" s="356"/>
      <c r="G146" s="510"/>
      <c r="H146" s="349"/>
    </row>
    <row r="147" spans="1:8">
      <c r="A147" s="231"/>
      <c r="B147" s="347"/>
      <c r="C147" s="231"/>
      <c r="E147" s="355"/>
      <c r="H147" s="353"/>
    </row>
    <row r="148" spans="1:8">
      <c r="A148" s="347"/>
      <c r="B148" s="387" t="s">
        <v>95</v>
      </c>
      <c r="F148" s="411"/>
      <c r="H148" s="367"/>
    </row>
    <row r="149" spans="1:8">
      <c r="A149" s="347">
        <f>+A144+1</f>
        <v>79</v>
      </c>
      <c r="B149" s="411"/>
      <c r="C149" s="32" t="s">
        <v>96</v>
      </c>
      <c r="E149" s="392" t="str">
        <f>"(Note "&amp;B$303&amp;")"</f>
        <v>(Note G)</v>
      </c>
      <c r="F149" s="351" t="str">
        <f>"(Attachment 4, Line "&amp;'4 - Cost Support'!A108&amp;")"</f>
        <v>(Attachment 4, Line 38)</v>
      </c>
      <c r="H149" s="357">
        <f>+'4 - Cost Support'!S108</f>
        <v>12896480</v>
      </c>
    </row>
    <row r="150" spans="1:8">
      <c r="A150" s="347">
        <f>+A149+1</f>
        <v>80</v>
      </c>
      <c r="B150" s="411"/>
      <c r="C150" s="32" t="s">
        <v>97</v>
      </c>
      <c r="E150" s="392" t="str">
        <f>"(Note "&amp;B$309&amp;")"</f>
        <v>(Note M)</v>
      </c>
      <c r="F150" s="351" t="str">
        <f>"(Attachment 4, Line "&amp;'4 - Cost Support'!A192&amp;")"</f>
        <v>(Attachment 4, Line 75)</v>
      </c>
      <c r="H150" s="357">
        <f>+'4 - Cost Support'!K192</f>
        <v>0</v>
      </c>
    </row>
    <row r="151" spans="1:8">
      <c r="A151" s="347"/>
      <c r="B151" s="411"/>
      <c r="C151" s="32"/>
      <c r="E151" s="392"/>
      <c r="F151" s="32"/>
      <c r="H151" s="357"/>
    </row>
    <row r="152" spans="1:8">
      <c r="A152" s="347">
        <f>+A150+1</f>
        <v>81</v>
      </c>
      <c r="B152" s="411"/>
      <c r="C152" s="32" t="s">
        <v>98</v>
      </c>
      <c r="E152" s="392" t="str">
        <f>"(Note "&amp;B$303&amp;")"</f>
        <v>(Note G)</v>
      </c>
      <c r="F152" s="351" t="str">
        <f>"(Attachment 4, Line "&amp;'4 - Cost Support'!A109&amp;")"</f>
        <v>(Attachment 4, Line 39)</v>
      </c>
      <c r="H152" s="357">
        <f>+'4 - Cost Support'!S109</f>
        <v>1132706</v>
      </c>
    </row>
    <row r="153" spans="1:8">
      <c r="A153" s="347">
        <f>+A152+1</f>
        <v>82</v>
      </c>
      <c r="B153" s="411"/>
      <c r="C153" s="405" t="s">
        <v>99</v>
      </c>
      <c r="D153" s="399"/>
      <c r="E153" s="400" t="str">
        <f>"(Note "&amp;B297&amp;" &amp; "&amp;B$303&amp;")"</f>
        <v>(Note A &amp; G)</v>
      </c>
      <c r="F153" s="354" t="str">
        <f>"(Attachment 4, Line "&amp;'4 - Cost Support'!A110&amp;")"</f>
        <v>(Attachment 4, Line 40)</v>
      </c>
      <c r="G153" s="501"/>
      <c r="H153" s="354">
        <f>+'4 - Cost Support'!S110</f>
        <v>3904989</v>
      </c>
    </row>
    <row r="154" spans="1:8">
      <c r="A154" s="347">
        <f>+A153+1</f>
        <v>83</v>
      </c>
      <c r="B154" s="411"/>
      <c r="C154" s="32" t="s">
        <v>67</v>
      </c>
      <c r="F154" s="351" t="str">
        <f>"(Line "&amp;A152&amp;" + Line "&amp;A153&amp;")"</f>
        <v>(Line 81 + Line 82)</v>
      </c>
      <c r="H154" s="357">
        <f>+H152+H153</f>
        <v>5037695</v>
      </c>
    </row>
    <row r="155" spans="1:8">
      <c r="A155" s="347">
        <f>+A154+1</f>
        <v>84</v>
      </c>
      <c r="B155" s="411"/>
      <c r="C155" s="405" t="s">
        <v>28</v>
      </c>
      <c r="D155" s="405"/>
      <c r="E155" s="200"/>
      <c r="F155" s="399" t="str">
        <f>"(Line "&amp;A$16&amp;")"</f>
        <v>(Line 5)</v>
      </c>
      <c r="G155" s="513"/>
      <c r="H155" s="361">
        <f>H16</f>
        <v>0.11010683301047983</v>
      </c>
    </row>
    <row r="156" spans="1:8">
      <c r="A156" s="347">
        <f>+A155+1</f>
        <v>85</v>
      </c>
      <c r="B156" s="411"/>
      <c r="C156" s="32" t="s">
        <v>100</v>
      </c>
      <c r="F156" s="351" t="str">
        <f>"(Line "&amp;A154&amp;" * Line "&amp;A155&amp;")"</f>
        <v>(Line 83 * Line 84)</v>
      </c>
      <c r="G156" s="511"/>
      <c r="H156" s="357">
        <f>H154*H155</f>
        <v>554684.64212272922</v>
      </c>
    </row>
    <row r="157" spans="1:8">
      <c r="A157" s="415"/>
      <c r="B157" s="427"/>
      <c r="C157" s="32"/>
      <c r="F157" s="32"/>
      <c r="G157" s="511"/>
      <c r="H157" s="368"/>
    </row>
    <row r="158" spans="1:8" s="231" customFormat="1" ht="21" thickBot="1">
      <c r="A158" s="347">
        <f>+A156+1</f>
        <v>86</v>
      </c>
      <c r="B158" s="428" t="s">
        <v>101</v>
      </c>
      <c r="C158" s="428"/>
      <c r="D158" s="420"/>
      <c r="E158" s="421"/>
      <c r="F158" s="428" t="str">
        <f>"(Lines "&amp;A149&amp;" + "&amp;A150&amp;" + "&amp;A156&amp;")"</f>
        <v>(Lines 79 + 80 + 85)</v>
      </c>
      <c r="G158" s="503"/>
      <c r="H158" s="465">
        <f>+H149+H150+H156</f>
        <v>13451164.642122729</v>
      </c>
    </row>
    <row r="159" spans="1:8">
      <c r="H159" s="411"/>
    </row>
    <row r="160" spans="1:8">
      <c r="A160" s="388" t="s">
        <v>102</v>
      </c>
      <c r="B160" s="389"/>
      <c r="C160" s="423"/>
      <c r="D160" s="356"/>
      <c r="E160" s="429"/>
      <c r="F160" s="356"/>
      <c r="G160" s="510"/>
      <c r="H160" s="466"/>
    </row>
    <row r="161" spans="1:8">
      <c r="A161" s="409"/>
      <c r="B161" s="347"/>
      <c r="C161" s="231"/>
      <c r="E161" s="355"/>
      <c r="H161" s="467"/>
    </row>
    <row r="162" spans="1:8">
      <c r="A162" s="347">
        <f>+A158+1</f>
        <v>87</v>
      </c>
      <c r="B162" s="32" t="s">
        <v>103</v>
      </c>
      <c r="C162" s="414"/>
      <c r="E162" s="392"/>
      <c r="F162" s="351" t="str">
        <f>"(Attachment 2, Line "&amp;'2 - Other Taxes'!A29&amp;")"</f>
        <v>(Attachment 2, Line 11)</v>
      </c>
      <c r="H162" s="357">
        <f>+'2 - Other Taxes'!G29</f>
        <v>23569151.225293953</v>
      </c>
    </row>
    <row r="163" spans="1:8">
      <c r="A163" s="347"/>
      <c r="F163" s="32"/>
      <c r="H163" s="411"/>
    </row>
    <row r="164" spans="1:8" ht="21" thickBot="1">
      <c r="A164" s="347">
        <f>+A162+1</f>
        <v>88</v>
      </c>
      <c r="B164" s="420" t="s">
        <v>104</v>
      </c>
      <c r="C164" s="420"/>
      <c r="D164" s="420"/>
      <c r="E164" s="421"/>
      <c r="F164" s="422" t="str">
        <f>"(Line "&amp;A162&amp;")"</f>
        <v>(Line 87)</v>
      </c>
      <c r="G164" s="503"/>
      <c r="H164" s="465">
        <f>H162</f>
        <v>23569151.225293953</v>
      </c>
    </row>
    <row r="165" spans="1:8">
      <c r="A165" s="388" t="s">
        <v>105</v>
      </c>
      <c r="B165" s="389"/>
      <c r="C165" s="423"/>
      <c r="D165" s="356"/>
      <c r="E165" s="390"/>
      <c r="F165" s="356"/>
      <c r="G165" s="510"/>
      <c r="H165" s="349"/>
    </row>
    <row r="166" spans="1:8">
      <c r="B166" s="347"/>
      <c r="C166" s="231"/>
      <c r="E166" s="355"/>
      <c r="H166" s="480"/>
    </row>
    <row r="167" spans="1:8">
      <c r="A167" s="347">
        <f>+A164+1</f>
        <v>89</v>
      </c>
      <c r="B167" s="430" t="s">
        <v>106</v>
      </c>
      <c r="E167" s="392"/>
      <c r="F167" s="351" t="str">
        <f>"(Attachment 4, Line "&amp;'4 - Cost Support'!A132&amp;")"</f>
        <v>(Attachment 4, Line 50)</v>
      </c>
      <c r="G167" s="511"/>
      <c r="H167" s="351">
        <f>+'4 - Cost Support'!S132</f>
        <v>33347731</v>
      </c>
    </row>
    <row r="168" spans="1:8">
      <c r="A168" s="347"/>
      <c r="B168" s="347"/>
      <c r="C168" s="351"/>
      <c r="G168" s="511"/>
      <c r="H168" s="351"/>
    </row>
    <row r="169" spans="1:8">
      <c r="A169" s="347">
        <f>+A167+1</f>
        <v>90</v>
      </c>
      <c r="B169" s="430" t="s">
        <v>107</v>
      </c>
      <c r="E169" s="392"/>
      <c r="F169" s="351" t="str">
        <f>"(Attachment 4, Line "&amp;'4 - Cost Support'!A133&amp;")"</f>
        <v>(Attachment 4, Line 51)</v>
      </c>
      <c r="G169" s="511"/>
      <c r="H169" s="351">
        <f>+'4 - Cost Support'!S133</f>
        <v>0</v>
      </c>
    </row>
    <row r="170" spans="1:8">
      <c r="A170" s="347"/>
      <c r="B170" s="231" t="s">
        <v>108</v>
      </c>
      <c r="E170" s="355"/>
      <c r="F170" s="351"/>
      <c r="G170" s="511"/>
      <c r="H170" s="351"/>
    </row>
    <row r="171" spans="1:8">
      <c r="A171" s="347"/>
      <c r="B171" s="231" t="s">
        <v>109</v>
      </c>
      <c r="E171" s="355"/>
      <c r="F171" s="351"/>
      <c r="G171" s="511"/>
      <c r="H171" s="351"/>
    </row>
    <row r="172" spans="1:8">
      <c r="A172" s="347">
        <f>+A169+1</f>
        <v>91</v>
      </c>
      <c r="B172" s="347"/>
      <c r="C172" s="351" t="s">
        <v>110</v>
      </c>
      <c r="D172" s="351"/>
      <c r="E172" s="392" t="str">
        <f>"(Note "&amp;B$307&amp;")"</f>
        <v>(Note K)</v>
      </c>
      <c r="F172" s="351" t="str">
        <f>"(Attachment 4, Line "&amp;'4 - Cost Support'!A134&amp;")"</f>
        <v>(Attachment 4, Line 52)</v>
      </c>
      <c r="G172" s="511"/>
      <c r="H172" s="351">
        <f>+'4 - Cost Support'!T134</f>
        <v>-860555206</v>
      </c>
    </row>
    <row r="173" spans="1:8">
      <c r="A173" s="347">
        <f>A172+1</f>
        <v>92</v>
      </c>
      <c r="B173" s="347"/>
      <c r="C173" s="351" t="s">
        <v>111</v>
      </c>
      <c r="D173" s="351"/>
      <c r="E173" s="392" t="str">
        <f>"(Note "&amp;B$307&amp;" )"</f>
        <v>(Note K )</v>
      </c>
      <c r="F173" s="351" t="str">
        <f>"(Attachment 4, Line "&amp;'4 - Cost Support'!A135&amp;")"</f>
        <v>(Attachment 4, Line 53)</v>
      </c>
      <c r="G173" s="511"/>
      <c r="H173" s="351">
        <f>+'4 - Cost Support'!T135</f>
        <v>27367897</v>
      </c>
    </row>
    <row r="174" spans="1:8">
      <c r="A174" s="347">
        <f>A173+1</f>
        <v>93</v>
      </c>
      <c r="B174" s="347"/>
      <c r="C174" s="351" t="s">
        <v>112</v>
      </c>
      <c r="D174" s="351"/>
      <c r="E174" s="392" t="str">
        <f>"(Note "&amp;B$307&amp;" )"</f>
        <v>(Note K )</v>
      </c>
      <c r="F174" s="351" t="str">
        <f>"(Attachment 4, Line "&amp;'4 - Cost Support'!A146&amp;")"</f>
        <v>(Attachment 4, Line 64)</v>
      </c>
      <c r="G174" s="511"/>
      <c r="H174" s="351">
        <f>+'4 - Cost Support'!T146</f>
        <v>0</v>
      </c>
    </row>
    <row r="175" spans="1:8">
      <c r="A175" s="347">
        <f>+A174+1</f>
        <v>94</v>
      </c>
      <c r="B175" s="347"/>
      <c r="C175" s="354" t="s">
        <v>113</v>
      </c>
      <c r="D175" s="354"/>
      <c r="E175" s="400" t="str">
        <f>"(Note "&amp;B$307&amp;")"</f>
        <v>(Note K)</v>
      </c>
      <c r="F175" s="354" t="str">
        <f>"(Attachment 4, Line "&amp;'4 - Cost Support'!A136&amp;")"</f>
        <v>(Attachment 4, Line 54)</v>
      </c>
      <c r="G175" s="511"/>
      <c r="H175" s="354">
        <f>+'4 - Cost Support'!T136</f>
        <v>0</v>
      </c>
    </row>
    <row r="176" spans="1:8">
      <c r="A176" s="347">
        <f>+A175+1</f>
        <v>95</v>
      </c>
      <c r="B176" s="347"/>
      <c r="C176" s="430" t="s">
        <v>109</v>
      </c>
      <c r="D176" s="351"/>
      <c r="F176" s="306" t="str">
        <f>"(Line "&amp;A172&amp;" - "&amp;A173&amp;" - "&amp;A174&amp;" - "&amp;A175&amp;")"</f>
        <v>(Line 91 - 92 - 93 - 94)</v>
      </c>
      <c r="H176" s="351">
        <f>H172-H173-H174-H175</f>
        <v>-887923103</v>
      </c>
    </row>
    <row r="177" spans="1:8">
      <c r="A177" s="347"/>
      <c r="B177" s="347"/>
      <c r="E177" s="355"/>
      <c r="F177" s="351"/>
      <c r="H177" s="351"/>
    </row>
    <row r="178" spans="1:8">
      <c r="A178" s="347">
        <f>+A176+1</f>
        <v>96</v>
      </c>
      <c r="B178" s="347"/>
      <c r="C178" s="231" t="s">
        <v>114</v>
      </c>
      <c r="E178" s="392" t="str">
        <f>"(Note "&amp;B$307&amp;")"</f>
        <v>(Note K)</v>
      </c>
      <c r="F178" s="351" t="str">
        <f>"(Attachment 4, Line "&amp;'4 - Cost Support'!A137&amp;")"</f>
        <v>(Attachment 4, Line 55)</v>
      </c>
      <c r="G178" s="511"/>
      <c r="H178" s="351">
        <f>+'4 - Cost Support'!T137</f>
        <v>-869548343</v>
      </c>
    </row>
    <row r="179" spans="1:8">
      <c r="A179" s="347"/>
      <c r="B179" s="347"/>
      <c r="C179" s="306" t="s">
        <v>115</v>
      </c>
      <c r="E179" s="392" t="str">
        <f>"(Note "&amp;B$307&amp;")"</f>
        <v>(Note K)</v>
      </c>
      <c r="F179" s="351" t="str">
        <f>"(Attachment 4, Line "&amp;'4 - Cost Support'!A138&amp;")"</f>
        <v>(Attachment 4, Line 56)</v>
      </c>
      <c r="G179" s="511"/>
      <c r="H179" s="351">
        <f>+'4 - Cost Support'!T138</f>
        <v>7840571</v>
      </c>
    </row>
    <row r="180" spans="1:8">
      <c r="A180" s="347">
        <f>+A178+1</f>
        <v>97</v>
      </c>
      <c r="B180" s="347"/>
      <c r="C180" s="306" t="s">
        <v>116</v>
      </c>
      <c r="E180" s="392" t="str">
        <f>"(Note "&amp;B$307&amp;")"</f>
        <v>(Note K)</v>
      </c>
      <c r="F180" s="351" t="str">
        <f>"(Attachment 4, Line "&amp;'4 - Cost Support'!A139&amp;")"</f>
        <v>(Attachment 4, Line 57)</v>
      </c>
      <c r="G180" s="511"/>
      <c r="H180" s="351">
        <f>+'4 - Cost Support'!T139</f>
        <v>1550985.5</v>
      </c>
    </row>
    <row r="181" spans="1:8">
      <c r="A181" s="347">
        <f t="shared" ref="A181:A193" si="1">+A180+1</f>
        <v>98</v>
      </c>
      <c r="B181" s="347"/>
      <c r="C181" s="306" t="s">
        <v>117</v>
      </c>
      <c r="E181" s="392" t="str">
        <f t="shared" ref="E181:E182" si="2">"(Note "&amp;B$307&amp;")"</f>
        <v>(Note K)</v>
      </c>
      <c r="F181" s="351" t="str">
        <f>"(Attachment 4, Line "&amp;'4 - Cost Support'!A140&amp;")"</f>
        <v>(Attachment 4, Line 58)</v>
      </c>
      <c r="G181" s="511"/>
      <c r="H181" s="351">
        <f>+'4 - Cost Support'!T140</f>
        <v>0</v>
      </c>
    </row>
    <row r="182" spans="1:8">
      <c r="A182" s="347">
        <f t="shared" si="1"/>
        <v>99</v>
      </c>
      <c r="B182" s="347"/>
      <c r="C182" s="306" t="s">
        <v>118</v>
      </c>
      <c r="E182" s="392" t="str">
        <f t="shared" si="2"/>
        <v>(Note K)</v>
      </c>
      <c r="F182" s="351" t="str">
        <f>"(Attachment 4, Line "&amp;'4 - Cost Support'!A141&amp;")"</f>
        <v>(Attachment 4, Line 59)</v>
      </c>
      <c r="G182" s="511"/>
      <c r="H182" s="351">
        <f>+'4 - Cost Support'!T141</f>
        <v>2368135.5</v>
      </c>
    </row>
    <row r="183" spans="1:8">
      <c r="A183" s="347">
        <f t="shared" si="1"/>
        <v>100</v>
      </c>
      <c r="B183" s="347"/>
      <c r="C183" s="306" t="s">
        <v>119</v>
      </c>
      <c r="E183" s="392" t="str">
        <f>"(Note "&amp;B$307&amp;")"</f>
        <v>(Note K)</v>
      </c>
      <c r="F183" s="351" t="str">
        <f>"(Attachment 4, Line "&amp;'4 - Cost Support'!A142&amp;")"</f>
        <v>(Attachment 4, Line 60)</v>
      </c>
      <c r="G183" s="511"/>
      <c r="H183" s="351">
        <f>+'4 - Cost Support'!T142</f>
        <v>0</v>
      </c>
    </row>
    <row r="184" spans="1:8">
      <c r="A184" s="347">
        <f t="shared" si="1"/>
        <v>101</v>
      </c>
      <c r="B184" s="347"/>
      <c r="C184" s="306" t="s">
        <v>120</v>
      </c>
      <c r="D184" s="427"/>
      <c r="E184" s="392" t="str">
        <f>"(Note "&amp;B$307&amp;")"</f>
        <v>(Note K)</v>
      </c>
      <c r="F184" s="351" t="str">
        <f>"(Attachment 4, Line "&amp;'4 - Cost Support'!A143&amp;")"</f>
        <v>(Attachment 4, Line 61)</v>
      </c>
      <c r="G184" s="511"/>
      <c r="H184" s="351">
        <f>+'4 - Cost Support'!T143</f>
        <v>-264162.22499999998</v>
      </c>
    </row>
    <row r="185" spans="1:8">
      <c r="A185" s="347">
        <f>+A184+1</f>
        <v>102</v>
      </c>
      <c r="B185" s="347"/>
      <c r="C185" s="306" t="s">
        <v>121</v>
      </c>
      <c r="D185" s="427"/>
      <c r="E185" s="392" t="str">
        <f t="shared" ref="E185:E186" si="3">"(Note "&amp;B$307&amp;")"</f>
        <v>(Note K)</v>
      </c>
      <c r="F185" s="351" t="str">
        <f>"(Attachment 4, Line "&amp;'4 - Cost Support'!A144&amp;")"</f>
        <v>(Attachment 4, Line 62)</v>
      </c>
      <c r="G185" s="511"/>
      <c r="H185" s="351">
        <f>+'4 - Cost Support'!T144</f>
        <v>0</v>
      </c>
    </row>
    <row r="186" spans="1:8">
      <c r="A186" s="347">
        <f>+A185+1</f>
        <v>103</v>
      </c>
      <c r="B186" s="347"/>
      <c r="C186" s="399" t="s">
        <v>122</v>
      </c>
      <c r="D186" s="462"/>
      <c r="E186" s="400" t="str">
        <f t="shared" si="3"/>
        <v>(Note K)</v>
      </c>
      <c r="F186" s="354" t="str">
        <f>"(Attachment 4, Line "&amp;'4 - Cost Support'!A145&amp;")"</f>
        <v>(Attachment 4, Line 63)</v>
      </c>
      <c r="G186" s="511"/>
      <c r="H186" s="354">
        <f>+'4 - Cost Support'!T145</f>
        <v>0</v>
      </c>
    </row>
    <row r="187" spans="1:8" ht="40.5">
      <c r="A187" s="347">
        <f>+A186+1</f>
        <v>104</v>
      </c>
      <c r="B187" s="347"/>
      <c r="C187" s="231" t="s">
        <v>123</v>
      </c>
      <c r="F187" s="308" t="str">
        <f>"(Line "&amp;A178&amp;" + "&amp;A180&amp;" + "&amp;A181&amp;" + "&amp;A182&amp;" + "&amp;A183&amp;" + "&amp;A184&amp;" + "&amp;A185&amp;" + "&amp;A186&amp;")"</f>
        <v>(Line 96 + 97 + 98 + 99 + 100 + 101 + 102 + 103)</v>
      </c>
      <c r="H187" s="351">
        <f>+SUM(H178:H186)</f>
        <v>-858052813.22500002</v>
      </c>
    </row>
    <row r="188" spans="1:8">
      <c r="A188" s="347"/>
      <c r="B188" s="347"/>
      <c r="C188" s="231"/>
      <c r="F188" s="308"/>
      <c r="H188" s="351"/>
    </row>
    <row r="189" spans="1:8">
      <c r="A189" s="347"/>
      <c r="B189" s="347"/>
      <c r="C189" s="231" t="s">
        <v>124</v>
      </c>
      <c r="F189" s="308"/>
      <c r="H189" s="351"/>
    </row>
    <row r="190" spans="1:8">
      <c r="A190" s="347">
        <f>+A187+1</f>
        <v>105</v>
      </c>
      <c r="B190" s="347"/>
      <c r="C190" s="231" t="s">
        <v>125</v>
      </c>
      <c r="F190" s="351" t="str">
        <f>+"(Line "&amp;A178&amp;")"</f>
        <v>(Line 96)</v>
      </c>
      <c r="H190" s="351">
        <f>+H178</f>
        <v>-869548343</v>
      </c>
    </row>
    <row r="191" spans="1:8">
      <c r="A191" s="347">
        <f t="shared" ref="A191" si="4">+A190+1</f>
        <v>106</v>
      </c>
      <c r="B191" s="347"/>
      <c r="C191" s="231" t="s">
        <v>126</v>
      </c>
      <c r="E191" s="392"/>
      <c r="F191" s="351" t="str">
        <f>+"(Line "&amp;A174&amp;")"</f>
        <v>(Line 93)</v>
      </c>
      <c r="H191" s="351">
        <f>+'4 - Cost Support'!T146</f>
        <v>0</v>
      </c>
    </row>
    <row r="192" spans="1:8">
      <c r="A192" s="347">
        <f t="shared" si="1"/>
        <v>107</v>
      </c>
      <c r="B192" s="347"/>
      <c r="C192" s="231" t="s">
        <v>109</v>
      </c>
      <c r="E192" s="392"/>
      <c r="F192" s="354" t="str">
        <f>+"(Line "&amp;A176&amp;")"</f>
        <v>(Line 95)</v>
      </c>
      <c r="H192" s="351">
        <f>H176</f>
        <v>-887923103</v>
      </c>
    </row>
    <row r="193" spans="1:8">
      <c r="A193" s="347">
        <f t="shared" si="1"/>
        <v>108</v>
      </c>
      <c r="B193" s="347"/>
      <c r="C193" s="418" t="s">
        <v>127</v>
      </c>
      <c r="D193" s="393"/>
      <c r="E193" s="401"/>
      <c r="F193" s="351" t="str">
        <f>"(Line "&amp;A190&amp;" + Line"&amp;A191&amp;" + Line "&amp;A192&amp;")"</f>
        <v>(Line 105 + Line106 + Line 107)</v>
      </c>
      <c r="G193" s="514"/>
      <c r="H193" s="352">
        <f>+H190+H191+H192</f>
        <v>-1757471446</v>
      </c>
    </row>
    <row r="194" spans="1:8">
      <c r="A194" s="347"/>
      <c r="B194" s="347"/>
      <c r="G194" s="511"/>
      <c r="H194" s="355"/>
    </row>
    <row r="195" spans="1:8">
      <c r="A195" s="347">
        <f>+A193+1</f>
        <v>109</v>
      </c>
      <c r="B195" s="347"/>
      <c r="C195" s="32" t="s">
        <v>128</v>
      </c>
      <c r="D195" s="306" t="s">
        <v>129</v>
      </c>
      <c r="E195" s="392"/>
      <c r="F195" s="351" t="str">
        <f>"(Line "&amp;A190&amp;" / Line "&amp;A193&amp;")"</f>
        <v>(Line 105 / Line 108)</v>
      </c>
      <c r="G195" s="511"/>
      <c r="H195" s="371">
        <f>+H190/H193</f>
        <v>0.49477238732901724</v>
      </c>
    </row>
    <row r="196" spans="1:8">
      <c r="A196" s="347">
        <f>+A195+1</f>
        <v>110</v>
      </c>
      <c r="B196" s="347"/>
      <c r="C196" s="32" t="s">
        <v>130</v>
      </c>
      <c r="D196" s="306" t="s">
        <v>126</v>
      </c>
      <c r="E196" s="392"/>
      <c r="F196" s="351" t="str">
        <f>"(Line "&amp;A191&amp;" / Line "&amp;A193&amp;")"</f>
        <v>(Line 106 / Line 108)</v>
      </c>
      <c r="G196" s="511"/>
      <c r="H196" s="371">
        <f>+H191/H193</f>
        <v>0</v>
      </c>
    </row>
    <row r="197" spans="1:8">
      <c r="A197" s="347">
        <f>+A196+1</f>
        <v>111</v>
      </c>
      <c r="B197" s="347"/>
      <c r="C197" s="32" t="s">
        <v>131</v>
      </c>
      <c r="D197" s="306" t="s">
        <v>109</v>
      </c>
      <c r="E197" s="392"/>
      <c r="F197" s="351" t="str">
        <f>"(Line "&amp;A192&amp;" / Line "&amp;A193&amp;")"</f>
        <v>(Line 107 / Line 108)</v>
      </c>
      <c r="G197" s="511"/>
      <c r="H197" s="371">
        <f>+H192/H193</f>
        <v>0.50522761267098282</v>
      </c>
    </row>
    <row r="198" spans="1:8">
      <c r="A198" s="347"/>
      <c r="B198" s="347"/>
      <c r="C198" s="431"/>
      <c r="F198" s="351"/>
      <c r="G198" s="511"/>
      <c r="H198" s="357"/>
    </row>
    <row r="199" spans="1:8">
      <c r="A199" s="347">
        <f>+A197+1</f>
        <v>112</v>
      </c>
      <c r="B199" s="347"/>
      <c r="C199" s="431" t="s">
        <v>132</v>
      </c>
      <c r="D199" s="306" t="s">
        <v>129</v>
      </c>
      <c r="F199" s="351" t="str">
        <f>"(Line "&amp;A167&amp;" / Line "&amp;A187&amp;")"</f>
        <v>(Line 89 / Line 104)</v>
      </c>
      <c r="G199" s="511"/>
      <c r="H199" s="371">
        <f>+H167/H187*-1</f>
        <v>3.8864427091220906E-2</v>
      </c>
    </row>
    <row r="200" spans="1:8">
      <c r="A200" s="347">
        <f>+A199+1</f>
        <v>113</v>
      </c>
      <c r="B200" s="347"/>
      <c r="C200" s="431" t="s">
        <v>133</v>
      </c>
      <c r="D200" s="306" t="s">
        <v>126</v>
      </c>
      <c r="F200" s="351" t="str">
        <f>"(Line "&amp;A169&amp;" / Line "&amp;A191&amp;")"</f>
        <v>(Line 90 / Line 106)</v>
      </c>
      <c r="G200" s="511"/>
      <c r="H200" s="371">
        <f>+IF(H191=0,0,H169/H191)</f>
        <v>0</v>
      </c>
    </row>
    <row r="201" spans="1:8">
      <c r="A201" s="347">
        <f>+A200+1</f>
        <v>114</v>
      </c>
      <c r="B201" s="347"/>
      <c r="C201" s="431" t="s">
        <v>134</v>
      </c>
      <c r="D201" s="306" t="s">
        <v>109</v>
      </c>
      <c r="E201" s="392" t="str">
        <f>"(Note "&amp;B$303&amp;")"</f>
        <v>(Note G)</v>
      </c>
      <c r="F201" s="351" t="s">
        <v>135</v>
      </c>
      <c r="G201" s="511"/>
      <c r="H201" s="481">
        <v>9.8500000000000004E-2</v>
      </c>
    </row>
    <row r="202" spans="1:8">
      <c r="A202" s="347"/>
      <c r="B202" s="347"/>
      <c r="C202" s="431"/>
      <c r="F202" s="351"/>
      <c r="G202" s="511"/>
      <c r="H202" s="411"/>
    </row>
    <row r="203" spans="1:8">
      <c r="A203" s="347">
        <f>+A201+1</f>
        <v>115</v>
      </c>
      <c r="B203" s="347"/>
      <c r="C203" s="32" t="s">
        <v>136</v>
      </c>
      <c r="D203" s="306" t="s">
        <v>137</v>
      </c>
      <c r="F203" s="351" t="str">
        <f>"(Line "&amp;A195&amp;" * Line "&amp;A199&amp;")"</f>
        <v>(Line 109 * Line 112)</v>
      </c>
      <c r="G203" s="504"/>
      <c r="H203" s="371">
        <f>H195*H199</f>
        <v>1.9229045374097902E-2</v>
      </c>
    </row>
    <row r="204" spans="1:8">
      <c r="A204" s="347">
        <f>+A203+1</f>
        <v>116</v>
      </c>
      <c r="B204" s="347"/>
      <c r="C204" s="32" t="s">
        <v>138</v>
      </c>
      <c r="D204" s="306" t="s">
        <v>126</v>
      </c>
      <c r="F204" s="351" t="str">
        <f>"(Line "&amp;A196&amp;" * Line "&amp;A200&amp;")"</f>
        <v>(Line 110 * Line 113)</v>
      </c>
      <c r="H204" s="371">
        <f>H196*H200</f>
        <v>0</v>
      </c>
    </row>
    <row r="205" spans="1:8">
      <c r="A205" s="347">
        <f>+A204+1</f>
        <v>117</v>
      </c>
      <c r="B205" s="200"/>
      <c r="C205" s="405" t="s">
        <v>139</v>
      </c>
      <c r="D205" s="399" t="s">
        <v>109</v>
      </c>
      <c r="E205" s="200"/>
      <c r="F205" s="354" t="str">
        <f>"(Line "&amp;A197&amp;" * Line "&amp;A201&amp;")"</f>
        <v>(Line 111 * Line 114)</v>
      </c>
      <c r="G205" s="513"/>
      <c r="H205" s="468">
        <f>H197*H201</f>
        <v>4.976491984809181E-2</v>
      </c>
    </row>
    <row r="206" spans="1:8" s="231" customFormat="1">
      <c r="A206" s="347">
        <f>+A205+1</f>
        <v>118</v>
      </c>
      <c r="B206" s="231" t="s">
        <v>140</v>
      </c>
      <c r="E206" s="345"/>
      <c r="F206" s="351" t="str">
        <f>"(Lines "&amp;A203&amp;" + "&amp;A204&amp;" + "&amp;A205&amp;")"</f>
        <v>(Lines 115 + 116 + 117)</v>
      </c>
      <c r="G206" s="504"/>
      <c r="H206" s="469">
        <f>SUM(H203:H205)</f>
        <v>6.8993965222189715E-2</v>
      </c>
    </row>
    <row r="207" spans="1:8" s="231" customFormat="1">
      <c r="A207" s="345"/>
      <c r="B207" s="345"/>
      <c r="E207" s="345"/>
      <c r="F207" s="430"/>
      <c r="G207" s="504"/>
      <c r="H207" s="470"/>
    </row>
    <row r="208" spans="1:8" ht="21" thickBot="1">
      <c r="A208" s="347">
        <f>+A206+1</f>
        <v>119</v>
      </c>
      <c r="B208" s="432" t="s">
        <v>141</v>
      </c>
      <c r="C208" s="425"/>
      <c r="D208" s="420"/>
      <c r="E208" s="433"/>
      <c r="F208" s="366" t="str">
        <f>"(Line "&amp;A114&amp;" * Line "&amp;A206&amp;")"</f>
        <v>(Line 59 * Line 118)</v>
      </c>
      <c r="G208" s="505"/>
      <c r="H208" s="465">
        <f>H114*H206</f>
        <v>29119694.875671484</v>
      </c>
    </row>
    <row r="209" spans="1:8">
      <c r="A209" s="388" t="s">
        <v>142</v>
      </c>
      <c r="B209" s="389"/>
      <c r="C209" s="423"/>
      <c r="D209" s="356"/>
      <c r="E209" s="429"/>
      <c r="F209" s="356"/>
      <c r="G209" s="510"/>
      <c r="H209" s="349"/>
    </row>
    <row r="210" spans="1:8">
      <c r="A210" s="347" t="s">
        <v>143</v>
      </c>
      <c r="B210" s="434" t="s">
        <v>144</v>
      </c>
      <c r="E210" s="355"/>
      <c r="F210" s="351"/>
      <c r="G210" s="515"/>
    </row>
    <row r="211" spans="1:8">
      <c r="A211" s="347">
        <f>+A208+1</f>
        <v>120</v>
      </c>
      <c r="B211" s="347"/>
      <c r="C211" s="306" t="s">
        <v>145</v>
      </c>
      <c r="E211" s="392"/>
      <c r="H211" s="370">
        <v>0.21</v>
      </c>
    </row>
    <row r="212" spans="1:8">
      <c r="A212" s="347">
        <f>+A211+1</f>
        <v>121</v>
      </c>
      <c r="B212" s="347"/>
      <c r="C212" s="306" t="s">
        <v>146</v>
      </c>
      <c r="D212" s="435"/>
      <c r="F212" s="351" t="str">
        <f>"(Attachment 4, Line "&amp;'4 - Cost Support'!A153&amp;")"</f>
        <v>(Attachment 4, Line 65)</v>
      </c>
      <c r="H212" s="372">
        <f>+'4 - Cost Support'!S153</f>
        <v>0</v>
      </c>
    </row>
    <row r="213" spans="1:8">
      <c r="A213" s="347">
        <f>+A212+1</f>
        <v>122</v>
      </c>
      <c r="B213" s="347"/>
      <c r="C213" s="306" t="s">
        <v>147</v>
      </c>
      <c r="D213" s="435"/>
      <c r="F213" s="351" t="str">
        <f>"(Attachment 4, Line "&amp;'4 - Cost Support'!A154&amp;")"</f>
        <v>(Attachment 4, Line 66)</v>
      </c>
      <c r="H213" s="372">
        <f>+'4 - Cost Support'!S154</f>
        <v>1.77E-2</v>
      </c>
    </row>
    <row r="214" spans="1:8">
      <c r="A214" s="347">
        <f>+A213+1</f>
        <v>123</v>
      </c>
      <c r="B214" s="347"/>
      <c r="C214" s="306" t="s">
        <v>148</v>
      </c>
      <c r="D214" s="306" t="s">
        <v>149</v>
      </c>
      <c r="F214" s="306" t="s">
        <v>150</v>
      </c>
      <c r="H214" s="370">
        <v>0</v>
      </c>
    </row>
    <row r="215" spans="1:8">
      <c r="A215" s="347">
        <f>+A214+1</f>
        <v>124</v>
      </c>
      <c r="B215" s="347"/>
      <c r="C215" s="306" t="s">
        <v>151</v>
      </c>
      <c r="D215" s="436" t="s">
        <v>152</v>
      </c>
      <c r="H215" s="371">
        <f>+H211+H212+H213-(H212+H213)*H211-(H211*H214*H212)</f>
        <v>0.22398299999999999</v>
      </c>
    </row>
    <row r="216" spans="1:8">
      <c r="A216" s="347">
        <f>A215+1</f>
        <v>125</v>
      </c>
      <c r="C216" s="306" t="s">
        <v>153</v>
      </c>
      <c r="E216" s="306"/>
      <c r="H216" s="372">
        <f>H215/(1-H215)</f>
        <v>0.28863156348378965</v>
      </c>
    </row>
    <row r="217" spans="1:8">
      <c r="A217" s="347">
        <f>+A216+1</f>
        <v>126</v>
      </c>
      <c r="C217" s="306" t="s">
        <v>154</v>
      </c>
      <c r="E217" s="306"/>
      <c r="H217" s="372">
        <f>1/(1-H215)</f>
        <v>1.2886315634837897</v>
      </c>
    </row>
    <row r="218" spans="1:8">
      <c r="A218" s="347"/>
      <c r="B218" s="347"/>
      <c r="E218" s="407"/>
      <c r="G218" s="515"/>
      <c r="H218" s="371"/>
    </row>
    <row r="219" spans="1:8">
      <c r="A219" s="347"/>
      <c r="B219" s="434" t="s">
        <v>155</v>
      </c>
      <c r="E219" s="392"/>
      <c r="G219" s="515"/>
      <c r="H219" s="372"/>
    </row>
    <row r="220" spans="1:8">
      <c r="A220" s="347">
        <f>+A217+1</f>
        <v>127</v>
      </c>
      <c r="B220" s="347"/>
      <c r="C220" s="306" t="s">
        <v>156</v>
      </c>
      <c r="D220" s="355"/>
      <c r="E220" s="392"/>
      <c r="F220" s="351" t="str">
        <f>"(Attachment 4, Line "&amp;'4 - Cost Support'!A161&amp;")"</f>
        <v>(Attachment 4, Line 68)</v>
      </c>
      <c r="G220" s="515"/>
      <c r="H220" s="351">
        <f>'4 - Cost Support'!S161</f>
        <v>-1248</v>
      </c>
    </row>
    <row r="221" spans="1:8">
      <c r="A221" s="347">
        <f t="shared" ref="A221:A226" si="5">+A220+1</f>
        <v>128</v>
      </c>
      <c r="B221" s="347"/>
      <c r="C221" s="306" t="s">
        <v>157</v>
      </c>
      <c r="D221" s="355"/>
      <c r="E221" s="392"/>
      <c r="F221" s="351" t="str">
        <f>"(Attachment 4, Line "&amp;'4 - Cost Support'!A160&amp;")"</f>
        <v>(Attachment 4, Line 67)</v>
      </c>
      <c r="G221" s="515"/>
      <c r="H221" s="351">
        <f>'4 - Cost Support'!S160</f>
        <v>-27167</v>
      </c>
    </row>
    <row r="222" spans="1:8">
      <c r="A222" s="347">
        <f t="shared" si="5"/>
        <v>129</v>
      </c>
      <c r="B222" s="347"/>
      <c r="C222" s="405" t="s">
        <v>28</v>
      </c>
      <c r="D222" s="405"/>
      <c r="E222" s="200"/>
      <c r="F222" s="399" t="str">
        <f>"(Line "&amp;A$16&amp;")"</f>
        <v>(Line 5)</v>
      </c>
      <c r="G222" s="513"/>
      <c r="H222" s="361">
        <f>+H16</f>
        <v>0.11010683301047983</v>
      </c>
    </row>
    <row r="223" spans="1:8">
      <c r="A223" s="347">
        <f t="shared" si="5"/>
        <v>130</v>
      </c>
      <c r="B223" s="347"/>
      <c r="C223" s="306" t="s">
        <v>158</v>
      </c>
      <c r="F223" s="351" t="str">
        <f>"(Line "&amp;A221&amp;" * Line "&amp;A222&amp;")"</f>
        <v>(Line 128 * Line 129)</v>
      </c>
      <c r="G223" s="511"/>
      <c r="H223" s="357">
        <f>+H221*H222</f>
        <v>-2991.2723323957052</v>
      </c>
    </row>
    <row r="224" spans="1:8">
      <c r="A224" s="347">
        <f t="shared" si="5"/>
        <v>131</v>
      </c>
      <c r="B224" s="347"/>
      <c r="C224" s="306" t="s">
        <v>159</v>
      </c>
      <c r="F224" s="351" t="str">
        <f>"(Line "&amp;A220&amp;" + Line "&amp;A223&amp;")"</f>
        <v>(Line 127 + Line 130)</v>
      </c>
      <c r="G224" s="511"/>
      <c r="H224" s="357">
        <f>+H220+H223</f>
        <v>-4239.2723323957052</v>
      </c>
    </row>
    <row r="225" spans="1:8">
      <c r="A225" s="347">
        <f t="shared" si="5"/>
        <v>132</v>
      </c>
      <c r="B225" s="347"/>
      <c r="C225" s="399" t="s">
        <v>154</v>
      </c>
      <c r="D225" s="399"/>
      <c r="E225" s="200"/>
      <c r="F225" s="399" t="str">
        <f>"(Line "&amp;A217&amp;")"</f>
        <v>(Line 126)</v>
      </c>
      <c r="G225" s="516"/>
      <c r="H225" s="459">
        <f>+H217</f>
        <v>1.2886315634837897</v>
      </c>
    </row>
    <row r="226" spans="1:8">
      <c r="A226" s="347">
        <f t="shared" si="5"/>
        <v>133</v>
      </c>
      <c r="B226" s="347"/>
      <c r="C226" s="387" t="s">
        <v>160</v>
      </c>
      <c r="E226" s="392"/>
      <c r="F226" s="351" t="str">
        <f>"(Line "&amp;A224&amp;" * Line "&amp;A225&amp;")"</f>
        <v>(Line 131 * Line 132)</v>
      </c>
      <c r="G226" s="511"/>
      <c r="H226" s="362">
        <f>+H224*H225</f>
        <v>-5462.8601337286491</v>
      </c>
    </row>
    <row r="227" spans="1:8">
      <c r="A227" s="347"/>
      <c r="B227" s="347"/>
      <c r="C227" s="387"/>
      <c r="E227" s="392"/>
      <c r="F227" s="351"/>
      <c r="G227" s="511"/>
      <c r="H227" s="362"/>
    </row>
    <row r="228" spans="1:8">
      <c r="A228" s="347"/>
      <c r="B228" s="387" t="s">
        <v>161</v>
      </c>
      <c r="C228" s="387"/>
      <c r="E228" s="392"/>
      <c r="F228" s="351"/>
      <c r="G228" s="511"/>
      <c r="H228" s="362"/>
    </row>
    <row r="229" spans="1:8">
      <c r="A229" s="347">
        <f>+A226+1</f>
        <v>134</v>
      </c>
      <c r="B229" s="347"/>
      <c r="C229" s="306" t="s">
        <v>161</v>
      </c>
      <c r="D229" s="355"/>
      <c r="E229" s="392"/>
      <c r="F229" s="351" t="str">
        <f>"(Attachment 4, Line "&amp;'4 - Cost Support'!A162&amp;")"</f>
        <v>(Attachment 4, Line 69)</v>
      </c>
      <c r="G229" s="515"/>
      <c r="H229" s="351">
        <f>+'4 - Cost Support'!S162</f>
        <v>329354.96000000002</v>
      </c>
    </row>
    <row r="230" spans="1:8">
      <c r="A230" s="347">
        <f>+A229+1</f>
        <v>135</v>
      </c>
      <c r="B230" s="347"/>
      <c r="C230" s="32" t="s">
        <v>162</v>
      </c>
      <c r="D230" s="355"/>
      <c r="E230" s="392"/>
      <c r="F230" s="351" t="str">
        <f>"(Line "&amp;A215&amp;" * Line "&amp;A229&amp;")"</f>
        <v>(Line 124 * Line 134)</v>
      </c>
      <c r="G230" s="515"/>
      <c r="H230" s="351">
        <f>+H229*H215</f>
        <v>73769.912005680002</v>
      </c>
    </row>
    <row r="231" spans="1:8">
      <c r="A231" s="347">
        <f>+A230+1</f>
        <v>136</v>
      </c>
      <c r="B231" s="347"/>
      <c r="C231" s="306" t="s">
        <v>154</v>
      </c>
      <c r="E231" s="200"/>
      <c r="F231" s="399" t="str">
        <f>"(Line "&amp;A217&amp;")"</f>
        <v>(Line 126)</v>
      </c>
      <c r="G231" s="515"/>
      <c r="H231" s="372">
        <f>+H217</f>
        <v>1.2886315634837897</v>
      </c>
    </row>
    <row r="232" spans="1:8">
      <c r="A232" s="347">
        <f>+A231+1</f>
        <v>137</v>
      </c>
      <c r="B232" s="347"/>
      <c r="C232" s="437" t="s">
        <v>163</v>
      </c>
      <c r="D232" s="393"/>
      <c r="E232" s="392"/>
      <c r="F232" s="351" t="str">
        <f>"(Line "&amp;A230&amp;" * Line "&amp;A231&amp;")"</f>
        <v>(Line 135 * Line 136)</v>
      </c>
      <c r="G232" s="514"/>
      <c r="H232" s="365">
        <f>+H230*H231</f>
        <v>95062.237045941016</v>
      </c>
    </row>
    <row r="233" spans="1:8">
      <c r="A233" s="347"/>
      <c r="B233" s="347"/>
      <c r="C233" s="387"/>
      <c r="E233" s="392"/>
      <c r="F233" s="351"/>
      <c r="G233" s="511"/>
      <c r="H233" s="362"/>
    </row>
    <row r="234" spans="1:8">
      <c r="A234" s="347"/>
      <c r="B234" s="387" t="s">
        <v>164</v>
      </c>
      <c r="C234" s="387"/>
      <c r="E234" s="392"/>
      <c r="F234" s="351"/>
      <c r="G234" s="511"/>
      <c r="H234" s="362"/>
    </row>
    <row r="235" spans="1:8">
      <c r="A235" s="347">
        <f>+A232+1</f>
        <v>138</v>
      </c>
      <c r="B235" s="347"/>
      <c r="C235" s="32" t="s">
        <v>165</v>
      </c>
      <c r="E235" s="392" t="str">
        <f>"(Note "&amp;B310&amp;")"</f>
        <v>(Note N)</v>
      </c>
      <c r="F235" s="351" t="str">
        <f>"(Attachment 4, Line "&amp;'4 - Cost Support'!A203&amp;")"</f>
        <v>(Attachment 4, Line 78)</v>
      </c>
      <c r="G235" s="519"/>
      <c r="H235" s="357">
        <f>+'4 - Cost Support'!R203</f>
        <v>-2735614.6613900829</v>
      </c>
    </row>
    <row r="236" spans="1:8">
      <c r="A236" s="347">
        <f>+A235+1</f>
        <v>139</v>
      </c>
      <c r="B236" s="347"/>
      <c r="C236" s="306" t="s">
        <v>154</v>
      </c>
      <c r="E236" s="400"/>
      <c r="F236" s="399" t="str">
        <f>+F225</f>
        <v>(Line 126)</v>
      </c>
      <c r="G236" s="515"/>
      <c r="H236" s="372">
        <f>+H217</f>
        <v>1.2886315634837897</v>
      </c>
    </row>
    <row r="237" spans="1:8">
      <c r="A237" s="347">
        <f>+A236+1</f>
        <v>140</v>
      </c>
      <c r="B237" s="347"/>
      <c r="C237" s="437" t="s">
        <v>166</v>
      </c>
      <c r="D237" s="393"/>
      <c r="E237" s="392"/>
      <c r="F237" s="351" t="str">
        <f>"(Line "&amp;A235&amp;" * Line "&amp;A236&amp;")"</f>
        <v>(Line 138 * Line 139)</v>
      </c>
      <c r="G237" s="514"/>
      <c r="H237" s="365">
        <f>+H235*H236</f>
        <v>-3525199.3981962805</v>
      </c>
    </row>
    <row r="238" spans="1:8" ht="67.5" customHeight="1">
      <c r="A238" s="347">
        <f>+A237+1</f>
        <v>141</v>
      </c>
      <c r="B238" s="231" t="s">
        <v>167</v>
      </c>
      <c r="D238" s="308" t="s">
        <v>168</v>
      </c>
      <c r="E238" s="355"/>
      <c r="F238" s="476" t="str">
        <f>"(Line "&amp;A216&amp;" * Line "&amp;A114&amp;" * (Line "&amp;A204&amp;" + Line "&amp;A205&amp;"))"</f>
        <v>(Line 125 * Line 59 * (Line 116 + Line 117))</v>
      </c>
      <c r="H238" s="362">
        <f>+H216*H114*(H204+H205)</f>
        <v>6062375.6755370712</v>
      </c>
    </row>
    <row r="239" spans="1:8" ht="21" thickBot="1">
      <c r="A239" s="347">
        <f>+A238+1</f>
        <v>142</v>
      </c>
      <c r="B239" s="438" t="s">
        <v>169</v>
      </c>
      <c r="C239" s="438"/>
      <c r="D239" s="395"/>
      <c r="E239" s="406"/>
      <c r="F239" s="439" t="str">
        <f>"(Line "&amp;A226&amp;" + Line "&amp;A232&amp;" + Line "&amp;A237&amp;" + Line "&amp;A238&amp;")"</f>
        <v>(Line 133 + Line 137 + Line 140 + Line 141)</v>
      </c>
      <c r="G239" s="506"/>
      <c r="H239" s="464">
        <f>H226+H232+H237+H238</f>
        <v>2626775.6542530032</v>
      </c>
    </row>
    <row r="240" spans="1:8" ht="21" thickTop="1">
      <c r="A240" s="347"/>
      <c r="B240" s="347"/>
      <c r="C240" s="436"/>
      <c r="F240" s="357"/>
      <c r="G240" s="515"/>
      <c r="H240" s="369"/>
    </row>
    <row r="241" spans="1:8">
      <c r="A241" s="388" t="s">
        <v>170</v>
      </c>
      <c r="B241" s="389"/>
      <c r="C241" s="423"/>
      <c r="D241" s="356"/>
      <c r="E241" s="390"/>
      <c r="F241" s="356"/>
      <c r="G241" s="510"/>
      <c r="H241" s="349"/>
    </row>
    <row r="242" spans="1:8">
      <c r="A242" s="347"/>
      <c r="H242" s="480"/>
    </row>
    <row r="243" spans="1:8">
      <c r="A243" s="347"/>
      <c r="B243" s="231" t="s">
        <v>171</v>
      </c>
    </row>
    <row r="244" spans="1:8">
      <c r="A244" s="347">
        <f>+A239+1</f>
        <v>143</v>
      </c>
      <c r="C244" s="306" t="s">
        <v>172</v>
      </c>
      <c r="F244" s="351" t="str">
        <f>"(Line "&amp;A57&amp;")"</f>
        <v>(Line 29)</v>
      </c>
      <c r="H244" s="357">
        <f>H57</f>
        <v>427438876.57330608</v>
      </c>
    </row>
    <row r="245" spans="1:8">
      <c r="A245" s="347">
        <f>+A244+1</f>
        <v>144</v>
      </c>
      <c r="C245" s="306" t="s">
        <v>74</v>
      </c>
      <c r="F245" s="354" t="str">
        <f>"(Line "&amp;A112&amp;")"</f>
        <v>(Line 58)</v>
      </c>
      <c r="H245" s="357">
        <f>H112</f>
        <v>-5377399.4297071462</v>
      </c>
    </row>
    <row r="246" spans="1:8">
      <c r="A246" s="347">
        <f>+A245+1</f>
        <v>145</v>
      </c>
      <c r="B246" s="347"/>
      <c r="C246" s="418" t="s">
        <v>75</v>
      </c>
      <c r="D246" s="418"/>
      <c r="E246" s="440"/>
      <c r="F246" s="351" t="str">
        <f>"(Line "&amp;A114&amp;")"</f>
        <v>(Line 59)</v>
      </c>
      <c r="G246" s="500"/>
      <c r="H246" s="365">
        <f>SUM(H244:H245)</f>
        <v>422061477.14359891</v>
      </c>
    </row>
    <row r="247" spans="1:8">
      <c r="A247" s="347"/>
      <c r="B247" s="347"/>
      <c r="E247" s="355"/>
      <c r="H247" s="357"/>
    </row>
    <row r="248" spans="1:8">
      <c r="A248" s="347">
        <f>+A246+1</f>
        <v>146</v>
      </c>
      <c r="C248" s="306" t="s">
        <v>173</v>
      </c>
      <c r="F248" s="351" t="str">
        <f>"(Line "&amp;A144&amp;")"</f>
        <v>(Line 78)</v>
      </c>
      <c r="H248" s="357">
        <f>H144</f>
        <v>21617475.650604419</v>
      </c>
    </row>
    <row r="249" spans="1:8">
      <c r="A249" s="347">
        <f>+A248+1</f>
        <v>147</v>
      </c>
      <c r="C249" s="32" t="s">
        <v>101</v>
      </c>
      <c r="F249" s="351" t="str">
        <f>"(Line "&amp;A158&amp;")"</f>
        <v>(Line 86)</v>
      </c>
      <c r="H249" s="357">
        <f>H158</f>
        <v>13451164.642122729</v>
      </c>
    </row>
    <row r="250" spans="1:8">
      <c r="A250" s="347">
        <f>+A249+1</f>
        <v>148</v>
      </c>
      <c r="B250" s="347"/>
      <c r="C250" s="306" t="s">
        <v>174</v>
      </c>
      <c r="E250" s="355"/>
      <c r="F250" s="351" t="str">
        <f>"(Line "&amp;A164&amp;")"</f>
        <v>(Line 88)</v>
      </c>
      <c r="H250" s="357">
        <f>H164</f>
        <v>23569151.225293953</v>
      </c>
    </row>
    <row r="251" spans="1:8">
      <c r="A251" s="347">
        <f>+A250+1</f>
        <v>149</v>
      </c>
      <c r="B251" s="347"/>
      <c r="C251" s="436" t="s">
        <v>175</v>
      </c>
      <c r="E251" s="355"/>
      <c r="F251" s="351" t="str">
        <f>"(Line "&amp;A208&amp;")"</f>
        <v>(Line 119)</v>
      </c>
      <c r="H251" s="357">
        <f>H208</f>
        <v>29119694.875671484</v>
      </c>
    </row>
    <row r="252" spans="1:8">
      <c r="A252" s="347">
        <f>+A251+1</f>
        <v>150</v>
      </c>
      <c r="B252" s="347"/>
      <c r="C252" s="436" t="s">
        <v>176</v>
      </c>
      <c r="E252" s="355"/>
      <c r="F252" s="351" t="str">
        <f>"(Line "&amp;A239&amp;")"</f>
        <v>(Line 142)</v>
      </c>
      <c r="H252" s="357">
        <f>H239</f>
        <v>2626775.6542530032</v>
      </c>
    </row>
    <row r="253" spans="1:8">
      <c r="A253" s="347"/>
      <c r="B253" s="347"/>
      <c r="C253" s="436"/>
      <c r="E253" s="355"/>
      <c r="H253" s="357"/>
    </row>
    <row r="254" spans="1:8">
      <c r="A254" s="441">
        <f>+A252+1</f>
        <v>151</v>
      </c>
      <c r="B254" s="442"/>
      <c r="C254" s="443" t="s">
        <v>177</v>
      </c>
      <c r="D254" s="443"/>
      <c r="E254" s="494" t="str">
        <f>"(Note "&amp;B317&amp;")"</f>
        <v>(Note U)</v>
      </c>
      <c r="F254" s="444" t="str">
        <f>"(Sum Lines "&amp;A248&amp;" to "&amp;A252&amp;")"</f>
        <v>(Sum Lines 146 to 150)</v>
      </c>
      <c r="G254" s="517"/>
      <c r="H254" s="471">
        <f>SUM(H248:H252)</f>
        <v>90384262.047945589</v>
      </c>
    </row>
    <row r="255" spans="1:8">
      <c r="A255" s="345"/>
      <c r="B255" s="347"/>
      <c r="C255" s="231"/>
      <c r="D255" s="231"/>
      <c r="E255" s="445"/>
      <c r="F255" s="430"/>
      <c r="H255" s="362"/>
    </row>
    <row r="256" spans="1:8">
      <c r="A256" s="345"/>
      <c r="B256" s="387" t="s">
        <v>178</v>
      </c>
      <c r="C256" s="231"/>
      <c r="D256" s="231"/>
      <c r="E256" s="445"/>
      <c r="F256" s="430"/>
      <c r="H256" s="362"/>
    </row>
    <row r="257" spans="1:9">
      <c r="A257" s="347">
        <f>+A254+1</f>
        <v>152</v>
      </c>
      <c r="B257" s="347"/>
      <c r="C257" s="306" t="str">
        <f>+C33</f>
        <v>Transmission Plant In Service</v>
      </c>
      <c r="D257" s="231"/>
      <c r="E257" s="445"/>
      <c r="F257" s="351" t="str">
        <f>"(Line "&amp;A33&amp;")"</f>
        <v>(Line 13)</v>
      </c>
      <c r="H257" s="357">
        <f>H33</f>
        <v>661769097.53846157</v>
      </c>
    </row>
    <row r="258" spans="1:9">
      <c r="A258" s="347">
        <f>+A257+1</f>
        <v>153</v>
      </c>
      <c r="B258" s="347"/>
      <c r="C258" s="399" t="s">
        <v>179</v>
      </c>
      <c r="D258" s="446"/>
      <c r="E258" s="400" t="str">
        <f>"(Note "&amp;B$297&amp;" &amp; "&amp;B$305&amp;")"</f>
        <v>(Note A &amp; I)</v>
      </c>
      <c r="F258" s="354" t="str">
        <f>"(Attachment 4, Line "&amp;'4 - Cost Support'!A168&amp;")"</f>
        <v>(Attachment 4, Line 70)</v>
      </c>
      <c r="G258" s="501"/>
      <c r="H258" s="360">
        <f>+'4 - Cost Support'!T168</f>
        <v>3187462.846153846</v>
      </c>
    </row>
    <row r="259" spans="1:9">
      <c r="A259" s="347">
        <f>+A258+1</f>
        <v>154</v>
      </c>
      <c r="B259" s="347"/>
      <c r="C259" s="306" t="s">
        <v>180</v>
      </c>
      <c r="D259" s="231"/>
      <c r="E259" s="445"/>
      <c r="F259" s="351" t="str">
        <f>"(Line "&amp;A257&amp;" - Line "&amp;A258&amp;")"</f>
        <v>(Line 152 - Line 153)</v>
      </c>
      <c r="H259" s="357">
        <f>H257-H258</f>
        <v>658581634.69230771</v>
      </c>
    </row>
    <row r="260" spans="1:9">
      <c r="A260" s="347">
        <f>+A259+1</f>
        <v>155</v>
      </c>
      <c r="B260" s="347"/>
      <c r="C260" s="306" t="s">
        <v>181</v>
      </c>
      <c r="D260" s="231"/>
      <c r="E260" s="445"/>
      <c r="F260" s="351" t="str">
        <f>"(Line "&amp;A259&amp;" / Line "&amp;A257&amp;")"</f>
        <v>(Line 154 / Line 152)</v>
      </c>
      <c r="H260" s="371">
        <f>H259/H257</f>
        <v>0.99518342144108862</v>
      </c>
      <c r="I260" s="372"/>
    </row>
    <row r="261" spans="1:9">
      <c r="A261" s="347">
        <f>+A260+1</f>
        <v>156</v>
      </c>
      <c r="B261" s="347"/>
      <c r="C261" s="399" t="s">
        <v>182</v>
      </c>
      <c r="D261" s="446"/>
      <c r="E261" s="447"/>
      <c r="F261" s="354" t="str">
        <f>"(Line "&amp;A254&amp;")"</f>
        <v>(Line 151)</v>
      </c>
      <c r="G261" s="501"/>
      <c r="H261" s="360">
        <f>H254</f>
        <v>90384262.047945589</v>
      </c>
    </row>
    <row r="262" spans="1:9">
      <c r="A262" s="347">
        <f>+A261+1</f>
        <v>157</v>
      </c>
      <c r="B262" s="347"/>
      <c r="C262" s="231" t="s">
        <v>183</v>
      </c>
      <c r="D262" s="231"/>
      <c r="E262" s="445"/>
      <c r="F262" s="351" t="str">
        <f>"(Line "&amp;A260&amp;" * Line "&amp;A261&amp;")"</f>
        <v>(Line 155 * Line 156)</v>
      </c>
      <c r="H262" s="362">
        <f>H260*H261</f>
        <v>89948919.149302423</v>
      </c>
    </row>
    <row r="263" spans="1:9">
      <c r="A263" s="409"/>
      <c r="B263" s="347"/>
      <c r="E263" s="355"/>
      <c r="H263" s="467"/>
    </row>
    <row r="264" spans="1:9">
      <c r="A264" s="409"/>
      <c r="B264" s="387" t="s">
        <v>184</v>
      </c>
      <c r="E264" s="355"/>
      <c r="H264" s="467"/>
    </row>
    <row r="265" spans="1:9">
      <c r="A265" s="347">
        <f>+A262+1</f>
        <v>158</v>
      </c>
      <c r="C265" s="387" t="s">
        <v>185</v>
      </c>
      <c r="D265" s="427"/>
      <c r="E265" s="392"/>
      <c r="F265" s="351" t="str">
        <f>"(Attachment 3, Line "&amp;'3 - Revenue Credits'!A34&amp;")"</f>
        <v>(Attachment 3, Line 17)</v>
      </c>
      <c r="H265" s="357">
        <f>+'3 - Revenue Credits'!D34</f>
        <v>-1107176</v>
      </c>
    </row>
    <row r="266" spans="1:9" ht="21" thickBot="1">
      <c r="A266" s="347"/>
      <c r="B266" s="347"/>
      <c r="F266" s="448"/>
      <c r="H266" s="467"/>
    </row>
    <row r="267" spans="1:9" s="231" customFormat="1" ht="21" thickBot="1">
      <c r="A267" s="449">
        <f>+A265+1</f>
        <v>159</v>
      </c>
      <c r="B267" s="450"/>
      <c r="C267" s="451" t="s">
        <v>186</v>
      </c>
      <c r="D267" s="373"/>
      <c r="E267" s="452"/>
      <c r="F267" s="373" t="str">
        <f>"(Line "&amp;A262&amp;" + Line "&amp;A265&amp;")"</f>
        <v>(Line 157 + Line 158)</v>
      </c>
      <c r="G267" s="507"/>
      <c r="H267" s="472">
        <f>H262+H265</f>
        <v>88841743.149302423</v>
      </c>
    </row>
    <row r="268" spans="1:9" s="231" customFormat="1">
      <c r="A268" s="345"/>
      <c r="C268" s="387"/>
      <c r="D268" s="430"/>
      <c r="E268" s="345"/>
      <c r="F268" s="430"/>
      <c r="G268" s="498"/>
      <c r="H268" s="362"/>
    </row>
    <row r="269" spans="1:9" s="231" customFormat="1">
      <c r="A269" s="388" t="s">
        <v>187</v>
      </c>
      <c r="B269" s="389"/>
      <c r="C269" s="423"/>
      <c r="D269" s="356"/>
      <c r="E269" s="390"/>
      <c r="F269" s="356"/>
      <c r="G269" s="510"/>
      <c r="H269" s="349"/>
    </row>
    <row r="270" spans="1:9">
      <c r="A270" s="409"/>
      <c r="B270" s="347"/>
      <c r="H270" s="467"/>
    </row>
    <row r="271" spans="1:9">
      <c r="A271" s="347"/>
      <c r="B271" s="231" t="s">
        <v>188</v>
      </c>
      <c r="H271" s="467"/>
    </row>
    <row r="272" spans="1:9">
      <c r="A272" s="347">
        <f>+A267+1</f>
        <v>160</v>
      </c>
      <c r="B272" s="347"/>
      <c r="C272" s="306" t="str">
        <f>+C261</f>
        <v>Gross Revenue Requirement</v>
      </c>
      <c r="F272" s="306" t="str">
        <f>"(Line "&amp;A254&amp;")"</f>
        <v>(Line 151)</v>
      </c>
      <c r="H272" s="362">
        <f>+H254</f>
        <v>90384262.047945589</v>
      </c>
    </row>
    <row r="273" spans="1:8">
      <c r="A273" s="347">
        <f>+A272+1</f>
        <v>161</v>
      </c>
      <c r="B273" s="347"/>
      <c r="C273" s="306" t="s">
        <v>189</v>
      </c>
      <c r="F273" s="306" t="str">
        <f>"(Line "&amp;A33&amp;" + Line "&amp;A46&amp;" + Line "&amp;A68&amp;")"</f>
        <v>(Line 13 + Line 21 + Line 32)</v>
      </c>
      <c r="H273" s="362">
        <f>+H33+H46+H68</f>
        <v>475488638</v>
      </c>
    </row>
    <row r="274" spans="1:8">
      <c r="A274" s="347">
        <f>+A273+1</f>
        <v>162</v>
      </c>
      <c r="B274" s="347"/>
      <c r="C274" s="306" t="s">
        <v>190</v>
      </c>
      <c r="F274" s="306" t="str">
        <f>"(Line "&amp;A272&amp;" / Line "&amp;A273&amp;")"</f>
        <v>(Line 160 / Line 161)</v>
      </c>
      <c r="H274" s="473">
        <f>H272/H273</f>
        <v>0.19008711212978677</v>
      </c>
    </row>
    <row r="275" spans="1:8">
      <c r="A275" s="347">
        <f>+A274+1</f>
        <v>163</v>
      </c>
      <c r="B275" s="347"/>
      <c r="C275" s="306" t="s">
        <v>191</v>
      </c>
      <c r="F275" s="306" t="str">
        <f>"(Line "&amp;A272&amp;" - Line "&amp;A149&amp;") / Line "&amp;A273</f>
        <v>(Line 160 - Line 79) / Line 161</v>
      </c>
      <c r="H275" s="473">
        <f>(H272-H149)/H273</f>
        <v>0.16296452923433596</v>
      </c>
    </row>
    <row r="276" spans="1:8">
      <c r="A276" s="347">
        <f>+A275+1</f>
        <v>164</v>
      </c>
      <c r="B276" s="347"/>
      <c r="C276" s="306" t="s">
        <v>192</v>
      </c>
      <c r="F276" s="306" t="str">
        <f>"(Line "&amp;A272&amp;" - Line "&amp;A149&amp;" - Line "&amp;A251&amp;" - Line "&amp;A252&amp;") / Line "&amp;A273</f>
        <v>(Line 160 - Line 79 - Line 149 - Line 150) / Line 161</v>
      </c>
      <c r="H276" s="473">
        <f>(H272-H149-H251-H252)/H273</f>
        <v>9.6198537383391902E-2</v>
      </c>
    </row>
    <row r="277" spans="1:8">
      <c r="A277" s="347"/>
      <c r="B277" s="347"/>
      <c r="H277" s="467"/>
    </row>
    <row r="278" spans="1:8">
      <c r="A278" s="347">
        <f>+A276+1</f>
        <v>165</v>
      </c>
      <c r="B278" s="347"/>
      <c r="C278" s="231" t="s">
        <v>186</v>
      </c>
      <c r="F278" s="306" t="str">
        <f>"(Line "&amp;A267&amp;")"</f>
        <v>(Line 159)</v>
      </c>
      <c r="H278" s="362">
        <f>H267</f>
        <v>88841743.149302423</v>
      </c>
    </row>
    <row r="279" spans="1:8">
      <c r="A279" s="347">
        <f t="shared" ref="A279:A284" si="6">+A278+1</f>
        <v>166</v>
      </c>
      <c r="B279" s="347"/>
      <c r="C279" s="306" t="s">
        <v>977</v>
      </c>
      <c r="E279" s="392" t="str">
        <f>"(Note "&amp;B$312&amp;")"</f>
        <v>(Note P)</v>
      </c>
      <c r="F279" s="351" t="str">
        <f>"(Attachment 6A, Line "&amp;'6A - NITS True-Up '!B40&amp;")"</f>
        <v>(Attachment 6A, Line E)</v>
      </c>
      <c r="H279" s="362">
        <v>0</v>
      </c>
    </row>
    <row r="280" spans="1:8">
      <c r="A280" s="347">
        <f t="shared" si="6"/>
        <v>167</v>
      </c>
      <c r="B280" s="347"/>
      <c r="C280" s="306" t="s">
        <v>193</v>
      </c>
      <c r="E280" s="392"/>
      <c r="F280" s="476" t="str">
        <f>"(Attachment 11, Line "&amp;'11 - Corrections'!A29&amp;")"</f>
        <v>(Attachment 11, Line 11)</v>
      </c>
      <c r="H280" s="362">
        <f>+'11 - Corrections'!J29</f>
        <v>0</v>
      </c>
    </row>
    <row r="281" spans="1:8">
      <c r="A281" s="347">
        <f t="shared" si="6"/>
        <v>168</v>
      </c>
      <c r="B281" s="347"/>
      <c r="C281" s="306" t="s">
        <v>194</v>
      </c>
      <c r="E281" s="392" t="str">
        <f>"(Note "&amp;B$313&amp;")"</f>
        <v>(Note Q)</v>
      </c>
      <c r="F281" s="351" t="str">
        <f>"(Attachment 7A, Line "&amp;'7A - Project ROE Adder'!A18&amp;")"</f>
        <v>(Attachment 7A, Line 9)</v>
      </c>
      <c r="H281" s="362">
        <f>+'7A - Project ROE Adder'!E18</f>
        <v>0</v>
      </c>
    </row>
    <row r="282" spans="1:8">
      <c r="A282" s="347">
        <f t="shared" si="6"/>
        <v>169</v>
      </c>
      <c r="B282" s="347"/>
      <c r="C282" s="306" t="s">
        <v>195</v>
      </c>
      <c r="E282" s="392" t="str">
        <f>"(Note "&amp;B$314&amp;")"</f>
        <v>(Note R)</v>
      </c>
      <c r="F282" s="530" t="str">
        <f>"(Attachment 7B, Line "&amp;'7B - Schedule 12 Projects'!A19&amp;")"</f>
        <v>(Attachment 7B, Line 8)</v>
      </c>
      <c r="H282" s="362">
        <f>+'7B - Schedule 12 Projects'!G19</f>
        <v>3681481.3215163136</v>
      </c>
    </row>
    <row r="283" spans="1:8">
      <c r="A283" s="347">
        <f t="shared" si="6"/>
        <v>170</v>
      </c>
      <c r="B283" s="347"/>
      <c r="C283" s="399" t="s">
        <v>196</v>
      </c>
      <c r="D283" s="461"/>
      <c r="E283" s="400" t="str">
        <f>"(Note "&amp;B$315&amp;")"</f>
        <v>(Note S)</v>
      </c>
      <c r="F283" s="354" t="str">
        <f>"(Attachment 4, Line "&amp;'4 - Cost Support'!A175</f>
        <v>(Attachment 4, Line 71</v>
      </c>
      <c r="G283" s="501"/>
      <c r="H283" s="474">
        <f>+'4 - Cost Support'!S175</f>
        <v>0</v>
      </c>
    </row>
    <row r="284" spans="1:8">
      <c r="A284" s="347">
        <f t="shared" si="6"/>
        <v>171</v>
      </c>
      <c r="B284" s="347"/>
      <c r="C284" s="231" t="s">
        <v>197</v>
      </c>
      <c r="F284" s="531" t="str">
        <f>"(Line "&amp;A278&amp;" + "&amp;A279&amp;" + "&amp;A280&amp;"+"&amp;A281&amp;" - "&amp;A282&amp;" + "&amp;A283&amp;")"</f>
        <v>(Line 165 + 166 + 167+168 - 169 + 170)</v>
      </c>
      <c r="G284" s="532"/>
      <c r="H284" s="533">
        <f>(H278+H279+H280 +H281-H282+H283)</f>
        <v>85160261.827786103</v>
      </c>
    </row>
    <row r="285" spans="1:8">
      <c r="A285" s="347"/>
      <c r="B285" s="347"/>
      <c r="H285" s="475"/>
    </row>
    <row r="286" spans="1:8">
      <c r="A286" s="347"/>
      <c r="B286" s="387" t="s">
        <v>198</v>
      </c>
      <c r="H286" s="475"/>
    </row>
    <row r="287" spans="1:8">
      <c r="A287" s="347">
        <f>+A284+1</f>
        <v>172</v>
      </c>
      <c r="B287" s="347"/>
      <c r="C287" s="306" t="s">
        <v>199</v>
      </c>
      <c r="E287" s="392" t="str">
        <f>"(Note "&amp;B$304&amp;")"</f>
        <v>(Note H)</v>
      </c>
      <c r="F287" s="351" t="str">
        <f>"(Attachment 4, Line "&amp;'4 - Cost Support'!A183&amp;")"</f>
        <v>(Attachment 4, Line 72)</v>
      </c>
      <c r="H287" s="520">
        <f>+'4 - Cost Support'!S183</f>
        <v>3329.9</v>
      </c>
    </row>
    <row r="288" spans="1:8">
      <c r="A288" s="347">
        <f>+A287+1</f>
        <v>173</v>
      </c>
      <c r="B288" s="347"/>
      <c r="C288" s="306" t="s">
        <v>200</v>
      </c>
      <c r="D288" s="376"/>
      <c r="E288" s="453"/>
      <c r="F288" s="351" t="str">
        <f>"(Line "&amp;A284&amp;" / "&amp;A287&amp;")"</f>
        <v>(Line 171 / 172)</v>
      </c>
      <c r="G288" s="518"/>
      <c r="H288" s="477">
        <f>H284/H287</f>
        <v>25574.420201143006</v>
      </c>
    </row>
    <row r="289" spans="1:8" ht="21" thickBot="1">
      <c r="A289" s="347"/>
      <c r="B289" s="347"/>
      <c r="E289" s="453"/>
      <c r="F289" s="375"/>
      <c r="G289" s="518"/>
      <c r="H289" s="374"/>
    </row>
    <row r="290" spans="1:8">
      <c r="A290" s="482">
        <f>+A288+1</f>
        <v>174</v>
      </c>
      <c r="B290" s="483"/>
      <c r="C290" s="484" t="s">
        <v>201</v>
      </c>
      <c r="D290" s="483"/>
      <c r="E290" s="483"/>
      <c r="F290" s="485" t="str">
        <f>"(Line "&amp;A288&amp;")"</f>
        <v>(Line 173)</v>
      </c>
      <c r="G290" s="508"/>
      <c r="H290" s="486">
        <f>H288</f>
        <v>25574.420201143006</v>
      </c>
    </row>
    <row r="291" spans="1:8">
      <c r="A291" s="487">
        <f>+A290+1</f>
        <v>175</v>
      </c>
      <c r="B291" s="345"/>
      <c r="C291" s="387" t="s">
        <v>202</v>
      </c>
      <c r="D291" s="345"/>
      <c r="E291" s="345"/>
      <c r="F291" s="32" t="str">
        <f>"(Line "&amp;A290&amp;" / 12)"</f>
        <v>(Line 174 / 12)</v>
      </c>
      <c r="H291" s="488">
        <f>+H290/12</f>
        <v>2131.2016834285837</v>
      </c>
    </row>
    <row r="292" spans="1:8">
      <c r="A292" s="487">
        <f t="shared" ref="A292:A293" si="7">+A291+1</f>
        <v>176</v>
      </c>
      <c r="B292" s="345"/>
      <c r="C292" s="387" t="s">
        <v>203</v>
      </c>
      <c r="D292" s="345"/>
      <c r="E292" s="345"/>
      <c r="F292" s="32" t="str">
        <f>"(Line "&amp;A290&amp;" / 52)"</f>
        <v>(Line 174 / 52)</v>
      </c>
      <c r="H292" s="488">
        <f>+H290/52</f>
        <v>491.81577309890395</v>
      </c>
    </row>
    <row r="293" spans="1:8">
      <c r="A293" s="487">
        <f t="shared" si="7"/>
        <v>177</v>
      </c>
      <c r="B293" s="345"/>
      <c r="C293" s="387" t="s">
        <v>204</v>
      </c>
      <c r="D293" s="345"/>
      <c r="E293" s="345"/>
      <c r="F293" s="32" t="str">
        <f>"(Line "&amp;A292&amp;" / 5)"</f>
        <v>(Line 176 / 5)</v>
      </c>
      <c r="H293" s="488">
        <f>+H292/5</f>
        <v>98.363154619780786</v>
      </c>
    </row>
    <row r="294" spans="1:8" ht="21" thickBot="1">
      <c r="A294" s="489">
        <f>+A293+1</f>
        <v>178</v>
      </c>
      <c r="B294" s="490"/>
      <c r="C294" s="491" t="s">
        <v>205</v>
      </c>
      <c r="D294" s="490"/>
      <c r="E294" s="490"/>
      <c r="F294" s="493" t="str">
        <f>"(Line "&amp;A292&amp;" / 7)"</f>
        <v>(Line 176 / 7)</v>
      </c>
      <c r="G294" s="509"/>
      <c r="H294" s="492">
        <f>+H292/7</f>
        <v>70.259396156986284</v>
      </c>
    </row>
    <row r="295" spans="1:8">
      <c r="A295" s="345"/>
      <c r="B295" s="345"/>
      <c r="C295" s="387"/>
      <c r="D295" s="345"/>
      <c r="E295" s="345"/>
      <c r="F295" s="345"/>
      <c r="H295" s="477"/>
    </row>
    <row r="296" spans="1:8">
      <c r="A296" s="388" t="s">
        <v>3</v>
      </c>
      <c r="B296" s="389"/>
      <c r="C296" s="423"/>
      <c r="D296" s="356"/>
      <c r="E296" s="390"/>
      <c r="F296" s="356"/>
      <c r="G296" s="510"/>
      <c r="H296" s="349"/>
    </row>
    <row r="297" spans="1:8" ht="46.5" customHeight="1">
      <c r="A297" s="345"/>
      <c r="B297" s="347" t="s">
        <v>206</v>
      </c>
      <c r="C297" s="306" t="s">
        <v>207</v>
      </c>
      <c r="E297" s="453"/>
      <c r="F297" s="375"/>
      <c r="G297" s="518"/>
      <c r="H297" s="480"/>
    </row>
    <row r="298" spans="1:8" ht="38.25" customHeight="1">
      <c r="A298" s="345"/>
      <c r="B298" s="495" t="s">
        <v>208</v>
      </c>
      <c r="C298" s="649" t="s">
        <v>209</v>
      </c>
      <c r="D298" s="649"/>
      <c r="E298" s="649"/>
      <c r="F298" s="649"/>
      <c r="G298" s="649"/>
      <c r="H298" s="649"/>
    </row>
    <row r="299" spans="1:8" ht="28.15" customHeight="1">
      <c r="A299" s="345"/>
      <c r="B299" s="495" t="s">
        <v>210</v>
      </c>
      <c r="C299" s="306" t="s">
        <v>211</v>
      </c>
      <c r="E299" s="453"/>
      <c r="F299" s="375"/>
      <c r="G299" s="518"/>
      <c r="H299" s="374"/>
    </row>
    <row r="300" spans="1:8" ht="28.15" customHeight="1">
      <c r="A300" s="345"/>
      <c r="B300" s="495" t="s">
        <v>212</v>
      </c>
      <c r="C300" s="306" t="s">
        <v>213</v>
      </c>
      <c r="E300" s="453"/>
      <c r="F300" s="375"/>
      <c r="G300" s="518"/>
      <c r="H300" s="374"/>
    </row>
    <row r="301" spans="1:8" ht="38.25" customHeight="1">
      <c r="A301" s="345"/>
      <c r="B301" s="495" t="s">
        <v>214</v>
      </c>
      <c r="C301" s="649" t="s">
        <v>215</v>
      </c>
      <c r="D301" s="649"/>
      <c r="E301" s="649"/>
      <c r="F301" s="649"/>
      <c r="G301" s="649"/>
      <c r="H301" s="649"/>
    </row>
    <row r="302" spans="1:8" ht="28.15" customHeight="1">
      <c r="A302" s="345"/>
      <c r="B302" s="495" t="s">
        <v>216</v>
      </c>
      <c r="C302" s="306" t="s">
        <v>217</v>
      </c>
      <c r="E302" s="453"/>
      <c r="F302" s="375"/>
      <c r="G302" s="518"/>
      <c r="H302" s="375"/>
    </row>
    <row r="303" spans="1:8" ht="192.75" customHeight="1">
      <c r="A303" s="345"/>
      <c r="B303" s="495" t="s">
        <v>218</v>
      </c>
      <c r="C303" s="649" t="s">
        <v>219</v>
      </c>
      <c r="D303" s="649"/>
      <c r="E303" s="649"/>
      <c r="F303" s="649"/>
      <c r="G303" s="649"/>
      <c r="H303" s="649"/>
    </row>
    <row r="304" spans="1:8" ht="65.25" customHeight="1">
      <c r="A304" s="345"/>
      <c r="B304" s="495" t="s">
        <v>220</v>
      </c>
      <c r="C304" s="649" t="s">
        <v>221</v>
      </c>
      <c r="D304" s="649"/>
      <c r="E304" s="649"/>
      <c r="F304" s="649"/>
      <c r="G304" s="649"/>
      <c r="H304" s="649"/>
    </row>
    <row r="305" spans="1:8" ht="28.15" customHeight="1">
      <c r="A305" s="347"/>
      <c r="B305" s="495" t="s">
        <v>222</v>
      </c>
      <c r="C305" s="306" t="s">
        <v>223</v>
      </c>
      <c r="E305" s="453"/>
      <c r="F305" s="375"/>
      <c r="G305" s="518"/>
      <c r="H305" s="374"/>
    </row>
    <row r="306" spans="1:8" ht="150.75" customHeight="1">
      <c r="A306" s="454"/>
      <c r="B306" s="495" t="s">
        <v>224</v>
      </c>
      <c r="C306" s="649" t="s">
        <v>225</v>
      </c>
      <c r="D306" s="649"/>
      <c r="E306" s="649"/>
      <c r="F306" s="649"/>
      <c r="G306" s="649"/>
      <c r="H306" s="649"/>
    </row>
    <row r="307" spans="1:8" ht="47.25" customHeight="1">
      <c r="B307" s="495" t="s">
        <v>226</v>
      </c>
      <c r="C307" s="649" t="s">
        <v>227</v>
      </c>
      <c r="D307" s="649"/>
      <c r="E307" s="649"/>
      <c r="F307" s="649"/>
      <c r="G307" s="649"/>
      <c r="H307" s="649"/>
    </row>
    <row r="308" spans="1:8" ht="28.15" customHeight="1">
      <c r="A308" s="345"/>
      <c r="B308" s="495" t="s">
        <v>228</v>
      </c>
      <c r="C308" s="306" t="s">
        <v>229</v>
      </c>
      <c r="E308" s="453"/>
      <c r="F308" s="375"/>
      <c r="G308" s="518"/>
      <c r="H308" s="374"/>
    </row>
    <row r="309" spans="1:8" ht="28.15" customHeight="1">
      <c r="A309" s="306"/>
      <c r="B309" s="495" t="s">
        <v>230</v>
      </c>
      <c r="C309" s="306" t="s">
        <v>231</v>
      </c>
      <c r="E309" s="453"/>
      <c r="F309" s="375"/>
      <c r="G309" s="518"/>
      <c r="H309" s="375"/>
    </row>
    <row r="310" spans="1:8" ht="72.75" customHeight="1">
      <c r="A310" s="306"/>
      <c r="B310" s="495" t="s">
        <v>232</v>
      </c>
      <c r="C310" s="649" t="s">
        <v>233</v>
      </c>
      <c r="D310" s="649"/>
      <c r="E310" s="649"/>
      <c r="F310" s="649"/>
      <c r="G310" s="649"/>
      <c r="H310" s="649"/>
    </row>
    <row r="311" spans="1:8" ht="113.25" customHeight="1">
      <c r="A311" s="306"/>
      <c r="B311" s="496" t="s">
        <v>234</v>
      </c>
      <c r="C311" s="649" t="s">
        <v>235</v>
      </c>
      <c r="D311" s="649"/>
      <c r="E311" s="649"/>
      <c r="F311" s="649"/>
      <c r="G311" s="649"/>
      <c r="H311" s="649"/>
    </row>
    <row r="312" spans="1:8" ht="52.5" customHeight="1">
      <c r="A312" s="306"/>
      <c r="B312" s="496" t="s">
        <v>236</v>
      </c>
      <c r="C312" s="649" t="s">
        <v>237</v>
      </c>
      <c r="D312" s="649"/>
      <c r="E312" s="649"/>
      <c r="F312" s="649"/>
      <c r="G312" s="649"/>
      <c r="H312" s="649"/>
    </row>
    <row r="313" spans="1:8" ht="30.6" customHeight="1">
      <c r="A313" s="306"/>
      <c r="B313" s="496" t="s">
        <v>238</v>
      </c>
      <c r="C313" s="306" t="s">
        <v>239</v>
      </c>
    </row>
    <row r="314" spans="1:8" ht="45.75" customHeight="1">
      <c r="B314" s="496" t="s">
        <v>240</v>
      </c>
      <c r="C314" s="649" t="s">
        <v>241</v>
      </c>
      <c r="D314" s="649"/>
      <c r="E314" s="649"/>
      <c r="F314" s="649"/>
      <c r="G314" s="649"/>
      <c r="H314" s="649"/>
    </row>
    <row r="315" spans="1:8" ht="23.25" customHeight="1">
      <c r="B315" s="496" t="s">
        <v>242</v>
      </c>
      <c r="C315" s="306" t="s">
        <v>243</v>
      </c>
    </row>
    <row r="316" spans="1:8" ht="44.25" customHeight="1">
      <c r="B316" s="496" t="s">
        <v>244</v>
      </c>
      <c r="C316" s="649" t="s">
        <v>245</v>
      </c>
      <c r="D316" s="649"/>
      <c r="E316" s="649"/>
      <c r="F316" s="649"/>
      <c r="G316" s="649"/>
      <c r="H316" s="649"/>
    </row>
    <row r="317" spans="1:8" ht="29.25" customHeight="1">
      <c r="B317" s="496" t="s">
        <v>246</v>
      </c>
      <c r="C317" s="306" t="s">
        <v>247</v>
      </c>
    </row>
    <row r="318" spans="1:8" ht="35.25" customHeight="1">
      <c r="B318" s="496" t="s">
        <v>248</v>
      </c>
      <c r="C318" s="306" t="s">
        <v>249</v>
      </c>
    </row>
    <row r="319" spans="1:8" ht="48.75" customHeight="1">
      <c r="A319" s="345" t="s">
        <v>250</v>
      </c>
      <c r="B319" s="496" t="s">
        <v>251</v>
      </c>
      <c r="C319" s="649" t="s">
        <v>252</v>
      </c>
      <c r="D319" s="649"/>
      <c r="E319" s="649"/>
      <c r="F319" s="649"/>
      <c r="G319" s="649"/>
      <c r="H319" s="649"/>
    </row>
    <row r="320" spans="1:8">
      <c r="B320" s="496"/>
    </row>
  </sheetData>
  <customSheetViews>
    <customSheetView guid="{416404B7-8533-4A12-ABD0-58CFDEB49D80}" scale="50" showPageBreaks="1" printArea="1">
      <selection activeCell="F23" sqref="F23"/>
      <rowBreaks count="4" manualBreakCount="4">
        <brk id="73" max="7" man="1"/>
        <brk id="140" max="7" man="1"/>
        <brk id="202" max="7" man="1"/>
        <brk id="277" max="7" man="1"/>
      </rowBreaks>
      <pageMargins left="0" right="0" top="0" bottom="0" header="0" footer="0"/>
      <printOptions horizontalCentered="1"/>
      <pageSetup scale="35" fitToHeight="0" orientation="portrait" r:id="rId1"/>
      <headerFooter alignWithMargins="0"/>
    </customSheetView>
    <customSheetView guid="{DC91DEF3-837B-4BB9-A81E-3B78C5914E6C}" scale="60" showPageBreaks="1" printArea="1" view="pageBreakPreview" showRuler="0" topLeftCell="A286">
      <selection activeCell="F182" sqref="F182"/>
      <rowBreaks count="4" manualBreakCount="4">
        <brk id="70" max="7" man="1"/>
        <brk id="143" max="7" man="1"/>
        <brk id="210" max="7" man="1"/>
        <brk id="287" max="7" man="1"/>
      </rowBreaks>
      <colBreaks count="1" manualBreakCount="1">
        <brk id="8" max="316" man="1"/>
      </colBreaks>
      <pageMargins left="0" right="0" top="0" bottom="0" header="0" footer="0"/>
      <printOptions horizontalCentered="1"/>
      <pageSetup scale="44" fitToHeight="10" orientation="portrait" r:id="rId2"/>
      <headerFooter alignWithMargins="0">
        <oddHeader>&amp;R&amp;12Page &amp;P of &amp;N</oddHeader>
      </headerFooter>
    </customSheetView>
    <customSheetView guid="{28948E05-8F34-4F1E-96FB-A80A6A844600}" scale="66" showPageBreaks="1" printArea="1" hiddenRows="1" showRuler="0" topLeftCell="A252">
      <selection activeCell="B270" sqref="B270"/>
      <rowBreaks count="4" manualBreakCount="4">
        <brk id="70" max="7" man="1"/>
        <brk id="143" max="7" man="1"/>
        <brk id="211" max="7" man="1"/>
        <brk id="288" max="7" man="1"/>
      </rowBreaks>
      <colBreaks count="1" manualBreakCount="1">
        <brk id="8" max="316" man="1"/>
      </colBreaks>
      <pageMargins left="0" right="0" top="0" bottom="0" header="0" footer="0"/>
      <printOptions horizontalCentered="1"/>
      <pageSetup scale="45" fitToHeight="10" orientation="portrait" r:id="rId3"/>
      <headerFooter alignWithMargins="0">
        <oddHeader>&amp;R&amp;12Page &amp;P of &amp;N</oddHeader>
      </headerFooter>
    </customSheetView>
    <customSheetView guid="{71B42B22-A376-44B5-B0C1-23FC1AA3DBA2}" scale="66" showPageBreaks="1" printArea="1" hiddenRows="1" showRuler="0" topLeftCell="A75">
      <selection activeCell="D75" sqref="D75"/>
      <rowBreaks count="4" manualBreakCount="4">
        <brk id="70" max="7" man="1"/>
        <brk id="143" max="7" man="1"/>
        <brk id="211" max="7" man="1"/>
        <brk id="288" max="7" man="1"/>
      </rowBreaks>
      <colBreaks count="1" manualBreakCount="1">
        <brk id="8" max="316" man="1"/>
      </colBreaks>
      <pageMargins left="0" right="0" top="0" bottom="0" header="0" footer="0"/>
      <printOptions horizontalCentered="1"/>
      <pageSetup scale="45" fitToHeight="10" orientation="portrait" r:id="rId4"/>
      <headerFooter alignWithMargins="0">
        <oddHeader>&amp;R&amp;16Page &amp;P of &amp;N</oddHeader>
      </headerFooter>
    </customSheetView>
    <customSheetView guid="{FAAD9AAC-1337-43AB-BF1F-CCF9DFCF5B78}" scale="60" showPageBreaks="1" printArea="1" view="pageBreakPreview" showRuler="0" topLeftCell="A276">
      <selection activeCell="H313" sqref="H313"/>
      <rowBreaks count="4" manualBreakCount="4">
        <brk id="70" max="7" man="1"/>
        <brk id="143" max="7" man="1"/>
        <brk id="210" max="7" man="1"/>
        <brk id="287" max="7" man="1"/>
      </rowBreaks>
      <colBreaks count="2" manualBreakCount="2">
        <brk id="7" max="324" man="1"/>
        <brk id="8" max="316" man="1"/>
      </colBreaks>
      <pageMargins left="0" right="0" top="0" bottom="0" header="0" footer="0"/>
      <printOptions horizontalCentered="1"/>
      <pageSetup scale="44" fitToHeight="10" orientation="portrait" r:id="rId5"/>
      <headerFooter alignWithMargins="0">
        <oddHeader>&amp;R&amp;12Page &amp;P of &amp;N</oddHeader>
      </headerFooter>
    </customSheetView>
    <customSheetView guid="{4C7C2344-134C-465A-ADEB-A5E96AAE2308}" scale="75" showPageBreaks="1" printArea="1" view="pageBreakPreview" showRuler="0" topLeftCell="A190">
      <pane xSplit="2.9634146341463414" topLeftCell="F1" activePane="topRight"/>
      <selection pane="topRight" activeCell="H111" sqref="H111"/>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6"/>
      <headerFooter alignWithMargins="0">
        <oddHeader>&amp;R&amp;12Page &amp;P of &amp;N</oddHeader>
      </headerFooter>
    </customSheetView>
    <customSheetView guid="{DA967730-B71F-4038-B1B7-9D4790729C5D}" scale="75" showPageBreaks="1" printArea="1" view="pageBreakPreview" showRuler="0" topLeftCell="A271">
      <pane xSplit="3" topLeftCell="F1" activePane="topRight"/>
      <selection pane="topRight" activeCell="H279" sqref="H279"/>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7"/>
      <headerFooter alignWithMargins="0">
        <oddHeader>&amp;R&amp;12Page &amp;P of &amp;N</oddHeader>
      </headerFooter>
    </customSheetView>
    <customSheetView guid="{F96D6087-3330-4A81-95EC-26BA83722A49}" scale="75" showPageBreaks="1" printArea="1" view="pageBreakPreview" showRuler="0">
      <pane xSplit="3" topLeftCell="F1"/>
      <selection activeCell="C10" sqref="C10"/>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8"/>
      <headerFooter alignWithMargins="0">
        <oddHeader>&amp;R&amp;12Page &amp;P of &amp;N</oddHeader>
      </headerFooter>
    </customSheetView>
    <customSheetView guid="{3A38DF7A-C35E-4DD3-9893-26310A3EF836}" scale="66" showPageBreaks="1" printArea="1" showRuler="0" topLeftCell="A52">
      <selection activeCell="H74" sqref="H74"/>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9"/>
      <headerFooter alignWithMargins="0">
        <oddHeader>&amp;R&amp;12Page &amp;P of &amp;N</oddHeader>
      </headerFooter>
    </customSheetView>
  </customSheetViews>
  <mergeCells count="14">
    <mergeCell ref="D2:F2"/>
    <mergeCell ref="D3:F3"/>
    <mergeCell ref="C298:H298"/>
    <mergeCell ref="C303:H303"/>
    <mergeCell ref="C304:H304"/>
    <mergeCell ref="C310:H310"/>
    <mergeCell ref="C314:H314"/>
    <mergeCell ref="C306:H306"/>
    <mergeCell ref="C319:H319"/>
    <mergeCell ref="C301:H301"/>
    <mergeCell ref="C307:H307"/>
    <mergeCell ref="C312:H312"/>
    <mergeCell ref="C316:H316"/>
    <mergeCell ref="C311:H311"/>
  </mergeCells>
  <phoneticPr fontId="0" type="noConversion"/>
  <printOptions horizontalCentered="1"/>
  <pageMargins left="0.17" right="0.17" top="1.56" bottom="1.24" header="0.5" footer="0.17"/>
  <pageSetup scale="40" fitToHeight="0" orientation="portrait" r:id="rId10"/>
  <headerFooter alignWithMargins="0"/>
  <rowBreaks count="5" manualBreakCount="5">
    <brk id="57" max="7" man="1"/>
    <brk id="114" max="7" man="1"/>
    <brk id="164" max="16383" man="1"/>
    <brk id="239" max="7" man="1"/>
    <brk id="295" max="7" man="1"/>
  </rowBreaks>
  <customProperties>
    <customPr name="_pios_id" r:id="rId11"/>
    <customPr name="EpmWorksheetKeyString_GUID" r:id="rId12"/>
  </customProperties>
  <ignoredErrors>
    <ignoredError sqref="H21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U121"/>
  <sheetViews>
    <sheetView showGridLines="0" topLeftCell="A73" zoomScale="60" zoomScaleNormal="60" workbookViewId="0">
      <selection activeCell="G63" sqref="G63"/>
    </sheetView>
  </sheetViews>
  <sheetFormatPr defaultColWidth="18.7109375" defaultRowHeight="20.25"/>
  <cols>
    <col min="1" max="1" width="5.5703125" style="306" customWidth="1"/>
    <col min="2" max="2" width="65.7109375" style="32" customWidth="1"/>
    <col min="3" max="3" width="60.5703125" style="306" bestFit="1" customWidth="1"/>
    <col min="4" max="4" width="22.7109375" style="306" customWidth="1"/>
    <col min="5" max="5" width="28.7109375" style="306" customWidth="1"/>
    <col min="6" max="6" width="24.28515625" style="306" customWidth="1"/>
    <col min="7" max="7" width="24" style="306" bestFit="1" customWidth="1"/>
    <col min="8" max="8" width="24" style="306" customWidth="1"/>
    <col min="9" max="9" width="124.7109375" style="306" customWidth="1"/>
    <col min="10" max="16384" width="18.7109375" style="306"/>
  </cols>
  <sheetData>
    <row r="1" spans="1:9">
      <c r="B1" s="647" t="str">
        <f>+'Appendix A'!A3</f>
        <v>Dayton Power and Light</v>
      </c>
      <c r="C1" s="647"/>
      <c r="D1" s="647"/>
      <c r="E1" s="647"/>
      <c r="F1" s="647"/>
      <c r="G1" s="647"/>
      <c r="H1" s="647"/>
      <c r="I1" s="647"/>
    </row>
    <row r="2" spans="1:9">
      <c r="B2" s="647" t="s">
        <v>1</v>
      </c>
      <c r="C2" s="647"/>
      <c r="D2" s="647"/>
      <c r="E2" s="647"/>
      <c r="F2" s="647"/>
      <c r="G2" s="647"/>
      <c r="H2" s="647"/>
      <c r="I2" s="647"/>
    </row>
    <row r="3" spans="1:9">
      <c r="B3" s="648" t="s">
        <v>993</v>
      </c>
      <c r="C3" s="648"/>
      <c r="D3" s="648"/>
      <c r="E3" s="648"/>
      <c r="F3" s="648"/>
      <c r="G3" s="648"/>
      <c r="H3" s="648"/>
      <c r="I3" s="648"/>
    </row>
    <row r="5" spans="1:9">
      <c r="D5" s="343" t="s">
        <v>253</v>
      </c>
      <c r="E5" s="343"/>
      <c r="G5" s="343"/>
      <c r="H5" s="343"/>
      <c r="I5" s="342"/>
    </row>
    <row r="6" spans="1:9">
      <c r="D6" s="343" t="s">
        <v>56</v>
      </c>
      <c r="E6" s="343" t="s">
        <v>254</v>
      </c>
      <c r="F6" s="343" t="s">
        <v>255</v>
      </c>
      <c r="G6" s="343"/>
      <c r="H6" s="343" t="s">
        <v>67</v>
      </c>
      <c r="I6" s="411"/>
    </row>
    <row r="7" spans="1:9">
      <c r="D7" s="343" t="s">
        <v>256</v>
      </c>
      <c r="E7" s="343" t="s">
        <v>256</v>
      </c>
      <c r="F7" s="343" t="s">
        <v>256</v>
      </c>
      <c r="G7" s="343"/>
      <c r="H7" s="343" t="s">
        <v>257</v>
      </c>
      <c r="I7" s="411"/>
    </row>
    <row r="8" spans="1:9" s="341" customFormat="1"/>
    <row r="9" spans="1:9">
      <c r="A9" s="347">
        <v>1</v>
      </c>
      <c r="C9" s="231" t="s">
        <v>258</v>
      </c>
      <c r="D9" s="340">
        <f>+E45</f>
        <v>0</v>
      </c>
      <c r="E9" s="340">
        <f>+F45</f>
        <v>20993387</v>
      </c>
      <c r="F9" s="340">
        <f>+G45</f>
        <v>6371862.9199999981</v>
      </c>
      <c r="G9" s="340"/>
      <c r="H9" s="340"/>
      <c r="I9" s="351" t="str">
        <f>"(Line "&amp;A45&amp;")"</f>
        <v>(Line 26)</v>
      </c>
    </row>
    <row r="10" spans="1:9">
      <c r="A10" s="347">
        <f>+A9+1</f>
        <v>2</v>
      </c>
      <c r="C10" s="231" t="s">
        <v>259</v>
      </c>
      <c r="D10" s="340">
        <f>+E64</f>
        <v>-7035858.9648396447</v>
      </c>
      <c r="E10" s="340">
        <f t="shared" ref="E10:F10" si="0">+F64</f>
        <v>0</v>
      </c>
      <c r="F10" s="340">
        <f t="shared" si="0"/>
        <v>-6828963.7599999998</v>
      </c>
      <c r="G10" s="340"/>
      <c r="H10" s="340"/>
      <c r="I10" s="351" t="str">
        <f>"(Line "&amp;A64&amp;")"</f>
        <v>(Line 29)</v>
      </c>
    </row>
    <row r="11" spans="1:9">
      <c r="A11" s="347">
        <f>+A10+1</f>
        <v>3</v>
      </c>
      <c r="C11" s="231" t="s">
        <v>260</v>
      </c>
      <c r="D11" s="339">
        <f>+E92</f>
        <v>0</v>
      </c>
      <c r="E11" s="339">
        <f t="shared" ref="E11:F11" si="1">+F92</f>
        <v>0</v>
      </c>
      <c r="F11" s="339">
        <f t="shared" si="1"/>
        <v>0</v>
      </c>
      <c r="G11" s="339"/>
      <c r="H11" s="340"/>
      <c r="I11" s="351" t="str">
        <f>"(Line "&amp;A92&amp;")"</f>
        <v>(Line 40)</v>
      </c>
    </row>
    <row r="12" spans="1:9">
      <c r="A12" s="347">
        <f t="shared" ref="A12:A17" si="2">+A11+1</f>
        <v>4</v>
      </c>
      <c r="C12" s="231" t="s">
        <v>90</v>
      </c>
      <c r="D12" s="340">
        <f>+SUM(D9:D11)</f>
        <v>-7035858.9648396447</v>
      </c>
      <c r="E12" s="340">
        <f t="shared" ref="E12:F12" si="3">+SUM(E9:E11)</f>
        <v>20993387</v>
      </c>
      <c r="F12" s="340">
        <f t="shared" si="3"/>
        <v>-457100.84000000171</v>
      </c>
      <c r="G12" s="340"/>
      <c r="H12" s="340"/>
      <c r="I12" s="351" t="str">
        <f>"(Line "&amp;A9&amp;" + Line "&amp;A10&amp;" + Line "&amp;A11&amp;")"</f>
        <v>(Line 1 + Line 2 + Line 3)</v>
      </c>
    </row>
    <row r="13" spans="1:9">
      <c r="A13" s="347">
        <f t="shared" si="2"/>
        <v>5</v>
      </c>
      <c r="C13" s="231" t="s">
        <v>12</v>
      </c>
      <c r="F13" s="338">
        <f>'Appendix A'!H16</f>
        <v>0.11010683301047983</v>
      </c>
      <c r="I13" s="351" t="str">
        <f>"(Appendix A, Line "&amp;'Appendix A'!A16&amp;")"</f>
        <v>(Appendix A, Line 5)</v>
      </c>
    </row>
    <row r="14" spans="1:9">
      <c r="A14" s="347">
        <f t="shared" si="2"/>
        <v>6</v>
      </c>
      <c r="C14" s="231" t="s">
        <v>20</v>
      </c>
      <c r="E14" s="338">
        <f>'Appendix A'!H27</f>
        <v>0.24713229692288416</v>
      </c>
      <c r="I14" s="351" t="str">
        <f>"(Appendix A, Line "&amp;'Appendix A'!A27&amp;")"</f>
        <v>(Appendix A, Line 12)</v>
      </c>
    </row>
    <row r="15" spans="1:9">
      <c r="A15" s="347">
        <f>+A14+1</f>
        <v>7</v>
      </c>
      <c r="C15" s="231" t="s">
        <v>261</v>
      </c>
      <c r="D15" s="340">
        <f>+D12</f>
        <v>-7035858.9648396447</v>
      </c>
      <c r="E15" s="340">
        <f>+E14*E12</f>
        <v>5188143.9495010162</v>
      </c>
      <c r="F15" s="340">
        <f>+F13*F12</f>
        <v>-50329.925858830247</v>
      </c>
      <c r="G15" s="340"/>
      <c r="H15" s="337">
        <f>SUM(D15:F15)</f>
        <v>-1898044.9411974589</v>
      </c>
      <c r="I15" s="351" t="str">
        <f>"(Line "&amp;A12&amp;" * Line "&amp;A13&amp;" or Line "&amp;A14&amp;")"</f>
        <v>(Line 4 * Line 5 or Line 6)</v>
      </c>
    </row>
    <row r="16" spans="1:9">
      <c r="A16" s="347">
        <f t="shared" si="2"/>
        <v>8</v>
      </c>
      <c r="C16" s="231" t="s">
        <v>262</v>
      </c>
      <c r="D16" s="340">
        <f>+'1C - ADIT Prior Year'!D15</f>
        <v>-4609191</v>
      </c>
      <c r="E16" s="340">
        <f>+'1C - ADIT Prior Year'!E15</f>
        <v>0</v>
      </c>
      <c r="F16" s="340">
        <f>+'1C - ADIT Prior Year'!F15</f>
        <v>-671706.18424626708</v>
      </c>
      <c r="G16" s="340"/>
      <c r="H16" s="337">
        <f t="shared" ref="H16" si="4">SUM(D16:F16)</f>
        <v>-5280897.1842462672</v>
      </c>
      <c r="I16" s="351" t="str">
        <f>"(Attachment 1C - ADIT Prior Year, Line "&amp;A15&amp;")"</f>
        <v>(Attachment 1C - ADIT Prior Year, Line 7)</v>
      </c>
    </row>
    <row r="17" spans="1:21">
      <c r="A17" s="347">
        <f t="shared" si="2"/>
        <v>9</v>
      </c>
      <c r="C17" s="231" t="s">
        <v>263</v>
      </c>
      <c r="D17" s="340">
        <f>(D15+D16)/2</f>
        <v>-5822524.9824198224</v>
      </c>
      <c r="E17" s="340">
        <f>(E15+E16)/2</f>
        <v>2594071.9747505081</v>
      </c>
      <c r="F17" s="340">
        <f>(F15+F16)/2</f>
        <v>-361018.05505254865</v>
      </c>
      <c r="G17" s="340"/>
      <c r="H17" s="337">
        <f>SUM(D17:F17)</f>
        <v>-3589471.0627218629</v>
      </c>
      <c r="I17" s="351" t="str">
        <f>"(Average of Line "&amp;A15&amp;" + Line "&amp;A16&amp;")"</f>
        <v>(Average of Line 7 + Line 8)</v>
      </c>
      <c r="J17" s="351"/>
    </row>
    <row r="18" spans="1:21">
      <c r="A18" s="347">
        <f>+A17+1</f>
        <v>10</v>
      </c>
      <c r="C18" s="231" t="s">
        <v>264</v>
      </c>
      <c r="D18" s="523">
        <f>+'1B - ADIT Proration'!J24</f>
        <v>0</v>
      </c>
      <c r="E18" s="523">
        <f>+'1B - ADIT Proration'!N24</f>
        <v>0</v>
      </c>
      <c r="F18" s="523">
        <f>+'1B - ADIT Proration'!R24</f>
        <v>0</v>
      </c>
      <c r="G18" s="340"/>
      <c r="H18" s="336">
        <f>+'1E - ADIT True-Up Proration'!Q27</f>
        <v>-35244546.944191821</v>
      </c>
      <c r="I18" s="351" t="str">
        <f>"(Attachment 1B, Line "&amp;'1B - ADIT Proration'!A24&amp;" or Attachment 1D, Line "&amp;'1E - ADIT True-Up Proration'!A27&amp;")"</f>
        <v>(Attachment 1B, Line 14 or Attachment 1D, Line 13)</v>
      </c>
      <c r="J18" s="306" t="s">
        <v>1039</v>
      </c>
    </row>
    <row r="19" spans="1:21">
      <c r="A19" s="347">
        <f>+A18+1</f>
        <v>11</v>
      </c>
      <c r="C19" s="335" t="s">
        <v>265</v>
      </c>
      <c r="D19" s="340">
        <f>+D17+D18</f>
        <v>-5822524.9824198224</v>
      </c>
      <c r="E19" s="340">
        <f>+E17+E18</f>
        <v>2594071.9747505081</v>
      </c>
      <c r="F19" s="340">
        <f>+F17+F18</f>
        <v>-361018.05505254865</v>
      </c>
      <c r="G19" s="337"/>
      <c r="H19" s="337">
        <f>+H17+H18</f>
        <v>-38834018.006913684</v>
      </c>
      <c r="I19" s="351" t="str">
        <f>"(Line "&amp;A17&amp;" + Line "&amp;A18&amp;")"</f>
        <v>(Line 9 + Line 10)</v>
      </c>
    </row>
    <row r="20" spans="1:21">
      <c r="C20" s="335"/>
      <c r="D20" s="340"/>
      <c r="E20" s="340"/>
      <c r="F20" s="340"/>
      <c r="G20" s="337"/>
      <c r="H20" s="337"/>
      <c r="I20" s="375"/>
    </row>
    <row r="21" spans="1:21">
      <c r="C21" s="335"/>
      <c r="D21" s="340"/>
      <c r="E21" s="340"/>
      <c r="F21" s="340"/>
      <c r="G21" s="337"/>
      <c r="H21" s="337"/>
      <c r="I21" s="375"/>
    </row>
    <row r="22" spans="1:21">
      <c r="B22" s="231"/>
    </row>
    <row r="23" spans="1:21">
      <c r="B23" s="306" t="s">
        <v>266</v>
      </c>
      <c r="D23" s="340"/>
    </row>
    <row r="24" spans="1:21">
      <c r="B24" s="306"/>
    </row>
    <row r="25" spans="1:21">
      <c r="B25" s="32" t="s">
        <v>990</v>
      </c>
    </row>
    <row r="26" spans="1:21">
      <c r="B26" s="32" t="s">
        <v>267</v>
      </c>
    </row>
    <row r="27" spans="1:21">
      <c r="G27" s="335"/>
      <c r="H27" s="335"/>
    </row>
    <row r="28" spans="1:21">
      <c r="B28" s="345" t="s">
        <v>206</v>
      </c>
      <c r="C28" s="345" t="s">
        <v>208</v>
      </c>
      <c r="D28" s="345" t="s">
        <v>210</v>
      </c>
      <c r="E28" s="345" t="s">
        <v>212</v>
      </c>
      <c r="F28" s="345" t="s">
        <v>214</v>
      </c>
      <c r="G28" s="345" t="s">
        <v>216</v>
      </c>
      <c r="H28" s="345"/>
      <c r="I28" s="345" t="s">
        <v>218</v>
      </c>
    </row>
    <row r="29" spans="1:21">
      <c r="B29" s="334" t="s">
        <v>268</v>
      </c>
      <c r="C29" s="343"/>
      <c r="D29" s="343"/>
      <c r="E29" s="343" t="s">
        <v>56</v>
      </c>
      <c r="F29" s="343" t="s">
        <v>254</v>
      </c>
      <c r="G29" s="343" t="s">
        <v>255</v>
      </c>
      <c r="H29" s="343"/>
    </row>
    <row r="30" spans="1:21" ht="40.5" customHeight="1" thickBot="1">
      <c r="C30" s="343" t="s">
        <v>67</v>
      </c>
      <c r="D30" s="343" t="s">
        <v>269</v>
      </c>
      <c r="E30" s="343" t="s">
        <v>256</v>
      </c>
      <c r="F30" s="343" t="s">
        <v>256</v>
      </c>
      <c r="G30" s="343" t="s">
        <v>256</v>
      </c>
      <c r="H30" s="333"/>
      <c r="I30" s="343" t="s">
        <v>270</v>
      </c>
    </row>
    <row r="31" spans="1:21" ht="28.5" customHeight="1" thickBot="1">
      <c r="A31" s="347">
        <f>+A19+1</f>
        <v>12</v>
      </c>
      <c r="B31" s="332" t="s">
        <v>271</v>
      </c>
      <c r="C31" s="331">
        <f>+SUM(D31:G31)</f>
        <v>622214.69999999995</v>
      </c>
      <c r="D31" s="331">
        <v>0</v>
      </c>
      <c r="E31" s="331">
        <v>0</v>
      </c>
      <c r="F31" s="331">
        <v>0</v>
      </c>
      <c r="G31" s="331">
        <v>622214.69999999995</v>
      </c>
      <c r="H31" s="330"/>
      <c r="I31" s="329" t="s">
        <v>272</v>
      </c>
      <c r="Q31" s="328"/>
      <c r="R31" s="328"/>
      <c r="S31" s="328"/>
      <c r="T31" s="328"/>
      <c r="U31" s="328"/>
    </row>
    <row r="32" spans="1:21" ht="28.5" customHeight="1" thickBot="1">
      <c r="A32" s="347">
        <f>+A31+1</f>
        <v>13</v>
      </c>
      <c r="B32" s="327" t="s">
        <v>273</v>
      </c>
      <c r="C32" s="326">
        <f>+SUM(D32:G32)</f>
        <v>2549102.62</v>
      </c>
      <c r="D32" s="326">
        <v>0</v>
      </c>
      <c r="E32" s="326">
        <v>0</v>
      </c>
      <c r="F32" s="326">
        <v>0</v>
      </c>
      <c r="G32" s="331">
        <v>2549102.62</v>
      </c>
      <c r="H32" s="325"/>
      <c r="I32" s="329" t="s">
        <v>274</v>
      </c>
      <c r="Q32" s="328"/>
      <c r="R32" s="328"/>
      <c r="S32" s="328"/>
      <c r="T32" s="328"/>
      <c r="U32" s="328"/>
    </row>
    <row r="33" spans="1:21" ht="39.75" customHeight="1">
      <c r="A33" s="347">
        <f t="shared" ref="A33:A44" si="5">+A32+1</f>
        <v>14</v>
      </c>
      <c r="B33" s="327" t="s">
        <v>275</v>
      </c>
      <c r="C33" s="326">
        <f>+SUM(D33:G33)</f>
        <v>486008.98</v>
      </c>
      <c r="D33" s="326">
        <v>0</v>
      </c>
      <c r="E33" s="326">
        <v>0</v>
      </c>
      <c r="F33" s="326">
        <v>0</v>
      </c>
      <c r="G33" s="331">
        <v>486008.98</v>
      </c>
      <c r="H33" s="325"/>
      <c r="I33" s="329" t="s">
        <v>272</v>
      </c>
      <c r="Q33" s="328"/>
      <c r="R33" s="328"/>
      <c r="S33" s="328"/>
      <c r="T33" s="328"/>
      <c r="U33" s="328"/>
    </row>
    <row r="34" spans="1:21" ht="39.75" customHeight="1">
      <c r="A34" s="347">
        <f t="shared" si="5"/>
        <v>15</v>
      </c>
      <c r="B34" s="324" t="s">
        <v>276</v>
      </c>
      <c r="C34" s="326">
        <f t="shared" ref="C34:C41" si="6">+SUM(D34:G34)</f>
        <v>41761.03</v>
      </c>
      <c r="D34" s="326">
        <v>41761.03</v>
      </c>
      <c r="E34" s="326">
        <v>0</v>
      </c>
      <c r="F34" s="326">
        <v>0</v>
      </c>
      <c r="G34" s="326">
        <v>0</v>
      </c>
      <c r="H34" s="325"/>
      <c r="I34" s="323" t="s">
        <v>277</v>
      </c>
      <c r="Q34" s="328"/>
      <c r="R34" s="328"/>
      <c r="S34" s="328"/>
      <c r="T34" s="328"/>
      <c r="U34" s="328"/>
    </row>
    <row r="35" spans="1:21" ht="39.75" customHeight="1">
      <c r="A35" s="347">
        <f t="shared" si="5"/>
        <v>16</v>
      </c>
      <c r="B35" s="327" t="s">
        <v>278</v>
      </c>
      <c r="C35" s="326">
        <f t="shared" si="6"/>
        <v>641377.29</v>
      </c>
      <c r="D35" s="326">
        <v>0</v>
      </c>
      <c r="E35" s="326">
        <v>0</v>
      </c>
      <c r="F35" s="326">
        <v>0</v>
      </c>
      <c r="G35" s="326">
        <v>641377.29</v>
      </c>
      <c r="H35" s="325"/>
      <c r="I35" s="329" t="s">
        <v>279</v>
      </c>
      <c r="Q35" s="328"/>
      <c r="R35" s="328"/>
      <c r="S35" s="328"/>
      <c r="T35" s="328"/>
      <c r="U35" s="328"/>
    </row>
    <row r="36" spans="1:21" ht="39.75" customHeight="1">
      <c r="A36" s="347">
        <f t="shared" si="5"/>
        <v>17</v>
      </c>
      <c r="B36" s="327" t="s">
        <v>280</v>
      </c>
      <c r="C36" s="326">
        <f t="shared" si="6"/>
        <v>0</v>
      </c>
      <c r="D36" s="326">
        <v>0</v>
      </c>
      <c r="E36" s="326">
        <v>0</v>
      </c>
      <c r="F36" s="326">
        <v>0</v>
      </c>
      <c r="G36" s="326">
        <v>0</v>
      </c>
      <c r="H36" s="325"/>
      <c r="I36" s="329" t="s">
        <v>281</v>
      </c>
      <c r="Q36" s="328"/>
      <c r="R36" s="328"/>
      <c r="S36" s="328"/>
      <c r="T36" s="328"/>
      <c r="U36" s="328"/>
    </row>
    <row r="37" spans="1:21" ht="39.75" customHeight="1">
      <c r="A37" s="347">
        <f t="shared" si="5"/>
        <v>18</v>
      </c>
      <c r="B37" s="327" t="s">
        <v>282</v>
      </c>
      <c r="C37" s="326">
        <f t="shared" si="6"/>
        <v>74062.350000000006</v>
      </c>
      <c r="D37" s="326">
        <v>0</v>
      </c>
      <c r="E37" s="326">
        <v>0</v>
      </c>
      <c r="F37" s="326">
        <v>0</v>
      </c>
      <c r="G37" s="326">
        <v>74062.350000000006</v>
      </c>
      <c r="H37" s="325"/>
      <c r="I37" s="329" t="s">
        <v>283</v>
      </c>
      <c r="Q37" s="328"/>
      <c r="R37" s="328"/>
      <c r="S37" s="328"/>
      <c r="T37" s="328"/>
      <c r="U37" s="328"/>
    </row>
    <row r="38" spans="1:21" ht="39.75" customHeight="1">
      <c r="A38" s="347">
        <f t="shared" si="5"/>
        <v>19</v>
      </c>
      <c r="B38" s="327" t="s">
        <v>284</v>
      </c>
      <c r="C38" s="326">
        <f t="shared" si="6"/>
        <v>749173.33</v>
      </c>
      <c r="D38" s="326">
        <v>749173.33</v>
      </c>
      <c r="E38" s="326">
        <v>0</v>
      </c>
      <c r="F38" s="326">
        <v>0</v>
      </c>
      <c r="G38" s="326">
        <v>0</v>
      </c>
      <c r="H38" s="325"/>
      <c r="I38" s="329" t="s">
        <v>285</v>
      </c>
      <c r="Q38" s="328"/>
      <c r="R38" s="328"/>
      <c r="S38" s="328"/>
      <c r="T38" s="328"/>
      <c r="U38" s="328"/>
    </row>
    <row r="39" spans="1:21" ht="39.75" customHeight="1">
      <c r="A39" s="347">
        <f t="shared" si="5"/>
        <v>20</v>
      </c>
      <c r="B39" s="327" t="s">
        <v>286</v>
      </c>
      <c r="C39" s="326">
        <f t="shared" si="6"/>
        <v>0</v>
      </c>
      <c r="D39" s="326">
        <v>0</v>
      </c>
      <c r="E39" s="326">
        <v>0</v>
      </c>
      <c r="F39" s="326">
        <v>0</v>
      </c>
      <c r="G39" s="326">
        <v>0</v>
      </c>
      <c r="H39" s="325"/>
      <c r="I39" s="329" t="s">
        <v>287</v>
      </c>
      <c r="Q39" s="328"/>
      <c r="R39" s="328"/>
      <c r="S39" s="328"/>
      <c r="T39" s="328"/>
      <c r="U39" s="328"/>
    </row>
    <row r="40" spans="1:21" ht="39.75" customHeight="1">
      <c r="A40" s="347">
        <f t="shared" si="5"/>
        <v>21</v>
      </c>
      <c r="B40" s="327" t="s">
        <v>288</v>
      </c>
      <c r="C40" s="326">
        <f t="shared" si="6"/>
        <v>1279098.6499999999</v>
      </c>
      <c r="D40" s="326">
        <v>0</v>
      </c>
      <c r="E40" s="326">
        <v>0</v>
      </c>
      <c r="F40" s="326">
        <v>0</v>
      </c>
      <c r="G40" s="326">
        <v>1279098.6499999999</v>
      </c>
      <c r="H40" s="325"/>
      <c r="I40" s="329" t="s">
        <v>289</v>
      </c>
      <c r="Q40" s="328"/>
      <c r="R40" s="328"/>
      <c r="S40" s="328"/>
      <c r="T40" s="328"/>
      <c r="U40" s="328"/>
    </row>
    <row r="41" spans="1:21" ht="39.75" customHeight="1">
      <c r="A41" s="347">
        <f t="shared" si="5"/>
        <v>22</v>
      </c>
      <c r="B41" s="327" t="s">
        <v>1045</v>
      </c>
      <c r="C41" s="326">
        <f t="shared" si="6"/>
        <v>20993387</v>
      </c>
      <c r="D41" s="326">
        <v>0</v>
      </c>
      <c r="E41" s="326">
        <v>0</v>
      </c>
      <c r="F41" s="326">
        <v>20993387</v>
      </c>
      <c r="G41" s="326">
        <v>0</v>
      </c>
      <c r="H41" s="325"/>
      <c r="I41" s="329" t="s">
        <v>978</v>
      </c>
      <c r="J41" s="306" t="s">
        <v>1039</v>
      </c>
      <c r="Q41" s="328"/>
      <c r="R41" s="328"/>
      <c r="S41" s="328"/>
      <c r="T41" s="328"/>
      <c r="U41" s="328"/>
    </row>
    <row r="42" spans="1:21" ht="39.75" customHeight="1">
      <c r="A42" s="347">
        <f>+A41+1</f>
        <v>23</v>
      </c>
      <c r="B42" s="327" t="s">
        <v>291</v>
      </c>
      <c r="C42" s="326">
        <f>+C43-SUM(C31:C41)</f>
        <v>719997.92999999598</v>
      </c>
      <c r="D42" s="326">
        <v>0</v>
      </c>
      <c r="E42" s="326">
        <v>0</v>
      </c>
      <c r="F42" s="326">
        <v>0</v>
      </c>
      <c r="G42" s="326">
        <v>719998.32999999821</v>
      </c>
      <c r="H42" s="325"/>
      <c r="I42" s="322" t="s">
        <v>292</v>
      </c>
      <c r="Q42" s="328"/>
      <c r="R42" s="328"/>
      <c r="S42" s="328"/>
      <c r="T42" s="328"/>
      <c r="U42" s="328"/>
    </row>
    <row r="43" spans="1:21" ht="25.15" customHeight="1">
      <c r="A43" s="347">
        <f t="shared" si="5"/>
        <v>24</v>
      </c>
      <c r="B43" s="321" t="s">
        <v>293</v>
      </c>
      <c r="C43" s="320">
        <v>28156183.879999995</v>
      </c>
      <c r="D43" s="320">
        <f t="shared" ref="D43:G43" si="7">SUM(D31:D42)</f>
        <v>790934.36</v>
      </c>
      <c r="E43" s="320">
        <f t="shared" si="7"/>
        <v>0</v>
      </c>
      <c r="F43" s="320">
        <f t="shared" si="7"/>
        <v>20993387</v>
      </c>
      <c r="G43" s="320">
        <f t="shared" si="7"/>
        <v>6371862.9199999981</v>
      </c>
      <c r="H43" s="320"/>
      <c r="I43" s="319"/>
      <c r="Q43" s="328"/>
      <c r="R43" s="328"/>
      <c r="S43" s="328"/>
      <c r="T43" s="328"/>
      <c r="U43" s="328"/>
    </row>
    <row r="44" spans="1:21" ht="25.15" customHeight="1">
      <c r="A44" s="347">
        <f t="shared" si="5"/>
        <v>25</v>
      </c>
      <c r="B44" s="318" t="s">
        <v>294</v>
      </c>
      <c r="C44" s="317">
        <f>SUM(D44:G44)</f>
        <v>41761.03</v>
      </c>
      <c r="D44" s="317">
        <f>D34</f>
        <v>41761.03</v>
      </c>
      <c r="E44" s="316">
        <f>E34</f>
        <v>0</v>
      </c>
      <c r="F44" s="315">
        <f>F34</f>
        <v>0</v>
      </c>
      <c r="G44" s="315">
        <f>G34</f>
        <v>0</v>
      </c>
      <c r="H44" s="315"/>
      <c r="I44" s="314" t="s">
        <v>295</v>
      </c>
      <c r="Q44" s="328"/>
      <c r="R44" s="328"/>
      <c r="S44" s="328"/>
      <c r="T44" s="328"/>
      <c r="U44" s="328"/>
    </row>
    <row r="45" spans="1:21" ht="35.1" customHeight="1" thickBot="1">
      <c r="A45" s="347">
        <f>+A44+1</f>
        <v>26</v>
      </c>
      <c r="B45" s="313" t="s">
        <v>67</v>
      </c>
      <c r="C45" s="312">
        <f>+C43-C44</f>
        <v>28114422.849999994</v>
      </c>
      <c r="D45" s="312">
        <f t="shared" ref="D45:G45" si="8">+D43-D44</f>
        <v>749173.33</v>
      </c>
      <c r="E45" s="312">
        <f t="shared" si="8"/>
        <v>0</v>
      </c>
      <c r="F45" s="312">
        <f t="shared" si="8"/>
        <v>20993387</v>
      </c>
      <c r="G45" s="312">
        <f t="shared" si="8"/>
        <v>6371862.9199999981</v>
      </c>
      <c r="H45" s="312"/>
      <c r="I45" s="311"/>
      <c r="Q45" s="328"/>
      <c r="R45" s="328"/>
      <c r="S45" s="328"/>
      <c r="T45" s="328"/>
      <c r="U45" s="328"/>
    </row>
    <row r="46" spans="1:21" ht="35.1" customHeight="1">
      <c r="B46" s="306" t="s">
        <v>296</v>
      </c>
      <c r="D46" s="340"/>
      <c r="E46" s="310"/>
      <c r="F46" s="347"/>
      <c r="I46" s="309"/>
    </row>
    <row r="47" spans="1:21" ht="19.149999999999999" customHeight="1">
      <c r="B47" s="653" t="s">
        <v>297</v>
      </c>
      <c r="C47" s="653"/>
      <c r="D47" s="653"/>
      <c r="E47" s="653"/>
      <c r="F47" s="653"/>
      <c r="G47" s="653"/>
      <c r="H47" s="653"/>
      <c r="I47" s="653"/>
    </row>
    <row r="48" spans="1:21" ht="18.600000000000001" customHeight="1">
      <c r="B48" s="32" t="s">
        <v>298</v>
      </c>
      <c r="G48" s="347"/>
      <c r="H48" s="347"/>
      <c r="I48" s="347"/>
    </row>
    <row r="49" spans="1:21" ht="19.149999999999999" customHeight="1">
      <c r="B49" s="32" t="s">
        <v>299</v>
      </c>
      <c r="G49" s="347"/>
      <c r="H49" s="347"/>
      <c r="I49" s="347"/>
    </row>
    <row r="50" spans="1:21" ht="25.5" customHeight="1">
      <c r="B50" s="32" t="s">
        <v>300</v>
      </c>
      <c r="G50" s="347"/>
      <c r="H50" s="347"/>
      <c r="I50" s="347"/>
    </row>
    <row r="51" spans="1:21" ht="31.5" customHeight="1">
      <c r="B51" s="653" t="s">
        <v>301</v>
      </c>
      <c r="C51" s="653"/>
      <c r="D51" s="653"/>
      <c r="E51" s="653"/>
      <c r="F51" s="653"/>
      <c r="G51" s="653"/>
      <c r="H51" s="653"/>
      <c r="I51" s="653"/>
    </row>
    <row r="52" spans="1:21">
      <c r="B52" s="32" t="s">
        <v>302</v>
      </c>
      <c r="C52" s="347"/>
      <c r="D52" s="307"/>
      <c r="E52" s="347"/>
      <c r="F52" s="347"/>
      <c r="G52" s="347"/>
      <c r="H52" s="347"/>
      <c r="I52" s="308"/>
    </row>
    <row r="53" spans="1:21">
      <c r="C53" s="345"/>
      <c r="D53" s="345"/>
      <c r="E53" s="345"/>
      <c r="F53" s="345"/>
      <c r="G53" s="345"/>
      <c r="H53" s="345"/>
      <c r="I53" s="308"/>
    </row>
    <row r="54" spans="1:21">
      <c r="B54" s="647" t="str">
        <f>+B1</f>
        <v>Dayton Power and Light</v>
      </c>
      <c r="C54" s="654"/>
      <c r="D54" s="654"/>
      <c r="E54" s="654"/>
      <c r="F54" s="654"/>
      <c r="G54" s="654"/>
      <c r="H54" s="654"/>
      <c r="I54" s="654"/>
    </row>
    <row r="55" spans="1:21">
      <c r="B55" s="647" t="str">
        <f>+B2</f>
        <v xml:space="preserve">ATTACHMENT H-15A </v>
      </c>
      <c r="C55" s="647"/>
      <c r="D55" s="647"/>
      <c r="E55" s="647"/>
      <c r="F55" s="647"/>
      <c r="G55" s="647"/>
      <c r="H55" s="647"/>
      <c r="I55" s="647"/>
    </row>
    <row r="56" spans="1:21">
      <c r="B56" s="647" t="str">
        <f>+B3</f>
        <v>Attachment 1A - Accumulated Deferred Income Taxes (ADIT) Worksheet - Projected December 31, 2023</v>
      </c>
      <c r="C56" s="647"/>
      <c r="D56" s="647"/>
      <c r="E56" s="647"/>
      <c r="F56" s="647"/>
      <c r="G56" s="647"/>
      <c r="H56" s="647"/>
      <c r="I56" s="647"/>
    </row>
    <row r="57" spans="1:21">
      <c r="B57" s="343"/>
      <c r="I57" s="342"/>
    </row>
    <row r="58" spans="1:21">
      <c r="B58" s="345" t="s">
        <v>206</v>
      </c>
      <c r="C58" s="345" t="s">
        <v>208</v>
      </c>
      <c r="D58" s="345" t="s">
        <v>210</v>
      </c>
      <c r="E58" s="345" t="s">
        <v>212</v>
      </c>
      <c r="F58" s="345" t="s">
        <v>214</v>
      </c>
      <c r="G58" s="345" t="s">
        <v>216</v>
      </c>
      <c r="H58" s="345"/>
      <c r="I58" s="411"/>
    </row>
    <row r="59" spans="1:21">
      <c r="B59" s="306"/>
      <c r="C59" s="343" t="s">
        <v>303</v>
      </c>
      <c r="D59" s="343"/>
      <c r="E59" s="343"/>
      <c r="F59" s="343"/>
      <c r="G59" s="343"/>
      <c r="H59" s="343"/>
      <c r="I59" s="411"/>
    </row>
    <row r="60" spans="1:21">
      <c r="B60" s="335" t="s">
        <v>304</v>
      </c>
      <c r="C60" s="343"/>
      <c r="D60" s="343"/>
      <c r="E60" s="343" t="s">
        <v>56</v>
      </c>
      <c r="F60" s="343" t="s">
        <v>254</v>
      </c>
      <c r="G60" s="343" t="s">
        <v>255</v>
      </c>
      <c r="H60" s="343"/>
      <c r="I60" s="345" t="s">
        <v>218</v>
      </c>
    </row>
    <row r="61" spans="1:21" ht="21" thickBot="1">
      <c r="C61" s="343"/>
      <c r="D61" s="343" t="str">
        <f>+D30</f>
        <v>Excluded</v>
      </c>
      <c r="E61" s="343" t="s">
        <v>256</v>
      </c>
      <c r="F61" s="343" t="s">
        <v>256</v>
      </c>
      <c r="G61" s="343" t="s">
        <v>256</v>
      </c>
      <c r="H61" s="333"/>
      <c r="I61" s="343" t="s">
        <v>270</v>
      </c>
    </row>
    <row r="62" spans="1:21" ht="47.25" customHeight="1">
      <c r="A62" s="306">
        <f>+A45+1</f>
        <v>27</v>
      </c>
      <c r="B62" s="305" t="s">
        <v>305</v>
      </c>
      <c r="C62" s="331">
        <f>+SUM(D62:G62)</f>
        <v>0</v>
      </c>
      <c r="D62" s="331">
        <v>0</v>
      </c>
      <c r="E62" s="331"/>
      <c r="F62" s="331">
        <v>0</v>
      </c>
      <c r="G62" s="331">
        <v>0</v>
      </c>
      <c r="H62" s="304"/>
      <c r="I62" s="525" t="s">
        <v>988</v>
      </c>
      <c r="Q62" s="303"/>
      <c r="R62" s="303"/>
      <c r="S62" s="303"/>
      <c r="T62" s="303"/>
      <c r="U62" s="303"/>
    </row>
    <row r="63" spans="1:21" ht="46.5" customHeight="1">
      <c r="A63" s="306">
        <f>+A62+1</f>
        <v>28</v>
      </c>
      <c r="B63" s="327" t="s">
        <v>306</v>
      </c>
      <c r="C63" s="326">
        <f>+SUM(D63:G63)</f>
        <v>-12417109.954839645</v>
      </c>
      <c r="D63" s="326">
        <v>1447712.77</v>
      </c>
      <c r="E63" s="326">
        <v>-7035858.9648396447</v>
      </c>
      <c r="F63" s="326">
        <v>0</v>
      </c>
      <c r="G63" s="326">
        <v>-6828963.7599999998</v>
      </c>
      <c r="H63" s="325"/>
      <c r="I63" s="302" t="s">
        <v>307</v>
      </c>
      <c r="Q63" s="303"/>
      <c r="R63" s="303"/>
      <c r="S63" s="303"/>
      <c r="T63" s="303"/>
      <c r="U63" s="303"/>
    </row>
    <row r="64" spans="1:21" ht="35.1" customHeight="1" thickBot="1">
      <c r="A64" s="306">
        <f>+A63+1</f>
        <v>29</v>
      </c>
      <c r="B64" s="313" t="s">
        <v>67</v>
      </c>
      <c r="C64" s="312">
        <f>+SUM(C62:C63)</f>
        <v>-12417109.954839645</v>
      </c>
      <c r="D64" s="312">
        <f t="shared" ref="D64:G64" si="9">+SUM(D62:D63)</f>
        <v>1447712.77</v>
      </c>
      <c r="E64" s="312">
        <f t="shared" si="9"/>
        <v>-7035858.9648396447</v>
      </c>
      <c r="F64" s="312">
        <f t="shared" si="9"/>
        <v>0</v>
      </c>
      <c r="G64" s="312">
        <f t="shared" si="9"/>
        <v>-6828963.7599999998</v>
      </c>
      <c r="H64" s="312"/>
      <c r="I64" s="311"/>
      <c r="Q64" s="303"/>
      <c r="R64" s="303"/>
      <c r="S64" s="303"/>
      <c r="T64" s="303"/>
      <c r="U64" s="303"/>
    </row>
    <row r="65" spans="2:9" ht="25.15" customHeight="1">
      <c r="B65" s="306" t="s">
        <v>308</v>
      </c>
      <c r="E65" s="347"/>
      <c r="F65" s="310"/>
      <c r="I65" s="308"/>
    </row>
    <row r="66" spans="2:9" ht="21" customHeight="1">
      <c r="B66" s="32" t="s">
        <v>309</v>
      </c>
      <c r="G66" s="347"/>
      <c r="H66" s="347"/>
      <c r="I66" s="347"/>
    </row>
    <row r="67" spans="2:9" ht="15" customHeight="1">
      <c r="B67" s="32" t="s">
        <v>298</v>
      </c>
      <c r="G67" s="347"/>
      <c r="H67" s="347"/>
      <c r="I67" s="347"/>
    </row>
    <row r="68" spans="2:9" ht="19.149999999999999" customHeight="1">
      <c r="B68" s="32" t="s">
        <v>310</v>
      </c>
      <c r="G68" s="347"/>
      <c r="H68" s="347"/>
      <c r="I68" s="347"/>
    </row>
    <row r="69" spans="2:9" ht="18.600000000000001" customHeight="1">
      <c r="B69" s="32" t="s">
        <v>311</v>
      </c>
      <c r="G69" s="347"/>
      <c r="H69" s="347"/>
      <c r="I69" s="347"/>
    </row>
    <row r="70" spans="2:9" ht="18.600000000000001" customHeight="1">
      <c r="B70" s="653" t="s">
        <v>301</v>
      </c>
      <c r="C70" s="653"/>
      <c r="D70" s="653"/>
      <c r="E70" s="653"/>
      <c r="F70" s="653"/>
      <c r="G70" s="653"/>
      <c r="H70" s="653"/>
      <c r="I70" s="653"/>
    </row>
    <row r="71" spans="2:9">
      <c r="B71" s="32" t="s">
        <v>302</v>
      </c>
      <c r="C71" s="347"/>
      <c r="D71" s="307"/>
      <c r="E71" s="347"/>
      <c r="F71" s="347"/>
      <c r="G71" s="347"/>
      <c r="H71" s="347"/>
      <c r="I71" s="308"/>
    </row>
    <row r="72" spans="2:9">
      <c r="F72" s="347"/>
      <c r="G72" s="347"/>
      <c r="H72" s="347"/>
      <c r="I72" s="308"/>
    </row>
    <row r="73" spans="2:9">
      <c r="F73" s="347"/>
      <c r="G73" s="347"/>
      <c r="H73" s="347"/>
      <c r="I73" s="308"/>
    </row>
    <row r="74" spans="2:9">
      <c r="B74" s="345"/>
    </row>
    <row r="75" spans="2:9">
      <c r="B75" s="301" t="str">
        <f>B1</f>
        <v>Dayton Power and Light</v>
      </c>
      <c r="C75" s="300"/>
      <c r="D75" s="300"/>
      <c r="E75" s="300"/>
      <c r="F75" s="300"/>
      <c r="G75" s="300"/>
      <c r="H75" s="300"/>
      <c r="I75" s="300"/>
    </row>
    <row r="76" spans="2:9">
      <c r="B76" s="647" t="str">
        <f>+B55</f>
        <v xml:space="preserve">ATTACHMENT H-15A </v>
      </c>
      <c r="C76" s="647"/>
      <c r="D76" s="647"/>
      <c r="E76" s="647"/>
      <c r="F76" s="647"/>
      <c r="G76" s="647"/>
      <c r="H76" s="647"/>
      <c r="I76" s="647"/>
    </row>
    <row r="77" spans="2:9">
      <c r="B77" s="647" t="str">
        <f>+B3</f>
        <v>Attachment 1A - Accumulated Deferred Income Taxes (ADIT) Worksheet - Projected December 31, 2023</v>
      </c>
      <c r="C77" s="647"/>
      <c r="D77" s="647"/>
      <c r="E77" s="647"/>
      <c r="F77" s="647"/>
      <c r="G77" s="647"/>
      <c r="H77" s="647"/>
      <c r="I77" s="647"/>
    </row>
    <row r="78" spans="2:9">
      <c r="G78" s="335"/>
      <c r="H78" s="335"/>
      <c r="I78" s="308"/>
    </row>
    <row r="79" spans="2:9">
      <c r="B79" s="345" t="s">
        <v>206</v>
      </c>
      <c r="C79" s="345" t="s">
        <v>208</v>
      </c>
      <c r="D79" s="345" t="s">
        <v>210</v>
      </c>
      <c r="E79" s="345" t="s">
        <v>212</v>
      </c>
      <c r="F79" s="345" t="s">
        <v>214</v>
      </c>
      <c r="G79" s="345" t="s">
        <v>216</v>
      </c>
      <c r="H79" s="345"/>
      <c r="I79" s="345" t="s">
        <v>218</v>
      </c>
    </row>
    <row r="80" spans="2:9">
      <c r="B80" s="335" t="s">
        <v>312</v>
      </c>
      <c r="C80" s="345" t="s">
        <v>67</v>
      </c>
      <c r="D80" s="299"/>
      <c r="E80" s="345" t="s">
        <v>56</v>
      </c>
      <c r="F80" s="299" t="s">
        <v>254</v>
      </c>
      <c r="G80" s="299" t="s">
        <v>255</v>
      </c>
      <c r="H80" s="345"/>
    </row>
    <row r="81" spans="1:21" ht="16.149999999999999" customHeight="1" thickBot="1">
      <c r="C81" s="345"/>
      <c r="D81" s="345" t="str">
        <f>+D61</f>
        <v>Excluded</v>
      </c>
      <c r="E81" s="345" t="s">
        <v>256</v>
      </c>
      <c r="F81" s="345"/>
      <c r="G81" s="345"/>
      <c r="H81" s="490"/>
      <c r="I81" s="343" t="s">
        <v>270</v>
      </c>
    </row>
    <row r="82" spans="1:21" ht="25.15" customHeight="1">
      <c r="A82" s="347">
        <f>+A64+1</f>
        <v>30</v>
      </c>
      <c r="B82" s="332"/>
      <c r="C82" s="331"/>
      <c r="D82" s="331"/>
      <c r="E82" s="331"/>
      <c r="F82" s="331"/>
      <c r="G82" s="331"/>
      <c r="H82" s="298"/>
      <c r="I82" s="297" t="s">
        <v>314</v>
      </c>
      <c r="Q82" s="303"/>
      <c r="R82" s="303"/>
      <c r="S82" s="303"/>
      <c r="T82" s="303"/>
      <c r="U82" s="303"/>
    </row>
    <row r="83" spans="1:21" ht="44.25" customHeight="1">
      <c r="A83" s="347">
        <f>+A82+1</f>
        <v>31</v>
      </c>
      <c r="B83" s="327" t="s">
        <v>315</v>
      </c>
      <c r="C83" s="326">
        <f>+SUM(D83:G83)</f>
        <v>-143045.45000000001</v>
      </c>
      <c r="D83" s="326">
        <v>-143045.45000000001</v>
      </c>
      <c r="E83" s="326">
        <v>0</v>
      </c>
      <c r="F83" s="326">
        <v>0</v>
      </c>
      <c r="G83" s="326">
        <v>0</v>
      </c>
      <c r="H83" s="317"/>
      <c r="I83" s="329" t="s">
        <v>316</v>
      </c>
      <c r="Q83" s="303"/>
      <c r="R83" s="303"/>
      <c r="S83" s="303"/>
      <c r="T83" s="303"/>
      <c r="U83" s="303"/>
    </row>
    <row r="84" spans="1:21" ht="57" customHeight="1">
      <c r="A84" s="347">
        <f t="shared" ref="A84:A92" si="10">+A83+1</f>
        <v>32</v>
      </c>
      <c r="B84" s="327" t="s">
        <v>317</v>
      </c>
      <c r="C84" s="326">
        <f>+SUM(D84:G84)</f>
        <v>-17850534.510000002</v>
      </c>
      <c r="D84" s="326">
        <v>-17850534.510000002</v>
      </c>
      <c r="E84" s="326">
        <v>0</v>
      </c>
      <c r="F84" s="326">
        <v>0</v>
      </c>
      <c r="G84" s="326">
        <v>0</v>
      </c>
      <c r="H84" s="317"/>
      <c r="I84" s="329" t="s">
        <v>318</v>
      </c>
      <c r="Q84" s="303"/>
      <c r="R84" s="303"/>
      <c r="S84" s="303"/>
      <c r="T84" s="303"/>
      <c r="U84" s="303"/>
    </row>
    <row r="85" spans="1:21" ht="68.25" customHeight="1">
      <c r="A85" s="347">
        <f t="shared" si="10"/>
        <v>33</v>
      </c>
      <c r="B85" s="327" t="s">
        <v>319</v>
      </c>
      <c r="C85" s="326">
        <f>+SUM(D85:G85)</f>
        <v>-39291403.299999997</v>
      </c>
      <c r="D85" s="326">
        <v>-39291403.299999997</v>
      </c>
      <c r="E85" s="326">
        <v>0</v>
      </c>
      <c r="F85" s="326">
        <v>0</v>
      </c>
      <c r="G85" s="326">
        <v>0</v>
      </c>
      <c r="H85" s="317"/>
      <c r="I85" s="329" t="s">
        <v>320</v>
      </c>
      <c r="Q85" s="303"/>
      <c r="R85" s="303"/>
      <c r="S85" s="303"/>
      <c r="T85" s="303"/>
      <c r="U85" s="303"/>
    </row>
    <row r="86" spans="1:21" ht="25.15" customHeight="1">
      <c r="A86" s="347">
        <f t="shared" si="10"/>
        <v>34</v>
      </c>
      <c r="B86" s="324" t="s">
        <v>321</v>
      </c>
      <c r="C86" s="326">
        <f>+SUM(D86:G86)</f>
        <v>9426914.7199999988</v>
      </c>
      <c r="D86" s="326">
        <v>0</v>
      </c>
      <c r="E86" s="326">
        <v>0</v>
      </c>
      <c r="F86" s="326">
        <v>9426914.7199999988</v>
      </c>
      <c r="G86" s="326">
        <v>0</v>
      </c>
      <c r="H86" s="317"/>
      <c r="I86" s="323" t="s">
        <v>277</v>
      </c>
      <c r="Q86" s="303"/>
      <c r="R86" s="303"/>
      <c r="S86" s="303"/>
      <c r="T86" s="303"/>
      <c r="U86" s="303"/>
    </row>
    <row r="87" spans="1:21" ht="25.15" customHeight="1">
      <c r="A87" s="347">
        <f t="shared" si="10"/>
        <v>35</v>
      </c>
      <c r="B87" s="327" t="s">
        <v>322</v>
      </c>
      <c r="C87" s="326">
        <f>+SUM(D87:G87)</f>
        <v>0</v>
      </c>
      <c r="D87" s="326">
        <v>0</v>
      </c>
      <c r="E87" s="326">
        <v>0</v>
      </c>
      <c r="F87" s="326">
        <v>0</v>
      </c>
      <c r="G87" s="326">
        <v>0</v>
      </c>
      <c r="H87" s="317"/>
      <c r="I87" s="329" t="s">
        <v>323</v>
      </c>
      <c r="Q87" s="303"/>
      <c r="R87" s="303"/>
      <c r="S87" s="303"/>
      <c r="T87" s="303"/>
      <c r="U87" s="303"/>
    </row>
    <row r="88" spans="1:21" ht="35.25" customHeight="1">
      <c r="A88" s="347">
        <f>+A87+1</f>
        <v>36</v>
      </c>
      <c r="B88" s="327" t="s">
        <v>291</v>
      </c>
      <c r="C88" s="326">
        <f>+C89-SUM(C82:C87)</f>
        <v>8837457.6600000039</v>
      </c>
      <c r="D88" s="326">
        <f>+C88</f>
        <v>8837457.6600000039</v>
      </c>
      <c r="E88" s="326">
        <v>0</v>
      </c>
      <c r="F88" s="326">
        <v>0</v>
      </c>
      <c r="G88" s="326">
        <v>0</v>
      </c>
      <c r="H88" s="317"/>
      <c r="I88" s="329" t="s">
        <v>324</v>
      </c>
      <c r="Q88" s="303"/>
      <c r="R88" s="303"/>
      <c r="S88" s="303"/>
      <c r="T88" s="303"/>
      <c r="U88" s="303"/>
    </row>
    <row r="89" spans="1:21" ht="25.15" customHeight="1">
      <c r="A89" s="347">
        <f t="shared" si="10"/>
        <v>37</v>
      </c>
      <c r="B89" s="296" t="s">
        <v>325</v>
      </c>
      <c r="C89" s="295">
        <v>-39020610.879999995</v>
      </c>
      <c r="D89" s="295">
        <f>SUM(D80:D88)</f>
        <v>-48447525.599999994</v>
      </c>
      <c r="E89" s="295">
        <f>SUM(E80:E88)</f>
        <v>0</v>
      </c>
      <c r="F89" s="295">
        <f>SUM(F80:F88)</f>
        <v>9426914.7199999988</v>
      </c>
      <c r="G89" s="295">
        <f t="shared" ref="G89" si="11">SUM(G80:G88)</f>
        <v>0</v>
      </c>
      <c r="H89" s="295"/>
      <c r="I89" s="294"/>
      <c r="Q89" s="303"/>
      <c r="R89" s="303"/>
      <c r="S89" s="303"/>
      <c r="T89" s="303"/>
      <c r="U89" s="303"/>
    </row>
    <row r="90" spans="1:21" ht="25.15" customHeight="1">
      <c r="A90" s="347">
        <f t="shared" si="10"/>
        <v>38</v>
      </c>
      <c r="B90" s="293" t="s">
        <v>326</v>
      </c>
      <c r="C90" s="317">
        <f t="shared" ref="C90:G90" si="12">+C86</f>
        <v>9426914.7199999988</v>
      </c>
      <c r="D90" s="317">
        <f t="shared" si="12"/>
        <v>0</v>
      </c>
      <c r="E90" s="317">
        <f t="shared" si="12"/>
        <v>0</v>
      </c>
      <c r="F90" s="317">
        <f t="shared" si="12"/>
        <v>9426914.7199999988</v>
      </c>
      <c r="G90" s="317">
        <f t="shared" si="12"/>
        <v>0</v>
      </c>
      <c r="H90" s="317"/>
      <c r="I90" s="314"/>
      <c r="Q90" s="303"/>
      <c r="R90" s="303"/>
      <c r="S90" s="303"/>
      <c r="T90" s="303"/>
      <c r="U90" s="303"/>
    </row>
    <row r="91" spans="1:21" ht="25.15" customHeight="1">
      <c r="A91" s="347">
        <f t="shared" si="10"/>
        <v>39</v>
      </c>
      <c r="B91" s="292" t="s">
        <v>327</v>
      </c>
      <c r="C91" s="291">
        <f t="shared" ref="C91:G91" si="13">+C83</f>
        <v>-143045.45000000001</v>
      </c>
      <c r="D91" s="291">
        <f t="shared" si="13"/>
        <v>-143045.45000000001</v>
      </c>
      <c r="E91" s="291">
        <f t="shared" si="13"/>
        <v>0</v>
      </c>
      <c r="F91" s="291">
        <f t="shared" si="13"/>
        <v>0</v>
      </c>
      <c r="G91" s="291">
        <f t="shared" si="13"/>
        <v>0</v>
      </c>
      <c r="H91" s="291"/>
      <c r="I91" s="290" t="s">
        <v>328</v>
      </c>
      <c r="Q91" s="303"/>
      <c r="R91" s="303"/>
      <c r="S91" s="303"/>
      <c r="T91" s="303"/>
      <c r="U91" s="303"/>
    </row>
    <row r="92" spans="1:21" ht="35.1" customHeight="1" thickBot="1">
      <c r="A92" s="347">
        <f t="shared" si="10"/>
        <v>40</v>
      </c>
      <c r="B92" s="313" t="s">
        <v>67</v>
      </c>
      <c r="C92" s="312">
        <f>+C89-C90-C91</f>
        <v>-48304480.149999991</v>
      </c>
      <c r="D92" s="312">
        <f t="shared" ref="D92:G92" si="14">+D89-D90-D91</f>
        <v>-48304480.149999991</v>
      </c>
      <c r="E92" s="312">
        <f t="shared" si="14"/>
        <v>0</v>
      </c>
      <c r="F92" s="312">
        <f t="shared" si="14"/>
        <v>0</v>
      </c>
      <c r="G92" s="312">
        <f t="shared" si="14"/>
        <v>0</v>
      </c>
      <c r="H92" s="312"/>
      <c r="I92" s="311"/>
      <c r="Q92" s="303"/>
      <c r="R92" s="303"/>
      <c r="S92" s="303"/>
      <c r="T92" s="303"/>
      <c r="U92" s="303"/>
    </row>
    <row r="93" spans="1:21">
      <c r="C93" s="340"/>
      <c r="D93" s="340"/>
      <c r="E93" s="340"/>
      <c r="F93" s="340"/>
      <c r="G93" s="340"/>
      <c r="H93" s="340"/>
      <c r="I93" s="308"/>
      <c r="Q93" s="303"/>
      <c r="R93" s="303"/>
      <c r="S93" s="303"/>
      <c r="T93" s="303"/>
      <c r="U93" s="303"/>
    </row>
    <row r="94" spans="1:21" ht="20.45" customHeight="1">
      <c r="B94" s="306" t="s">
        <v>329</v>
      </c>
      <c r="E94" s="347"/>
      <c r="F94" s="347"/>
      <c r="I94" s="289"/>
    </row>
    <row r="95" spans="1:21" ht="21" customHeight="1">
      <c r="B95" s="32" t="str">
        <f>+B66</f>
        <v>1.  ADIT items related only to Non-Electric Operations or Production are directly assigned to Column C</v>
      </c>
      <c r="G95" s="347"/>
      <c r="H95" s="347"/>
      <c r="I95" s="347"/>
    </row>
    <row r="96" spans="1:21" ht="19.149999999999999" customHeight="1">
      <c r="B96" s="32" t="s">
        <v>298</v>
      </c>
      <c r="G96" s="347"/>
      <c r="H96" s="347"/>
      <c r="I96" s="347"/>
    </row>
    <row r="97" spans="2:9" ht="17.45" customHeight="1">
      <c r="B97" s="32" t="s">
        <v>310</v>
      </c>
      <c r="G97" s="347"/>
      <c r="H97" s="347"/>
      <c r="I97" s="347"/>
    </row>
    <row r="98" spans="2:9" ht="19.149999999999999" customHeight="1">
      <c r="B98" s="32" t="s">
        <v>311</v>
      </c>
      <c r="G98" s="347"/>
      <c r="H98" s="347"/>
      <c r="I98" s="347"/>
    </row>
    <row r="99" spans="2:9" ht="19.149999999999999" customHeight="1">
      <c r="B99" s="653" t="s">
        <v>301</v>
      </c>
      <c r="C99" s="653"/>
      <c r="D99" s="653"/>
      <c r="E99" s="653"/>
      <c r="F99" s="653"/>
      <c r="G99" s="653"/>
      <c r="H99" s="653"/>
      <c r="I99" s="653"/>
    </row>
    <row r="100" spans="2:9">
      <c r="B100" s="32" t="s">
        <v>302</v>
      </c>
      <c r="C100" s="347"/>
      <c r="D100" s="307"/>
      <c r="E100" s="347"/>
      <c r="F100" s="347"/>
      <c r="G100" s="347"/>
      <c r="H100" s="347"/>
      <c r="I100" s="308"/>
    </row>
    <row r="101" spans="2:9">
      <c r="C101" s="300"/>
      <c r="D101" s="300"/>
      <c r="E101" s="300"/>
      <c r="F101" s="300"/>
      <c r="G101" s="300"/>
      <c r="H101" s="300"/>
      <c r="I101" s="300"/>
    </row>
    <row r="102" spans="2:9">
      <c r="B102" s="647"/>
      <c r="C102" s="647"/>
      <c r="D102" s="647"/>
      <c r="E102" s="647"/>
      <c r="F102" s="647"/>
      <c r="G102" s="647"/>
      <c r="H102" s="647"/>
      <c r="I102" s="647"/>
    </row>
    <row r="103" spans="2:9">
      <c r="B103" s="306"/>
    </row>
    <row r="104" spans="2:9">
      <c r="B104" s="306"/>
    </row>
    <row r="105" spans="2:9">
      <c r="B105" s="306"/>
    </row>
    <row r="106" spans="2:9">
      <c r="B106" s="231"/>
      <c r="D106" s="288"/>
      <c r="E106" s="288"/>
      <c r="F106" s="288"/>
      <c r="G106" s="288"/>
      <c r="H106" s="288"/>
      <c r="I106" s="288"/>
    </row>
    <row r="107" spans="2:9">
      <c r="B107" s="231"/>
      <c r="D107" s="288"/>
      <c r="E107" s="288"/>
      <c r="F107" s="288"/>
      <c r="G107" s="288"/>
      <c r="H107" s="288"/>
      <c r="I107" s="288"/>
    </row>
    <row r="108" spans="2:9">
      <c r="D108" s="347"/>
      <c r="E108" s="347"/>
    </row>
    <row r="109" spans="2:9">
      <c r="D109" s="303"/>
      <c r="E109" s="303"/>
    </row>
    <row r="110" spans="2:9">
      <c r="D110" s="303"/>
      <c r="E110" s="303"/>
    </row>
    <row r="111" spans="2:9">
      <c r="D111" s="303"/>
      <c r="E111" s="303"/>
    </row>
    <row r="112" spans="2:9">
      <c r="D112" s="303"/>
      <c r="E112" s="303"/>
    </row>
    <row r="113" spans="2:5">
      <c r="D113" s="303"/>
      <c r="E113" s="303"/>
    </row>
    <row r="114" spans="2:5">
      <c r="D114" s="303"/>
      <c r="E114" s="303"/>
    </row>
    <row r="115" spans="2:5">
      <c r="D115" s="303"/>
      <c r="E115" s="303"/>
    </row>
    <row r="116" spans="2:5">
      <c r="D116" s="303"/>
      <c r="E116" s="303"/>
    </row>
    <row r="117" spans="2:5">
      <c r="D117" s="303"/>
      <c r="E117" s="303"/>
    </row>
    <row r="118" spans="2:5">
      <c r="D118" s="303"/>
      <c r="E118" s="303"/>
    </row>
    <row r="119" spans="2:5">
      <c r="B119" s="306"/>
      <c r="D119" s="303"/>
      <c r="E119" s="303"/>
    </row>
    <row r="120" spans="2:5">
      <c r="D120" s="303"/>
      <c r="E120" s="303"/>
    </row>
    <row r="121" spans="2:5">
      <c r="B121" s="306"/>
      <c r="D121" s="303"/>
      <c r="E121" s="303"/>
    </row>
  </sheetData>
  <customSheetViews>
    <customSheetView guid="{416404B7-8533-4A12-ABD0-58CFDEB49D80}" scale="50" showPageBreaks="1" printArea="1">
      <selection sqref="A1:XFD1048576"/>
      <rowBreaks count="2" manualBreakCount="2">
        <brk id="73" max="16383" man="1"/>
        <brk id="132" max="16383" man="1"/>
      </rowBreaks>
      <pageMargins left="0" right="0" top="0" bottom="0" header="0" footer="0"/>
      <printOptions horizontalCentered="1"/>
      <pageSetup scale="30" orientation="landscape" r:id="rId1"/>
      <headerFooter alignWithMargins="0"/>
    </customSheetView>
  </customSheetViews>
  <mergeCells count="13">
    <mergeCell ref="B102:I102"/>
    <mergeCell ref="B47:I47"/>
    <mergeCell ref="B51:I51"/>
    <mergeCell ref="B77:I77"/>
    <mergeCell ref="B54:I54"/>
    <mergeCell ref="B55:I55"/>
    <mergeCell ref="B70:I70"/>
    <mergeCell ref="B99:I99"/>
    <mergeCell ref="B1:I1"/>
    <mergeCell ref="B3:I3"/>
    <mergeCell ref="B2:I2"/>
    <mergeCell ref="B56:I56"/>
    <mergeCell ref="B76:I76"/>
  </mergeCells>
  <phoneticPr fontId="0" type="noConversion"/>
  <printOptions horizontalCentered="1"/>
  <pageMargins left="0.75" right="0.75" top="1" bottom="1" header="0.5" footer="0.5"/>
  <pageSetup scale="32" fitToHeight="2" orientation="landscape" r:id="rId2"/>
  <headerFooter alignWithMargins="0"/>
  <rowBreaks count="1" manualBreakCount="1">
    <brk id="53" max="8" man="1"/>
  </rowBreaks>
  <customProperties>
    <customPr name="_pios_id" r:id="rId3"/>
    <customPr name="EpmWorksheetKeyString_GU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35FD9-FCAC-46B2-9F38-0C426B84C83A}">
  <sheetPr>
    <tabColor rgb="FF92D050"/>
    <pageSetUpPr fitToPage="1"/>
  </sheetPr>
  <dimension ref="A1:S31"/>
  <sheetViews>
    <sheetView zoomScale="70" zoomScaleNormal="70" workbookViewId="0">
      <selection activeCell="A4" sqref="A4"/>
    </sheetView>
  </sheetViews>
  <sheetFormatPr defaultRowHeight="20.25"/>
  <cols>
    <col min="1" max="1" width="4.5703125" style="306" customWidth="1"/>
    <col min="2" max="2" width="39.7109375" style="306" customWidth="1"/>
    <col min="3" max="3" width="12.28515625" style="306" bestFit="1" customWidth="1"/>
    <col min="4" max="4" width="12.140625" style="306" customWidth="1"/>
    <col min="5" max="5" width="17.42578125" style="306" customWidth="1"/>
    <col min="6" max="6" width="13.5703125" style="306" customWidth="1"/>
    <col min="7" max="7" width="16.42578125" style="306" customWidth="1"/>
    <col min="8" max="8" width="18.28515625" style="306" customWidth="1"/>
    <col min="9" max="9" width="20.42578125" style="306" customWidth="1"/>
    <col min="10" max="10" width="21.85546875" style="306" customWidth="1"/>
    <col min="11" max="13" width="14.7109375" style="306" customWidth="1"/>
    <col min="14" max="14" width="19.42578125" style="306" customWidth="1"/>
    <col min="15" max="15" width="18" style="306" bestFit="1" customWidth="1"/>
    <col min="16" max="16" width="14.7109375" style="306" customWidth="1"/>
    <col min="17" max="17" width="13.5703125" style="306" bestFit="1" customWidth="1"/>
    <col min="18" max="18" width="16.140625" style="306" bestFit="1" customWidth="1"/>
    <col min="19" max="19" width="21.7109375" style="306" customWidth="1"/>
    <col min="20" max="16384" width="9.140625" style="306"/>
  </cols>
  <sheetData>
    <row r="1" spans="1:19">
      <c r="H1" s="345" t="s">
        <v>0</v>
      </c>
      <c r="S1" s="342"/>
    </row>
    <row r="2" spans="1:19">
      <c r="H2" s="345" t="s">
        <v>330</v>
      </c>
    </row>
    <row r="3" spans="1:19">
      <c r="B3" s="347"/>
      <c r="C3" s="345"/>
      <c r="D3" s="344"/>
      <c r="E3" s="344"/>
      <c r="F3" s="344"/>
      <c r="G3" s="344"/>
      <c r="H3" s="344" t="s">
        <v>995</v>
      </c>
      <c r="I3" s="287"/>
      <c r="J3" s="344"/>
      <c r="K3" s="344"/>
      <c r="L3" s="344"/>
      <c r="M3" s="345"/>
      <c r="N3" s="345"/>
      <c r="O3" s="345"/>
      <c r="P3" s="345"/>
      <c r="Q3" s="345"/>
      <c r="R3" s="345"/>
    </row>
    <row r="4" spans="1:19">
      <c r="B4" s="535" t="s">
        <v>935</v>
      </c>
      <c r="C4" s="536"/>
      <c r="D4" s="345"/>
      <c r="E4" s="345"/>
      <c r="F4" s="345"/>
      <c r="G4" s="345"/>
      <c r="H4" s="345"/>
      <c r="I4" s="347"/>
      <c r="J4" s="345"/>
      <c r="K4" s="345"/>
      <c r="L4" s="345"/>
      <c r="M4" s="345"/>
      <c r="N4" s="345"/>
      <c r="O4" s="345"/>
      <c r="P4" s="345"/>
      <c r="Q4" s="345"/>
      <c r="R4" s="345"/>
    </row>
    <row r="5" spans="1:19">
      <c r="B5" s="306" t="s">
        <v>331</v>
      </c>
      <c r="C5" s="345"/>
      <c r="D5" s="345"/>
      <c r="E5" s="345"/>
      <c r="F5" s="345"/>
      <c r="G5" s="345"/>
      <c r="H5" s="345"/>
      <c r="I5" s="347"/>
      <c r="J5" s="345"/>
      <c r="K5" s="345"/>
      <c r="L5" s="345"/>
      <c r="M5" s="345"/>
      <c r="N5" s="345"/>
      <c r="O5" s="345"/>
      <c r="P5" s="345"/>
      <c r="Q5" s="345"/>
      <c r="R5" s="345"/>
    </row>
    <row r="6" spans="1:19">
      <c r="B6" s="286" t="s">
        <v>996</v>
      </c>
    </row>
    <row r="7" spans="1:19">
      <c r="B7" s="32" t="s">
        <v>332</v>
      </c>
    </row>
    <row r="8" spans="1:19">
      <c r="B8" s="347" t="s">
        <v>333</v>
      </c>
      <c r="C8" s="347" t="s">
        <v>334</v>
      </c>
      <c r="D8" s="347" t="s">
        <v>335</v>
      </c>
      <c r="E8" s="347" t="s">
        <v>336</v>
      </c>
      <c r="F8" s="347" t="s">
        <v>337</v>
      </c>
      <c r="G8" s="347" t="s">
        <v>338</v>
      </c>
      <c r="H8" s="347" t="s">
        <v>339</v>
      </c>
      <c r="I8" s="347" t="s">
        <v>340</v>
      </c>
      <c r="J8" s="347" t="s">
        <v>341</v>
      </c>
      <c r="K8" s="347" t="s">
        <v>342</v>
      </c>
      <c r="L8" s="347" t="s">
        <v>343</v>
      </c>
      <c r="M8" s="347" t="s">
        <v>344</v>
      </c>
      <c r="N8" s="347" t="s">
        <v>345</v>
      </c>
      <c r="O8" s="347" t="s">
        <v>346</v>
      </c>
      <c r="P8" s="347" t="s">
        <v>347</v>
      </c>
      <c r="Q8" s="347" t="s">
        <v>348</v>
      </c>
      <c r="R8" s="347" t="s">
        <v>349</v>
      </c>
      <c r="S8" s="347" t="s">
        <v>350</v>
      </c>
    </row>
    <row r="9" spans="1:19" ht="141.75">
      <c r="B9" s="285" t="s">
        <v>351</v>
      </c>
      <c r="C9" s="285" t="s">
        <v>352</v>
      </c>
      <c r="D9" s="285" t="s">
        <v>353</v>
      </c>
      <c r="E9" s="285" t="s">
        <v>354</v>
      </c>
      <c r="F9" s="285" t="s">
        <v>355</v>
      </c>
      <c r="G9" s="285" t="s">
        <v>356</v>
      </c>
      <c r="H9" s="285" t="s">
        <v>357</v>
      </c>
      <c r="I9" s="285" t="s">
        <v>56</v>
      </c>
      <c r="J9" s="285" t="s">
        <v>358</v>
      </c>
      <c r="K9" s="285" t="s">
        <v>359</v>
      </c>
      <c r="L9" s="285" t="s">
        <v>20</v>
      </c>
      <c r="M9" s="285" t="s">
        <v>360</v>
      </c>
      <c r="N9" s="285" t="s">
        <v>361</v>
      </c>
      <c r="O9" s="285" t="s">
        <v>362</v>
      </c>
      <c r="P9" s="285" t="s">
        <v>68</v>
      </c>
      <c r="Q9" s="285" t="s">
        <v>363</v>
      </c>
      <c r="R9" s="285" t="s">
        <v>364</v>
      </c>
      <c r="S9" s="285" t="s">
        <v>365</v>
      </c>
    </row>
    <row r="10" spans="1:19">
      <c r="B10" s="32"/>
      <c r="C10" s="347"/>
      <c r="D10" s="347"/>
      <c r="E10" s="347"/>
      <c r="F10" s="347"/>
      <c r="G10" s="347"/>
      <c r="H10" s="347"/>
      <c r="I10" s="347"/>
      <c r="R10" s="448"/>
      <c r="S10" s="448"/>
    </row>
    <row r="11" spans="1:19" ht="81">
      <c r="A11" s="347">
        <v>1</v>
      </c>
      <c r="B11" s="284" t="s">
        <v>366</v>
      </c>
      <c r="C11" s="347">
        <v>0</v>
      </c>
      <c r="D11" s="347"/>
      <c r="E11" s="347"/>
      <c r="F11" s="347"/>
      <c r="G11" s="372">
        <f>365/365</f>
        <v>1</v>
      </c>
      <c r="H11" s="351">
        <f>+J11+N11+R11</f>
        <v>0</v>
      </c>
      <c r="I11" s="283">
        <v>0</v>
      </c>
      <c r="J11" s="351">
        <f>G11*I11</f>
        <v>0</v>
      </c>
      <c r="K11" s="283">
        <v>0</v>
      </c>
      <c r="L11" s="338">
        <f>+'Appendix A'!$H$27</f>
        <v>0.24713229692288416</v>
      </c>
      <c r="M11" s="351">
        <f>+K11*L11</f>
        <v>0</v>
      </c>
      <c r="N11" s="351">
        <f>+G11*M11</f>
        <v>0</v>
      </c>
      <c r="O11" s="283">
        <v>0</v>
      </c>
      <c r="P11" s="338">
        <f>+'Appendix A'!$H$16</f>
        <v>0.11010683301047983</v>
      </c>
      <c r="Q11" s="351">
        <f>+O11*P11</f>
        <v>0</v>
      </c>
      <c r="R11" s="351">
        <f>+G11*Q11</f>
        <v>0</v>
      </c>
      <c r="S11" s="303">
        <f>+J11+N11+R11</f>
        <v>0</v>
      </c>
    </row>
    <row r="12" spans="1:19">
      <c r="A12" s="347">
        <f>+A11+1</f>
        <v>2</v>
      </c>
      <c r="B12" s="306" t="s">
        <v>367</v>
      </c>
      <c r="C12" s="347">
        <v>0</v>
      </c>
      <c r="D12" s="282">
        <v>31</v>
      </c>
      <c r="E12" s="281">
        <f>E13+D13</f>
        <v>335</v>
      </c>
      <c r="F12" s="281">
        <f>SUM(D12:D23)</f>
        <v>365</v>
      </c>
      <c r="G12" s="372">
        <f>335/365</f>
        <v>0.9178082191780822</v>
      </c>
      <c r="H12" s="351">
        <f t="shared" ref="H12:H24" si="0">+J12+N12+R12</f>
        <v>0</v>
      </c>
      <c r="I12" s="283">
        <v>0</v>
      </c>
      <c r="J12" s="351">
        <f t="shared" ref="J12:J23" si="1">G12*I12</f>
        <v>0</v>
      </c>
      <c r="K12" s="351">
        <v>0</v>
      </c>
      <c r="L12" s="338">
        <f>+'Appendix A'!$H$27</f>
        <v>0.24713229692288416</v>
      </c>
      <c r="M12" s="351">
        <f t="shared" ref="M12:M23" si="2">+K12*L12</f>
        <v>0</v>
      </c>
      <c r="N12" s="351">
        <f t="shared" ref="N12:N23" si="3">+G12*M12</f>
        <v>0</v>
      </c>
      <c r="O12" s="283">
        <v>0</v>
      </c>
      <c r="P12" s="338">
        <f>+'Appendix A'!$H$16</f>
        <v>0.11010683301047983</v>
      </c>
      <c r="Q12" s="351">
        <f t="shared" ref="Q12:Q23" si="4">+O12*P12</f>
        <v>0</v>
      </c>
      <c r="R12" s="351">
        <f t="shared" ref="R12:R23" si="5">+G12*Q12</f>
        <v>0</v>
      </c>
      <c r="S12" s="303">
        <f t="shared" ref="S12:S24" si="6">+J12+N12+R12</f>
        <v>0</v>
      </c>
    </row>
    <row r="13" spans="1:19">
      <c r="A13" s="347">
        <f t="shared" ref="A13:A24" si="7">+A12+1</f>
        <v>3</v>
      </c>
      <c r="B13" s="306" t="s">
        <v>368</v>
      </c>
      <c r="C13" s="347">
        <f>+$C$12</f>
        <v>0</v>
      </c>
      <c r="D13" s="280">
        <v>28</v>
      </c>
      <c r="E13" s="281">
        <f t="shared" ref="E13:E20" si="8">E14+D14</f>
        <v>307</v>
      </c>
      <c r="F13" s="281">
        <f>F12</f>
        <v>365</v>
      </c>
      <c r="G13" s="372">
        <f>307/365</f>
        <v>0.84109589041095889</v>
      </c>
      <c r="H13" s="351">
        <f t="shared" si="0"/>
        <v>0</v>
      </c>
      <c r="I13" s="283">
        <f>$I$12</f>
        <v>0</v>
      </c>
      <c r="J13" s="351">
        <f t="shared" si="1"/>
        <v>0</v>
      </c>
      <c r="K13" s="351">
        <v>0</v>
      </c>
      <c r="L13" s="338">
        <f>+'Appendix A'!$H$27</f>
        <v>0.24713229692288416</v>
      </c>
      <c r="M13" s="351">
        <f t="shared" si="2"/>
        <v>0</v>
      </c>
      <c r="N13" s="351">
        <f t="shared" si="3"/>
        <v>0</v>
      </c>
      <c r="O13" s="283">
        <v>0</v>
      </c>
      <c r="P13" s="338">
        <f>+'Appendix A'!$H$16</f>
        <v>0.11010683301047983</v>
      </c>
      <c r="Q13" s="351">
        <f t="shared" si="4"/>
        <v>0</v>
      </c>
      <c r="R13" s="351">
        <f t="shared" si="5"/>
        <v>0</v>
      </c>
      <c r="S13" s="303">
        <f t="shared" si="6"/>
        <v>0</v>
      </c>
    </row>
    <row r="14" spans="1:19">
      <c r="A14" s="347">
        <f t="shared" si="7"/>
        <v>4</v>
      </c>
      <c r="B14" s="306" t="s">
        <v>369</v>
      </c>
      <c r="C14" s="347">
        <f t="shared" ref="C14:C23" si="9">+$C$12</f>
        <v>0</v>
      </c>
      <c r="D14" s="282">
        <v>31</v>
      </c>
      <c r="E14" s="281">
        <f t="shared" si="8"/>
        <v>276</v>
      </c>
      <c r="F14" s="281">
        <f t="shared" ref="F14:F23" si="10">F13</f>
        <v>365</v>
      </c>
      <c r="G14" s="372">
        <f>276/365</f>
        <v>0.75616438356164384</v>
      </c>
      <c r="H14" s="351">
        <f t="shared" si="0"/>
        <v>0</v>
      </c>
      <c r="I14" s="283">
        <f t="shared" ref="I14:I23" si="11">$I$12</f>
        <v>0</v>
      </c>
      <c r="J14" s="351">
        <f t="shared" si="1"/>
        <v>0</v>
      </c>
      <c r="K14" s="351">
        <v>0</v>
      </c>
      <c r="L14" s="338">
        <f>+'Appendix A'!$H$27</f>
        <v>0.24713229692288416</v>
      </c>
      <c r="M14" s="351">
        <f t="shared" si="2"/>
        <v>0</v>
      </c>
      <c r="N14" s="351">
        <f t="shared" si="3"/>
        <v>0</v>
      </c>
      <c r="O14" s="283">
        <v>0</v>
      </c>
      <c r="P14" s="338">
        <f>+'Appendix A'!$H$16</f>
        <v>0.11010683301047983</v>
      </c>
      <c r="Q14" s="351">
        <f t="shared" si="4"/>
        <v>0</v>
      </c>
      <c r="R14" s="351">
        <f t="shared" si="5"/>
        <v>0</v>
      </c>
      <c r="S14" s="303">
        <f t="shared" si="6"/>
        <v>0</v>
      </c>
    </row>
    <row r="15" spans="1:19">
      <c r="A15" s="347">
        <f t="shared" si="7"/>
        <v>5</v>
      </c>
      <c r="B15" s="306" t="s">
        <v>370</v>
      </c>
      <c r="C15" s="347">
        <f t="shared" si="9"/>
        <v>0</v>
      </c>
      <c r="D15" s="282">
        <v>30</v>
      </c>
      <c r="E15" s="281">
        <f t="shared" si="8"/>
        <v>246</v>
      </c>
      <c r="F15" s="281">
        <f t="shared" si="10"/>
        <v>365</v>
      </c>
      <c r="G15" s="372">
        <f>246/365</f>
        <v>0.67397260273972603</v>
      </c>
      <c r="H15" s="351">
        <f t="shared" si="0"/>
        <v>0</v>
      </c>
      <c r="I15" s="283">
        <f t="shared" si="11"/>
        <v>0</v>
      </c>
      <c r="J15" s="351">
        <f t="shared" si="1"/>
        <v>0</v>
      </c>
      <c r="K15" s="351">
        <v>0</v>
      </c>
      <c r="L15" s="338">
        <f>+'Appendix A'!$H$27</f>
        <v>0.24713229692288416</v>
      </c>
      <c r="M15" s="351">
        <f t="shared" si="2"/>
        <v>0</v>
      </c>
      <c r="N15" s="351">
        <f t="shared" si="3"/>
        <v>0</v>
      </c>
      <c r="O15" s="283">
        <v>0</v>
      </c>
      <c r="P15" s="338">
        <f>+'Appendix A'!$H$16</f>
        <v>0.11010683301047983</v>
      </c>
      <c r="Q15" s="351">
        <f t="shared" si="4"/>
        <v>0</v>
      </c>
      <c r="R15" s="351">
        <f t="shared" si="5"/>
        <v>0</v>
      </c>
      <c r="S15" s="303">
        <f t="shared" si="6"/>
        <v>0</v>
      </c>
    </row>
    <row r="16" spans="1:19">
      <c r="A16" s="347">
        <f t="shared" si="7"/>
        <v>6</v>
      </c>
      <c r="B16" s="306" t="s">
        <v>371</v>
      </c>
      <c r="C16" s="347">
        <f t="shared" si="9"/>
        <v>0</v>
      </c>
      <c r="D16" s="282">
        <v>31</v>
      </c>
      <c r="E16" s="281">
        <f t="shared" si="8"/>
        <v>215</v>
      </c>
      <c r="F16" s="281">
        <f t="shared" si="10"/>
        <v>365</v>
      </c>
      <c r="G16" s="372">
        <f>215/365</f>
        <v>0.58904109589041098</v>
      </c>
      <c r="H16" s="351">
        <f t="shared" si="0"/>
        <v>0</v>
      </c>
      <c r="I16" s="283">
        <f t="shared" si="11"/>
        <v>0</v>
      </c>
      <c r="J16" s="351">
        <f t="shared" si="1"/>
        <v>0</v>
      </c>
      <c r="K16" s="351">
        <v>0</v>
      </c>
      <c r="L16" s="338">
        <f>+'Appendix A'!$H$27</f>
        <v>0.24713229692288416</v>
      </c>
      <c r="M16" s="351">
        <f t="shared" si="2"/>
        <v>0</v>
      </c>
      <c r="N16" s="351">
        <f t="shared" si="3"/>
        <v>0</v>
      </c>
      <c r="O16" s="283">
        <v>0</v>
      </c>
      <c r="P16" s="338">
        <f>+'Appendix A'!$H$16</f>
        <v>0.11010683301047983</v>
      </c>
      <c r="Q16" s="351">
        <f t="shared" si="4"/>
        <v>0</v>
      </c>
      <c r="R16" s="351">
        <f t="shared" si="5"/>
        <v>0</v>
      </c>
      <c r="S16" s="303">
        <f t="shared" si="6"/>
        <v>0</v>
      </c>
    </row>
    <row r="17" spans="1:19">
      <c r="A17" s="347">
        <f t="shared" si="7"/>
        <v>7</v>
      </c>
      <c r="B17" s="306" t="s">
        <v>372</v>
      </c>
      <c r="C17" s="347">
        <f t="shared" si="9"/>
        <v>0</v>
      </c>
      <c r="D17" s="282">
        <v>30</v>
      </c>
      <c r="E17" s="281">
        <f t="shared" si="8"/>
        <v>185</v>
      </c>
      <c r="F17" s="281">
        <f t="shared" si="10"/>
        <v>365</v>
      </c>
      <c r="G17" s="372">
        <f>185/365</f>
        <v>0.50684931506849318</v>
      </c>
      <c r="H17" s="351">
        <f t="shared" si="0"/>
        <v>0</v>
      </c>
      <c r="I17" s="283">
        <f t="shared" si="11"/>
        <v>0</v>
      </c>
      <c r="J17" s="351">
        <f t="shared" si="1"/>
        <v>0</v>
      </c>
      <c r="K17" s="351">
        <v>0</v>
      </c>
      <c r="L17" s="338">
        <f>+'Appendix A'!$H$27</f>
        <v>0.24713229692288416</v>
      </c>
      <c r="M17" s="351">
        <f t="shared" si="2"/>
        <v>0</v>
      </c>
      <c r="N17" s="351">
        <f t="shared" si="3"/>
        <v>0</v>
      </c>
      <c r="O17" s="283">
        <v>0</v>
      </c>
      <c r="P17" s="338">
        <f>+'Appendix A'!$H$16</f>
        <v>0.11010683301047983</v>
      </c>
      <c r="Q17" s="351">
        <f t="shared" si="4"/>
        <v>0</v>
      </c>
      <c r="R17" s="351">
        <f t="shared" si="5"/>
        <v>0</v>
      </c>
      <c r="S17" s="303">
        <f t="shared" si="6"/>
        <v>0</v>
      </c>
    </row>
    <row r="18" spans="1:19">
      <c r="A18" s="347">
        <f t="shared" si="7"/>
        <v>8</v>
      </c>
      <c r="B18" s="306" t="s">
        <v>373</v>
      </c>
      <c r="C18" s="347">
        <f t="shared" si="9"/>
        <v>0</v>
      </c>
      <c r="D18" s="282">
        <v>31</v>
      </c>
      <c r="E18" s="281">
        <f t="shared" si="8"/>
        <v>154</v>
      </c>
      <c r="F18" s="281">
        <f t="shared" si="10"/>
        <v>365</v>
      </c>
      <c r="G18" s="372">
        <f>154/365</f>
        <v>0.42191780821917807</v>
      </c>
      <c r="H18" s="351">
        <f t="shared" si="0"/>
        <v>0</v>
      </c>
      <c r="I18" s="283">
        <f t="shared" si="11"/>
        <v>0</v>
      </c>
      <c r="J18" s="351">
        <f t="shared" si="1"/>
        <v>0</v>
      </c>
      <c r="K18" s="351">
        <v>0</v>
      </c>
      <c r="L18" s="338">
        <f>+'Appendix A'!$H$27</f>
        <v>0.24713229692288416</v>
      </c>
      <c r="M18" s="351">
        <f t="shared" si="2"/>
        <v>0</v>
      </c>
      <c r="N18" s="351">
        <f t="shared" si="3"/>
        <v>0</v>
      </c>
      <c r="O18" s="283">
        <v>0</v>
      </c>
      <c r="P18" s="338">
        <f>+'Appendix A'!$H$16</f>
        <v>0.11010683301047983</v>
      </c>
      <c r="Q18" s="351">
        <f t="shared" si="4"/>
        <v>0</v>
      </c>
      <c r="R18" s="351">
        <f t="shared" si="5"/>
        <v>0</v>
      </c>
      <c r="S18" s="303">
        <f t="shared" si="6"/>
        <v>0</v>
      </c>
    </row>
    <row r="19" spans="1:19">
      <c r="A19" s="347">
        <f t="shared" si="7"/>
        <v>9</v>
      </c>
      <c r="B19" s="306" t="s">
        <v>374</v>
      </c>
      <c r="C19" s="347">
        <f t="shared" si="9"/>
        <v>0</v>
      </c>
      <c r="D19" s="282">
        <v>31</v>
      </c>
      <c r="E19" s="281">
        <f t="shared" si="8"/>
        <v>123</v>
      </c>
      <c r="F19" s="281">
        <f t="shared" si="10"/>
        <v>365</v>
      </c>
      <c r="G19" s="372">
        <f>123/365</f>
        <v>0.33698630136986302</v>
      </c>
      <c r="H19" s="351">
        <f t="shared" si="0"/>
        <v>0</v>
      </c>
      <c r="I19" s="283">
        <f t="shared" si="11"/>
        <v>0</v>
      </c>
      <c r="J19" s="351">
        <f t="shared" si="1"/>
        <v>0</v>
      </c>
      <c r="K19" s="351">
        <v>0</v>
      </c>
      <c r="L19" s="338">
        <f>+'Appendix A'!$H$27</f>
        <v>0.24713229692288416</v>
      </c>
      <c r="M19" s="351">
        <f t="shared" si="2"/>
        <v>0</v>
      </c>
      <c r="N19" s="351">
        <f t="shared" si="3"/>
        <v>0</v>
      </c>
      <c r="O19" s="283">
        <v>0</v>
      </c>
      <c r="P19" s="338">
        <f>+'Appendix A'!$H$16</f>
        <v>0.11010683301047983</v>
      </c>
      <c r="Q19" s="351">
        <f t="shared" si="4"/>
        <v>0</v>
      </c>
      <c r="R19" s="351">
        <f t="shared" si="5"/>
        <v>0</v>
      </c>
      <c r="S19" s="303">
        <f t="shared" si="6"/>
        <v>0</v>
      </c>
    </row>
    <row r="20" spans="1:19">
      <c r="A20" s="347">
        <f t="shared" si="7"/>
        <v>10</v>
      </c>
      <c r="B20" s="306" t="s">
        <v>375</v>
      </c>
      <c r="C20" s="347">
        <f t="shared" si="9"/>
        <v>0</v>
      </c>
      <c r="D20" s="282">
        <v>30</v>
      </c>
      <c r="E20" s="281">
        <f t="shared" si="8"/>
        <v>93</v>
      </c>
      <c r="F20" s="281">
        <f t="shared" si="10"/>
        <v>365</v>
      </c>
      <c r="G20" s="372">
        <f>93/365</f>
        <v>0.25479452054794521</v>
      </c>
      <c r="H20" s="351">
        <f t="shared" si="0"/>
        <v>0</v>
      </c>
      <c r="I20" s="283">
        <f t="shared" si="11"/>
        <v>0</v>
      </c>
      <c r="J20" s="351">
        <f t="shared" si="1"/>
        <v>0</v>
      </c>
      <c r="K20" s="351">
        <v>0</v>
      </c>
      <c r="L20" s="338">
        <f>+'Appendix A'!$H$27</f>
        <v>0.24713229692288416</v>
      </c>
      <c r="M20" s="351">
        <f t="shared" si="2"/>
        <v>0</v>
      </c>
      <c r="N20" s="351">
        <f t="shared" si="3"/>
        <v>0</v>
      </c>
      <c r="O20" s="283">
        <v>0</v>
      </c>
      <c r="P20" s="338">
        <f>+'Appendix A'!$H$16</f>
        <v>0.11010683301047983</v>
      </c>
      <c r="Q20" s="351">
        <f t="shared" si="4"/>
        <v>0</v>
      </c>
      <c r="R20" s="351">
        <f t="shared" si="5"/>
        <v>0</v>
      </c>
      <c r="S20" s="303">
        <f t="shared" si="6"/>
        <v>0</v>
      </c>
    </row>
    <row r="21" spans="1:19">
      <c r="A21" s="347">
        <f t="shared" si="7"/>
        <v>11</v>
      </c>
      <c r="B21" s="306" t="s">
        <v>376</v>
      </c>
      <c r="C21" s="347">
        <f t="shared" si="9"/>
        <v>0</v>
      </c>
      <c r="D21" s="282">
        <v>31</v>
      </c>
      <c r="E21" s="281">
        <f>E22+D22</f>
        <v>62</v>
      </c>
      <c r="F21" s="281">
        <f t="shared" si="10"/>
        <v>365</v>
      </c>
      <c r="G21" s="372">
        <f>62/365</f>
        <v>0.16986301369863013</v>
      </c>
      <c r="H21" s="351">
        <f t="shared" si="0"/>
        <v>0</v>
      </c>
      <c r="I21" s="283">
        <f t="shared" si="11"/>
        <v>0</v>
      </c>
      <c r="J21" s="351">
        <f t="shared" si="1"/>
        <v>0</v>
      </c>
      <c r="K21" s="351">
        <v>0</v>
      </c>
      <c r="L21" s="338">
        <f>+'Appendix A'!$H$27</f>
        <v>0.24713229692288416</v>
      </c>
      <c r="M21" s="351">
        <f t="shared" si="2"/>
        <v>0</v>
      </c>
      <c r="N21" s="351">
        <f t="shared" si="3"/>
        <v>0</v>
      </c>
      <c r="O21" s="283">
        <v>0</v>
      </c>
      <c r="P21" s="338">
        <f>+'Appendix A'!$H$16</f>
        <v>0.11010683301047983</v>
      </c>
      <c r="Q21" s="351">
        <f t="shared" si="4"/>
        <v>0</v>
      </c>
      <c r="R21" s="351">
        <f t="shared" si="5"/>
        <v>0</v>
      </c>
      <c r="S21" s="303">
        <f t="shared" si="6"/>
        <v>0</v>
      </c>
    </row>
    <row r="22" spans="1:19">
      <c r="A22" s="347">
        <f t="shared" si="7"/>
        <v>12</v>
      </c>
      <c r="B22" s="306" t="s">
        <v>377</v>
      </c>
      <c r="C22" s="347">
        <f t="shared" si="9"/>
        <v>0</v>
      </c>
      <c r="D22" s="282">
        <v>30</v>
      </c>
      <c r="E22" s="281">
        <f>E23+D23</f>
        <v>32</v>
      </c>
      <c r="F22" s="281">
        <f t="shared" si="10"/>
        <v>365</v>
      </c>
      <c r="G22" s="372">
        <f>32/365</f>
        <v>8.7671232876712329E-2</v>
      </c>
      <c r="H22" s="351">
        <f t="shared" si="0"/>
        <v>0</v>
      </c>
      <c r="I22" s="283">
        <f t="shared" si="11"/>
        <v>0</v>
      </c>
      <c r="J22" s="351">
        <f t="shared" si="1"/>
        <v>0</v>
      </c>
      <c r="K22" s="351">
        <v>0</v>
      </c>
      <c r="L22" s="338">
        <f>+'Appendix A'!$H$27</f>
        <v>0.24713229692288416</v>
      </c>
      <c r="M22" s="351">
        <f t="shared" si="2"/>
        <v>0</v>
      </c>
      <c r="N22" s="351">
        <f t="shared" si="3"/>
        <v>0</v>
      </c>
      <c r="O22" s="283">
        <v>0</v>
      </c>
      <c r="P22" s="338">
        <f>+'Appendix A'!$H$16</f>
        <v>0.11010683301047983</v>
      </c>
      <c r="Q22" s="351">
        <f t="shared" si="4"/>
        <v>0</v>
      </c>
      <c r="R22" s="351">
        <f t="shared" si="5"/>
        <v>0</v>
      </c>
      <c r="S22" s="303">
        <f t="shared" si="6"/>
        <v>0</v>
      </c>
    </row>
    <row r="23" spans="1:19" ht="24.75">
      <c r="A23" s="347">
        <f t="shared" si="7"/>
        <v>13</v>
      </c>
      <c r="B23" s="306" t="s">
        <v>378</v>
      </c>
      <c r="C23" s="347">
        <f t="shared" si="9"/>
        <v>0</v>
      </c>
      <c r="D23" s="282">
        <v>31</v>
      </c>
      <c r="E23" s="281">
        <v>1</v>
      </c>
      <c r="F23" s="281">
        <f t="shared" si="10"/>
        <v>365</v>
      </c>
      <c r="G23" s="372">
        <f>1/365</f>
        <v>2.7397260273972603E-3</v>
      </c>
      <c r="H23" s="279">
        <f t="shared" si="0"/>
        <v>0</v>
      </c>
      <c r="I23" s="283">
        <f t="shared" si="11"/>
        <v>0</v>
      </c>
      <c r="J23" s="279">
        <f t="shared" si="1"/>
        <v>0</v>
      </c>
      <c r="K23" s="279">
        <v>0</v>
      </c>
      <c r="L23" s="338">
        <f>+'Appendix A'!$H$27</f>
        <v>0.24713229692288416</v>
      </c>
      <c r="M23" s="351">
        <f t="shared" si="2"/>
        <v>0</v>
      </c>
      <c r="N23" s="279">
        <f t="shared" si="3"/>
        <v>0</v>
      </c>
      <c r="O23" s="283">
        <v>0</v>
      </c>
      <c r="P23" s="338">
        <f>+'Appendix A'!$H$16</f>
        <v>0.11010683301047983</v>
      </c>
      <c r="Q23" s="351">
        <f t="shared" si="4"/>
        <v>0</v>
      </c>
      <c r="R23" s="279">
        <f t="shared" si="5"/>
        <v>0</v>
      </c>
      <c r="S23" s="278">
        <f t="shared" si="6"/>
        <v>0</v>
      </c>
    </row>
    <row r="24" spans="1:19">
      <c r="A24" s="347">
        <f t="shared" si="7"/>
        <v>14</v>
      </c>
      <c r="B24" s="346" t="s">
        <v>379</v>
      </c>
      <c r="D24" s="303">
        <f>+SUM(D12:D23)</f>
        <v>365</v>
      </c>
      <c r="H24" s="351">
        <f t="shared" si="0"/>
        <v>0</v>
      </c>
      <c r="I24" s="351">
        <f>SUM(I11:I23)</f>
        <v>0</v>
      </c>
      <c r="J24" s="351">
        <f t="shared" ref="J24:O24" si="12">SUM(J11:J23)</f>
        <v>0</v>
      </c>
      <c r="K24" s="351">
        <f t="shared" si="12"/>
        <v>0</v>
      </c>
      <c r="L24" s="351"/>
      <c r="M24" s="351"/>
      <c r="N24" s="351">
        <f t="shared" ref="N24" si="13">SUM(N11:N23)</f>
        <v>0</v>
      </c>
      <c r="O24" s="351">
        <f t="shared" si="12"/>
        <v>0</v>
      </c>
      <c r="P24" s="351"/>
      <c r="Q24" s="351"/>
      <c r="R24" s="351">
        <f t="shared" ref="R24" si="14">SUM(R11:R23)</f>
        <v>0</v>
      </c>
      <c r="S24" s="303">
        <f t="shared" si="6"/>
        <v>0</v>
      </c>
    </row>
    <row r="25" spans="1:19">
      <c r="A25" s="347"/>
      <c r="B25" s="346"/>
      <c r="D25" s="303"/>
      <c r="H25" s="303"/>
      <c r="I25" s="303"/>
      <c r="J25" s="303"/>
      <c r="K25" s="303"/>
      <c r="L25" s="303"/>
      <c r="M25" s="303"/>
      <c r="N25" s="303"/>
      <c r="O25" s="303"/>
      <c r="P25" s="303"/>
      <c r="Q25" s="303"/>
      <c r="R25" s="303"/>
    </row>
    <row r="26" spans="1:19">
      <c r="A26" s="347"/>
      <c r="B26" s="346"/>
      <c r="D26" s="303"/>
      <c r="H26" s="303"/>
      <c r="I26" s="303"/>
      <c r="J26" s="303"/>
      <c r="K26" s="303"/>
      <c r="L26" s="303"/>
      <c r="M26" s="303"/>
      <c r="N26" s="303"/>
      <c r="O26" s="303"/>
      <c r="P26" s="303"/>
      <c r="Q26" s="303"/>
      <c r="R26" s="303"/>
    </row>
    <row r="27" spans="1:19">
      <c r="B27" s="306" t="s">
        <v>380</v>
      </c>
    </row>
    <row r="31" spans="1:19">
      <c r="B31" s="277"/>
    </row>
  </sheetData>
  <phoneticPr fontId="5" type="noConversion"/>
  <pageMargins left="0.7" right="0.7" top="0.75" bottom="0.75" header="0.3" footer="0.3"/>
  <pageSetup scale="35" orientation="landscape"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B115"/>
  <sheetViews>
    <sheetView showGridLines="0" topLeftCell="A63" zoomScale="70" zoomScaleNormal="70" workbookViewId="0">
      <selection activeCell="I81" sqref="I81"/>
    </sheetView>
  </sheetViews>
  <sheetFormatPr defaultColWidth="18.7109375" defaultRowHeight="20.25"/>
  <cols>
    <col min="1" max="1" width="5.85546875" style="306" customWidth="1"/>
    <col min="2" max="2" width="65.7109375" style="32" customWidth="1"/>
    <col min="3" max="3" width="38.7109375" style="306" bestFit="1" customWidth="1"/>
    <col min="4" max="4" width="22.7109375" style="306" customWidth="1"/>
    <col min="5" max="5" width="23.7109375" style="306" customWidth="1"/>
    <col min="6" max="6" width="24.7109375" style="306" customWidth="1"/>
    <col min="7" max="7" width="24" style="306" bestFit="1" customWidth="1"/>
    <col min="8" max="8" width="24" style="306" customWidth="1"/>
    <col min="9" max="9" width="135.28515625" style="306" customWidth="1"/>
    <col min="10" max="10" width="19.28515625" style="306" customWidth="1"/>
    <col min="11" max="16384" width="18.7109375" style="306"/>
  </cols>
  <sheetData>
    <row r="1" spans="1:10">
      <c r="B1" s="647" t="str">
        <f>+'Appendix A'!A3</f>
        <v>Dayton Power and Light</v>
      </c>
      <c r="C1" s="654"/>
      <c r="D1" s="654"/>
      <c r="E1" s="654"/>
      <c r="F1" s="654"/>
      <c r="G1" s="654"/>
      <c r="H1" s="654"/>
      <c r="I1" s="654"/>
    </row>
    <row r="2" spans="1:10">
      <c r="B2" s="647" t="str">
        <f>+'1A - ADIT Current Year'!B2:I2</f>
        <v xml:space="preserve">ATTACHMENT H-15A </v>
      </c>
      <c r="C2" s="647"/>
      <c r="D2" s="647"/>
      <c r="E2" s="647"/>
      <c r="F2" s="647"/>
      <c r="G2" s="647"/>
      <c r="H2" s="647"/>
      <c r="I2" s="647"/>
    </row>
    <row r="3" spans="1:10">
      <c r="B3" s="648" t="s">
        <v>381</v>
      </c>
      <c r="C3" s="648"/>
      <c r="D3" s="648"/>
      <c r="E3" s="648"/>
      <c r="F3" s="648"/>
      <c r="G3" s="648"/>
      <c r="H3" s="648"/>
      <c r="I3" s="648"/>
    </row>
    <row r="4" spans="1:10">
      <c r="B4" s="343"/>
    </row>
    <row r="5" spans="1:10">
      <c r="B5" s="306"/>
      <c r="D5" s="343" t="s">
        <v>253</v>
      </c>
      <c r="E5" s="343"/>
      <c r="G5" s="343"/>
      <c r="H5" s="343"/>
    </row>
    <row r="6" spans="1:10">
      <c r="D6" s="343" t="s">
        <v>56</v>
      </c>
      <c r="E6" s="343" t="s">
        <v>254</v>
      </c>
      <c r="F6" s="343" t="s">
        <v>255</v>
      </c>
      <c r="G6" s="343"/>
      <c r="H6" s="343" t="s">
        <v>67</v>
      </c>
      <c r="I6" s="342"/>
    </row>
    <row r="7" spans="1:10">
      <c r="D7" s="343" t="s">
        <v>256</v>
      </c>
      <c r="E7" s="343" t="s">
        <v>256</v>
      </c>
      <c r="F7" s="343" t="s">
        <v>256</v>
      </c>
      <c r="G7" s="343"/>
      <c r="H7" s="343" t="s">
        <v>257</v>
      </c>
      <c r="I7" s="411"/>
    </row>
    <row r="8" spans="1:10">
      <c r="B8" s="341"/>
      <c r="C8" s="341"/>
      <c r="D8" s="341"/>
      <c r="E8" s="341"/>
      <c r="F8" s="341"/>
      <c r="H8" s="341"/>
      <c r="I8" s="411"/>
      <c r="J8" s="341"/>
    </row>
    <row r="9" spans="1:10">
      <c r="A9" s="347">
        <v>1</v>
      </c>
      <c r="C9" s="335" t="s">
        <v>268</v>
      </c>
      <c r="D9" s="340">
        <f>+E40</f>
        <v>0</v>
      </c>
      <c r="E9" s="340">
        <f>+F40</f>
        <v>0</v>
      </c>
      <c r="F9" s="340">
        <f>+G40</f>
        <v>1944004</v>
      </c>
      <c r="G9" s="340"/>
      <c r="H9" s="340"/>
      <c r="I9" s="351" t="str">
        <f>"(Line "&amp;A40&amp;")"</f>
        <v>(Line 22)</v>
      </c>
    </row>
    <row r="10" spans="1:10">
      <c r="A10" s="347">
        <f>+A9+1</f>
        <v>2</v>
      </c>
      <c r="C10" s="335" t="s">
        <v>304</v>
      </c>
      <c r="D10" s="340">
        <f>+E61</f>
        <v>-4609191</v>
      </c>
      <c r="E10" s="340">
        <f>+F61</f>
        <v>0</v>
      </c>
      <c r="F10" s="340">
        <f>+G61</f>
        <v>-8958530</v>
      </c>
      <c r="G10" s="340"/>
      <c r="H10" s="340"/>
      <c r="I10" s="351" t="str">
        <f>"(Line "&amp;A61&amp;")"</f>
        <v>(Line 25)</v>
      </c>
    </row>
    <row r="11" spans="1:10">
      <c r="A11" s="347">
        <f>+A10+1</f>
        <v>3</v>
      </c>
      <c r="C11" s="276" t="s">
        <v>312</v>
      </c>
      <c r="D11" s="339">
        <f>+E87</f>
        <v>0</v>
      </c>
      <c r="E11" s="339">
        <f>+F87</f>
        <v>0</v>
      </c>
      <c r="F11" s="339">
        <f>+G87</f>
        <v>914031</v>
      </c>
      <c r="G11" s="339"/>
      <c r="H11" s="340"/>
      <c r="I11" s="351" t="str">
        <f>"(Line "&amp;A87&amp;")"</f>
        <v>(Line 36)</v>
      </c>
    </row>
    <row r="12" spans="1:10">
      <c r="A12" s="347">
        <f>+A11+1</f>
        <v>4</v>
      </c>
      <c r="C12" s="335" t="s">
        <v>90</v>
      </c>
      <c r="D12" s="340">
        <f>+SUM(D9:D11)</f>
        <v>-4609191</v>
      </c>
      <c r="E12" s="340">
        <f t="shared" ref="E12:F12" si="0">+SUM(E9:E11)</f>
        <v>0</v>
      </c>
      <c r="F12" s="340">
        <f t="shared" si="0"/>
        <v>-6100495</v>
      </c>
      <c r="G12" s="340"/>
      <c r="H12" s="340"/>
      <c r="I12" s="351" t="str">
        <f>"(Line "&amp;A9&amp;" + Line "&amp;A10&amp;" + "&amp;A11&amp;")"</f>
        <v>(Line 1 + Line 2 + 3)</v>
      </c>
    </row>
    <row r="13" spans="1:10">
      <c r="A13" s="347">
        <f t="shared" ref="A13:A14" si="1">+A12+1</f>
        <v>5</v>
      </c>
      <c r="C13" s="335" t="s">
        <v>12</v>
      </c>
      <c r="F13" s="338">
        <f>'Appendix A'!H16</f>
        <v>0.11010683301047983</v>
      </c>
      <c r="I13" s="351" t="str">
        <f>"(Appendix A, Line "&amp;'Appendix A'!A16&amp;")"</f>
        <v>(Appendix A, Line 5)</v>
      </c>
    </row>
    <row r="14" spans="1:10">
      <c r="A14" s="347">
        <f t="shared" si="1"/>
        <v>6</v>
      </c>
      <c r="C14" s="335" t="s">
        <v>20</v>
      </c>
      <c r="E14" s="338">
        <f>'Appendix A'!H27</f>
        <v>0.24713229692288416</v>
      </c>
      <c r="I14" s="351" t="str">
        <f>"(Appendix A, Line "&amp;'Appendix A'!A27&amp;")"</f>
        <v>(Appendix A, Line 12)</v>
      </c>
    </row>
    <row r="15" spans="1:10">
      <c r="A15" s="347">
        <f>+A14+1</f>
        <v>7</v>
      </c>
      <c r="C15" s="335" t="s">
        <v>261</v>
      </c>
      <c r="D15" s="340">
        <f>+D12</f>
        <v>-4609191</v>
      </c>
      <c r="E15" s="340">
        <f>+E14*E12</f>
        <v>0</v>
      </c>
      <c r="F15" s="340">
        <f>+F13*F12</f>
        <v>-671706.18424626708</v>
      </c>
      <c r="G15" s="340"/>
      <c r="H15" s="337">
        <f>SUM(D15:G15)</f>
        <v>-5280897.1842462672</v>
      </c>
      <c r="I15" s="351" t="str">
        <f>"(Line "&amp;A12&amp;" * Line "&amp;A13&amp;" or Line "&amp;A14&amp;")"</f>
        <v>(Line 4 * Line 5 or Line 6)</v>
      </c>
    </row>
    <row r="16" spans="1:10" ht="29.25" customHeight="1">
      <c r="A16" s="347"/>
      <c r="C16" s="335"/>
      <c r="D16" s="340"/>
      <c r="E16" s="340"/>
      <c r="F16" s="340"/>
      <c r="G16" s="337"/>
      <c r="H16" s="337"/>
      <c r="I16" s="351"/>
    </row>
    <row r="17" spans="1:28">
      <c r="A17" s="347"/>
      <c r="B17" s="32" t="s">
        <v>382</v>
      </c>
      <c r="C17" s="335"/>
      <c r="D17" s="340"/>
      <c r="E17" s="340"/>
      <c r="F17" s="340"/>
      <c r="G17" s="337"/>
      <c r="H17" s="337"/>
      <c r="I17" s="351"/>
      <c r="J17" s="351"/>
    </row>
    <row r="18" spans="1:28">
      <c r="A18" s="347"/>
      <c r="B18" s="306"/>
      <c r="I18" s="351"/>
    </row>
    <row r="19" spans="1:28">
      <c r="A19" s="347"/>
      <c r="B19" s="32" t="s">
        <v>990</v>
      </c>
      <c r="I19" s="351"/>
    </row>
    <row r="20" spans="1:28">
      <c r="A20" s="347"/>
      <c r="B20" s="32" t="s">
        <v>267</v>
      </c>
    </row>
    <row r="21" spans="1:28">
      <c r="A21" s="347"/>
      <c r="G21" s="335"/>
      <c r="H21" s="335"/>
    </row>
    <row r="22" spans="1:28">
      <c r="A22" s="347"/>
      <c r="B22" s="345" t="s">
        <v>206</v>
      </c>
      <c r="C22" s="345" t="s">
        <v>208</v>
      </c>
      <c r="D22" s="345" t="s">
        <v>210</v>
      </c>
      <c r="E22" s="345" t="s">
        <v>212</v>
      </c>
      <c r="F22" s="345" t="s">
        <v>214</v>
      </c>
      <c r="G22" s="345" t="s">
        <v>216</v>
      </c>
      <c r="H22" s="345"/>
      <c r="I22" s="345" t="s">
        <v>218</v>
      </c>
    </row>
    <row r="23" spans="1:28" ht="25.15" customHeight="1">
      <c r="A23" s="347"/>
      <c r="C23" s="343" t="s">
        <v>67</v>
      </c>
      <c r="D23" s="343"/>
      <c r="E23" s="343" t="s">
        <v>253</v>
      </c>
      <c r="F23" s="343"/>
      <c r="G23" s="343"/>
      <c r="H23" s="343"/>
    </row>
    <row r="24" spans="1:28" ht="41.25" customHeight="1">
      <c r="A24" s="347"/>
      <c r="B24" s="334" t="s">
        <v>268</v>
      </c>
      <c r="C24" s="343"/>
      <c r="D24" s="343"/>
      <c r="E24" s="343" t="s">
        <v>56</v>
      </c>
      <c r="F24" s="343" t="s">
        <v>254</v>
      </c>
      <c r="G24" s="343" t="s">
        <v>255</v>
      </c>
      <c r="H24" s="343"/>
      <c r="X24" s="275"/>
      <c r="Y24" s="275"/>
      <c r="Z24" s="275"/>
      <c r="AA24" s="275"/>
      <c r="AB24" s="275"/>
    </row>
    <row r="25" spans="1:28" ht="25.15" customHeight="1" thickBot="1">
      <c r="A25" s="347"/>
      <c r="C25" s="343"/>
      <c r="D25" s="343" t="s">
        <v>269</v>
      </c>
      <c r="E25" s="343" t="s">
        <v>256</v>
      </c>
      <c r="F25" s="343" t="s">
        <v>256</v>
      </c>
      <c r="G25" s="343" t="s">
        <v>256</v>
      </c>
      <c r="H25" s="333"/>
      <c r="I25" s="343" t="s">
        <v>270</v>
      </c>
    </row>
    <row r="26" spans="1:28" ht="42.75" customHeight="1" thickBot="1">
      <c r="A26" s="347">
        <f>+A15+1</f>
        <v>8</v>
      </c>
      <c r="B26" s="332" t="s">
        <v>271</v>
      </c>
      <c r="C26" s="274">
        <f t="shared" ref="C26:C36" si="2">+SUM(D26:G26)</f>
        <v>570019</v>
      </c>
      <c r="D26" s="273">
        <v>0</v>
      </c>
      <c r="E26" s="273">
        <v>0</v>
      </c>
      <c r="F26" s="273">
        <v>0</v>
      </c>
      <c r="G26" s="273">
        <v>570019</v>
      </c>
      <c r="H26" s="330"/>
      <c r="I26" s="329" t="s">
        <v>272</v>
      </c>
    </row>
    <row r="27" spans="1:28" ht="38.25" customHeight="1" thickBot="1">
      <c r="A27" s="347">
        <f>+A26+1</f>
        <v>9</v>
      </c>
      <c r="B27" s="327" t="s">
        <v>273</v>
      </c>
      <c r="C27" s="274">
        <f t="shared" si="2"/>
        <v>0</v>
      </c>
      <c r="D27" s="274"/>
      <c r="E27" s="274">
        <v>0</v>
      </c>
      <c r="F27" s="274">
        <v>0</v>
      </c>
      <c r="G27" s="273">
        <v>0</v>
      </c>
      <c r="H27" s="325"/>
      <c r="I27" s="329" t="s">
        <v>274</v>
      </c>
    </row>
    <row r="28" spans="1:28" ht="35.25" customHeight="1">
      <c r="A28" s="347">
        <f t="shared" ref="A28:A39" si="3">+A27+1</f>
        <v>10</v>
      </c>
      <c r="B28" s="327" t="s">
        <v>275</v>
      </c>
      <c r="C28" s="274">
        <f t="shared" si="2"/>
        <v>653198</v>
      </c>
      <c r="D28" s="274">
        <v>0</v>
      </c>
      <c r="E28" s="274">
        <v>0</v>
      </c>
      <c r="F28" s="274">
        <v>0</v>
      </c>
      <c r="G28" s="273">
        <v>653198</v>
      </c>
      <c r="H28" s="325"/>
      <c r="I28" s="329" t="s">
        <v>272</v>
      </c>
    </row>
    <row r="29" spans="1:28" ht="40.5">
      <c r="A29" s="347">
        <f t="shared" si="3"/>
        <v>11</v>
      </c>
      <c r="B29" s="324" t="s">
        <v>276</v>
      </c>
      <c r="C29" s="274">
        <f t="shared" si="2"/>
        <v>11612</v>
      </c>
      <c r="D29" s="274">
        <v>11612</v>
      </c>
      <c r="E29" s="274">
        <v>0</v>
      </c>
      <c r="F29" s="274">
        <v>0</v>
      </c>
      <c r="G29" s="274">
        <v>0</v>
      </c>
      <c r="H29" s="325"/>
      <c r="I29" s="323" t="s">
        <v>277</v>
      </c>
    </row>
    <row r="30" spans="1:28" ht="25.15" customHeight="1">
      <c r="A30" s="347">
        <f t="shared" si="3"/>
        <v>12</v>
      </c>
      <c r="B30" s="327" t="s">
        <v>278</v>
      </c>
      <c r="C30" s="274">
        <f t="shared" si="2"/>
        <v>636527</v>
      </c>
      <c r="D30" s="274">
        <v>0</v>
      </c>
      <c r="E30" s="274">
        <v>0</v>
      </c>
      <c r="F30" s="274">
        <v>0</v>
      </c>
      <c r="G30" s="274">
        <v>636527</v>
      </c>
      <c r="H30" s="325"/>
      <c r="I30" s="329" t="s">
        <v>279</v>
      </c>
    </row>
    <row r="31" spans="1:28" ht="25.15" customHeight="1">
      <c r="A31" s="347">
        <f t="shared" si="3"/>
        <v>13</v>
      </c>
      <c r="B31" s="327" t="s">
        <v>280</v>
      </c>
      <c r="C31" s="274">
        <f t="shared" si="2"/>
        <v>0</v>
      </c>
      <c r="D31" s="274">
        <v>0</v>
      </c>
      <c r="E31" s="274">
        <v>0</v>
      </c>
      <c r="F31" s="274">
        <v>0</v>
      </c>
      <c r="G31" s="274">
        <v>0</v>
      </c>
      <c r="H31" s="325"/>
      <c r="I31" s="329" t="s">
        <v>383</v>
      </c>
    </row>
    <row r="32" spans="1:28" ht="25.15" customHeight="1">
      <c r="A32" s="347">
        <f t="shared" si="3"/>
        <v>14</v>
      </c>
      <c r="B32" s="327" t="s">
        <v>282</v>
      </c>
      <c r="C32" s="274">
        <f t="shared" si="2"/>
        <v>84260</v>
      </c>
      <c r="D32" s="274">
        <v>0</v>
      </c>
      <c r="E32" s="274">
        <v>0</v>
      </c>
      <c r="F32" s="274">
        <v>0</v>
      </c>
      <c r="G32" s="274">
        <v>84260</v>
      </c>
      <c r="H32" s="325"/>
      <c r="I32" s="329" t="s">
        <v>283</v>
      </c>
    </row>
    <row r="33" spans="1:9" ht="35.1" customHeight="1">
      <c r="A33" s="347">
        <f t="shared" si="3"/>
        <v>15</v>
      </c>
      <c r="B33" s="327" t="s">
        <v>284</v>
      </c>
      <c r="C33" s="274">
        <f t="shared" si="2"/>
        <v>687952</v>
      </c>
      <c r="D33" s="274">
        <v>687952</v>
      </c>
      <c r="E33" s="274">
        <v>0</v>
      </c>
      <c r="F33" s="274">
        <v>0</v>
      </c>
      <c r="G33" s="274">
        <v>0</v>
      </c>
      <c r="H33" s="325"/>
      <c r="I33" s="329" t="s">
        <v>285</v>
      </c>
    </row>
    <row r="34" spans="1:9" ht="35.1" customHeight="1">
      <c r="A34" s="347">
        <f t="shared" si="3"/>
        <v>16</v>
      </c>
      <c r="B34" s="327" t="s">
        <v>286</v>
      </c>
      <c r="C34" s="274">
        <f t="shared" si="2"/>
        <v>0</v>
      </c>
      <c r="D34" s="274">
        <v>0</v>
      </c>
      <c r="E34" s="274">
        <v>0</v>
      </c>
      <c r="F34" s="274">
        <v>0</v>
      </c>
      <c r="G34" s="274">
        <v>0</v>
      </c>
      <c r="H34" s="325"/>
      <c r="I34" s="329" t="s">
        <v>384</v>
      </c>
    </row>
    <row r="35" spans="1:9" ht="35.1" customHeight="1">
      <c r="A35" s="347">
        <f t="shared" si="3"/>
        <v>17</v>
      </c>
      <c r="B35" s="327" t="s">
        <v>288</v>
      </c>
      <c r="C35" s="272">
        <f t="shared" si="2"/>
        <v>0</v>
      </c>
      <c r="D35" s="274">
        <v>0</v>
      </c>
      <c r="E35" s="274">
        <v>0</v>
      </c>
      <c r="F35" s="274">
        <v>0</v>
      </c>
      <c r="G35" s="274">
        <v>0</v>
      </c>
      <c r="H35" s="325"/>
      <c r="I35" s="329" t="s">
        <v>289</v>
      </c>
    </row>
    <row r="36" spans="1:9" ht="35.1" customHeight="1">
      <c r="A36" s="347">
        <f t="shared" si="3"/>
        <v>18</v>
      </c>
      <c r="B36" s="327" t="s">
        <v>290</v>
      </c>
      <c r="C36" s="271">
        <f t="shared" si="2"/>
        <v>-205831</v>
      </c>
      <c r="D36" s="274">
        <v>-205831</v>
      </c>
      <c r="E36" s="274">
        <v>0</v>
      </c>
      <c r="F36" s="274">
        <v>0</v>
      </c>
      <c r="G36" s="274">
        <v>0</v>
      </c>
      <c r="H36" s="325"/>
      <c r="I36" s="329" t="s">
        <v>978</v>
      </c>
    </row>
    <row r="37" spans="1:9" ht="35.1" customHeight="1">
      <c r="A37" s="347">
        <f>+A36+1</f>
        <v>19</v>
      </c>
      <c r="B37" s="327" t="s">
        <v>291</v>
      </c>
      <c r="C37" s="270">
        <v>2665201</v>
      </c>
      <c r="D37" s="274">
        <v>2665201</v>
      </c>
      <c r="E37" s="274">
        <v>0</v>
      </c>
      <c r="F37" s="274">
        <v>0</v>
      </c>
      <c r="G37" s="274">
        <v>0</v>
      </c>
      <c r="H37" s="325"/>
      <c r="I37" s="329" t="s">
        <v>292</v>
      </c>
    </row>
    <row r="38" spans="1:9" ht="35.1" customHeight="1">
      <c r="A38" s="347">
        <f t="shared" si="3"/>
        <v>20</v>
      </c>
      <c r="B38" s="321" t="s">
        <v>293</v>
      </c>
      <c r="C38" s="320">
        <v>5102938</v>
      </c>
      <c r="D38" s="320">
        <f t="shared" ref="D38:F38" si="4">SUM(D26:D37)</f>
        <v>3158934</v>
      </c>
      <c r="E38" s="320">
        <f t="shared" si="4"/>
        <v>0</v>
      </c>
      <c r="F38" s="320">
        <f t="shared" si="4"/>
        <v>0</v>
      </c>
      <c r="G38" s="320">
        <f>SUM(G26:G37)</f>
        <v>1944004</v>
      </c>
      <c r="H38" s="320"/>
      <c r="I38" s="319"/>
    </row>
    <row r="39" spans="1:9" ht="35.1" customHeight="1">
      <c r="A39" s="347">
        <f t="shared" si="3"/>
        <v>21</v>
      </c>
      <c r="B39" s="318" t="s">
        <v>294</v>
      </c>
      <c r="C39" s="317">
        <f>SUM(D39:G39)</f>
        <v>11612</v>
      </c>
      <c r="D39" s="317">
        <f>D29</f>
        <v>11612</v>
      </c>
      <c r="E39" s="316">
        <f>E29</f>
        <v>0</v>
      </c>
      <c r="F39" s="315">
        <f>F29</f>
        <v>0</v>
      </c>
      <c r="G39" s="315">
        <f>G29</f>
        <v>0</v>
      </c>
      <c r="H39" s="315"/>
      <c r="I39" s="314" t="str">
        <f>+'1A - ADIT Current Year'!I44</f>
        <v>All FAS 109 items excluded from formula rate</v>
      </c>
    </row>
    <row r="40" spans="1:9" ht="38.25" customHeight="1" thickBot="1">
      <c r="A40" s="347">
        <f>+A39+1</f>
        <v>22</v>
      </c>
      <c r="B40" s="313" t="s">
        <v>67</v>
      </c>
      <c r="C40" s="312">
        <f>+C38-C39</f>
        <v>5091326</v>
      </c>
      <c r="D40" s="312">
        <f t="shared" ref="D40:G40" si="5">+D38-D39</f>
        <v>3147322</v>
      </c>
      <c r="E40" s="312">
        <f t="shared" si="5"/>
        <v>0</v>
      </c>
      <c r="F40" s="312">
        <f t="shared" si="5"/>
        <v>0</v>
      </c>
      <c r="G40" s="312">
        <f t="shared" si="5"/>
        <v>1944004</v>
      </c>
      <c r="H40" s="312"/>
      <c r="I40" s="311"/>
    </row>
    <row r="41" spans="1:9" ht="30" customHeight="1">
      <c r="A41" s="347"/>
      <c r="B41" s="231"/>
      <c r="C41" s="269"/>
      <c r="D41" s="337"/>
      <c r="E41" s="337"/>
      <c r="F41" s="337"/>
      <c r="G41" s="337"/>
      <c r="H41" s="337"/>
      <c r="I41" s="268"/>
    </row>
    <row r="42" spans="1:9" ht="15.75" customHeight="1">
      <c r="A42" s="347"/>
      <c r="B42" s="306" t="s">
        <v>296</v>
      </c>
      <c r="D42" s="340"/>
      <c r="E42" s="310"/>
      <c r="F42" s="347"/>
      <c r="I42" s="309"/>
    </row>
    <row r="43" spans="1:9">
      <c r="A43" s="347"/>
      <c r="B43" s="653" t="s">
        <v>385</v>
      </c>
      <c r="C43" s="653"/>
      <c r="D43" s="653"/>
      <c r="E43" s="653"/>
      <c r="F43" s="653"/>
      <c r="G43" s="653"/>
      <c r="H43" s="653"/>
      <c r="I43" s="653"/>
    </row>
    <row r="44" spans="1:9">
      <c r="A44" s="347"/>
      <c r="B44" s="32" t="s">
        <v>298</v>
      </c>
      <c r="G44" s="347"/>
      <c r="H44" s="347"/>
      <c r="I44" s="347"/>
    </row>
    <row r="45" spans="1:9">
      <c r="A45" s="347"/>
      <c r="B45" s="32" t="s">
        <v>310</v>
      </c>
      <c r="G45" s="347"/>
      <c r="H45" s="347"/>
      <c r="I45" s="347"/>
    </row>
    <row r="46" spans="1:9">
      <c r="A46" s="347"/>
      <c r="B46" s="32" t="s">
        <v>386</v>
      </c>
      <c r="G46" s="347"/>
      <c r="H46" s="347"/>
      <c r="I46" s="347"/>
    </row>
    <row r="47" spans="1:9" ht="15" customHeight="1">
      <c r="A47" s="347"/>
      <c r="B47" s="653" t="s">
        <v>387</v>
      </c>
      <c r="C47" s="653"/>
      <c r="D47" s="653"/>
      <c r="E47" s="653"/>
      <c r="F47" s="653"/>
      <c r="G47" s="653"/>
      <c r="H47" s="653"/>
      <c r="I47" s="653"/>
    </row>
    <row r="48" spans="1:9">
      <c r="A48" s="347"/>
      <c r="B48" s="32" t="s">
        <v>302</v>
      </c>
      <c r="C48" s="347"/>
      <c r="D48" s="307"/>
      <c r="E48" s="347"/>
      <c r="F48" s="347"/>
      <c r="G48" s="347"/>
      <c r="H48" s="347"/>
      <c r="I48" s="308"/>
    </row>
    <row r="49" spans="1:9">
      <c r="A49" s="347"/>
    </row>
    <row r="50" spans="1:9">
      <c r="A50" s="347"/>
      <c r="C50" s="345"/>
      <c r="D50" s="345"/>
      <c r="E50" s="345"/>
      <c r="F50" s="345"/>
      <c r="G50" s="345"/>
      <c r="H50" s="345"/>
      <c r="I50" s="308"/>
    </row>
    <row r="51" spans="1:9">
      <c r="A51" s="347"/>
      <c r="B51" s="647" t="str">
        <f>+B1</f>
        <v>Dayton Power and Light</v>
      </c>
      <c r="C51" s="654"/>
      <c r="D51" s="654"/>
      <c r="E51" s="654"/>
      <c r="F51" s="654"/>
      <c r="G51" s="654"/>
      <c r="H51" s="654"/>
      <c r="I51" s="654"/>
    </row>
    <row r="52" spans="1:9">
      <c r="A52" s="347"/>
      <c r="B52" s="647" t="str">
        <f>+B2</f>
        <v xml:space="preserve">ATTACHMENT H-15A </v>
      </c>
      <c r="C52" s="647"/>
      <c r="D52" s="647"/>
      <c r="E52" s="647"/>
      <c r="F52" s="647"/>
      <c r="G52" s="647"/>
      <c r="H52" s="647"/>
      <c r="I52" s="647"/>
    </row>
    <row r="53" spans="1:9">
      <c r="A53" s="347"/>
      <c r="B53" s="647" t="str">
        <f>+B3</f>
        <v>Attachment 1C - Accumulated Deferred Income Taxes (ADIT) Worksheet - December 31 of Prior Year</v>
      </c>
      <c r="C53" s="647"/>
      <c r="D53" s="647"/>
      <c r="E53" s="647"/>
      <c r="F53" s="647"/>
      <c r="G53" s="647"/>
      <c r="H53" s="647"/>
      <c r="I53" s="647"/>
    </row>
    <row r="54" spans="1:9">
      <c r="A54" s="347"/>
      <c r="B54" s="655"/>
      <c r="C54" s="655"/>
      <c r="D54" s="655"/>
      <c r="E54" s="655"/>
      <c r="F54" s="655"/>
      <c r="G54" s="655"/>
      <c r="H54" s="655"/>
      <c r="I54" s="655"/>
    </row>
    <row r="55" spans="1:9" ht="25.15" customHeight="1">
      <c r="A55" s="347"/>
      <c r="B55" s="345" t="s">
        <v>206</v>
      </c>
      <c r="C55" s="345" t="s">
        <v>208</v>
      </c>
      <c r="D55" s="345" t="s">
        <v>210</v>
      </c>
      <c r="E55" s="345" t="s">
        <v>212</v>
      </c>
      <c r="F55" s="345" t="s">
        <v>214</v>
      </c>
      <c r="G55" s="345" t="s">
        <v>216</v>
      </c>
      <c r="H55" s="345"/>
      <c r="I55" s="342"/>
    </row>
    <row r="56" spans="1:9" ht="25.15" customHeight="1">
      <c r="A56" s="347"/>
      <c r="B56" s="306"/>
      <c r="C56" s="343" t="s">
        <v>67</v>
      </c>
      <c r="D56" s="343"/>
      <c r="E56" s="343" t="s">
        <v>253</v>
      </c>
      <c r="F56" s="343"/>
      <c r="G56" s="343"/>
      <c r="H56" s="343"/>
      <c r="I56" s="411"/>
    </row>
    <row r="57" spans="1:9" ht="26.45" customHeight="1">
      <c r="A57" s="347"/>
      <c r="B57" s="335" t="s">
        <v>304</v>
      </c>
      <c r="C57" s="343"/>
      <c r="D57" s="343"/>
      <c r="E57" s="343" t="s">
        <v>56</v>
      </c>
      <c r="F57" s="343" t="s">
        <v>254</v>
      </c>
      <c r="G57" s="343" t="s">
        <v>255</v>
      </c>
      <c r="H57" s="343"/>
      <c r="I57" s="411"/>
    </row>
    <row r="58" spans="1:9" ht="22.15" customHeight="1" thickBot="1">
      <c r="A58" s="347"/>
      <c r="C58" s="343"/>
      <c r="D58" s="343" t="str">
        <f>+D25</f>
        <v>Excluded</v>
      </c>
      <c r="E58" s="343" t="s">
        <v>256</v>
      </c>
      <c r="F58" s="343" t="s">
        <v>256</v>
      </c>
      <c r="G58" s="343" t="s">
        <v>256</v>
      </c>
      <c r="H58" s="343"/>
      <c r="I58" s="345" t="s">
        <v>388</v>
      </c>
    </row>
    <row r="59" spans="1:9" ht="27.6" customHeight="1">
      <c r="A59" s="347">
        <f>+A40+1</f>
        <v>23</v>
      </c>
      <c r="B59" s="305" t="s">
        <v>305</v>
      </c>
      <c r="C59" s="266">
        <f>+SUM(D59:G59)</f>
        <v>0</v>
      </c>
      <c r="D59" s="274">
        <v>0</v>
      </c>
      <c r="E59" s="266">
        <v>0</v>
      </c>
      <c r="F59" s="274">
        <v>0</v>
      </c>
      <c r="G59" s="274">
        <v>0</v>
      </c>
      <c r="H59" s="265"/>
      <c r="I59" s="294" t="s">
        <v>389</v>
      </c>
    </row>
    <row r="60" spans="1:9" ht="52.5" customHeight="1">
      <c r="A60" s="347">
        <f>+A59+1</f>
        <v>24</v>
      </c>
      <c r="B60" s="327" t="s">
        <v>306</v>
      </c>
      <c r="C60" s="266">
        <f>+SUM(D60:G60)</f>
        <v>-12231777</v>
      </c>
      <c r="D60" s="274">
        <v>1335944</v>
      </c>
      <c r="E60" s="266">
        <v>-4609191</v>
      </c>
      <c r="F60" s="274">
        <v>0</v>
      </c>
      <c r="G60" s="274">
        <v>-8958530</v>
      </c>
      <c r="H60" s="325"/>
      <c r="I60" s="302" t="s">
        <v>307</v>
      </c>
    </row>
    <row r="61" spans="1:9" ht="35.1" customHeight="1" thickBot="1">
      <c r="A61" s="347">
        <f>+A60+1</f>
        <v>25</v>
      </c>
      <c r="B61" s="313" t="s">
        <v>67</v>
      </c>
      <c r="C61" s="312">
        <f>+SUM(C59:C60)</f>
        <v>-12231777</v>
      </c>
      <c r="D61" s="312">
        <f t="shared" ref="D61:G61" si="6">+SUM(D59:D60)</f>
        <v>1335944</v>
      </c>
      <c r="E61" s="312">
        <f t="shared" si="6"/>
        <v>-4609191</v>
      </c>
      <c r="F61" s="312">
        <f t="shared" si="6"/>
        <v>0</v>
      </c>
      <c r="G61" s="312">
        <f t="shared" si="6"/>
        <v>-8958530</v>
      </c>
      <c r="H61" s="312"/>
      <c r="I61" s="311"/>
    </row>
    <row r="62" spans="1:9" ht="23.45" customHeight="1">
      <c r="A62" s="347"/>
      <c r="B62" s="306" t="s">
        <v>308</v>
      </c>
      <c r="C62" s="231"/>
      <c r="D62" s="231"/>
      <c r="E62" s="345"/>
      <c r="F62" s="146"/>
      <c r="H62" s="231"/>
      <c r="I62" s="268"/>
    </row>
    <row r="63" spans="1:9" ht="23.45" customHeight="1">
      <c r="A63" s="347"/>
      <c r="B63" s="32" t="s">
        <v>309</v>
      </c>
      <c r="C63" s="231"/>
      <c r="D63" s="231"/>
      <c r="E63" s="231"/>
      <c r="F63" s="231"/>
      <c r="G63" s="345"/>
      <c r="H63" s="345"/>
      <c r="I63" s="345"/>
    </row>
    <row r="64" spans="1:9">
      <c r="A64" s="347"/>
      <c r="B64" s="32" t="s">
        <v>298</v>
      </c>
      <c r="C64" s="231"/>
      <c r="D64" s="231"/>
      <c r="E64" s="231"/>
      <c r="F64" s="231"/>
      <c r="G64" s="345"/>
      <c r="H64" s="345"/>
      <c r="I64" s="345"/>
    </row>
    <row r="65" spans="1:9" ht="18" customHeight="1">
      <c r="A65" s="347"/>
      <c r="B65" s="32" t="s">
        <v>310</v>
      </c>
      <c r="C65" s="231"/>
      <c r="D65" s="231"/>
      <c r="E65" s="231"/>
      <c r="F65" s="231"/>
      <c r="G65" s="345"/>
      <c r="H65" s="345"/>
      <c r="I65" s="345"/>
    </row>
    <row r="66" spans="1:9" ht="18" customHeight="1">
      <c r="A66" s="347"/>
      <c r="B66" s="32" t="s">
        <v>311</v>
      </c>
      <c r="C66" s="231"/>
      <c r="D66" s="231"/>
      <c r="E66" s="231"/>
      <c r="F66" s="231"/>
      <c r="G66" s="345"/>
      <c r="H66" s="345"/>
      <c r="I66" s="345"/>
    </row>
    <row r="67" spans="1:9">
      <c r="A67" s="347"/>
      <c r="B67" s="653" t="s">
        <v>387</v>
      </c>
      <c r="C67" s="653"/>
      <c r="D67" s="653"/>
      <c r="E67" s="653"/>
      <c r="F67" s="653"/>
      <c r="G67" s="653"/>
      <c r="H67" s="653"/>
      <c r="I67" s="653"/>
    </row>
    <row r="68" spans="1:9">
      <c r="A68" s="347"/>
      <c r="B68" s="32" t="s">
        <v>302</v>
      </c>
      <c r="C68" s="347"/>
      <c r="D68" s="307"/>
      <c r="E68" s="347"/>
      <c r="F68" s="347"/>
      <c r="G68" s="347"/>
      <c r="H68" s="347"/>
      <c r="I68" s="308"/>
    </row>
    <row r="69" spans="1:9">
      <c r="A69" s="347"/>
      <c r="B69" s="345"/>
    </row>
    <row r="70" spans="1:9">
      <c r="A70" s="347"/>
      <c r="B70" s="301" t="str">
        <f>B1</f>
        <v>Dayton Power and Light</v>
      </c>
      <c r="C70" s="300"/>
      <c r="D70" s="300"/>
      <c r="E70" s="300"/>
      <c r="F70" s="300"/>
      <c r="G70" s="300"/>
      <c r="H70" s="300"/>
      <c r="I70" s="300"/>
    </row>
    <row r="71" spans="1:9">
      <c r="A71" s="347"/>
      <c r="B71" s="647" t="str">
        <f>+B52</f>
        <v xml:space="preserve">ATTACHMENT H-15A </v>
      </c>
      <c r="C71" s="647"/>
      <c r="D71" s="647"/>
      <c r="E71" s="647"/>
      <c r="F71" s="647"/>
      <c r="G71" s="647"/>
      <c r="H71" s="647"/>
      <c r="I71" s="647"/>
    </row>
    <row r="72" spans="1:9">
      <c r="A72" s="347"/>
      <c r="B72" s="647" t="str">
        <f>+B3</f>
        <v>Attachment 1C - Accumulated Deferred Income Taxes (ADIT) Worksheet - December 31 of Prior Year</v>
      </c>
      <c r="C72" s="647"/>
      <c r="D72" s="647"/>
      <c r="E72" s="647"/>
      <c r="F72" s="647"/>
      <c r="G72" s="647"/>
      <c r="H72" s="647"/>
      <c r="I72" s="647"/>
    </row>
    <row r="73" spans="1:9" ht="20.100000000000001" customHeight="1">
      <c r="A73" s="347"/>
      <c r="G73" s="335"/>
      <c r="H73" s="335"/>
      <c r="I73" s="267"/>
    </row>
    <row r="74" spans="1:9" ht="36.75" customHeight="1">
      <c r="A74" s="347"/>
      <c r="B74" s="345" t="s">
        <v>206</v>
      </c>
      <c r="C74" s="345" t="s">
        <v>208</v>
      </c>
      <c r="D74" s="345" t="s">
        <v>210</v>
      </c>
      <c r="E74" s="345" t="s">
        <v>212</v>
      </c>
      <c r="F74" s="345" t="s">
        <v>214</v>
      </c>
      <c r="G74" s="345" t="s">
        <v>216</v>
      </c>
      <c r="H74" s="345"/>
      <c r="I74" s="345" t="s">
        <v>218</v>
      </c>
    </row>
    <row r="75" spans="1:9" ht="33.75" customHeight="1">
      <c r="A75" s="347"/>
      <c r="B75" s="335" t="s">
        <v>312</v>
      </c>
      <c r="C75" s="343" t="s">
        <v>67</v>
      </c>
      <c r="D75" s="299"/>
      <c r="E75" s="299" t="s">
        <v>390</v>
      </c>
      <c r="F75" s="299" t="s">
        <v>254</v>
      </c>
      <c r="G75" s="299" t="s">
        <v>255</v>
      </c>
      <c r="H75" s="345"/>
    </row>
    <row r="76" spans="1:9" ht="36" customHeight="1" thickBot="1">
      <c r="A76" s="347"/>
      <c r="C76" s="343"/>
      <c r="D76" s="343" t="str">
        <f>+D58</f>
        <v>Excluded</v>
      </c>
      <c r="E76" s="343" t="str">
        <f>+E58</f>
        <v>Related</v>
      </c>
      <c r="F76" s="343" t="str">
        <f>+F58</f>
        <v>Related</v>
      </c>
      <c r="G76" s="343" t="str">
        <f>+G58</f>
        <v>Related</v>
      </c>
      <c r="H76" s="345"/>
    </row>
    <row r="77" spans="1:9" ht="30.75" customHeight="1">
      <c r="A77" s="347">
        <f>+A61+1</f>
        <v>26</v>
      </c>
      <c r="B77" s="332" t="s">
        <v>313</v>
      </c>
      <c r="C77" s="273">
        <f>+SUM(D77:G77)</f>
        <v>0</v>
      </c>
      <c r="D77" s="273">
        <v>0</v>
      </c>
      <c r="E77" s="273">
        <v>0</v>
      </c>
      <c r="F77" s="273">
        <v>0</v>
      </c>
      <c r="G77" s="273">
        <v>0</v>
      </c>
      <c r="H77" s="304"/>
      <c r="I77" s="297" t="s">
        <v>314</v>
      </c>
    </row>
    <row r="78" spans="1:9" ht="43.5" customHeight="1">
      <c r="A78" s="347">
        <f>+A77+1</f>
        <v>27</v>
      </c>
      <c r="B78" s="327" t="s">
        <v>315</v>
      </c>
      <c r="C78" s="274">
        <f>+SUM(D78:G78)</f>
        <v>-385279</v>
      </c>
      <c r="D78" s="274">
        <v>-385279</v>
      </c>
      <c r="E78" s="274">
        <v>0</v>
      </c>
      <c r="F78" s="274">
        <v>0</v>
      </c>
      <c r="G78" s="274">
        <v>0</v>
      </c>
      <c r="H78" s="325"/>
      <c r="I78" s="329" t="s">
        <v>316</v>
      </c>
    </row>
    <row r="79" spans="1:9" ht="40.5" customHeight="1">
      <c r="A79" s="347">
        <f t="shared" ref="A79:A87" si="7">+A78+1</f>
        <v>28</v>
      </c>
      <c r="B79" s="327" t="s">
        <v>317</v>
      </c>
      <c r="C79" s="274">
        <f t="shared" ref="C79:C83" si="8">+SUM(D79:G79)</f>
        <v>-16926760</v>
      </c>
      <c r="D79" s="274">
        <v>-16926760</v>
      </c>
      <c r="E79" s="274">
        <v>0</v>
      </c>
      <c r="F79" s="274">
        <v>0</v>
      </c>
      <c r="G79" s="274">
        <v>0</v>
      </c>
      <c r="H79" s="325"/>
      <c r="I79" s="329" t="s">
        <v>318</v>
      </c>
    </row>
    <row r="80" spans="1:9" s="263" customFormat="1" ht="60.75" customHeight="1">
      <c r="A80" s="287">
        <f t="shared" si="7"/>
        <v>29</v>
      </c>
      <c r="B80" s="264" t="s">
        <v>319</v>
      </c>
      <c r="C80" s="274">
        <f t="shared" si="8"/>
        <v>-22843062</v>
      </c>
      <c r="D80" s="274">
        <v>-22843062</v>
      </c>
      <c r="E80" s="274">
        <v>0</v>
      </c>
      <c r="F80" s="274">
        <v>0</v>
      </c>
      <c r="G80" s="274">
        <v>0</v>
      </c>
      <c r="H80" s="325"/>
      <c r="I80" s="329" t="s">
        <v>320</v>
      </c>
    </row>
    <row r="81" spans="1:9" ht="25.15" customHeight="1">
      <c r="A81" s="347">
        <f t="shared" si="7"/>
        <v>30</v>
      </c>
      <c r="B81" s="324" t="s">
        <v>321</v>
      </c>
      <c r="C81" s="274">
        <f t="shared" si="8"/>
        <v>9229225</v>
      </c>
      <c r="D81" s="274">
        <v>0</v>
      </c>
      <c r="E81" s="274">
        <v>0</v>
      </c>
      <c r="F81" s="274">
        <v>9229225</v>
      </c>
      <c r="G81" s="274">
        <v>0</v>
      </c>
      <c r="H81" s="325"/>
      <c r="I81" s="323" t="s">
        <v>277</v>
      </c>
    </row>
    <row r="82" spans="1:9" ht="25.15" customHeight="1">
      <c r="A82" s="347">
        <f t="shared" si="7"/>
        <v>31</v>
      </c>
      <c r="B82" s="327" t="s">
        <v>322</v>
      </c>
      <c r="C82" s="274">
        <f t="shared" si="8"/>
        <v>914031</v>
      </c>
      <c r="D82" s="274">
        <v>0</v>
      </c>
      <c r="E82" s="274">
        <v>0</v>
      </c>
      <c r="F82" s="274">
        <v>0</v>
      </c>
      <c r="G82" s="274">
        <v>914031</v>
      </c>
      <c r="H82" s="325"/>
      <c r="I82" s="329" t="s">
        <v>323</v>
      </c>
    </row>
    <row r="83" spans="1:9" ht="25.15" customHeight="1" thickBot="1">
      <c r="A83" s="347">
        <f>+A82+1</f>
        <v>32</v>
      </c>
      <c r="B83" s="327" t="s">
        <v>291</v>
      </c>
      <c r="C83" s="274">
        <f t="shared" si="8"/>
        <v>11384094</v>
      </c>
      <c r="D83" s="274">
        <v>11384094</v>
      </c>
      <c r="E83" s="274">
        <v>0</v>
      </c>
      <c r="F83" s="274">
        <v>0</v>
      </c>
      <c r="G83" s="274">
        <v>0</v>
      </c>
      <c r="H83" s="325"/>
      <c r="I83" s="329" t="s">
        <v>391</v>
      </c>
    </row>
    <row r="84" spans="1:9" ht="35.1" customHeight="1">
      <c r="A84" s="347">
        <f t="shared" si="7"/>
        <v>33</v>
      </c>
      <c r="B84" s="296" t="s">
        <v>325</v>
      </c>
      <c r="C84" s="295">
        <f>SUM(C77:C83)</f>
        <v>-18627751</v>
      </c>
      <c r="D84" s="295">
        <f t="shared" ref="D84:G84" si="9">SUM(D77:D83)</f>
        <v>-28771007</v>
      </c>
      <c r="E84" s="295">
        <f t="shared" si="9"/>
        <v>0</v>
      </c>
      <c r="F84" s="295">
        <f>SUM(F77:F83)</f>
        <v>9229225</v>
      </c>
      <c r="G84" s="295">
        <f t="shared" si="9"/>
        <v>914031</v>
      </c>
      <c r="H84" s="295"/>
      <c r="I84" s="294"/>
    </row>
    <row r="85" spans="1:9" ht="21.75" customHeight="1">
      <c r="A85" s="347">
        <f t="shared" si="7"/>
        <v>34</v>
      </c>
      <c r="B85" s="528" t="s">
        <v>326</v>
      </c>
      <c r="C85" s="317">
        <f>+C81</f>
        <v>9229225</v>
      </c>
      <c r="D85" s="317">
        <f>+D81</f>
        <v>0</v>
      </c>
      <c r="E85" s="317">
        <f>+E81</f>
        <v>0</v>
      </c>
      <c r="F85" s="317">
        <f>+F81</f>
        <v>9229225</v>
      </c>
      <c r="G85" s="317">
        <f>+G81</f>
        <v>0</v>
      </c>
      <c r="H85" s="325"/>
      <c r="I85" s="314"/>
    </row>
    <row r="86" spans="1:9" ht="25.5" customHeight="1">
      <c r="A86" s="347">
        <f t="shared" si="7"/>
        <v>35</v>
      </c>
      <c r="B86" s="292" t="s">
        <v>327</v>
      </c>
      <c r="C86" s="291">
        <f>+C78</f>
        <v>-385279</v>
      </c>
      <c r="D86" s="291">
        <f>+D78</f>
        <v>-385279</v>
      </c>
      <c r="E86" s="291">
        <f>+E78</f>
        <v>0</v>
      </c>
      <c r="F86" s="291">
        <f>+F78</f>
        <v>0</v>
      </c>
      <c r="G86" s="291">
        <f>+G78</f>
        <v>0</v>
      </c>
      <c r="H86" s="262"/>
      <c r="I86" s="290" t="s">
        <v>328</v>
      </c>
    </row>
    <row r="87" spans="1:9" ht="35.1" customHeight="1" thickBot="1">
      <c r="A87" s="347">
        <f t="shared" si="7"/>
        <v>36</v>
      </c>
      <c r="B87" s="313" t="s">
        <v>67</v>
      </c>
      <c r="C87" s="312">
        <f>+C84-C85-C86</f>
        <v>-27471697</v>
      </c>
      <c r="D87" s="312">
        <f t="shared" ref="D87:G87" si="10">+D84-D85-D86</f>
        <v>-28385728</v>
      </c>
      <c r="E87" s="312">
        <f t="shared" si="10"/>
        <v>0</v>
      </c>
      <c r="F87" s="312">
        <f t="shared" si="10"/>
        <v>0</v>
      </c>
      <c r="G87" s="312">
        <f t="shared" si="10"/>
        <v>914031</v>
      </c>
      <c r="H87" s="312"/>
      <c r="I87" s="311"/>
    </row>
    <row r="88" spans="1:9" ht="28.15" customHeight="1">
      <c r="A88" s="347"/>
      <c r="B88" s="306" t="s">
        <v>329</v>
      </c>
      <c r="E88" s="347"/>
      <c r="F88" s="347"/>
      <c r="I88" s="289"/>
    </row>
    <row r="89" spans="1:9" ht="19.149999999999999" customHeight="1">
      <c r="A89" s="347"/>
      <c r="B89" s="32" t="str">
        <f>+B63</f>
        <v>1.  ADIT items related only to Non-Electric Operations or Production are directly assigned to Column C</v>
      </c>
      <c r="C89" s="231"/>
      <c r="D89" s="231"/>
      <c r="E89" s="231"/>
      <c r="F89" s="231"/>
      <c r="G89" s="345"/>
      <c r="H89" s="345"/>
      <c r="I89" s="345"/>
    </row>
    <row r="90" spans="1:9" ht="18.600000000000001" customHeight="1">
      <c r="A90" s="347"/>
      <c r="B90" s="32" t="s">
        <v>298</v>
      </c>
      <c r="C90" s="231"/>
      <c r="D90" s="231"/>
      <c r="E90" s="231"/>
      <c r="F90" s="231"/>
      <c r="G90" s="345"/>
      <c r="H90" s="345"/>
      <c r="I90" s="345"/>
    </row>
    <row r="91" spans="1:9" ht="15" customHeight="1">
      <c r="A91" s="347"/>
      <c r="B91" s="32" t="s">
        <v>310</v>
      </c>
      <c r="C91" s="231"/>
      <c r="D91" s="231"/>
      <c r="E91" s="231"/>
      <c r="F91" s="231"/>
      <c r="G91" s="345"/>
      <c r="H91" s="345"/>
      <c r="I91" s="345"/>
    </row>
    <row r="92" spans="1:9">
      <c r="A92" s="347"/>
      <c r="B92" s="32" t="s">
        <v>311</v>
      </c>
      <c r="C92" s="231"/>
      <c r="D92" s="231"/>
      <c r="E92" s="231"/>
      <c r="F92" s="231"/>
      <c r="G92" s="345"/>
      <c r="H92" s="345"/>
      <c r="I92" s="345"/>
    </row>
    <row r="93" spans="1:9" ht="15.75" customHeight="1">
      <c r="A93" s="347"/>
      <c r="B93" s="653" t="s">
        <v>387</v>
      </c>
      <c r="C93" s="653"/>
      <c r="D93" s="653"/>
      <c r="E93" s="653"/>
      <c r="F93" s="653"/>
      <c r="G93" s="653"/>
      <c r="H93" s="653"/>
      <c r="I93" s="653"/>
    </row>
    <row r="94" spans="1:9" ht="15.75" customHeight="1">
      <c r="A94" s="347"/>
      <c r="B94" s="32" t="s">
        <v>302</v>
      </c>
      <c r="C94" s="347"/>
      <c r="D94" s="307"/>
      <c r="E94" s="347"/>
      <c r="F94" s="347"/>
      <c r="G94" s="347"/>
      <c r="H94" s="347"/>
      <c r="I94" s="308"/>
    </row>
    <row r="95" spans="1:9">
      <c r="A95" s="347"/>
      <c r="C95" s="300"/>
      <c r="D95" s="300"/>
      <c r="E95" s="300"/>
      <c r="F95" s="300"/>
      <c r="G95" s="300"/>
      <c r="H95" s="300"/>
      <c r="I95" s="300"/>
    </row>
    <row r="96" spans="1:9">
      <c r="A96" s="347"/>
      <c r="B96" s="647"/>
      <c r="C96" s="647"/>
      <c r="D96" s="647"/>
      <c r="E96" s="647"/>
      <c r="F96" s="647"/>
      <c r="G96" s="647"/>
      <c r="H96" s="647"/>
      <c r="I96" s="647"/>
    </row>
    <row r="97" spans="1:9">
      <c r="A97" s="347"/>
      <c r="B97" s="306"/>
    </row>
    <row r="98" spans="1:9">
      <c r="A98" s="347"/>
      <c r="B98" s="306"/>
    </row>
    <row r="99" spans="1:9">
      <c r="A99" s="347"/>
      <c r="B99" s="306"/>
    </row>
    <row r="100" spans="1:9">
      <c r="A100" s="347"/>
      <c r="B100" s="231"/>
      <c r="D100" s="288"/>
      <c r="E100" s="288"/>
      <c r="F100" s="288"/>
      <c r="G100" s="288"/>
      <c r="H100" s="288"/>
      <c r="I100" s="288"/>
    </row>
    <row r="101" spans="1:9">
      <c r="B101" s="231"/>
      <c r="D101" s="288"/>
      <c r="E101" s="288"/>
      <c r="F101" s="288"/>
      <c r="G101" s="288"/>
      <c r="H101" s="288"/>
      <c r="I101" s="288"/>
    </row>
    <row r="102" spans="1:9">
      <c r="D102" s="347"/>
      <c r="E102" s="347"/>
    </row>
    <row r="103" spans="1:9">
      <c r="D103" s="303"/>
      <c r="E103" s="303"/>
    </row>
    <row r="104" spans="1:9">
      <c r="D104" s="303"/>
      <c r="E104" s="303"/>
    </row>
    <row r="105" spans="1:9">
      <c r="D105" s="303"/>
      <c r="E105" s="303"/>
    </row>
    <row r="106" spans="1:9">
      <c r="D106" s="303"/>
      <c r="E106" s="303"/>
    </row>
    <row r="107" spans="1:9">
      <c r="D107" s="303"/>
      <c r="E107" s="303"/>
    </row>
    <row r="108" spans="1:9">
      <c r="D108" s="303"/>
      <c r="E108" s="303"/>
    </row>
    <row r="109" spans="1:9">
      <c r="D109" s="303"/>
      <c r="E109" s="303"/>
    </row>
    <row r="110" spans="1:9">
      <c r="D110" s="303"/>
      <c r="E110" s="303"/>
    </row>
    <row r="111" spans="1:9">
      <c r="D111" s="303"/>
      <c r="E111" s="303"/>
    </row>
    <row r="112" spans="1:9">
      <c r="D112" s="303"/>
      <c r="E112" s="303"/>
    </row>
    <row r="113" spans="2:5">
      <c r="B113" s="306"/>
      <c r="D113" s="303"/>
      <c r="E113" s="303"/>
    </row>
    <row r="114" spans="2:5">
      <c r="D114" s="303"/>
      <c r="E114" s="303"/>
    </row>
    <row r="115" spans="2:5">
      <c r="B115" s="306"/>
      <c r="D115" s="303"/>
      <c r="E115" s="303"/>
    </row>
  </sheetData>
  <mergeCells count="14">
    <mergeCell ref="B1:I1"/>
    <mergeCell ref="B2:I2"/>
    <mergeCell ref="B3:I3"/>
    <mergeCell ref="B43:I43"/>
    <mergeCell ref="B96:I96"/>
    <mergeCell ref="B47:I47"/>
    <mergeCell ref="B51:I51"/>
    <mergeCell ref="B52:I52"/>
    <mergeCell ref="B53:I53"/>
    <mergeCell ref="B54:I54"/>
    <mergeCell ref="B71:I71"/>
    <mergeCell ref="B72:I72"/>
    <mergeCell ref="B93:I93"/>
    <mergeCell ref="B67:I67"/>
  </mergeCells>
  <printOptions horizontalCentered="1"/>
  <pageMargins left="0.75" right="0.75" top="1" bottom="1" header="0.5" footer="0.5"/>
  <pageSetup scale="33" fitToHeight="2" orientation="landscape" r:id="rId1"/>
  <headerFooter alignWithMargins="0"/>
  <rowBreaks count="1" manualBreakCount="1">
    <brk id="50" max="8" man="1"/>
  </rowBreaks>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E449C-3A52-446B-84BB-6F46921AF06C}">
  <sheetPr>
    <tabColor rgb="FF92D050"/>
  </sheetPr>
  <dimension ref="A3:I120"/>
  <sheetViews>
    <sheetView zoomScale="80" zoomScaleNormal="80" workbookViewId="0">
      <selection activeCell="F99" sqref="F99"/>
    </sheetView>
  </sheetViews>
  <sheetFormatPr defaultRowHeight="12.75"/>
  <cols>
    <col min="1" max="1" width="5.140625" customWidth="1"/>
    <col min="2" max="2" width="30.28515625" customWidth="1"/>
    <col min="3" max="3" width="60.5703125" bestFit="1" customWidth="1"/>
    <col min="4" max="4" width="22.7109375" customWidth="1"/>
    <col min="5" max="5" width="28.7109375" customWidth="1"/>
    <col min="6" max="6" width="24.28515625" customWidth="1"/>
    <col min="7" max="7" width="24" bestFit="1" customWidth="1"/>
    <col min="8" max="8" width="24" customWidth="1"/>
    <col min="9" max="9" width="142" customWidth="1"/>
  </cols>
  <sheetData>
    <row r="3" spans="1:9" ht="18">
      <c r="B3" s="660" t="s">
        <v>0</v>
      </c>
      <c r="C3" s="660"/>
      <c r="D3" s="660"/>
      <c r="E3" s="660"/>
      <c r="F3" s="660"/>
      <c r="G3" s="660"/>
      <c r="H3" s="660"/>
      <c r="I3" s="660"/>
    </row>
    <row r="4" spans="1:9" ht="18">
      <c r="B4" s="660" t="s">
        <v>1</v>
      </c>
      <c r="C4" s="660"/>
      <c r="D4" s="660"/>
      <c r="E4" s="660"/>
      <c r="F4" s="660"/>
      <c r="G4" s="660"/>
      <c r="H4" s="660"/>
      <c r="I4" s="660"/>
    </row>
    <row r="5" spans="1:9" ht="18">
      <c r="B5" s="660" t="s">
        <v>1046</v>
      </c>
      <c r="C5" s="660"/>
      <c r="D5" s="660"/>
      <c r="E5" s="660"/>
      <c r="F5" s="660"/>
      <c r="G5" s="660"/>
      <c r="H5" s="660"/>
      <c r="I5" s="660"/>
    </row>
    <row r="6" spans="1:9" ht="15">
      <c r="B6" s="539" t="s">
        <v>1054</v>
      </c>
      <c r="C6" s="540"/>
      <c r="D6" s="540"/>
      <c r="E6" s="540"/>
      <c r="F6" s="540"/>
      <c r="G6" s="540"/>
      <c r="H6" s="540"/>
      <c r="I6" s="540"/>
    </row>
    <row r="7" spans="1:9" ht="18">
      <c r="B7" s="538"/>
      <c r="C7" s="541"/>
      <c r="D7" s="542" t="s">
        <v>253</v>
      </c>
      <c r="E7" s="542"/>
      <c r="F7" s="540"/>
      <c r="G7" s="542"/>
      <c r="H7" s="542"/>
      <c r="I7" s="540"/>
    </row>
    <row r="8" spans="1:9" ht="18">
      <c r="B8" s="543"/>
      <c r="C8" s="540"/>
      <c r="D8" s="542" t="s">
        <v>56</v>
      </c>
      <c r="E8" s="542" t="s">
        <v>254</v>
      </c>
      <c r="F8" s="542" t="s">
        <v>255</v>
      </c>
      <c r="G8" s="542"/>
      <c r="H8" s="542" t="s">
        <v>67</v>
      </c>
      <c r="I8" s="544"/>
    </row>
    <row r="9" spans="1:9" ht="18">
      <c r="B9" s="543"/>
      <c r="C9" s="540"/>
      <c r="D9" s="542" t="s">
        <v>256</v>
      </c>
      <c r="E9" s="542" t="s">
        <v>256</v>
      </c>
      <c r="F9" s="542" t="s">
        <v>256</v>
      </c>
      <c r="G9" s="542"/>
      <c r="H9" s="542" t="s">
        <v>257</v>
      </c>
      <c r="I9" s="545"/>
    </row>
    <row r="10" spans="1:9" ht="25.5">
      <c r="B10" s="546"/>
      <c r="C10" s="547"/>
      <c r="D10" s="547"/>
      <c r="E10" s="547"/>
      <c r="F10" s="547"/>
      <c r="G10" s="547"/>
      <c r="H10" s="547"/>
      <c r="I10" s="545"/>
    </row>
    <row r="11" spans="1:9" ht="15">
      <c r="B11" s="543"/>
      <c r="C11" s="540"/>
      <c r="D11" s="540"/>
      <c r="E11" s="540"/>
      <c r="F11" s="540"/>
      <c r="G11" s="540"/>
      <c r="H11" s="540"/>
      <c r="I11" s="540"/>
    </row>
    <row r="12" spans="1:9" ht="15.75">
      <c r="A12" s="548">
        <f>+A11+1</f>
        <v>1</v>
      </c>
      <c r="B12" s="543"/>
      <c r="C12" s="549" t="s">
        <v>268</v>
      </c>
      <c r="D12" s="550">
        <f>+E47</f>
        <v>0</v>
      </c>
      <c r="E12" s="550">
        <f>+F47</f>
        <v>0</v>
      </c>
      <c r="F12" s="550">
        <f>+G47</f>
        <v>0</v>
      </c>
      <c r="G12" s="550"/>
      <c r="H12" s="550"/>
      <c r="I12" s="551" t="str">
        <f>"(Line "&amp;A47&amp;")"</f>
        <v>(Line 26)</v>
      </c>
    </row>
    <row r="13" spans="1:9" ht="15.75">
      <c r="A13" s="548">
        <f>+A12+1</f>
        <v>2</v>
      </c>
      <c r="B13" s="543"/>
      <c r="C13" s="549" t="s">
        <v>259</v>
      </c>
      <c r="D13" s="550">
        <f>+E67</f>
        <v>0</v>
      </c>
      <c r="E13" s="550">
        <f>+F67</f>
        <v>0</v>
      </c>
      <c r="F13" s="550">
        <f>+G67</f>
        <v>0</v>
      </c>
      <c r="G13" s="550"/>
      <c r="H13" s="550"/>
      <c r="I13" s="551" t="str">
        <f>"(Line "&amp;A67&amp;")"</f>
        <v>(Line 29)</v>
      </c>
    </row>
    <row r="14" spans="1:9" ht="15.75">
      <c r="A14" s="548">
        <f>+A13+1</f>
        <v>3</v>
      </c>
      <c r="B14" s="543"/>
      <c r="C14" s="549" t="s">
        <v>312</v>
      </c>
      <c r="D14" s="552">
        <f>+E97</f>
        <v>0</v>
      </c>
      <c r="E14" s="552">
        <f>+F97</f>
        <v>0</v>
      </c>
      <c r="F14" s="552">
        <f>+G97</f>
        <v>0</v>
      </c>
      <c r="G14" s="550"/>
      <c r="H14" s="550"/>
      <c r="I14" s="551" t="str">
        <f>"(Line "&amp;A97&amp;")"</f>
        <v>(Line 37)</v>
      </c>
    </row>
    <row r="15" spans="1:9" ht="15.75">
      <c r="A15" s="548">
        <f>+A14+1</f>
        <v>4</v>
      </c>
      <c r="B15" s="543"/>
      <c r="C15" s="549" t="s">
        <v>90</v>
      </c>
      <c r="D15" s="550">
        <f>SUM(D12:D14)</f>
        <v>0</v>
      </c>
      <c r="E15" s="550">
        <f t="shared" ref="E15:F15" si="0">SUM(E12:E14)</f>
        <v>0</v>
      </c>
      <c r="F15" s="550">
        <f t="shared" si="0"/>
        <v>0</v>
      </c>
      <c r="G15" s="550"/>
      <c r="H15" s="550"/>
      <c r="I15" s="551" t="str">
        <f>"(Line "&amp;A12&amp;" + Line "&amp;A13&amp;" + Line "&amp;A14&amp;")"</f>
        <v>(Line 1 + Line 2 + Line 3)</v>
      </c>
    </row>
    <row r="16" spans="1:9" ht="15.75">
      <c r="A16" s="548">
        <f t="shared" ref="A16:A20" si="1">+A15+1</f>
        <v>5</v>
      </c>
      <c r="B16" s="543"/>
      <c r="C16" s="549" t="s">
        <v>12</v>
      </c>
      <c r="D16" s="540"/>
      <c r="E16" s="540"/>
      <c r="F16" s="553">
        <f>+'Appendix A'!H16</f>
        <v>0.11010683301047983</v>
      </c>
      <c r="G16" s="540"/>
      <c r="H16" s="540"/>
      <c r="I16" s="551" t="str">
        <f>"(Appendix A, Line "&amp;'[2]Appendix A'!A16&amp;")"</f>
        <v>(Appendix A, Line 5)</v>
      </c>
    </row>
    <row r="17" spans="1:9" ht="15.75">
      <c r="A17" s="548">
        <f t="shared" si="1"/>
        <v>6</v>
      </c>
      <c r="B17" s="543"/>
      <c r="C17" s="549" t="s">
        <v>20</v>
      </c>
      <c r="D17" s="540"/>
      <c r="E17" s="553">
        <f>+'Appendix A'!H27</f>
        <v>0.24713229692288416</v>
      </c>
      <c r="F17" s="540"/>
      <c r="G17" s="540"/>
      <c r="H17" s="540"/>
      <c r="I17" s="551" t="str">
        <f>"(Appendix A, Line "&amp;'[2]Appendix A'!A27&amp;")"</f>
        <v>(Appendix A, Line 12)</v>
      </c>
    </row>
    <row r="18" spans="1:9" ht="15.75">
      <c r="A18" s="548">
        <f>+A17+1</f>
        <v>7</v>
      </c>
      <c r="B18" s="543"/>
      <c r="C18" s="549" t="s">
        <v>261</v>
      </c>
      <c r="D18" s="554">
        <f>+D15</f>
        <v>0</v>
      </c>
      <c r="E18" s="554">
        <f>+E17*E15</f>
        <v>0</v>
      </c>
      <c r="F18" s="554">
        <f>+F16*F15</f>
        <v>0</v>
      </c>
      <c r="G18" s="554"/>
      <c r="H18" s="554">
        <f>+SUM(D18:G18)</f>
        <v>0</v>
      </c>
      <c r="I18" s="551" t="str">
        <f>"(Line "&amp;A15&amp;" * Line "&amp;A16&amp;" or Line "&amp;A17&amp;")"</f>
        <v>(Line 4 * Line 5 or Line 6)</v>
      </c>
    </row>
    <row r="19" spans="1:9" ht="15.75">
      <c r="A19" s="548">
        <f t="shared" si="1"/>
        <v>8</v>
      </c>
      <c r="B19" s="543"/>
      <c r="C19" s="549" t="s">
        <v>262</v>
      </c>
      <c r="D19" s="554">
        <v>0</v>
      </c>
      <c r="E19" s="554">
        <v>0</v>
      </c>
      <c r="F19" s="554">
        <v>0</v>
      </c>
      <c r="G19" s="554"/>
      <c r="H19" s="554">
        <f>+SUM(D19:G19)</f>
        <v>0</v>
      </c>
      <c r="I19" s="551" t="str">
        <f>"(Attachment 1C - ADIT Prior Year, Line "&amp;A18&amp;")"</f>
        <v>(Attachment 1C - ADIT Prior Year, Line 7)</v>
      </c>
    </row>
    <row r="20" spans="1:9" ht="15.75">
      <c r="A20" s="548">
        <f t="shared" si="1"/>
        <v>9</v>
      </c>
      <c r="B20" s="543"/>
      <c r="C20" s="549" t="s">
        <v>1047</v>
      </c>
      <c r="D20" s="554">
        <f>(D18+D19)/2</f>
        <v>0</v>
      </c>
      <c r="E20" s="554">
        <f>(E18+E19)/2</f>
        <v>0</v>
      </c>
      <c r="F20" s="554">
        <f>(F18+F19)/2</f>
        <v>0</v>
      </c>
      <c r="G20" s="554"/>
      <c r="H20" s="554">
        <f>+SUM(D20:G20)</f>
        <v>0</v>
      </c>
      <c r="I20" s="551" t="str">
        <f>"(Average of Line "&amp;A18&amp;" + Line "&amp;A19&amp;")"</f>
        <v>(Average of Line 7 + Line 8)</v>
      </c>
    </row>
    <row r="21" spans="1:9" ht="15.75">
      <c r="A21" s="548">
        <f>+A20+1</f>
        <v>10</v>
      </c>
      <c r="B21" s="549"/>
      <c r="C21" s="549" t="s">
        <v>264</v>
      </c>
      <c r="D21" s="554"/>
      <c r="E21" s="554"/>
      <c r="F21" s="554"/>
      <c r="G21" s="554"/>
      <c r="H21" s="554">
        <v>0</v>
      </c>
      <c r="I21" s="551" t="str">
        <f>"(Attachment 1E, Line "&amp;'[2]1E - ADIT True-Up Proration'!A27&amp;")"</f>
        <v>(Attachment 1E, Line 13)</v>
      </c>
    </row>
    <row r="22" spans="1:9" ht="15.75">
      <c r="A22" s="548">
        <f>+A21+1</f>
        <v>11</v>
      </c>
      <c r="B22" s="549"/>
      <c r="C22" s="549" t="s">
        <v>1048</v>
      </c>
      <c r="D22" s="554"/>
      <c r="E22" s="554"/>
      <c r="F22" s="554"/>
      <c r="G22" s="554"/>
      <c r="H22" s="555">
        <f>+H20+H21</f>
        <v>0</v>
      </c>
      <c r="I22" s="540"/>
    </row>
    <row r="23" spans="1:9" ht="15.75">
      <c r="A23" s="548"/>
      <c r="B23" s="549"/>
      <c r="C23" s="549"/>
      <c r="D23" s="550"/>
      <c r="E23" s="540"/>
      <c r="F23" s="540"/>
      <c r="G23" s="540"/>
      <c r="H23" s="556"/>
      <c r="I23" s="540"/>
    </row>
    <row r="24" spans="1:9" ht="15">
      <c r="B24" s="540" t="s">
        <v>266</v>
      </c>
      <c r="C24" s="540"/>
      <c r="D24" s="540"/>
      <c r="E24" s="540"/>
      <c r="F24" s="540"/>
      <c r="G24" s="540"/>
      <c r="H24" s="540"/>
      <c r="I24" s="540"/>
    </row>
    <row r="25" spans="1:9" ht="15">
      <c r="B25" s="540"/>
      <c r="C25" s="540"/>
      <c r="D25" s="540"/>
      <c r="E25" s="540"/>
      <c r="F25" s="540"/>
      <c r="G25" s="540"/>
      <c r="H25" s="540"/>
      <c r="I25" s="540"/>
    </row>
    <row r="26" spans="1:9" ht="15">
      <c r="B26" s="543" t="s">
        <v>1049</v>
      </c>
      <c r="C26" s="540"/>
      <c r="D26" s="540"/>
      <c r="E26" s="540"/>
      <c r="F26" s="540"/>
      <c r="G26" s="540"/>
      <c r="H26" s="540"/>
      <c r="I26" s="540"/>
    </row>
    <row r="27" spans="1:9" ht="15">
      <c r="B27" s="543" t="s">
        <v>267</v>
      </c>
      <c r="C27" s="540"/>
      <c r="D27" s="540"/>
      <c r="E27" s="540"/>
      <c r="F27" s="540"/>
      <c r="G27" s="540"/>
      <c r="H27" s="540"/>
      <c r="I27" s="540"/>
    </row>
    <row r="28" spans="1:9" ht="15">
      <c r="B28" s="543"/>
      <c r="C28" s="540"/>
      <c r="D28" s="540"/>
      <c r="E28" s="540"/>
      <c r="F28" s="540"/>
      <c r="G28" s="557"/>
      <c r="H28" s="557"/>
      <c r="I28" s="540"/>
    </row>
    <row r="29" spans="1:9" ht="15.75">
      <c r="B29" s="558" t="s">
        <v>206</v>
      </c>
      <c r="C29" s="558" t="s">
        <v>208</v>
      </c>
      <c r="D29" s="558" t="s">
        <v>210</v>
      </c>
      <c r="E29" s="558" t="s">
        <v>212</v>
      </c>
      <c r="F29" s="558" t="s">
        <v>214</v>
      </c>
      <c r="G29" s="558" t="s">
        <v>216</v>
      </c>
      <c r="H29" s="558"/>
      <c r="I29" s="558" t="s">
        <v>218</v>
      </c>
    </row>
    <row r="30" spans="1:9" ht="15">
      <c r="B30" s="543"/>
      <c r="C30" s="542" t="s">
        <v>67</v>
      </c>
      <c r="D30" s="542"/>
      <c r="E30" s="542" t="s">
        <v>253</v>
      </c>
      <c r="F30" s="542"/>
      <c r="G30" s="542"/>
      <c r="H30" s="542"/>
      <c r="I30" s="540"/>
    </row>
    <row r="31" spans="1:9" ht="15">
      <c r="B31" s="559" t="s">
        <v>268</v>
      </c>
      <c r="C31" s="542"/>
      <c r="D31" s="542"/>
      <c r="E31" s="542" t="s">
        <v>56</v>
      </c>
      <c r="F31" s="542" t="s">
        <v>254</v>
      </c>
      <c r="G31" s="542" t="s">
        <v>255</v>
      </c>
      <c r="H31" s="542"/>
      <c r="I31" s="540"/>
    </row>
    <row r="32" spans="1:9" ht="15.75" thickBot="1">
      <c r="B32" s="543"/>
      <c r="C32" s="542"/>
      <c r="D32" s="542" t="s">
        <v>269</v>
      </c>
      <c r="E32" s="542" t="s">
        <v>256</v>
      </c>
      <c r="F32" s="542" t="s">
        <v>256</v>
      </c>
      <c r="G32" s="542" t="s">
        <v>256</v>
      </c>
      <c r="H32" s="560"/>
      <c r="I32" s="542" t="s">
        <v>270</v>
      </c>
    </row>
    <row r="33" spans="1:9" ht="27.6" customHeight="1">
      <c r="A33" s="548">
        <f>+A22+1</f>
        <v>12</v>
      </c>
      <c r="B33" s="561" t="s">
        <v>271</v>
      </c>
      <c r="C33" s="562">
        <v>0</v>
      </c>
      <c r="D33" s="563">
        <v>0</v>
      </c>
      <c r="E33" s="563">
        <v>0</v>
      </c>
      <c r="F33" s="563">
        <v>0</v>
      </c>
      <c r="G33" s="563">
        <f>+C33</f>
        <v>0</v>
      </c>
      <c r="H33" s="564"/>
      <c r="I33" s="565"/>
    </row>
    <row r="34" spans="1:9" ht="30.6" customHeight="1">
      <c r="A34" s="548">
        <f>+A33+1</f>
        <v>13</v>
      </c>
      <c r="B34" s="566" t="s">
        <v>273</v>
      </c>
      <c r="C34" s="567">
        <v>0</v>
      </c>
      <c r="D34" s="568">
        <v>0</v>
      </c>
      <c r="E34" s="568">
        <v>0</v>
      </c>
      <c r="F34" s="568">
        <v>0</v>
      </c>
      <c r="G34" s="568">
        <v>0</v>
      </c>
      <c r="H34" s="569"/>
      <c r="I34" s="565"/>
    </row>
    <row r="35" spans="1:9" ht="32.450000000000003" customHeight="1">
      <c r="A35" s="548">
        <f t="shared" ref="A35:A46" si="2">+A34+1</f>
        <v>14</v>
      </c>
      <c r="B35" s="566" t="s">
        <v>275</v>
      </c>
      <c r="C35" s="567">
        <v>0</v>
      </c>
      <c r="D35" s="568">
        <v>0</v>
      </c>
      <c r="E35" s="568">
        <v>0</v>
      </c>
      <c r="F35" s="568">
        <v>0</v>
      </c>
      <c r="G35" s="568">
        <v>0</v>
      </c>
      <c r="H35" s="569"/>
      <c r="I35" s="565"/>
    </row>
    <row r="36" spans="1:9" ht="40.15" customHeight="1">
      <c r="A36" s="548">
        <f t="shared" si="2"/>
        <v>15</v>
      </c>
      <c r="B36" s="570" t="s">
        <v>276</v>
      </c>
      <c r="C36" s="567">
        <v>0</v>
      </c>
      <c r="D36" s="568">
        <v>0</v>
      </c>
      <c r="E36" s="568">
        <v>0</v>
      </c>
      <c r="F36" s="568">
        <v>0</v>
      </c>
      <c r="G36" s="568">
        <v>0</v>
      </c>
      <c r="H36" s="569"/>
      <c r="I36" s="571" t="s">
        <v>277</v>
      </c>
    </row>
    <row r="37" spans="1:9" ht="24.75" customHeight="1">
      <c r="A37" s="548">
        <f t="shared" si="2"/>
        <v>16</v>
      </c>
      <c r="B37" s="566" t="s">
        <v>278</v>
      </c>
      <c r="C37" s="567">
        <v>0</v>
      </c>
      <c r="D37" s="568">
        <v>0</v>
      </c>
      <c r="E37" s="568">
        <v>0</v>
      </c>
      <c r="F37" s="568">
        <v>0</v>
      </c>
      <c r="G37" s="568">
        <v>0</v>
      </c>
      <c r="H37" s="569"/>
      <c r="I37" s="565"/>
    </row>
    <row r="38" spans="1:9" ht="37.9" customHeight="1">
      <c r="A38" s="548">
        <f t="shared" si="2"/>
        <v>17</v>
      </c>
      <c r="B38" s="566" t="s">
        <v>280</v>
      </c>
      <c r="C38" s="567">
        <v>0</v>
      </c>
      <c r="D38" s="568">
        <v>0</v>
      </c>
      <c r="E38" s="568">
        <v>0</v>
      </c>
      <c r="F38" s="568">
        <v>0</v>
      </c>
      <c r="G38" s="568">
        <v>0</v>
      </c>
      <c r="H38" s="569"/>
      <c r="I38" s="565"/>
    </row>
    <row r="39" spans="1:9" ht="31.9" customHeight="1">
      <c r="A39" s="548">
        <f t="shared" si="2"/>
        <v>18</v>
      </c>
      <c r="B39" s="566" t="s">
        <v>282</v>
      </c>
      <c r="C39" s="567">
        <v>0</v>
      </c>
      <c r="D39" s="568">
        <v>0</v>
      </c>
      <c r="E39" s="568">
        <v>0</v>
      </c>
      <c r="F39" s="568">
        <v>0</v>
      </c>
      <c r="G39" s="568">
        <v>0</v>
      </c>
      <c r="H39" s="569"/>
      <c r="I39" s="565"/>
    </row>
    <row r="40" spans="1:9" ht="37.15" customHeight="1">
      <c r="A40" s="548">
        <f t="shared" si="2"/>
        <v>19</v>
      </c>
      <c r="B40" s="566" t="s">
        <v>284</v>
      </c>
      <c r="C40" s="567">
        <v>0</v>
      </c>
      <c r="D40" s="568">
        <v>0</v>
      </c>
      <c r="E40" s="568">
        <v>0</v>
      </c>
      <c r="F40" s="568">
        <v>0</v>
      </c>
      <c r="G40" s="568">
        <v>0</v>
      </c>
      <c r="H40" s="569"/>
      <c r="I40" s="565"/>
    </row>
    <row r="41" spans="1:9" ht="24.6" customHeight="1">
      <c r="A41" s="548">
        <f t="shared" si="2"/>
        <v>20</v>
      </c>
      <c r="B41" s="566" t="s">
        <v>286</v>
      </c>
      <c r="C41" s="567">
        <v>0</v>
      </c>
      <c r="D41" s="568">
        <v>0</v>
      </c>
      <c r="E41" s="568">
        <v>0</v>
      </c>
      <c r="F41" s="568">
        <v>0</v>
      </c>
      <c r="G41" s="568">
        <v>0</v>
      </c>
      <c r="H41" s="569"/>
      <c r="I41" s="565"/>
    </row>
    <row r="42" spans="1:9" ht="24.6" customHeight="1">
      <c r="A42" s="548">
        <f t="shared" si="2"/>
        <v>21</v>
      </c>
      <c r="B42" s="566" t="s">
        <v>288</v>
      </c>
      <c r="C42" s="567">
        <v>0</v>
      </c>
      <c r="D42" s="568">
        <v>0</v>
      </c>
      <c r="E42" s="568">
        <v>0</v>
      </c>
      <c r="F42" s="568">
        <v>0</v>
      </c>
      <c r="G42" s="568">
        <v>0</v>
      </c>
      <c r="H42" s="569"/>
      <c r="I42" s="565"/>
    </row>
    <row r="43" spans="1:9" ht="39.6" customHeight="1">
      <c r="A43" s="548">
        <f t="shared" si="2"/>
        <v>22</v>
      </c>
      <c r="B43" s="566" t="s">
        <v>290</v>
      </c>
      <c r="C43" s="567">
        <v>0</v>
      </c>
      <c r="D43" s="568">
        <v>0</v>
      </c>
      <c r="E43" s="568">
        <v>0</v>
      </c>
      <c r="F43" s="568">
        <v>0</v>
      </c>
      <c r="G43" s="568">
        <v>0</v>
      </c>
      <c r="H43" s="569"/>
      <c r="I43" s="565"/>
    </row>
    <row r="44" spans="1:9" ht="27" customHeight="1">
      <c r="A44" s="548">
        <f>+A43+1</f>
        <v>23</v>
      </c>
      <c r="B44" s="566" t="s">
        <v>291</v>
      </c>
      <c r="C44" s="572">
        <v>0</v>
      </c>
      <c r="D44" s="568">
        <v>0</v>
      </c>
      <c r="E44" s="568">
        <v>0</v>
      </c>
      <c r="F44" s="568">
        <v>0</v>
      </c>
      <c r="G44" s="568">
        <v>0</v>
      </c>
      <c r="H44" s="569"/>
      <c r="I44" s="573"/>
    </row>
    <row r="45" spans="1:9" ht="15.75">
      <c r="A45" s="548">
        <f t="shared" si="2"/>
        <v>24</v>
      </c>
      <c r="B45" s="574" t="s">
        <v>293</v>
      </c>
      <c r="C45" s="575">
        <f t="shared" ref="C45:G45" si="3">SUM(C33:C44)</f>
        <v>0</v>
      </c>
      <c r="D45" s="575">
        <f t="shared" si="3"/>
        <v>0</v>
      </c>
      <c r="E45" s="575">
        <f t="shared" si="3"/>
        <v>0</v>
      </c>
      <c r="F45" s="575">
        <f t="shared" si="3"/>
        <v>0</v>
      </c>
      <c r="G45" s="575">
        <f t="shared" si="3"/>
        <v>0</v>
      </c>
      <c r="H45" s="575"/>
      <c r="I45" s="576"/>
    </row>
    <row r="46" spans="1:9" ht="31.5">
      <c r="A46" s="548">
        <f t="shared" si="2"/>
        <v>25</v>
      </c>
      <c r="B46" s="577" t="s">
        <v>294</v>
      </c>
      <c r="C46" s="578">
        <f>SUM(D46:H46)</f>
        <v>0</v>
      </c>
      <c r="D46" s="578">
        <f>D36</f>
        <v>0</v>
      </c>
      <c r="E46" s="579">
        <f>+E36</f>
        <v>0</v>
      </c>
      <c r="F46" s="580">
        <f>F36</f>
        <v>0</v>
      </c>
      <c r="G46" s="580">
        <f>+G36</f>
        <v>0</v>
      </c>
      <c r="H46" s="580"/>
      <c r="I46" s="581" t="str">
        <f>+'[2]1A - ADIT'!I44</f>
        <v>All FAS 109 items excluded from formula rate</v>
      </c>
    </row>
    <row r="47" spans="1:9" ht="16.5" thickBot="1">
      <c r="A47" s="548">
        <f>+A46+1</f>
        <v>26</v>
      </c>
      <c r="B47" s="582" t="s">
        <v>67</v>
      </c>
      <c r="C47" s="583">
        <f>+C45-C46</f>
        <v>0</v>
      </c>
      <c r="D47" s="583">
        <f t="shared" ref="D47:G47" si="4">+D45-D46</f>
        <v>0</v>
      </c>
      <c r="E47" s="583">
        <f t="shared" si="4"/>
        <v>0</v>
      </c>
      <c r="F47" s="583">
        <f t="shared" si="4"/>
        <v>0</v>
      </c>
      <c r="G47" s="583">
        <f t="shared" si="4"/>
        <v>0</v>
      </c>
      <c r="H47" s="583"/>
      <c r="I47" s="584"/>
    </row>
    <row r="48" spans="1:9" ht="15.75">
      <c r="A48" s="548"/>
      <c r="B48" s="549"/>
      <c r="C48" s="585"/>
      <c r="D48" s="586"/>
      <c r="E48" s="586"/>
      <c r="F48" s="586"/>
      <c r="G48" s="586"/>
      <c r="H48" s="586"/>
      <c r="I48" s="587"/>
    </row>
    <row r="49" spans="1:9" ht="15">
      <c r="B49" s="540" t="s">
        <v>296</v>
      </c>
      <c r="C49" s="540"/>
      <c r="D49" s="550"/>
      <c r="E49" s="588"/>
      <c r="F49" s="589"/>
      <c r="G49" s="540"/>
      <c r="H49" s="540"/>
      <c r="I49" s="590"/>
    </row>
    <row r="50" spans="1:9" ht="15">
      <c r="B50" s="658" t="s">
        <v>385</v>
      </c>
      <c r="C50" s="658"/>
      <c r="D50" s="658"/>
      <c r="E50" s="658"/>
      <c r="F50" s="658"/>
      <c r="G50" s="658"/>
      <c r="H50" s="658"/>
      <c r="I50" s="658"/>
    </row>
    <row r="51" spans="1:9" ht="15">
      <c r="B51" s="543" t="s">
        <v>298</v>
      </c>
      <c r="C51" s="540"/>
      <c r="D51" s="540"/>
      <c r="E51" s="540"/>
      <c r="F51" s="540"/>
      <c r="G51" s="589"/>
      <c r="H51" s="589"/>
      <c r="I51" s="589"/>
    </row>
    <row r="52" spans="1:9" ht="15">
      <c r="B52" s="543" t="s">
        <v>310</v>
      </c>
      <c r="C52" s="540"/>
      <c r="D52" s="540"/>
      <c r="E52" s="540"/>
      <c r="F52" s="540"/>
      <c r="G52" s="589"/>
      <c r="H52" s="589"/>
      <c r="I52" s="589"/>
    </row>
    <row r="53" spans="1:9" ht="15">
      <c r="B53" s="543" t="s">
        <v>386</v>
      </c>
      <c r="C53" s="540"/>
      <c r="D53" s="540"/>
      <c r="E53" s="540"/>
      <c r="F53" s="540"/>
      <c r="G53" s="589"/>
      <c r="H53" s="589"/>
      <c r="I53" s="589"/>
    </row>
    <row r="54" spans="1:9" ht="15" customHeight="1">
      <c r="B54" s="658" t="s">
        <v>301</v>
      </c>
      <c r="C54" s="658"/>
      <c r="D54" s="658"/>
      <c r="E54" s="658"/>
      <c r="F54" s="658"/>
      <c r="G54" s="658"/>
      <c r="H54" s="658"/>
      <c r="I54" s="658"/>
    </row>
    <row r="55" spans="1:9" ht="15">
      <c r="B55" s="543" t="s">
        <v>302</v>
      </c>
      <c r="C55" s="589"/>
      <c r="D55" s="592"/>
      <c r="E55" s="589"/>
      <c r="F55" s="589"/>
      <c r="G55" s="589"/>
      <c r="H55" s="589"/>
      <c r="I55" s="591"/>
    </row>
    <row r="56" spans="1:9" ht="15.75">
      <c r="B56" s="587"/>
      <c r="C56" s="587"/>
      <c r="D56" s="587"/>
      <c r="E56" s="587"/>
      <c r="F56" s="587"/>
      <c r="G56" s="587"/>
      <c r="H56" s="587"/>
      <c r="I56" s="587"/>
    </row>
    <row r="57" spans="1:9" ht="18">
      <c r="A57" s="593"/>
      <c r="B57" s="657" t="str">
        <f>+B3</f>
        <v>Dayton Power and Light</v>
      </c>
      <c r="C57" s="659"/>
      <c r="D57" s="659"/>
      <c r="E57" s="659"/>
      <c r="F57" s="659"/>
      <c r="G57" s="659"/>
      <c r="H57" s="659"/>
      <c r="I57" s="659"/>
    </row>
    <row r="58" spans="1:9" ht="18">
      <c r="A58" s="593"/>
      <c r="B58" s="657" t="str">
        <f>+B4</f>
        <v xml:space="preserve">ATTACHMENT H-15A </v>
      </c>
      <c r="C58" s="657"/>
      <c r="D58" s="657"/>
      <c r="E58" s="657"/>
      <c r="F58" s="657"/>
      <c r="G58" s="657"/>
      <c r="H58" s="657"/>
      <c r="I58" s="657"/>
    </row>
    <row r="59" spans="1:9" ht="18">
      <c r="A59" s="593"/>
      <c r="B59" s="657" t="str">
        <f>+B5</f>
        <v xml:space="preserve">Attachment 1D - Accumulated Deferred Income Taxes for Annual True-up - December 31, </v>
      </c>
      <c r="C59" s="657"/>
      <c r="D59" s="657"/>
      <c r="E59" s="657"/>
      <c r="F59" s="657"/>
      <c r="G59" s="657"/>
      <c r="H59" s="657"/>
      <c r="I59" s="657"/>
    </row>
    <row r="60" spans="1:9" ht="18">
      <c r="A60" s="540"/>
      <c r="B60" s="542"/>
      <c r="C60" s="540"/>
      <c r="D60" s="540"/>
      <c r="E60" s="540"/>
      <c r="F60" s="540"/>
      <c r="G60" s="540"/>
      <c r="H60" s="540"/>
      <c r="I60" s="544"/>
    </row>
    <row r="61" spans="1:9" ht="18">
      <c r="A61" s="540"/>
      <c r="B61" s="558" t="s">
        <v>206</v>
      </c>
      <c r="C61" s="558" t="s">
        <v>208</v>
      </c>
      <c r="D61" s="558" t="s">
        <v>210</v>
      </c>
      <c r="E61" s="558" t="s">
        <v>212</v>
      </c>
      <c r="F61" s="558" t="s">
        <v>214</v>
      </c>
      <c r="G61" s="558" t="s">
        <v>216</v>
      </c>
      <c r="H61" s="558"/>
      <c r="I61" s="545"/>
    </row>
    <row r="62" spans="1:9" ht="18">
      <c r="A62" s="540"/>
      <c r="B62" s="540"/>
      <c r="C62" s="542" t="s">
        <v>303</v>
      </c>
      <c r="D62" s="542"/>
      <c r="E62" s="542"/>
      <c r="F62" s="542"/>
      <c r="G62" s="542"/>
      <c r="H62" s="542"/>
      <c r="I62" s="545"/>
    </row>
    <row r="63" spans="1:9" ht="15.75">
      <c r="A63" s="540"/>
      <c r="B63" s="557" t="s">
        <v>304</v>
      </c>
      <c r="C63" s="542"/>
      <c r="D63" s="542"/>
      <c r="E63" s="542" t="s">
        <v>56</v>
      </c>
      <c r="F63" s="542" t="s">
        <v>254</v>
      </c>
      <c r="G63" s="542" t="s">
        <v>255</v>
      </c>
      <c r="H63" s="542"/>
      <c r="I63" s="558" t="s">
        <v>218</v>
      </c>
    </row>
    <row r="64" spans="1:9" ht="15.75" thickBot="1">
      <c r="A64" s="540"/>
      <c r="B64" s="543"/>
      <c r="C64" s="542"/>
      <c r="D64" s="542" t="s">
        <v>269</v>
      </c>
      <c r="E64" s="542" t="s">
        <v>256</v>
      </c>
      <c r="F64" s="542" t="s">
        <v>256</v>
      </c>
      <c r="G64" s="542" t="s">
        <v>256</v>
      </c>
      <c r="H64" s="560"/>
      <c r="I64" s="542" t="s">
        <v>270</v>
      </c>
    </row>
    <row r="65" spans="1:9" ht="30">
      <c r="A65" s="540">
        <f>+A47+1</f>
        <v>27</v>
      </c>
      <c r="B65" s="561" t="s">
        <v>305</v>
      </c>
      <c r="C65" s="594">
        <v>0</v>
      </c>
      <c r="D65" s="595">
        <v>0</v>
      </c>
      <c r="E65" s="596">
        <v>0</v>
      </c>
      <c r="F65" s="596">
        <v>0</v>
      </c>
      <c r="G65" s="596">
        <v>0</v>
      </c>
      <c r="H65" s="597"/>
      <c r="I65" s="598" t="str">
        <f>+'[2]1C - ADIT Prior Year'!I59</f>
        <v>Tax and book differences resulting from accelerated tax depreciation .  Included in prorated amount</v>
      </c>
    </row>
    <row r="66" spans="1:9" ht="15">
      <c r="A66" s="540">
        <f>+A65+1</f>
        <v>28</v>
      </c>
      <c r="B66" s="566" t="s">
        <v>306</v>
      </c>
      <c r="C66" s="568">
        <v>0</v>
      </c>
      <c r="D66" s="599">
        <v>0</v>
      </c>
      <c r="E66" s="599">
        <v>0</v>
      </c>
      <c r="F66" s="599">
        <v>0</v>
      </c>
      <c r="G66" s="599">
        <v>0</v>
      </c>
      <c r="H66" s="569"/>
      <c r="I66" s="600"/>
    </row>
    <row r="67" spans="1:9" ht="16.5" thickBot="1">
      <c r="A67" s="540">
        <f>+A66+1</f>
        <v>29</v>
      </c>
      <c r="B67" s="582" t="s">
        <v>67</v>
      </c>
      <c r="C67" s="583">
        <f>+SUM(C65:C66)</f>
        <v>0</v>
      </c>
      <c r="D67" s="583">
        <f t="shared" ref="D67:G67" si="5">+SUM(D65:D66)</f>
        <v>0</v>
      </c>
      <c r="E67" s="583">
        <f t="shared" si="5"/>
        <v>0</v>
      </c>
      <c r="F67" s="583">
        <f t="shared" si="5"/>
        <v>0</v>
      </c>
      <c r="G67" s="583">
        <f t="shared" si="5"/>
        <v>0</v>
      </c>
      <c r="H67" s="583"/>
      <c r="I67" s="584"/>
    </row>
    <row r="68" spans="1:9" ht="15">
      <c r="A68" s="540"/>
      <c r="B68" s="540" t="s">
        <v>308</v>
      </c>
      <c r="C68" s="540"/>
      <c r="D68" s="540"/>
      <c r="E68" s="589"/>
      <c r="F68" s="588"/>
      <c r="G68" s="540"/>
      <c r="H68" s="540"/>
      <c r="I68" s="591"/>
    </row>
    <row r="69" spans="1:9" ht="15">
      <c r="A69" s="540"/>
      <c r="B69" s="543" t="s">
        <v>309</v>
      </c>
      <c r="C69" s="540"/>
      <c r="D69" s="540"/>
      <c r="E69" s="540"/>
      <c r="F69" s="540"/>
      <c r="G69" s="589"/>
      <c r="H69" s="589"/>
      <c r="I69" s="589"/>
    </row>
    <row r="70" spans="1:9" ht="15">
      <c r="A70" s="540"/>
      <c r="B70" s="543" t="s">
        <v>298</v>
      </c>
      <c r="C70" s="540"/>
      <c r="D70" s="540"/>
      <c r="E70" s="540"/>
      <c r="F70" s="540"/>
      <c r="G70" s="589"/>
      <c r="H70" s="589"/>
      <c r="I70" s="589"/>
    </row>
    <row r="71" spans="1:9" ht="15">
      <c r="A71" s="540"/>
      <c r="B71" s="543" t="s">
        <v>310</v>
      </c>
      <c r="C71" s="540"/>
      <c r="D71" s="540"/>
      <c r="E71" s="540"/>
      <c r="F71" s="540"/>
      <c r="G71" s="589"/>
      <c r="H71" s="589"/>
      <c r="I71" s="589"/>
    </row>
    <row r="72" spans="1:9" ht="15">
      <c r="A72" s="540"/>
      <c r="B72" s="543" t="s">
        <v>311</v>
      </c>
      <c r="C72" s="540"/>
      <c r="D72" s="540"/>
      <c r="E72" s="540"/>
      <c r="F72" s="540"/>
      <c r="G72" s="589"/>
      <c r="H72" s="589"/>
      <c r="I72" s="589"/>
    </row>
    <row r="73" spans="1:9" ht="15">
      <c r="A73" s="540"/>
      <c r="B73" s="658" t="s">
        <v>301</v>
      </c>
      <c r="C73" s="658"/>
      <c r="D73" s="658"/>
      <c r="E73" s="658"/>
      <c r="F73" s="658"/>
      <c r="G73" s="658"/>
      <c r="H73" s="658"/>
      <c r="I73" s="658"/>
    </row>
    <row r="74" spans="1:9" ht="15">
      <c r="A74" s="540"/>
      <c r="B74" s="543" t="s">
        <v>302</v>
      </c>
      <c r="C74" s="589"/>
      <c r="D74" s="592"/>
      <c r="E74" s="589"/>
      <c r="F74" s="589"/>
      <c r="G74" s="589"/>
      <c r="H74" s="589"/>
      <c r="I74" s="591"/>
    </row>
    <row r="75" spans="1:9" ht="15.75">
      <c r="A75" s="540"/>
      <c r="B75" s="601"/>
      <c r="C75" s="540"/>
      <c r="D75" s="540"/>
      <c r="E75" s="540"/>
      <c r="F75" s="589"/>
      <c r="G75" s="589"/>
      <c r="H75" s="589"/>
      <c r="I75" s="591"/>
    </row>
    <row r="76" spans="1:9" ht="15">
      <c r="A76" s="540"/>
      <c r="B76" s="543"/>
      <c r="C76" s="540"/>
      <c r="D76" s="540"/>
      <c r="E76" s="540"/>
      <c r="F76" s="589"/>
      <c r="G76" s="589"/>
      <c r="H76" s="589"/>
      <c r="I76" s="591"/>
    </row>
    <row r="77" spans="1:9" ht="15.75">
      <c r="A77" s="540"/>
      <c r="B77" s="558"/>
      <c r="C77" s="540"/>
      <c r="D77" s="540"/>
      <c r="E77" s="540"/>
      <c r="F77" s="540"/>
      <c r="G77" s="540"/>
      <c r="H77" s="540"/>
      <c r="I77" s="540"/>
    </row>
    <row r="78" spans="1:9" ht="18">
      <c r="B78" s="602" t="str">
        <f>B3</f>
        <v>Dayton Power and Light</v>
      </c>
      <c r="C78" s="603"/>
      <c r="D78" s="603"/>
      <c r="E78" s="603"/>
      <c r="F78" s="603"/>
      <c r="G78" s="603"/>
      <c r="H78" s="603"/>
      <c r="I78" s="603"/>
    </row>
    <row r="79" spans="1:9" ht="18">
      <c r="B79" s="657" t="str">
        <f>+'[2]Appendix A'!A4</f>
        <v xml:space="preserve">ATTACHMENT H-15A </v>
      </c>
      <c r="C79" s="657"/>
      <c r="D79" s="657"/>
      <c r="E79" s="657"/>
      <c r="F79" s="657"/>
      <c r="G79" s="657"/>
      <c r="H79" s="657"/>
      <c r="I79" s="657"/>
    </row>
    <row r="80" spans="1:9" ht="18">
      <c r="B80" s="657" t="str">
        <f>+B5</f>
        <v xml:space="preserve">Attachment 1D - Accumulated Deferred Income Taxes for Annual True-up - December 31, </v>
      </c>
      <c r="C80" s="657"/>
      <c r="D80" s="657"/>
      <c r="E80" s="657"/>
      <c r="F80" s="657"/>
      <c r="G80" s="657"/>
      <c r="H80" s="657"/>
      <c r="I80" s="657"/>
    </row>
    <row r="81" spans="1:9" ht="18.75">
      <c r="B81" s="604"/>
      <c r="C81" s="593"/>
      <c r="D81" s="593"/>
      <c r="E81" s="593"/>
      <c r="F81" s="593"/>
      <c r="G81" s="605"/>
      <c r="H81" s="605"/>
      <c r="I81" s="606"/>
    </row>
    <row r="82" spans="1:9" ht="15.75">
      <c r="B82" s="543"/>
      <c r="C82" s="540"/>
      <c r="D82" s="540"/>
      <c r="E82" s="540"/>
      <c r="F82" s="540"/>
      <c r="G82" s="557"/>
      <c r="H82" s="557"/>
      <c r="I82" s="607"/>
    </row>
    <row r="83" spans="1:9" ht="15">
      <c r="B83" s="543"/>
      <c r="C83" s="540"/>
      <c r="D83" s="540"/>
      <c r="E83" s="540"/>
      <c r="F83" s="540"/>
      <c r="G83" s="557"/>
      <c r="H83" s="557"/>
      <c r="I83" s="591"/>
    </row>
    <row r="84" spans="1:9" ht="15.75">
      <c r="B84" s="558" t="s">
        <v>206</v>
      </c>
      <c r="C84" s="558" t="s">
        <v>208</v>
      </c>
      <c r="D84" s="558" t="s">
        <v>210</v>
      </c>
      <c r="E84" s="558" t="s">
        <v>212</v>
      </c>
      <c r="F84" s="558" t="s">
        <v>214</v>
      </c>
      <c r="G84" s="558" t="s">
        <v>216</v>
      </c>
      <c r="H84" s="558"/>
      <c r="I84" s="558" t="s">
        <v>218</v>
      </c>
    </row>
    <row r="85" spans="1:9" ht="31.5">
      <c r="B85" s="557" t="s">
        <v>312</v>
      </c>
      <c r="C85" s="542" t="s">
        <v>67</v>
      </c>
      <c r="D85" s="608" t="s">
        <v>269</v>
      </c>
      <c r="E85" s="608" t="s">
        <v>1050</v>
      </c>
      <c r="F85" s="608" t="s">
        <v>254</v>
      </c>
      <c r="G85" s="608" t="s">
        <v>255</v>
      </c>
      <c r="H85" s="542"/>
      <c r="I85" s="542" t="s">
        <v>270</v>
      </c>
    </row>
    <row r="86" spans="1:9" ht="15.75" thickBot="1">
      <c r="B86" s="543"/>
      <c r="C86" s="542"/>
      <c r="D86" s="542"/>
      <c r="E86" s="542"/>
      <c r="F86" s="542"/>
      <c r="G86" s="542"/>
      <c r="H86" s="560"/>
      <c r="I86" s="540"/>
    </row>
    <row r="87" spans="1:9" ht="15">
      <c r="A87" s="548">
        <f>+A47+1</f>
        <v>27</v>
      </c>
      <c r="B87" s="561" t="s">
        <v>313</v>
      </c>
      <c r="C87" s="563">
        <v>0</v>
      </c>
      <c r="D87" s="563">
        <v>0</v>
      </c>
      <c r="E87" s="563">
        <v>0</v>
      </c>
      <c r="F87" s="563">
        <v>0</v>
      </c>
      <c r="G87" s="563">
        <v>0</v>
      </c>
      <c r="H87" s="597"/>
      <c r="I87" s="609"/>
    </row>
    <row r="88" spans="1:9" ht="15">
      <c r="A88" s="548">
        <f>+A87+1</f>
        <v>28</v>
      </c>
      <c r="B88" s="566" t="s">
        <v>315</v>
      </c>
      <c r="C88" s="568">
        <v>0</v>
      </c>
      <c r="D88" s="568">
        <v>0</v>
      </c>
      <c r="E88" s="568">
        <v>0</v>
      </c>
      <c r="F88" s="568">
        <f>+C88</f>
        <v>0</v>
      </c>
      <c r="G88" s="568">
        <v>0</v>
      </c>
      <c r="H88" s="569"/>
      <c r="I88" s="610"/>
    </row>
    <row r="89" spans="1:9" ht="15">
      <c r="A89" s="548">
        <f t="shared" ref="A89:A97" si="6">+A88+1</f>
        <v>29</v>
      </c>
      <c r="B89" s="566" t="s">
        <v>317</v>
      </c>
      <c r="C89" s="568">
        <v>0</v>
      </c>
      <c r="D89" s="568">
        <f>+C89</f>
        <v>0</v>
      </c>
      <c r="E89" s="568">
        <v>0</v>
      </c>
      <c r="F89" s="568">
        <v>0</v>
      </c>
      <c r="G89" s="568">
        <v>0</v>
      </c>
      <c r="H89" s="569"/>
      <c r="I89" s="610"/>
    </row>
    <row r="90" spans="1:9" ht="37.5" customHeight="1">
      <c r="A90" s="548">
        <f t="shared" si="6"/>
        <v>30</v>
      </c>
      <c r="B90" s="566" t="s">
        <v>319</v>
      </c>
      <c r="C90" s="568">
        <v>0</v>
      </c>
      <c r="D90" s="568">
        <f>+C90</f>
        <v>0</v>
      </c>
      <c r="E90" s="568">
        <v>0</v>
      </c>
      <c r="F90" s="568">
        <v>0</v>
      </c>
      <c r="G90" s="568">
        <v>0</v>
      </c>
      <c r="H90" s="569"/>
      <c r="I90" s="610"/>
    </row>
    <row r="91" spans="1:9" ht="15">
      <c r="A91" s="548">
        <f t="shared" si="6"/>
        <v>31</v>
      </c>
      <c r="B91" s="566" t="s">
        <v>321</v>
      </c>
      <c r="C91" s="568">
        <v>0</v>
      </c>
      <c r="D91" s="568">
        <v>0</v>
      </c>
      <c r="E91" s="568">
        <v>0</v>
      </c>
      <c r="F91" s="568">
        <f>+C91</f>
        <v>0</v>
      </c>
      <c r="G91" s="568">
        <v>0</v>
      </c>
      <c r="H91" s="569"/>
      <c r="I91" s="611" t="s">
        <v>277</v>
      </c>
    </row>
    <row r="92" spans="1:9" ht="15">
      <c r="A92" s="548">
        <f t="shared" si="6"/>
        <v>32</v>
      </c>
      <c r="B92" s="566" t="s">
        <v>322</v>
      </c>
      <c r="C92" s="568">
        <v>0</v>
      </c>
      <c r="D92" s="568">
        <v>0</v>
      </c>
      <c r="E92" s="568">
        <v>0</v>
      </c>
      <c r="F92" s="568">
        <v>0</v>
      </c>
      <c r="G92" s="568">
        <f>+C92</f>
        <v>0</v>
      </c>
      <c r="H92" s="569"/>
      <c r="I92" s="610"/>
    </row>
    <row r="93" spans="1:9" ht="15.75" thickBot="1">
      <c r="A93" s="548">
        <f t="shared" si="6"/>
        <v>33</v>
      </c>
      <c r="B93" s="566" t="s">
        <v>291</v>
      </c>
      <c r="C93" s="568">
        <v>0</v>
      </c>
      <c r="D93" s="568">
        <f>+C93</f>
        <v>0</v>
      </c>
      <c r="E93" s="568">
        <v>0</v>
      </c>
      <c r="F93" s="568">
        <v>0</v>
      </c>
      <c r="G93" s="568">
        <v>0</v>
      </c>
      <c r="H93" s="569"/>
      <c r="I93" s="610"/>
    </row>
    <row r="94" spans="1:9" ht="15.75">
      <c r="A94" s="548">
        <f t="shared" si="6"/>
        <v>34</v>
      </c>
      <c r="B94" s="612" t="s">
        <v>325</v>
      </c>
      <c r="C94" s="613">
        <f t="shared" ref="C94:G94" si="7">SUM(C87:C93)</f>
        <v>0</v>
      </c>
      <c r="D94" s="613">
        <f>SUM(D87:D93)</f>
        <v>0</v>
      </c>
      <c r="E94" s="613">
        <f t="shared" si="7"/>
        <v>0</v>
      </c>
      <c r="F94" s="613">
        <f>SUM(F87:F93)</f>
        <v>0</v>
      </c>
      <c r="G94" s="613">
        <f t="shared" si="7"/>
        <v>0</v>
      </c>
      <c r="H94" s="613"/>
      <c r="I94" s="614"/>
    </row>
    <row r="95" spans="1:9" ht="31.5">
      <c r="A95" s="548">
        <f t="shared" si="6"/>
        <v>35</v>
      </c>
      <c r="B95" s="615" t="s">
        <v>326</v>
      </c>
      <c r="C95" s="578">
        <f>+C91</f>
        <v>0</v>
      </c>
      <c r="D95" s="578">
        <f t="shared" ref="D95:G95" si="8">+D91</f>
        <v>0</v>
      </c>
      <c r="E95" s="578">
        <f t="shared" si="8"/>
        <v>0</v>
      </c>
      <c r="F95" s="578">
        <f t="shared" si="8"/>
        <v>0</v>
      </c>
      <c r="G95" s="578">
        <f t="shared" si="8"/>
        <v>0</v>
      </c>
      <c r="H95" s="616"/>
      <c r="I95" s="581"/>
    </row>
    <row r="96" spans="1:9" ht="31.5">
      <c r="A96" s="548">
        <f t="shared" si="6"/>
        <v>36</v>
      </c>
      <c r="B96" s="617" t="s">
        <v>327</v>
      </c>
      <c r="C96" s="618">
        <f>+C88</f>
        <v>0</v>
      </c>
      <c r="D96" s="618">
        <f>+D88</f>
        <v>0</v>
      </c>
      <c r="E96" s="618">
        <f t="shared" ref="E96:G96" si="9">+E88</f>
        <v>0</v>
      </c>
      <c r="F96" s="618">
        <f t="shared" si="9"/>
        <v>0</v>
      </c>
      <c r="G96" s="618">
        <f t="shared" si="9"/>
        <v>0</v>
      </c>
      <c r="H96" s="619"/>
      <c r="I96" s="620" t="s">
        <v>1051</v>
      </c>
    </row>
    <row r="97" spans="1:9" ht="16.5" thickBot="1">
      <c r="A97" s="548">
        <f t="shared" si="6"/>
        <v>37</v>
      </c>
      <c r="B97" s="582" t="s">
        <v>67</v>
      </c>
      <c r="C97" s="583">
        <f>+C94-C95-C96</f>
        <v>0</v>
      </c>
      <c r="D97" s="583">
        <f t="shared" ref="D97:G97" si="10">+D94-D95-D96</f>
        <v>0</v>
      </c>
      <c r="E97" s="583">
        <f t="shared" si="10"/>
        <v>0</v>
      </c>
      <c r="F97" s="583">
        <f t="shared" si="10"/>
        <v>0</v>
      </c>
      <c r="G97" s="583">
        <f t="shared" si="10"/>
        <v>0</v>
      </c>
      <c r="H97" s="583"/>
      <c r="I97" s="584"/>
    </row>
    <row r="98" spans="1:9" ht="15">
      <c r="B98" s="543"/>
      <c r="C98" s="550"/>
      <c r="D98" s="550"/>
      <c r="E98" s="550"/>
      <c r="F98" s="550"/>
      <c r="G98" s="550"/>
      <c r="H98" s="550"/>
      <c r="I98" s="591"/>
    </row>
    <row r="99" spans="1:9" ht="15">
      <c r="B99" s="540" t="s">
        <v>329</v>
      </c>
      <c r="C99" s="540"/>
      <c r="D99" s="540"/>
      <c r="E99" s="589"/>
      <c r="F99" s="589"/>
      <c r="G99" s="540"/>
      <c r="H99" s="540"/>
      <c r="I99" s="621"/>
    </row>
    <row r="100" spans="1:9" ht="15">
      <c r="B100" s="543" t="str">
        <f>+'[2]1A - ADIT'!B95</f>
        <v>1.  ADIT items related only to Non-Electric Operations or Production are directly assigned to Column C</v>
      </c>
      <c r="C100" s="540"/>
      <c r="D100" s="540"/>
      <c r="E100" s="540"/>
      <c r="F100" s="540"/>
      <c r="G100" s="589"/>
      <c r="H100" s="589"/>
      <c r="I100" s="589"/>
    </row>
    <row r="101" spans="1:9" ht="15">
      <c r="B101" s="543" t="s">
        <v>298</v>
      </c>
      <c r="C101" s="540"/>
      <c r="D101" s="540"/>
      <c r="E101" s="540"/>
      <c r="F101" s="540"/>
      <c r="G101" s="589"/>
      <c r="H101" s="589"/>
      <c r="I101" s="589"/>
    </row>
    <row r="102" spans="1:9" ht="15">
      <c r="B102" s="543" t="s">
        <v>310</v>
      </c>
      <c r="C102" s="540"/>
      <c r="D102" s="540"/>
      <c r="E102" s="540"/>
      <c r="F102" s="540"/>
      <c r="G102" s="589"/>
      <c r="H102" s="589"/>
      <c r="I102" s="589"/>
    </row>
    <row r="103" spans="1:9" ht="15">
      <c r="B103" s="543" t="s">
        <v>311</v>
      </c>
      <c r="C103" s="540"/>
      <c r="D103" s="540"/>
      <c r="E103" s="540"/>
      <c r="F103" s="540"/>
      <c r="G103" s="589"/>
      <c r="H103" s="589"/>
      <c r="I103" s="589"/>
    </row>
    <row r="104" spans="1:9" ht="15">
      <c r="B104" s="658" t="s">
        <v>301</v>
      </c>
      <c r="C104" s="658"/>
      <c r="D104" s="658"/>
      <c r="E104" s="658"/>
      <c r="F104" s="658"/>
      <c r="G104" s="658"/>
      <c r="H104" s="658"/>
      <c r="I104" s="658"/>
    </row>
    <row r="105" spans="1:9" ht="15">
      <c r="B105" s="543" t="s">
        <v>302</v>
      </c>
      <c r="C105" s="589"/>
      <c r="D105" s="592"/>
      <c r="E105" s="589"/>
      <c r="F105" s="589"/>
      <c r="G105" s="589"/>
      <c r="H105" s="589"/>
      <c r="I105" s="591"/>
    </row>
    <row r="106" spans="1:9" ht="15.75">
      <c r="B106" s="622"/>
      <c r="C106" s="623"/>
      <c r="D106" s="623"/>
      <c r="E106" s="623"/>
      <c r="F106" s="623"/>
      <c r="G106" s="623"/>
      <c r="H106" s="623"/>
      <c r="I106" s="623"/>
    </row>
    <row r="107" spans="1:9" ht="15.75">
      <c r="B107" s="656" t="s">
        <v>1052</v>
      </c>
      <c r="C107" s="656"/>
      <c r="D107" s="656"/>
      <c r="E107" s="656"/>
      <c r="F107" s="656"/>
      <c r="G107" s="656"/>
      <c r="H107" s="656"/>
      <c r="I107" s="656"/>
    </row>
    <row r="108" spans="1:9" ht="15">
      <c r="B108" s="540" t="s">
        <v>1053</v>
      </c>
      <c r="C108" s="540"/>
      <c r="D108" s="540"/>
      <c r="E108" s="540"/>
      <c r="F108" s="540"/>
      <c r="G108" s="540"/>
      <c r="H108" s="540"/>
      <c r="I108" s="540"/>
    </row>
    <row r="109" spans="1:9" ht="15">
      <c r="B109" s="540" t="s">
        <v>392</v>
      </c>
      <c r="C109" s="540"/>
      <c r="D109" s="540"/>
      <c r="E109" s="540"/>
      <c r="F109" s="540"/>
      <c r="G109" s="540"/>
      <c r="H109" s="540"/>
      <c r="I109" s="540"/>
    </row>
    <row r="110" spans="1:9" ht="15">
      <c r="B110" s="540" t="s">
        <v>393</v>
      </c>
      <c r="C110" s="540"/>
      <c r="D110" s="540"/>
      <c r="E110" s="540"/>
      <c r="F110" s="540"/>
      <c r="G110" s="540"/>
      <c r="H110" s="540"/>
      <c r="I110" s="540"/>
    </row>
    <row r="111" spans="1:9" ht="15.75">
      <c r="B111" s="540" t="s">
        <v>394</v>
      </c>
      <c r="C111" s="540"/>
      <c r="D111" s="624"/>
      <c r="E111" s="624"/>
      <c r="F111" s="624"/>
      <c r="G111" s="624"/>
      <c r="H111" s="624"/>
      <c r="I111" s="624"/>
    </row>
    <row r="112" spans="1:9" ht="15.75">
      <c r="B112" s="540" t="s">
        <v>395</v>
      </c>
      <c r="C112" s="540"/>
      <c r="D112" s="624"/>
      <c r="E112" s="624"/>
      <c r="F112" s="624"/>
      <c r="G112" s="624"/>
      <c r="H112" s="624"/>
      <c r="I112" s="624"/>
    </row>
    <row r="113" spans="2:9" ht="15">
      <c r="B113" s="543"/>
      <c r="C113" s="540"/>
      <c r="D113" s="589"/>
      <c r="E113" s="589"/>
      <c r="F113" s="540"/>
      <c r="G113" s="540"/>
      <c r="H113" s="540"/>
      <c r="I113" s="540"/>
    </row>
    <row r="114" spans="2:9" ht="15">
      <c r="B114" s="543"/>
      <c r="C114" s="540"/>
      <c r="D114" s="625"/>
      <c r="E114" s="625"/>
      <c r="F114" s="540"/>
      <c r="G114" s="540"/>
      <c r="H114" s="540"/>
      <c r="I114" s="540"/>
    </row>
    <row r="115" spans="2:9" ht="15">
      <c r="B115" s="543"/>
      <c r="C115" s="540"/>
      <c r="D115" s="625"/>
      <c r="E115" s="625"/>
      <c r="F115" s="540"/>
      <c r="G115" s="540"/>
      <c r="H115" s="540"/>
      <c r="I115" s="540"/>
    </row>
    <row r="116" spans="2:9" ht="15">
      <c r="B116" s="543"/>
      <c r="C116" s="540"/>
      <c r="D116" s="625"/>
      <c r="E116" s="625"/>
      <c r="F116" s="540"/>
      <c r="G116" s="540"/>
      <c r="H116" s="540"/>
      <c r="I116" s="540"/>
    </row>
    <row r="117" spans="2:9" ht="15">
      <c r="B117" s="543"/>
      <c r="C117" s="540"/>
      <c r="D117" s="625"/>
      <c r="E117" s="625"/>
      <c r="F117" s="540"/>
      <c r="G117" s="540"/>
      <c r="H117" s="540"/>
      <c r="I117" s="540"/>
    </row>
    <row r="118" spans="2:9" ht="15">
      <c r="B118" s="543"/>
      <c r="C118" s="540"/>
      <c r="D118" s="625"/>
      <c r="E118" s="625"/>
      <c r="F118" s="540"/>
      <c r="G118" s="540"/>
      <c r="H118" s="540"/>
      <c r="I118" s="540"/>
    </row>
    <row r="119" spans="2:9" ht="15">
      <c r="B119" s="543"/>
      <c r="C119" s="540"/>
      <c r="D119" s="625"/>
      <c r="E119" s="625"/>
      <c r="F119" s="540"/>
      <c r="G119" s="540"/>
      <c r="H119" s="540"/>
      <c r="I119" s="540"/>
    </row>
    <row r="120" spans="2:9" ht="15">
      <c r="B120" s="543"/>
      <c r="C120" s="540"/>
      <c r="D120" s="625"/>
      <c r="E120" s="625"/>
      <c r="F120" s="540"/>
      <c r="G120" s="540"/>
      <c r="H120" s="540"/>
      <c r="I120" s="540"/>
    </row>
  </sheetData>
  <mergeCells count="13">
    <mergeCell ref="B57:I57"/>
    <mergeCell ref="B3:I3"/>
    <mergeCell ref="B4:I4"/>
    <mergeCell ref="B5:I5"/>
    <mergeCell ref="B50:I50"/>
    <mergeCell ref="B54:I54"/>
    <mergeCell ref="B107:I107"/>
    <mergeCell ref="B58:I58"/>
    <mergeCell ref="B59:I59"/>
    <mergeCell ref="B73:I73"/>
    <mergeCell ref="B79:I79"/>
    <mergeCell ref="B80:I80"/>
    <mergeCell ref="B104:I10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22738-0D76-467F-9089-881043EEA870}">
  <sheetPr>
    <tabColor rgb="FF92D050"/>
  </sheetPr>
  <dimension ref="A2:W52"/>
  <sheetViews>
    <sheetView topLeftCell="B13" zoomScale="70" zoomScaleNormal="70" workbookViewId="0">
      <selection activeCell="P38" sqref="P38"/>
    </sheetView>
  </sheetViews>
  <sheetFormatPr defaultRowHeight="20.25"/>
  <cols>
    <col min="1" max="1" width="6.28515625" style="306" customWidth="1"/>
    <col min="2" max="2" width="25.7109375" style="306" customWidth="1"/>
    <col min="3" max="3" width="13.28515625" style="306" customWidth="1"/>
    <col min="4" max="4" width="13.5703125" style="306" customWidth="1"/>
    <col min="5" max="5" width="15.28515625" style="306" customWidth="1"/>
    <col min="6" max="6" width="17.140625" style="306" customWidth="1"/>
    <col min="7" max="7" width="13.42578125" style="306" customWidth="1"/>
    <col min="8" max="8" width="16.140625" style="306" bestFit="1" customWidth="1"/>
    <col min="9" max="9" width="15.28515625" style="306" customWidth="1"/>
    <col min="10" max="10" width="24.5703125" style="306" customWidth="1"/>
    <col min="11" max="11" width="4.7109375" style="306" customWidth="1"/>
    <col min="12" max="12" width="21.85546875" style="306" customWidth="1"/>
    <col min="13" max="13" width="16.7109375" style="306" customWidth="1"/>
    <col min="14" max="14" width="18.28515625" style="306" customWidth="1"/>
    <col min="15" max="15" width="19.7109375" style="306" customWidth="1"/>
    <col min="16" max="16" width="24.85546875" style="306" customWidth="1"/>
    <col min="17" max="17" width="26.28515625" style="306" customWidth="1"/>
    <col min="18" max="19" width="9.140625" style="306"/>
    <col min="20" max="20" width="19.85546875" style="306" customWidth="1"/>
    <col min="21" max="21" width="20" style="306" bestFit="1" customWidth="1"/>
    <col min="22" max="22" width="11.7109375" style="306" bestFit="1" customWidth="1"/>
    <col min="23" max="23" width="20" style="306" bestFit="1" customWidth="1"/>
    <col min="24" max="16384" width="9.140625" style="306"/>
  </cols>
  <sheetData>
    <row r="2" spans="1:20">
      <c r="I2" s="345" t="str">
        <f>+'Appendix A'!A3</f>
        <v>Dayton Power and Light</v>
      </c>
    </row>
    <row r="3" spans="1:20">
      <c r="I3" s="345" t="str">
        <f>+'Appendix A'!A4</f>
        <v xml:space="preserve">ATTACHMENT H-15A </v>
      </c>
    </row>
    <row r="4" spans="1:20">
      <c r="E4" s="263"/>
      <c r="F4" s="263"/>
      <c r="G4" s="263"/>
      <c r="H4" s="263"/>
      <c r="I4" s="344" t="s">
        <v>997</v>
      </c>
      <c r="J4" s="344"/>
      <c r="K4" s="344"/>
      <c r="L4" s="344"/>
      <c r="M4" s="344"/>
      <c r="N4" s="345"/>
      <c r="O4" s="345"/>
    </row>
    <row r="5" spans="1:20">
      <c r="B5" s="534" t="s">
        <v>964</v>
      </c>
      <c r="C5" s="537"/>
      <c r="D5" s="537"/>
      <c r="E5" s="537"/>
      <c r="I5" s="345" t="s">
        <v>396</v>
      </c>
      <c r="Q5" s="342"/>
    </row>
    <row r="7" spans="1:20">
      <c r="B7" s="306" t="s">
        <v>397</v>
      </c>
    </row>
    <row r="10" spans="1:20">
      <c r="A10" s="261"/>
      <c r="B10" s="260" t="s">
        <v>398</v>
      </c>
      <c r="C10" s="261"/>
      <c r="D10" s="261"/>
      <c r="E10" s="261"/>
      <c r="F10" s="261"/>
      <c r="G10" s="261"/>
      <c r="H10" s="261"/>
      <c r="I10" s="261"/>
      <c r="J10" s="261"/>
      <c r="K10" s="261"/>
      <c r="L10" s="260"/>
      <c r="M10" s="261"/>
      <c r="N10" s="261"/>
      <c r="O10" s="261"/>
      <c r="P10" s="261"/>
      <c r="Q10" s="261"/>
    </row>
    <row r="11" spans="1:20">
      <c r="A11" s="261"/>
      <c r="B11" s="661" t="s">
        <v>399</v>
      </c>
      <c r="C11" s="662"/>
      <c r="D11" s="662"/>
      <c r="E11" s="662"/>
      <c r="F11" s="663"/>
      <c r="G11" s="259"/>
      <c r="H11" s="664" t="s">
        <v>400</v>
      </c>
      <c r="I11" s="665"/>
      <c r="J11" s="666"/>
      <c r="K11" s="258"/>
      <c r="L11" s="667" t="s">
        <v>401</v>
      </c>
      <c r="M11" s="668"/>
      <c r="N11" s="668"/>
      <c r="O11" s="668"/>
      <c r="P11" s="668"/>
      <c r="Q11" s="668"/>
    </row>
    <row r="12" spans="1:20">
      <c r="A12" s="261"/>
      <c r="B12" s="257" t="s">
        <v>206</v>
      </c>
      <c r="C12" s="257" t="s">
        <v>208</v>
      </c>
      <c r="D12" s="257" t="s">
        <v>210</v>
      </c>
      <c r="E12" s="257" t="s">
        <v>212</v>
      </c>
      <c r="F12" s="257" t="s">
        <v>214</v>
      </c>
      <c r="G12" s="259"/>
      <c r="H12" s="257" t="s">
        <v>216</v>
      </c>
      <c r="I12" s="257" t="s">
        <v>218</v>
      </c>
      <c r="J12" s="257" t="s">
        <v>220</v>
      </c>
      <c r="K12" s="256"/>
      <c r="L12" s="255" t="s">
        <v>222</v>
      </c>
      <c r="M12" s="255" t="s">
        <v>224</v>
      </c>
      <c r="N12" s="255" t="s">
        <v>226</v>
      </c>
      <c r="O12" s="255" t="s">
        <v>228</v>
      </c>
      <c r="P12" s="255" t="s">
        <v>230</v>
      </c>
      <c r="Q12" s="255" t="s">
        <v>232</v>
      </c>
    </row>
    <row r="13" spans="1:20" ht="263.25">
      <c r="A13" s="261"/>
      <c r="B13" s="254" t="s">
        <v>402</v>
      </c>
      <c r="C13" s="254" t="s">
        <v>353</v>
      </c>
      <c r="D13" s="254" t="s">
        <v>403</v>
      </c>
      <c r="E13" s="254" t="s">
        <v>404</v>
      </c>
      <c r="F13" s="254" t="s">
        <v>405</v>
      </c>
      <c r="G13" s="253"/>
      <c r="H13" s="254" t="s">
        <v>406</v>
      </c>
      <c r="I13" s="254" t="s">
        <v>407</v>
      </c>
      <c r="J13" s="254" t="s">
        <v>408</v>
      </c>
      <c r="K13" s="253"/>
      <c r="L13" s="252" t="s">
        <v>409</v>
      </c>
      <c r="M13" s="252" t="s">
        <v>410</v>
      </c>
      <c r="N13" s="252" t="s">
        <v>411</v>
      </c>
      <c r="O13" s="252" t="s">
        <v>412</v>
      </c>
      <c r="P13" s="252" t="s">
        <v>413</v>
      </c>
      <c r="Q13" s="252" t="s">
        <v>414</v>
      </c>
    </row>
    <row r="14" spans="1:20">
      <c r="A14" s="261"/>
      <c r="B14" s="261"/>
      <c r="C14" s="253"/>
      <c r="D14" s="253"/>
      <c r="E14" s="253"/>
      <c r="F14" s="253"/>
      <c r="G14" s="253"/>
      <c r="H14" s="253"/>
      <c r="I14" s="253"/>
      <c r="J14" s="253"/>
      <c r="K14" s="253"/>
      <c r="L14" s="251"/>
      <c r="M14" s="251"/>
      <c r="N14" s="251"/>
      <c r="O14" s="251"/>
      <c r="P14" s="251"/>
      <c r="Q14" s="251"/>
    </row>
    <row r="15" spans="1:20">
      <c r="A15" s="261">
        <v>1</v>
      </c>
      <c r="B15" s="250" t="s">
        <v>415</v>
      </c>
      <c r="C15" s="249"/>
      <c r="D15" s="281"/>
      <c r="E15" s="281"/>
      <c r="F15" s="281"/>
      <c r="G15" s="281"/>
      <c r="H15" s="248"/>
      <c r="I15" s="248"/>
      <c r="J15" s="248">
        <f>+W38</f>
        <v>-34199735.747005798</v>
      </c>
      <c r="K15" s="247"/>
      <c r="L15" s="246" t="str">
        <f>+B15</f>
        <v>December 31st balance (FF1 274.2.b)</v>
      </c>
      <c r="M15" s="245"/>
      <c r="N15" s="245"/>
      <c r="O15" s="245"/>
      <c r="P15" s="245"/>
      <c r="Q15" s="245">
        <f>+J15</f>
        <v>-34199735.747005798</v>
      </c>
      <c r="T15" s="306" t="s">
        <v>1043</v>
      </c>
    </row>
    <row r="16" spans="1:20">
      <c r="A16" s="261">
        <f t="shared" ref="A16:A28" si="0">+A15+1</f>
        <v>2</v>
      </c>
      <c r="B16" s="249" t="s">
        <v>367</v>
      </c>
      <c r="C16" s="282">
        <v>31</v>
      </c>
      <c r="D16" s="281">
        <f t="shared" ref="D16:D26" si="1">D17+C17</f>
        <v>335</v>
      </c>
      <c r="E16" s="281">
        <f>SUM(C16:C27)</f>
        <v>365</v>
      </c>
      <c r="F16" s="372">
        <f>335/365</f>
        <v>0.9178082191780822</v>
      </c>
      <c r="G16" s="281"/>
      <c r="H16" s="244">
        <v>-188681</v>
      </c>
      <c r="I16" s="248">
        <f>+H16*F16</f>
        <v>-173172.97260273973</v>
      </c>
      <c r="J16" s="248">
        <f t="shared" ref="J16:J18" si="2">+I16+J15</f>
        <v>-34372908.719608538</v>
      </c>
      <c r="K16" s="247"/>
      <c r="L16" s="245">
        <f>+N34</f>
        <v>-187952.72891715006</v>
      </c>
      <c r="M16" s="245">
        <f>L16-H16</f>
        <v>728.27108284994029</v>
      </c>
      <c r="N16" s="245">
        <f>IF(AND(H16&gt;=0,L16&gt;=0),IF(M16&gt;=0,I16,L16/H16*I16),IF(AND(H16&lt;0,L16&lt;0),IF(M16&lt;0,I16,L16/H16*I16),0))</f>
        <v>-172504.55941711031</v>
      </c>
      <c r="O16" s="245">
        <f>IF(AND(H16&gt;=0,L16&gt;=0),IF(M16&gt;=0,M16,0),IF(AND(H16&lt;0,L16&lt;0),IF(M16&lt;0,M16,0),0))</f>
        <v>0</v>
      </c>
      <c r="P16" s="245">
        <f>IF(AND(H16&gt;=0,L16&lt;0),L16,IF(AND(H16&lt;0,L16&gt;=0),L16,0))</f>
        <v>0</v>
      </c>
      <c r="Q16" s="245">
        <f>Q15+N16+(O16+P16)*0.5</f>
        <v>-34372240.306422912</v>
      </c>
    </row>
    <row r="17" spans="1:23">
      <c r="A17" s="261">
        <f t="shared" si="0"/>
        <v>3</v>
      </c>
      <c r="B17" s="249" t="s">
        <v>368</v>
      </c>
      <c r="C17" s="280">
        <v>28</v>
      </c>
      <c r="D17" s="281">
        <f t="shared" si="1"/>
        <v>307</v>
      </c>
      <c r="E17" s="281">
        <f>E16</f>
        <v>365</v>
      </c>
      <c r="F17" s="372">
        <f>307/365</f>
        <v>0.84109589041095889</v>
      </c>
      <c r="G17" s="281"/>
      <c r="H17" s="244">
        <f>+H16</f>
        <v>-188681</v>
      </c>
      <c r="I17" s="248">
        <f t="shared" ref="I17:I27" si="3">+H17*F17</f>
        <v>-158698.81369863014</v>
      </c>
      <c r="J17" s="248">
        <f t="shared" si="2"/>
        <v>-34531607.533307165</v>
      </c>
      <c r="K17" s="247"/>
      <c r="L17" s="245">
        <f t="shared" ref="L17:L27" si="4">+N35</f>
        <v>-187952.72891715006</v>
      </c>
      <c r="M17" s="245">
        <f>L17-H17</f>
        <v>728.27108284994029</v>
      </c>
      <c r="N17" s="245">
        <f t="shared" ref="N17:N27" si="5">IF(AND(H17&gt;=0,L17&gt;=0),IF(M17&gt;=0,I17,L17/H17*I17),IF(AND(H17&lt;0,L17&lt;0),IF(M17&lt;0,I17,L17/H17*I17),0))</f>
        <v>-158086.2678837399</v>
      </c>
      <c r="O17" s="245">
        <f t="shared" ref="O17:O27" si="6">IF(AND(H17&gt;=0,L17&gt;=0),IF(M17&gt;=0,M17,0),IF(AND(H17&lt;0,L17&lt;0),IF(M17&lt;0,M17,0),0))</f>
        <v>0</v>
      </c>
      <c r="P17" s="245">
        <f t="shared" ref="P17:P27" si="7">IF(AND(H17&gt;=0,L17&lt;0),L17,IF(AND(H17&lt;0,L17&gt;=0),L17,0))</f>
        <v>0</v>
      </c>
      <c r="Q17" s="245">
        <f>Q16+N17+(O17+P17)*0.5</f>
        <v>-34530326.574306652</v>
      </c>
    </row>
    <row r="18" spans="1:23">
      <c r="A18" s="261">
        <f t="shared" si="0"/>
        <v>4</v>
      </c>
      <c r="B18" s="249" t="s">
        <v>369</v>
      </c>
      <c r="C18" s="282">
        <v>31</v>
      </c>
      <c r="D18" s="281">
        <f t="shared" si="1"/>
        <v>276</v>
      </c>
      <c r="E18" s="281">
        <f t="shared" ref="E18:E27" si="8">E17</f>
        <v>365</v>
      </c>
      <c r="F18" s="372">
        <f>276/365</f>
        <v>0.75616438356164384</v>
      </c>
      <c r="G18" s="281"/>
      <c r="H18" s="244">
        <f t="shared" ref="H18:H26" si="9">+H17</f>
        <v>-188681</v>
      </c>
      <c r="I18" s="248">
        <f t="shared" si="3"/>
        <v>-142673.85205479452</v>
      </c>
      <c r="J18" s="248">
        <f t="shared" si="2"/>
        <v>-34674281.385361962</v>
      </c>
      <c r="K18" s="247"/>
      <c r="L18" s="245">
        <f t="shared" si="4"/>
        <v>-187952.72891715006</v>
      </c>
      <c r="M18" s="245">
        <f t="shared" ref="M18:M27" si="10">L18-H18</f>
        <v>728.27108284994029</v>
      </c>
      <c r="N18" s="245">
        <f t="shared" si="5"/>
        <v>-142123.15940036552</v>
      </c>
      <c r="O18" s="245">
        <f t="shared" si="6"/>
        <v>0</v>
      </c>
      <c r="P18" s="245">
        <f t="shared" si="7"/>
        <v>0</v>
      </c>
      <c r="Q18" s="245">
        <f>Q17+N18+(O18+P18)*0.5</f>
        <v>-34672449.733707018</v>
      </c>
    </row>
    <row r="19" spans="1:23">
      <c r="A19" s="261">
        <f t="shared" si="0"/>
        <v>5</v>
      </c>
      <c r="B19" s="249" t="s">
        <v>370</v>
      </c>
      <c r="C19" s="282">
        <v>30</v>
      </c>
      <c r="D19" s="281">
        <f t="shared" si="1"/>
        <v>246</v>
      </c>
      <c r="E19" s="281">
        <f t="shared" si="8"/>
        <v>365</v>
      </c>
      <c r="F19" s="372">
        <f>246/365</f>
        <v>0.67397260273972603</v>
      </c>
      <c r="G19" s="281"/>
      <c r="H19" s="244">
        <f t="shared" si="9"/>
        <v>-188681</v>
      </c>
      <c r="I19" s="248">
        <f t="shared" si="3"/>
        <v>-127165.82465753425</v>
      </c>
      <c r="J19" s="248">
        <f>+I19+J18</f>
        <v>-34801447.210019499</v>
      </c>
      <c r="K19" s="247"/>
      <c r="L19" s="245">
        <f>+N37</f>
        <v>-187952.72891715006</v>
      </c>
      <c r="M19" s="245">
        <f t="shared" si="10"/>
        <v>728.27108284994029</v>
      </c>
      <c r="N19" s="245">
        <f t="shared" si="5"/>
        <v>-126674.98990032579</v>
      </c>
      <c r="O19" s="245">
        <f t="shared" si="6"/>
        <v>0</v>
      </c>
      <c r="P19" s="245">
        <f t="shared" si="7"/>
        <v>0</v>
      </c>
      <c r="Q19" s="245">
        <f>Q18+N19+(O19+P19)*0.5</f>
        <v>-34799124.723607346</v>
      </c>
    </row>
    <row r="20" spans="1:23">
      <c r="A20" s="261">
        <f t="shared" si="0"/>
        <v>6</v>
      </c>
      <c r="B20" s="249" t="s">
        <v>371</v>
      </c>
      <c r="C20" s="282">
        <v>31</v>
      </c>
      <c r="D20" s="281">
        <f t="shared" si="1"/>
        <v>215</v>
      </c>
      <c r="E20" s="281">
        <f t="shared" si="8"/>
        <v>365</v>
      </c>
      <c r="F20" s="372">
        <f>215/365</f>
        <v>0.58904109589041098</v>
      </c>
      <c r="G20" s="281"/>
      <c r="H20" s="244">
        <f t="shared" si="9"/>
        <v>-188681</v>
      </c>
      <c r="I20" s="248">
        <f t="shared" si="3"/>
        <v>-111140.86301369863</v>
      </c>
      <c r="J20" s="248">
        <f t="shared" ref="J20:J27" si="11">+I20+J19</f>
        <v>-34912588.073033199</v>
      </c>
      <c r="K20" s="247"/>
      <c r="L20" s="245">
        <f t="shared" si="4"/>
        <v>-187952.72891715006</v>
      </c>
      <c r="M20" s="245">
        <f t="shared" si="10"/>
        <v>728.27108284994029</v>
      </c>
      <c r="N20" s="245">
        <f t="shared" si="5"/>
        <v>-110711.88141695141</v>
      </c>
      <c r="O20" s="245">
        <f t="shared" si="6"/>
        <v>0</v>
      </c>
      <c r="P20" s="245">
        <f t="shared" si="7"/>
        <v>0</v>
      </c>
      <c r="Q20" s="245">
        <f t="shared" ref="Q20:Q26" si="12">Q19+N20+(O20+P20)*0.5</f>
        <v>-34909836.605024301</v>
      </c>
    </row>
    <row r="21" spans="1:23">
      <c r="A21" s="261">
        <f t="shared" si="0"/>
        <v>7</v>
      </c>
      <c r="B21" s="249" t="s">
        <v>372</v>
      </c>
      <c r="C21" s="282">
        <v>30</v>
      </c>
      <c r="D21" s="281">
        <f t="shared" si="1"/>
        <v>185</v>
      </c>
      <c r="E21" s="281">
        <f t="shared" si="8"/>
        <v>365</v>
      </c>
      <c r="F21" s="372">
        <f>185/365</f>
        <v>0.50684931506849318</v>
      </c>
      <c r="G21" s="281"/>
      <c r="H21" s="244">
        <f t="shared" si="9"/>
        <v>-188681</v>
      </c>
      <c r="I21" s="248">
        <f t="shared" si="3"/>
        <v>-95632.835616438359</v>
      </c>
      <c r="J21" s="248">
        <f t="shared" si="11"/>
        <v>-35008220.908649638</v>
      </c>
      <c r="K21" s="247"/>
      <c r="L21" s="245">
        <f t="shared" si="4"/>
        <v>-187952.72891715006</v>
      </c>
      <c r="M21" s="245">
        <f t="shared" si="10"/>
        <v>728.27108284994029</v>
      </c>
      <c r="N21" s="245">
        <f t="shared" si="5"/>
        <v>-95263.711916911678</v>
      </c>
      <c r="O21" s="245">
        <f t="shared" si="6"/>
        <v>0</v>
      </c>
      <c r="P21" s="245">
        <f t="shared" si="7"/>
        <v>0</v>
      </c>
      <c r="Q21" s="245">
        <f t="shared" si="12"/>
        <v>-35005100.316941209</v>
      </c>
    </row>
    <row r="22" spans="1:23">
      <c r="A22" s="261">
        <f t="shared" si="0"/>
        <v>8</v>
      </c>
      <c r="B22" s="249" t="s">
        <v>373</v>
      </c>
      <c r="C22" s="282">
        <v>31</v>
      </c>
      <c r="D22" s="281">
        <f t="shared" si="1"/>
        <v>154</v>
      </c>
      <c r="E22" s="281">
        <f t="shared" si="8"/>
        <v>365</v>
      </c>
      <c r="F22" s="372">
        <f>154/365</f>
        <v>0.42191780821917807</v>
      </c>
      <c r="G22" s="281"/>
      <c r="H22" s="244">
        <f t="shared" si="9"/>
        <v>-188681</v>
      </c>
      <c r="I22" s="248">
        <f t="shared" si="3"/>
        <v>-79607.873972602742</v>
      </c>
      <c r="J22" s="248">
        <f t="shared" si="11"/>
        <v>-35087828.78262224</v>
      </c>
      <c r="K22" s="247"/>
      <c r="L22" s="245">
        <f t="shared" si="4"/>
        <v>-187952.72891715006</v>
      </c>
      <c r="M22" s="245">
        <f t="shared" si="10"/>
        <v>728.27108284994029</v>
      </c>
      <c r="N22" s="245">
        <f t="shared" si="5"/>
        <v>-79300.603433537282</v>
      </c>
      <c r="O22" s="245">
        <f t="shared" si="6"/>
        <v>0</v>
      </c>
      <c r="P22" s="245">
        <f t="shared" si="7"/>
        <v>0</v>
      </c>
      <c r="Q22" s="245">
        <f t="shared" si="12"/>
        <v>-35084400.920374744</v>
      </c>
    </row>
    <row r="23" spans="1:23">
      <c r="A23" s="261">
        <f t="shared" si="0"/>
        <v>9</v>
      </c>
      <c r="B23" s="249" t="s">
        <v>374</v>
      </c>
      <c r="C23" s="282">
        <v>31</v>
      </c>
      <c r="D23" s="281">
        <f t="shared" si="1"/>
        <v>123</v>
      </c>
      <c r="E23" s="281">
        <f t="shared" si="8"/>
        <v>365</v>
      </c>
      <c r="F23" s="372">
        <f>123/365</f>
        <v>0.33698630136986302</v>
      </c>
      <c r="G23" s="281"/>
      <c r="H23" s="244">
        <f t="shared" si="9"/>
        <v>-188681</v>
      </c>
      <c r="I23" s="248">
        <f t="shared" si="3"/>
        <v>-63582.912328767125</v>
      </c>
      <c r="J23" s="248">
        <f t="shared" si="11"/>
        <v>-35151411.694951005</v>
      </c>
      <c r="K23" s="247"/>
      <c r="L23" s="245">
        <f t="shared" si="4"/>
        <v>-187952.72891715006</v>
      </c>
      <c r="M23" s="245">
        <f t="shared" si="10"/>
        <v>728.27108284994029</v>
      </c>
      <c r="N23" s="245">
        <f t="shared" si="5"/>
        <v>-63337.494950162894</v>
      </c>
      <c r="O23" s="245">
        <f t="shared" si="6"/>
        <v>0</v>
      </c>
      <c r="P23" s="245">
        <f t="shared" si="7"/>
        <v>0</v>
      </c>
      <c r="Q23" s="245">
        <f t="shared" si="12"/>
        <v>-35147738.415324904</v>
      </c>
    </row>
    <row r="24" spans="1:23">
      <c r="A24" s="261">
        <f t="shared" si="0"/>
        <v>10</v>
      </c>
      <c r="B24" s="249" t="s">
        <v>375</v>
      </c>
      <c r="C24" s="282">
        <v>30</v>
      </c>
      <c r="D24" s="281">
        <f t="shared" si="1"/>
        <v>93</v>
      </c>
      <c r="E24" s="281">
        <f t="shared" si="8"/>
        <v>365</v>
      </c>
      <c r="F24" s="372">
        <f>93/365</f>
        <v>0.25479452054794521</v>
      </c>
      <c r="G24" s="281"/>
      <c r="H24" s="244">
        <f t="shared" si="9"/>
        <v>-188681</v>
      </c>
      <c r="I24" s="248">
        <f t="shared" si="3"/>
        <v>-48074.884931506851</v>
      </c>
      <c r="J24" s="248">
        <f t="shared" si="11"/>
        <v>-35199486.57988251</v>
      </c>
      <c r="K24" s="247"/>
      <c r="L24" s="245">
        <f t="shared" si="4"/>
        <v>-187952.72891715006</v>
      </c>
      <c r="M24" s="245">
        <f t="shared" si="10"/>
        <v>728.27108284994029</v>
      </c>
      <c r="N24" s="245">
        <f t="shared" si="5"/>
        <v>-47889.325450123164</v>
      </c>
      <c r="O24" s="245">
        <f t="shared" si="6"/>
        <v>0</v>
      </c>
      <c r="P24" s="245">
        <f t="shared" si="7"/>
        <v>0</v>
      </c>
      <c r="Q24" s="245">
        <f t="shared" si="12"/>
        <v>-35195627.740775026</v>
      </c>
    </row>
    <row r="25" spans="1:23">
      <c r="A25" s="261">
        <f t="shared" si="0"/>
        <v>11</v>
      </c>
      <c r="B25" s="249" t="s">
        <v>376</v>
      </c>
      <c r="C25" s="282">
        <v>31</v>
      </c>
      <c r="D25" s="281">
        <f t="shared" si="1"/>
        <v>62</v>
      </c>
      <c r="E25" s="281">
        <f t="shared" si="8"/>
        <v>365</v>
      </c>
      <c r="F25" s="372">
        <f>62/365</f>
        <v>0.16986301369863013</v>
      </c>
      <c r="G25" s="281"/>
      <c r="H25" s="244">
        <f t="shared" si="9"/>
        <v>-188681</v>
      </c>
      <c r="I25" s="248">
        <f t="shared" si="3"/>
        <v>-32049.92328767123</v>
      </c>
      <c r="J25" s="248">
        <f t="shared" si="11"/>
        <v>-35231536.503170185</v>
      </c>
      <c r="K25" s="247"/>
      <c r="L25" s="245">
        <f t="shared" si="4"/>
        <v>-187952.72891715006</v>
      </c>
      <c r="M25" s="245">
        <f t="shared" si="10"/>
        <v>728.27108284994029</v>
      </c>
      <c r="N25" s="245">
        <f t="shared" si="5"/>
        <v>-31926.216966748772</v>
      </c>
      <c r="O25" s="245">
        <f t="shared" si="6"/>
        <v>0</v>
      </c>
      <c r="P25" s="245">
        <f t="shared" si="7"/>
        <v>0</v>
      </c>
      <c r="Q25" s="245">
        <f t="shared" si="12"/>
        <v>-35227553.957741775</v>
      </c>
    </row>
    <row r="26" spans="1:23">
      <c r="A26" s="261">
        <f t="shared" si="0"/>
        <v>12</v>
      </c>
      <c r="B26" s="249" t="s">
        <v>377</v>
      </c>
      <c r="C26" s="282">
        <v>30</v>
      </c>
      <c r="D26" s="281">
        <f t="shared" si="1"/>
        <v>32</v>
      </c>
      <c r="E26" s="281">
        <f t="shared" si="8"/>
        <v>365</v>
      </c>
      <c r="F26" s="372">
        <f>32/365</f>
        <v>8.7671232876712329E-2</v>
      </c>
      <c r="G26" s="281"/>
      <c r="H26" s="244">
        <f t="shared" si="9"/>
        <v>-188681</v>
      </c>
      <c r="I26" s="248">
        <f t="shared" si="3"/>
        <v>-16541.89589041096</v>
      </c>
      <c r="J26" s="248">
        <f t="shared" si="11"/>
        <v>-35248078.399060592</v>
      </c>
      <c r="K26" s="247"/>
      <c r="L26" s="245">
        <f t="shared" si="4"/>
        <v>-187952.72891715006</v>
      </c>
      <c r="M26" s="245">
        <f t="shared" si="10"/>
        <v>728.27108284994029</v>
      </c>
      <c r="N26" s="245">
        <f t="shared" si="5"/>
        <v>-16478.047466709046</v>
      </c>
      <c r="O26" s="245">
        <f t="shared" si="6"/>
        <v>0</v>
      </c>
      <c r="P26" s="245">
        <f t="shared" si="7"/>
        <v>0</v>
      </c>
      <c r="Q26" s="245">
        <f t="shared" si="12"/>
        <v>-35244032.005208485</v>
      </c>
    </row>
    <row r="27" spans="1:23">
      <c r="A27" s="261">
        <f t="shared" si="0"/>
        <v>13</v>
      </c>
      <c r="B27" s="249" t="s">
        <v>378</v>
      </c>
      <c r="C27" s="282">
        <v>31</v>
      </c>
      <c r="D27" s="281">
        <v>1</v>
      </c>
      <c r="E27" s="281">
        <f t="shared" si="8"/>
        <v>365</v>
      </c>
      <c r="F27" s="372">
        <f>1/365</f>
        <v>2.7397260273972603E-3</v>
      </c>
      <c r="G27" s="281"/>
      <c r="H27" s="244">
        <f>+H26</f>
        <v>-188681</v>
      </c>
      <c r="I27" s="248">
        <f t="shared" si="3"/>
        <v>-516.93424657534251</v>
      </c>
      <c r="J27" s="248">
        <f t="shared" si="11"/>
        <v>-35248595.333307169</v>
      </c>
      <c r="K27" s="247"/>
      <c r="L27" s="245">
        <f t="shared" si="4"/>
        <v>-187952.72891715006</v>
      </c>
      <c r="M27" s="245">
        <f t="shared" si="10"/>
        <v>728.27108284994029</v>
      </c>
      <c r="N27" s="245">
        <f t="shared" si="5"/>
        <v>-514.93898333465768</v>
      </c>
      <c r="O27" s="245">
        <f t="shared" si="6"/>
        <v>0</v>
      </c>
      <c r="P27" s="245">
        <f t="shared" si="7"/>
        <v>0</v>
      </c>
      <c r="Q27" s="245">
        <f>Q26+N27+(O27+P27)*0.5</f>
        <v>-35244546.944191821</v>
      </c>
    </row>
    <row r="28" spans="1:23">
      <c r="A28" s="261">
        <f t="shared" si="0"/>
        <v>14</v>
      </c>
      <c r="B28" s="243" t="s">
        <v>67</v>
      </c>
      <c r="C28" s="242">
        <f>SUM(C16:C27)</f>
        <v>365</v>
      </c>
      <c r="D28" s="243"/>
      <c r="E28" s="243"/>
      <c r="F28" s="241"/>
      <c r="G28" s="281"/>
      <c r="H28" s="240">
        <f>SUM(H16:H27)</f>
        <v>-2264172</v>
      </c>
      <c r="I28" s="240">
        <f>SUM(I16:I27)</f>
        <v>-1048859.5863013698</v>
      </c>
      <c r="J28" s="239"/>
      <c r="K28" s="247"/>
      <c r="L28" s="240">
        <f>SUM(L16:L27)</f>
        <v>-2255432.7470058007</v>
      </c>
      <c r="M28" s="240">
        <f t="shared" ref="M28:P28" si="13">SUM(M16:M27)</f>
        <v>8739.2529941992834</v>
      </c>
      <c r="N28" s="240">
        <f t="shared" si="13"/>
        <v>-1044811.1971860206</v>
      </c>
      <c r="O28" s="240">
        <f t="shared" si="13"/>
        <v>0</v>
      </c>
      <c r="P28" s="240">
        <f t="shared" si="13"/>
        <v>0</v>
      </c>
      <c r="Q28" s="238"/>
      <c r="T28" s="430"/>
    </row>
    <row r="29" spans="1:23">
      <c r="A29" s="261"/>
      <c r="B29" s="237"/>
      <c r="C29" s="237"/>
      <c r="D29" s="237"/>
      <c r="E29" s="237"/>
      <c r="F29" s="236"/>
      <c r="G29" s="236"/>
      <c r="H29" s="261"/>
      <c r="I29" s="235"/>
      <c r="J29" s="236"/>
      <c r="K29" s="236"/>
      <c r="L29" s="261"/>
      <c r="M29" s="261"/>
      <c r="N29" s="261"/>
      <c r="O29" s="261"/>
      <c r="P29" s="261"/>
      <c r="Q29" s="261"/>
    </row>
    <row r="30" spans="1:23" ht="16.899999999999999" customHeight="1"/>
    <row r="31" spans="1:23" ht="16.899999999999999" customHeight="1">
      <c r="F31" s="347" t="s">
        <v>16</v>
      </c>
      <c r="J31" s="347" t="s">
        <v>416</v>
      </c>
      <c r="O31" s="347"/>
    </row>
    <row r="32" spans="1:23" ht="41.25" customHeight="1">
      <c r="C32" s="234" t="s">
        <v>56</v>
      </c>
      <c r="D32" s="234"/>
      <c r="E32" s="234" t="s">
        <v>359</v>
      </c>
      <c r="F32" s="233" t="s">
        <v>417</v>
      </c>
      <c r="G32" s="233" t="s">
        <v>67</v>
      </c>
      <c r="H32" s="234"/>
      <c r="I32" s="234" t="s">
        <v>362</v>
      </c>
      <c r="J32" s="233" t="s">
        <v>417</v>
      </c>
      <c r="L32" s="233" t="s">
        <v>67</v>
      </c>
      <c r="N32" s="233" t="s">
        <v>418</v>
      </c>
      <c r="O32" s="233"/>
      <c r="P32" s="626" t="s">
        <v>948</v>
      </c>
      <c r="Q32" s="627">
        <v>-35671885</v>
      </c>
      <c r="R32" s="534"/>
      <c r="S32" s="534"/>
      <c r="T32" s="534" t="s">
        <v>950</v>
      </c>
      <c r="U32" s="627">
        <v>-33808094</v>
      </c>
      <c r="V32" s="628">
        <v>1</v>
      </c>
      <c r="W32" s="627">
        <f>+U32*V32</f>
        <v>-33808094</v>
      </c>
    </row>
    <row r="33" spans="1:23" ht="16.899999999999999" customHeight="1">
      <c r="B33" s="306" t="s">
        <v>409</v>
      </c>
      <c r="P33" s="534"/>
      <c r="Q33" s="534"/>
      <c r="R33" s="534"/>
      <c r="S33" s="534"/>
      <c r="T33" s="534"/>
      <c r="U33" s="534"/>
      <c r="V33" s="534"/>
      <c r="W33" s="534"/>
    </row>
    <row r="34" spans="1:23" ht="42" customHeight="1">
      <c r="A34" s="306">
        <f>+A28+1</f>
        <v>15</v>
      </c>
      <c r="B34" s="306" t="s">
        <v>367</v>
      </c>
      <c r="C34" s="351">
        <f>+($Q$32-$U$32)/12</f>
        <v>-155315.91666666666</v>
      </c>
      <c r="D34" s="351"/>
      <c r="E34" s="351">
        <f>+($Q$36-$U$36)/12</f>
        <v>0</v>
      </c>
      <c r="F34" s="338">
        <f>+'Appendix A'!$H$27</f>
        <v>0.24713229692288416</v>
      </c>
      <c r="G34" s="351">
        <f>+E34*F34</f>
        <v>0</v>
      </c>
      <c r="H34" s="351"/>
      <c r="I34" s="351">
        <f>+($Q$34-$U$34)/12</f>
        <v>-296410.41666666669</v>
      </c>
      <c r="J34" s="338">
        <f>+'Appendix A'!$H$16</f>
        <v>0.11010683301047983</v>
      </c>
      <c r="L34" s="351">
        <f>+I34*J34</f>
        <v>-32636.812250483414</v>
      </c>
      <c r="M34" s="351"/>
      <c r="N34" s="351">
        <f>+C34+G34+L34</f>
        <v>-187952.72891715006</v>
      </c>
      <c r="O34" s="338"/>
      <c r="P34" s="629" t="s">
        <v>949</v>
      </c>
      <c r="Q34" s="627">
        <v>-10742210</v>
      </c>
      <c r="R34" s="534"/>
      <c r="S34" s="534"/>
      <c r="T34" s="534" t="s">
        <v>951</v>
      </c>
      <c r="U34" s="627">
        <v>-7185285</v>
      </c>
      <c r="V34" s="628">
        <f>+J34</f>
        <v>0.11010683301047983</v>
      </c>
      <c r="W34" s="627">
        <f>+(Q34-U34)*V34</f>
        <v>-391641.74700580095</v>
      </c>
    </row>
    <row r="35" spans="1:23" ht="16.5" customHeight="1">
      <c r="A35" s="306">
        <f>+A34+1</f>
        <v>16</v>
      </c>
      <c r="B35" s="306" t="s">
        <v>368</v>
      </c>
      <c r="C35" s="351">
        <f t="shared" ref="C35:C45" si="14">+($Q$32-$U$32)/12</f>
        <v>-155315.91666666666</v>
      </c>
      <c r="D35" s="351"/>
      <c r="E35" s="351">
        <f t="shared" ref="E35:E45" si="15">+($Q$36-$U$36)/12</f>
        <v>0</v>
      </c>
      <c r="F35" s="338">
        <f>+'Appendix A'!$H$27</f>
        <v>0.24713229692288416</v>
      </c>
      <c r="G35" s="351">
        <f t="shared" ref="G35:G45" si="16">+E35*F35</f>
        <v>0</v>
      </c>
      <c r="H35" s="351"/>
      <c r="I35" s="351">
        <f t="shared" ref="I35:I45" si="17">+($Q$34-$U$34)/12</f>
        <v>-296410.41666666669</v>
      </c>
      <c r="J35" s="338">
        <f>+'Appendix A'!$H$16</f>
        <v>0.11010683301047983</v>
      </c>
      <c r="L35" s="351">
        <f t="shared" ref="L35:L45" si="18">+I35*J35</f>
        <v>-32636.812250483414</v>
      </c>
      <c r="M35" s="351"/>
      <c r="N35" s="351">
        <f t="shared" ref="N35:N45" si="19">+C35+G35+L35</f>
        <v>-187952.72891715006</v>
      </c>
      <c r="O35" s="338"/>
      <c r="P35" s="630"/>
      <c r="Q35" s="534"/>
      <c r="R35" s="534"/>
      <c r="S35" s="534"/>
      <c r="T35" s="534"/>
      <c r="U35" s="534"/>
      <c r="V35" s="534"/>
      <c r="W35" s="534"/>
    </row>
    <row r="36" spans="1:23" ht="39.75" customHeight="1">
      <c r="A36" s="306">
        <f t="shared" ref="A36:A45" si="20">+A35+1</f>
        <v>17</v>
      </c>
      <c r="B36" s="306" t="s">
        <v>369</v>
      </c>
      <c r="C36" s="351">
        <f t="shared" si="14"/>
        <v>-155315.91666666666</v>
      </c>
      <c r="D36" s="351"/>
      <c r="E36" s="351">
        <f t="shared" si="15"/>
        <v>0</v>
      </c>
      <c r="F36" s="338">
        <f>+'Appendix A'!$H$27</f>
        <v>0.24713229692288416</v>
      </c>
      <c r="G36" s="351">
        <f t="shared" si="16"/>
        <v>0</v>
      </c>
      <c r="H36" s="351"/>
      <c r="I36" s="351">
        <f t="shared" si="17"/>
        <v>-296410.41666666669</v>
      </c>
      <c r="J36" s="338">
        <f>+'Appendix A'!$H$16</f>
        <v>0.11010683301047983</v>
      </c>
      <c r="L36" s="351">
        <f t="shared" si="18"/>
        <v>-32636.812250483414</v>
      </c>
      <c r="M36" s="351"/>
      <c r="N36" s="351">
        <f t="shared" si="19"/>
        <v>-187952.72891715006</v>
      </c>
      <c r="O36" s="338"/>
      <c r="P36" s="631" t="s">
        <v>965</v>
      </c>
      <c r="Q36" s="627">
        <v>0</v>
      </c>
      <c r="R36" s="534"/>
      <c r="S36" s="534"/>
      <c r="T36" s="534" t="s">
        <v>966</v>
      </c>
      <c r="U36" s="627">
        <v>0</v>
      </c>
      <c r="V36" s="628">
        <f>+F34</f>
        <v>0.24713229692288416</v>
      </c>
      <c r="W36" s="632">
        <f>+U36*V36</f>
        <v>0</v>
      </c>
    </row>
    <row r="37" spans="1:23" ht="16.899999999999999" customHeight="1">
      <c r="A37" s="306">
        <f t="shared" si="20"/>
        <v>18</v>
      </c>
      <c r="B37" s="306" t="s">
        <v>370</v>
      </c>
      <c r="C37" s="351">
        <f t="shared" si="14"/>
        <v>-155315.91666666666</v>
      </c>
      <c r="D37" s="351"/>
      <c r="E37" s="351">
        <f t="shared" si="15"/>
        <v>0</v>
      </c>
      <c r="F37" s="338">
        <f>+'Appendix A'!$H$27</f>
        <v>0.24713229692288416</v>
      </c>
      <c r="G37" s="351">
        <f t="shared" si="16"/>
        <v>0</v>
      </c>
      <c r="H37" s="351"/>
      <c r="I37" s="351">
        <f t="shared" si="17"/>
        <v>-296410.41666666669</v>
      </c>
      <c r="J37" s="338">
        <f>+'Appendix A'!$H$16</f>
        <v>0.11010683301047983</v>
      </c>
      <c r="L37" s="351">
        <f t="shared" si="18"/>
        <v>-32636.812250483414</v>
      </c>
      <c r="M37" s="351"/>
      <c r="N37" s="351">
        <f t="shared" si="19"/>
        <v>-187952.72891715006</v>
      </c>
      <c r="O37" s="338"/>
      <c r="P37" s="630"/>
      <c r="Q37" s="534"/>
      <c r="R37" s="534"/>
      <c r="S37" s="534"/>
      <c r="T37" s="534"/>
      <c r="U37" s="534"/>
      <c r="V37" s="534"/>
      <c r="W37" s="534"/>
    </row>
    <row r="38" spans="1:23" ht="16.899999999999999" customHeight="1">
      <c r="A38" s="306">
        <f t="shared" si="20"/>
        <v>19</v>
      </c>
      <c r="B38" s="306" t="s">
        <v>371</v>
      </c>
      <c r="C38" s="351">
        <f t="shared" si="14"/>
        <v>-155315.91666666666</v>
      </c>
      <c r="D38" s="351"/>
      <c r="E38" s="351">
        <f t="shared" si="15"/>
        <v>0</v>
      </c>
      <c r="F38" s="338">
        <f>+'Appendix A'!$H$27</f>
        <v>0.24713229692288416</v>
      </c>
      <c r="G38" s="351">
        <f t="shared" si="16"/>
        <v>0</v>
      </c>
      <c r="H38" s="351"/>
      <c r="I38" s="351">
        <f t="shared" si="17"/>
        <v>-296410.41666666669</v>
      </c>
      <c r="J38" s="338">
        <f>+'Appendix A'!$H$16</f>
        <v>0.11010683301047983</v>
      </c>
      <c r="L38" s="351">
        <f t="shared" si="18"/>
        <v>-32636.812250483414</v>
      </c>
      <c r="M38" s="351"/>
      <c r="N38" s="351">
        <f t="shared" si="19"/>
        <v>-187952.72891715006</v>
      </c>
      <c r="O38" s="338"/>
      <c r="P38" s="630"/>
      <c r="Q38" s="534"/>
      <c r="R38" s="534"/>
      <c r="S38" s="534"/>
      <c r="T38" s="627" t="s">
        <v>67</v>
      </c>
      <c r="U38" s="627"/>
      <c r="V38" s="627"/>
      <c r="W38" s="627">
        <f>+SUM(W32:W36)</f>
        <v>-34199735.747005798</v>
      </c>
    </row>
    <row r="39" spans="1:23" ht="16.899999999999999" customHeight="1">
      <c r="A39" s="306">
        <f t="shared" si="20"/>
        <v>20</v>
      </c>
      <c r="B39" s="306" t="s">
        <v>372</v>
      </c>
      <c r="C39" s="351">
        <f t="shared" si="14"/>
        <v>-155315.91666666666</v>
      </c>
      <c r="D39" s="351"/>
      <c r="E39" s="351">
        <f t="shared" si="15"/>
        <v>0</v>
      </c>
      <c r="F39" s="338">
        <f>+'Appendix A'!$H$27</f>
        <v>0.24713229692288416</v>
      </c>
      <c r="G39" s="351">
        <f t="shared" si="16"/>
        <v>0</v>
      </c>
      <c r="H39" s="351"/>
      <c r="I39" s="351">
        <f t="shared" si="17"/>
        <v>-296410.41666666669</v>
      </c>
      <c r="J39" s="338">
        <f>+'Appendix A'!$H$16</f>
        <v>0.11010683301047983</v>
      </c>
      <c r="L39" s="351">
        <f t="shared" si="18"/>
        <v>-32636.812250483414</v>
      </c>
      <c r="M39" s="351"/>
      <c r="N39" s="351">
        <f t="shared" si="19"/>
        <v>-187952.72891715006</v>
      </c>
      <c r="O39" s="338"/>
      <c r="P39" s="630"/>
      <c r="Q39" s="534"/>
      <c r="R39" s="534"/>
      <c r="S39" s="534"/>
      <c r="T39" s="534"/>
      <c r="U39" s="534"/>
      <c r="V39" s="534"/>
      <c r="W39" s="534"/>
    </row>
    <row r="40" spans="1:23">
      <c r="A40" s="306">
        <f t="shared" si="20"/>
        <v>21</v>
      </c>
      <c r="B40" s="306" t="s">
        <v>373</v>
      </c>
      <c r="C40" s="351">
        <f t="shared" si="14"/>
        <v>-155315.91666666666</v>
      </c>
      <c r="D40" s="351"/>
      <c r="E40" s="351">
        <f t="shared" si="15"/>
        <v>0</v>
      </c>
      <c r="F40" s="338">
        <f>+'Appendix A'!$H$27</f>
        <v>0.24713229692288416</v>
      </c>
      <c r="G40" s="351">
        <f t="shared" si="16"/>
        <v>0</v>
      </c>
      <c r="H40" s="351"/>
      <c r="I40" s="351">
        <f t="shared" si="17"/>
        <v>-296410.41666666669</v>
      </c>
      <c r="J40" s="338">
        <f>+'Appendix A'!$H$16</f>
        <v>0.11010683301047983</v>
      </c>
      <c r="L40" s="351">
        <f t="shared" si="18"/>
        <v>-32636.812250483414</v>
      </c>
      <c r="M40" s="351"/>
      <c r="N40" s="351">
        <f t="shared" si="19"/>
        <v>-187952.72891715006</v>
      </c>
      <c r="O40" s="338"/>
      <c r="P40" s="351"/>
    </row>
    <row r="41" spans="1:23">
      <c r="A41" s="306">
        <f t="shared" si="20"/>
        <v>22</v>
      </c>
      <c r="B41" s="306" t="s">
        <v>374</v>
      </c>
      <c r="C41" s="351">
        <f t="shared" si="14"/>
        <v>-155315.91666666666</v>
      </c>
      <c r="D41" s="351"/>
      <c r="E41" s="351">
        <f t="shared" si="15"/>
        <v>0</v>
      </c>
      <c r="F41" s="338">
        <f>+'Appendix A'!$H$27</f>
        <v>0.24713229692288416</v>
      </c>
      <c r="G41" s="351">
        <f t="shared" si="16"/>
        <v>0</v>
      </c>
      <c r="H41" s="351"/>
      <c r="I41" s="351">
        <f t="shared" si="17"/>
        <v>-296410.41666666669</v>
      </c>
      <c r="J41" s="338">
        <f>+'Appendix A'!$H$16</f>
        <v>0.11010683301047983</v>
      </c>
      <c r="L41" s="351">
        <f t="shared" si="18"/>
        <v>-32636.812250483414</v>
      </c>
      <c r="M41" s="351"/>
      <c r="N41" s="351">
        <f t="shared" si="19"/>
        <v>-187952.72891715006</v>
      </c>
      <c r="O41" s="338"/>
      <c r="P41" s="351"/>
    </row>
    <row r="42" spans="1:23">
      <c r="A42" s="306">
        <f t="shared" si="20"/>
        <v>23</v>
      </c>
      <c r="B42" s="306" t="s">
        <v>375</v>
      </c>
      <c r="C42" s="351">
        <f t="shared" si="14"/>
        <v>-155315.91666666666</v>
      </c>
      <c r="D42" s="351"/>
      <c r="E42" s="351">
        <f t="shared" si="15"/>
        <v>0</v>
      </c>
      <c r="F42" s="338">
        <f>+'Appendix A'!$H$27</f>
        <v>0.24713229692288416</v>
      </c>
      <c r="G42" s="351">
        <f t="shared" si="16"/>
        <v>0</v>
      </c>
      <c r="H42" s="351"/>
      <c r="I42" s="351">
        <f t="shared" si="17"/>
        <v>-296410.41666666669</v>
      </c>
      <c r="J42" s="338">
        <f>+'Appendix A'!$H$16</f>
        <v>0.11010683301047983</v>
      </c>
      <c r="L42" s="351">
        <f t="shared" si="18"/>
        <v>-32636.812250483414</v>
      </c>
      <c r="M42" s="351"/>
      <c r="N42" s="351">
        <f t="shared" si="19"/>
        <v>-187952.72891715006</v>
      </c>
      <c r="O42" s="338"/>
      <c r="P42" s="351"/>
    </row>
    <row r="43" spans="1:23">
      <c r="A43" s="306">
        <f t="shared" si="20"/>
        <v>24</v>
      </c>
      <c r="B43" s="306" t="s">
        <v>376</v>
      </c>
      <c r="C43" s="351">
        <f t="shared" si="14"/>
        <v>-155315.91666666666</v>
      </c>
      <c r="D43" s="351"/>
      <c r="E43" s="351">
        <f t="shared" si="15"/>
        <v>0</v>
      </c>
      <c r="F43" s="338">
        <f>+'Appendix A'!$H$27</f>
        <v>0.24713229692288416</v>
      </c>
      <c r="G43" s="351">
        <f t="shared" si="16"/>
        <v>0</v>
      </c>
      <c r="H43" s="351"/>
      <c r="I43" s="351">
        <f t="shared" si="17"/>
        <v>-296410.41666666669</v>
      </c>
      <c r="J43" s="338">
        <f>+'Appendix A'!$H$16</f>
        <v>0.11010683301047983</v>
      </c>
      <c r="L43" s="351">
        <f t="shared" si="18"/>
        <v>-32636.812250483414</v>
      </c>
      <c r="M43" s="351"/>
      <c r="N43" s="351">
        <f t="shared" si="19"/>
        <v>-187952.72891715006</v>
      </c>
      <c r="O43" s="338"/>
      <c r="P43" s="351"/>
    </row>
    <row r="44" spans="1:23">
      <c r="A44" s="306">
        <f t="shared" si="20"/>
        <v>25</v>
      </c>
      <c r="B44" s="306" t="s">
        <v>377</v>
      </c>
      <c r="C44" s="351">
        <f t="shared" si="14"/>
        <v>-155315.91666666666</v>
      </c>
      <c r="D44" s="351"/>
      <c r="E44" s="351">
        <f t="shared" si="15"/>
        <v>0</v>
      </c>
      <c r="F44" s="338">
        <f>+'Appendix A'!$H$27</f>
        <v>0.24713229692288416</v>
      </c>
      <c r="G44" s="351">
        <f t="shared" si="16"/>
        <v>0</v>
      </c>
      <c r="H44" s="351"/>
      <c r="I44" s="351">
        <f t="shared" si="17"/>
        <v>-296410.41666666669</v>
      </c>
      <c r="J44" s="338">
        <f>+'Appendix A'!$H$16</f>
        <v>0.11010683301047983</v>
      </c>
      <c r="L44" s="351">
        <f t="shared" si="18"/>
        <v>-32636.812250483414</v>
      </c>
      <c r="M44" s="351"/>
      <c r="N44" s="351">
        <f t="shared" si="19"/>
        <v>-187952.72891715006</v>
      </c>
      <c r="O44" s="338"/>
      <c r="P44" s="351"/>
    </row>
    <row r="45" spans="1:23">
      <c r="A45" s="306">
        <f t="shared" si="20"/>
        <v>26</v>
      </c>
      <c r="B45" s="306" t="s">
        <v>378</v>
      </c>
      <c r="C45" s="351">
        <f t="shared" si="14"/>
        <v>-155315.91666666666</v>
      </c>
      <c r="D45" s="351"/>
      <c r="E45" s="351">
        <f t="shared" si="15"/>
        <v>0</v>
      </c>
      <c r="F45" s="338">
        <f>+'Appendix A'!$H$27</f>
        <v>0.24713229692288416</v>
      </c>
      <c r="G45" s="351">
        <f t="shared" si="16"/>
        <v>0</v>
      </c>
      <c r="H45" s="351"/>
      <c r="I45" s="351">
        <f t="shared" si="17"/>
        <v>-296410.41666666669</v>
      </c>
      <c r="J45" s="338">
        <f>+'Appendix A'!$H$16</f>
        <v>0.11010683301047983</v>
      </c>
      <c r="L45" s="351">
        <f t="shared" si="18"/>
        <v>-32636.812250483414</v>
      </c>
      <c r="M45" s="351"/>
      <c r="N45" s="351">
        <f t="shared" si="19"/>
        <v>-187952.72891715006</v>
      </c>
      <c r="O45" s="338"/>
      <c r="P45" s="351"/>
    </row>
    <row r="48" spans="1:23">
      <c r="B48" s="306" t="s">
        <v>419</v>
      </c>
    </row>
    <row r="49" spans="2:2">
      <c r="B49" s="306" t="s">
        <v>392</v>
      </c>
    </row>
    <row r="50" spans="2:2">
      <c r="B50" s="306" t="s">
        <v>393</v>
      </c>
    </row>
    <row r="51" spans="2:2">
      <c r="B51" s="306" t="s">
        <v>394</v>
      </c>
    </row>
    <row r="52" spans="2:2">
      <c r="B52" s="306" t="s">
        <v>395</v>
      </c>
    </row>
  </sheetData>
  <mergeCells count="3">
    <mergeCell ref="B11:F11"/>
    <mergeCell ref="H11:J11"/>
    <mergeCell ref="L11:Q11"/>
  </mergeCells>
  <pageMargins left="0.7" right="0.7" top="0.75" bottom="0.75" header="0.3" footer="0.3"/>
  <pageSetup scale="43" fitToHeight="3" orientation="landscape" r:id="rId1"/>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92D050"/>
    <pageSetUpPr fitToPage="1"/>
  </sheetPr>
  <dimension ref="A2:M59"/>
  <sheetViews>
    <sheetView showGridLines="0" topLeftCell="A25" zoomScale="75" zoomScaleNormal="75" workbookViewId="0">
      <selection activeCell="I42" sqref="I42"/>
    </sheetView>
  </sheetViews>
  <sheetFormatPr defaultColWidth="9.28515625" defaultRowHeight="24.75" customHeight="1"/>
  <cols>
    <col min="1" max="2" width="4.7109375" style="306" customWidth="1"/>
    <col min="3" max="3" width="75.7109375" style="306" customWidth="1"/>
    <col min="4" max="4" width="3.28515625" style="306" customWidth="1"/>
    <col min="5" max="5" width="17.85546875" style="411" bestFit="1" customWidth="1"/>
    <col min="6" max="6" width="15.28515625" style="306" customWidth="1"/>
    <col min="7" max="8" width="20.28515625" style="306" customWidth="1"/>
    <col min="9" max="9" width="17.28515625" style="306" customWidth="1"/>
    <col min="10" max="10" width="9.28515625" style="306"/>
    <col min="11" max="11" width="18" style="306" bestFit="1" customWidth="1"/>
    <col min="12" max="12" width="9.28515625" style="306" bestFit="1" customWidth="1"/>
    <col min="13" max="13" width="18" style="306" bestFit="1" customWidth="1"/>
    <col min="14" max="16384" width="9.28515625" style="306"/>
  </cols>
  <sheetData>
    <row r="2" spans="1:9" ht="24.75" customHeight="1">
      <c r="A2" s="647" t="str">
        <f>+'Appendix A'!A3</f>
        <v>Dayton Power and Light</v>
      </c>
      <c r="B2" s="647"/>
      <c r="C2" s="647"/>
      <c r="D2" s="647"/>
      <c r="E2" s="647"/>
      <c r="F2" s="647"/>
      <c r="G2" s="647"/>
      <c r="H2" s="647"/>
      <c r="I2" s="342"/>
    </row>
    <row r="3" spans="1:9" ht="24.75" customHeight="1">
      <c r="A3" s="647" t="str">
        <f>+'Appendix A'!A4</f>
        <v xml:space="preserve">ATTACHMENT H-15A </v>
      </c>
      <c r="B3" s="647"/>
      <c r="C3" s="647"/>
      <c r="D3" s="647"/>
      <c r="E3" s="647"/>
      <c r="F3" s="670"/>
      <c r="G3" s="670"/>
      <c r="H3" s="670"/>
      <c r="I3" s="231"/>
    </row>
    <row r="4" spans="1:9" ht="24.75" customHeight="1">
      <c r="A4" s="648" t="s">
        <v>998</v>
      </c>
      <c r="B4" s="648"/>
      <c r="C4" s="648"/>
      <c r="D4" s="648"/>
      <c r="E4" s="648"/>
      <c r="F4" s="669"/>
      <c r="G4" s="669"/>
      <c r="H4" s="669"/>
    </row>
    <row r="5" spans="1:9" ht="24.75" customHeight="1">
      <c r="A5" s="306" t="s">
        <v>420</v>
      </c>
    </row>
    <row r="6" spans="1:9" ht="24.75" customHeight="1">
      <c r="A6" s="306" t="s">
        <v>397</v>
      </c>
      <c r="D6" s="230"/>
    </row>
    <row r="8" spans="1:9" ht="24.75" customHeight="1">
      <c r="D8" s="343"/>
      <c r="E8" s="343" t="s">
        <v>421</v>
      </c>
      <c r="F8" s="343"/>
      <c r="G8" s="343" t="s">
        <v>422</v>
      </c>
      <c r="H8" s="343"/>
    </row>
    <row r="9" spans="1:9" ht="24.75" customHeight="1">
      <c r="A9" s="335" t="s">
        <v>423</v>
      </c>
      <c r="B9" s="335"/>
      <c r="D9" s="343"/>
      <c r="E9" s="343" t="s">
        <v>424</v>
      </c>
      <c r="F9" s="343" t="s">
        <v>417</v>
      </c>
      <c r="G9" s="343" t="s">
        <v>425</v>
      </c>
      <c r="H9" s="343"/>
    </row>
    <row r="10" spans="1:9" ht="24.75" customHeight="1">
      <c r="A10" s="335"/>
      <c r="B10" s="335"/>
      <c r="D10" s="343"/>
      <c r="E10" s="229"/>
      <c r="F10" s="343"/>
      <c r="G10" s="343"/>
      <c r="H10" s="343"/>
    </row>
    <row r="11" spans="1:9" ht="24.75" customHeight="1">
      <c r="A11" s="335"/>
      <c r="B11" s="335" t="s">
        <v>426</v>
      </c>
      <c r="D11" s="343"/>
      <c r="E11" s="229"/>
      <c r="F11" s="343"/>
      <c r="G11" s="343"/>
      <c r="H11" s="343"/>
    </row>
    <row r="12" spans="1:9" ht="24.75" customHeight="1">
      <c r="A12" s="347">
        <v>1</v>
      </c>
      <c r="C12" s="306" t="s">
        <v>427</v>
      </c>
      <c r="D12" s="346"/>
      <c r="E12" s="222">
        <f>+'4 - Cost Support'!T117</f>
        <v>23297894</v>
      </c>
      <c r="F12" s="227" t="s">
        <v>428</v>
      </c>
      <c r="G12" s="351">
        <f>+E12</f>
        <v>23297894</v>
      </c>
      <c r="H12" s="351" t="str">
        <f>"(Attachment 4, Line "&amp;'4 - Cost Support'!A117&amp;")"</f>
        <v>(Attachment 4, Line 41)</v>
      </c>
    </row>
    <row r="13" spans="1:9" ht="24.75" customHeight="1">
      <c r="A13" s="347">
        <f>+A12+1</f>
        <v>2</v>
      </c>
      <c r="C13" s="226" t="s">
        <v>429</v>
      </c>
      <c r="E13" s="225">
        <v>0</v>
      </c>
      <c r="F13" s="355" t="s">
        <v>428</v>
      </c>
      <c r="G13" s="357">
        <f t="shared" ref="G13:G14" si="0">+E13</f>
        <v>0</v>
      </c>
      <c r="H13" s="346"/>
    </row>
    <row r="14" spans="1:9" ht="24.75" customHeight="1">
      <c r="A14" s="347">
        <f>+A13+1</f>
        <v>3</v>
      </c>
      <c r="C14" s="226" t="s">
        <v>429</v>
      </c>
      <c r="E14" s="224">
        <v>0</v>
      </c>
      <c r="F14" s="223" t="s">
        <v>428</v>
      </c>
      <c r="G14" s="360">
        <f t="shared" si="0"/>
        <v>0</v>
      </c>
      <c r="H14" s="346"/>
    </row>
    <row r="15" spans="1:9" ht="24.75" customHeight="1">
      <c r="A15" s="347">
        <f>+A14+1</f>
        <v>4</v>
      </c>
      <c r="B15" s="335" t="s">
        <v>430</v>
      </c>
      <c r="D15" s="346"/>
      <c r="E15" s="222">
        <f>+E12+E13+E14</f>
        <v>23297894</v>
      </c>
      <c r="F15" s="355" t="s">
        <v>428</v>
      </c>
      <c r="G15" s="357">
        <f>+E15</f>
        <v>23297894</v>
      </c>
      <c r="H15" s="346"/>
    </row>
    <row r="16" spans="1:9" ht="24.75" customHeight="1">
      <c r="D16" s="343"/>
      <c r="E16" s="221"/>
      <c r="F16" s="351"/>
      <c r="G16" s="220"/>
      <c r="H16" s="343"/>
    </row>
    <row r="17" spans="1:13" ht="24.75" customHeight="1">
      <c r="A17" s="347"/>
      <c r="B17" s="335" t="s">
        <v>431</v>
      </c>
      <c r="D17" s="343"/>
      <c r="E17" s="671" t="s">
        <v>20</v>
      </c>
      <c r="F17" s="671"/>
      <c r="G17" s="671"/>
      <c r="H17" s="343"/>
    </row>
    <row r="18" spans="1:13" ht="24.75" customHeight="1">
      <c r="A18" s="347"/>
      <c r="D18" s="343"/>
      <c r="E18" s="219"/>
      <c r="F18" s="220"/>
      <c r="G18" s="220"/>
      <c r="H18" s="343"/>
    </row>
    <row r="19" spans="1:13" ht="24.75" customHeight="1">
      <c r="A19" s="347">
        <f>+A15+1</f>
        <v>5</v>
      </c>
      <c r="C19" s="263" t="s">
        <v>429</v>
      </c>
      <c r="D19" s="346"/>
      <c r="E19" s="218">
        <v>0</v>
      </c>
      <c r="F19" s="217"/>
      <c r="G19" s="354"/>
      <c r="H19" s="346"/>
      <c r="K19" s="448"/>
      <c r="L19" s="448"/>
      <c r="M19" s="448"/>
    </row>
    <row r="20" spans="1:13" ht="24.75" customHeight="1">
      <c r="A20" s="347">
        <f>+A19+1</f>
        <v>6</v>
      </c>
      <c r="B20" s="335" t="s">
        <v>432</v>
      </c>
      <c r="D20" s="346"/>
      <c r="E20" s="216">
        <f>SUM(E19:E19)</f>
        <v>0</v>
      </c>
      <c r="F20" s="215">
        <f>+'Appendix A'!H27</f>
        <v>0.24713229692288416</v>
      </c>
      <c r="G20" s="216">
        <f>+E20*F20</f>
        <v>0</v>
      </c>
      <c r="H20" s="216"/>
      <c r="K20" s="448"/>
      <c r="L20" s="448"/>
      <c r="M20" s="448"/>
    </row>
    <row r="21" spans="1:13" ht="24.75" customHeight="1">
      <c r="A21" s="347"/>
      <c r="D21" s="346"/>
      <c r="E21" s="342"/>
      <c r="F21" s="346"/>
      <c r="G21" s="214"/>
      <c r="H21" s="214"/>
      <c r="K21" s="448"/>
      <c r="L21" s="448"/>
      <c r="M21" s="448"/>
    </row>
    <row r="22" spans="1:13" ht="24.75" customHeight="1">
      <c r="A22" s="347"/>
      <c r="B22" s="335" t="s">
        <v>362</v>
      </c>
      <c r="D22" s="346"/>
      <c r="E22" s="342"/>
      <c r="F22" s="343" t="s">
        <v>433</v>
      </c>
      <c r="G22" s="346"/>
      <c r="H22" s="346"/>
      <c r="K22" s="448"/>
      <c r="L22" s="448"/>
      <c r="M22" s="448"/>
    </row>
    <row r="23" spans="1:13" ht="24.75" customHeight="1">
      <c r="A23" s="347"/>
      <c r="D23" s="346"/>
      <c r="E23" s="342"/>
      <c r="F23" s="346"/>
      <c r="G23" s="346"/>
      <c r="H23" s="346"/>
      <c r="K23" s="448"/>
      <c r="L23" s="448"/>
      <c r="M23" s="448"/>
    </row>
    <row r="24" spans="1:13" ht="24.75" customHeight="1">
      <c r="A24" s="347">
        <f>+A20+1</f>
        <v>7</v>
      </c>
      <c r="C24" s="306" t="s">
        <v>434</v>
      </c>
      <c r="E24" s="216">
        <f>+'4 - Cost Support'!S118</f>
        <v>0</v>
      </c>
      <c r="K24" s="448"/>
      <c r="L24" s="448"/>
      <c r="M24" s="448"/>
    </row>
    <row r="25" spans="1:13" ht="24.75" customHeight="1">
      <c r="A25" s="347">
        <f>1+A24</f>
        <v>8</v>
      </c>
      <c r="C25" s="306" t="s">
        <v>435</v>
      </c>
      <c r="E25" s="213">
        <f>+'4 - Cost Support'!S119</f>
        <v>1015420</v>
      </c>
      <c r="K25" s="448"/>
      <c r="L25" s="448"/>
      <c r="M25" s="448"/>
    </row>
    <row r="26" spans="1:13" ht="43.5" customHeight="1">
      <c r="A26" s="347">
        <f>1+A25</f>
        <v>9</v>
      </c>
      <c r="C26" s="263" t="s">
        <v>436</v>
      </c>
      <c r="E26" s="212">
        <v>1448162.1218119455</v>
      </c>
      <c r="F26" s="399"/>
      <c r="G26" s="399"/>
      <c r="H26" s="350" t="s">
        <v>1040</v>
      </c>
      <c r="K26" s="448"/>
      <c r="L26" s="448"/>
      <c r="M26" s="448"/>
    </row>
    <row r="27" spans="1:13" ht="24.75" customHeight="1">
      <c r="A27" s="347">
        <f>1+A26</f>
        <v>10</v>
      </c>
      <c r="B27" s="335" t="s">
        <v>437</v>
      </c>
      <c r="E27" s="216">
        <f>SUM(E24:E26)</f>
        <v>2463582.1218119455</v>
      </c>
      <c r="F27" s="211">
        <f>+'Appendix A'!H16</f>
        <v>0.11010683301047983</v>
      </c>
      <c r="G27" s="216">
        <f>+E27*F27</f>
        <v>271257.22529395146</v>
      </c>
      <c r="H27" s="216"/>
      <c r="K27" s="448"/>
      <c r="L27" s="448"/>
      <c r="M27" s="448"/>
    </row>
    <row r="28" spans="1:13" ht="24.75" customHeight="1">
      <c r="A28" s="347"/>
      <c r="B28" s="335"/>
      <c r="E28" s="216"/>
      <c r="F28" s="210"/>
      <c r="G28" s="216"/>
      <c r="H28" s="216"/>
      <c r="K28" s="448"/>
      <c r="L28" s="448"/>
      <c r="M28" s="448"/>
    </row>
    <row r="29" spans="1:13" ht="24.75" customHeight="1" thickBot="1">
      <c r="A29" s="347">
        <f>+A27+1</f>
        <v>11</v>
      </c>
      <c r="B29" s="335" t="s">
        <v>438</v>
      </c>
      <c r="E29" s="209">
        <f>+E15+E20+E27</f>
        <v>25761476.121811945</v>
      </c>
      <c r="F29" s="396"/>
      <c r="G29" s="209">
        <f>+G15+G20+G27</f>
        <v>23569151.225293953</v>
      </c>
      <c r="H29" s="208"/>
      <c r="K29" s="448"/>
      <c r="L29" s="448"/>
      <c r="M29" s="448"/>
    </row>
    <row r="30" spans="1:13" ht="24.75" customHeight="1" thickTop="1">
      <c r="A30" s="347"/>
      <c r="C30" s="32"/>
      <c r="K30" s="448"/>
      <c r="L30" s="448"/>
      <c r="M30" s="448"/>
    </row>
    <row r="31" spans="1:13" ht="24.75" customHeight="1">
      <c r="A31" s="347"/>
      <c r="C31" s="32"/>
      <c r="F31" s="216"/>
      <c r="K31" s="448"/>
      <c r="L31" s="448"/>
      <c r="M31" s="448"/>
    </row>
    <row r="32" spans="1:13" ht="24.75" customHeight="1">
      <c r="A32" s="347"/>
      <c r="C32" s="642" t="s">
        <v>1057</v>
      </c>
      <c r="K32" s="448"/>
      <c r="L32" s="448"/>
      <c r="M32" s="448"/>
    </row>
    <row r="33" spans="1:13" ht="24.75" customHeight="1">
      <c r="A33" s="347"/>
      <c r="G33" s="335"/>
      <c r="H33" s="335"/>
      <c r="K33" s="448"/>
      <c r="L33" s="448"/>
      <c r="M33" s="448"/>
    </row>
    <row r="34" spans="1:13" ht="24.75" customHeight="1">
      <c r="A34" s="347">
        <f>1+A29</f>
        <v>12</v>
      </c>
      <c r="C34" s="207" t="s">
        <v>439</v>
      </c>
      <c r="E34" s="228">
        <v>-92452.141828650114</v>
      </c>
      <c r="F34" s="427"/>
      <c r="K34" s="448"/>
      <c r="L34" s="448"/>
      <c r="M34" s="448"/>
    </row>
    <row r="35" spans="1:13" ht="24.75" customHeight="1">
      <c r="A35" s="347">
        <f>1+A34</f>
        <v>13</v>
      </c>
      <c r="C35" s="207" t="s">
        <v>440</v>
      </c>
      <c r="E35" s="228">
        <v>11578644.00190611</v>
      </c>
      <c r="F35" s="427"/>
      <c r="K35" s="448"/>
      <c r="L35" s="448"/>
      <c r="M35" s="448"/>
    </row>
    <row r="36" spans="1:13" ht="24.75" customHeight="1">
      <c r="A36" s="347">
        <f t="shared" ref="A36:A41" si="1">1+A35</f>
        <v>14</v>
      </c>
      <c r="C36" s="207" t="s">
        <v>943</v>
      </c>
      <c r="E36" s="228">
        <v>1019057.9047741292</v>
      </c>
      <c r="F36" s="427"/>
      <c r="K36" s="448"/>
      <c r="L36" s="448"/>
      <c r="M36" s="448"/>
    </row>
    <row r="37" spans="1:13" ht="24.75" customHeight="1">
      <c r="A37" s="347">
        <f t="shared" si="1"/>
        <v>15</v>
      </c>
      <c r="C37" s="207" t="s">
        <v>944</v>
      </c>
      <c r="E37" s="228">
        <v>94956.212265241775</v>
      </c>
      <c r="F37" s="427"/>
      <c r="K37" s="448"/>
      <c r="L37" s="448"/>
      <c r="M37" s="448"/>
    </row>
    <row r="38" spans="1:13" ht="24.75" customHeight="1">
      <c r="A38" s="347">
        <f t="shared" si="1"/>
        <v>16</v>
      </c>
      <c r="C38" s="263" t="s">
        <v>945</v>
      </c>
      <c r="D38" s="346"/>
      <c r="E38" s="206">
        <v>224434.61048501261</v>
      </c>
      <c r="F38" s="427"/>
      <c r="K38" s="448"/>
      <c r="L38" s="448"/>
      <c r="M38" s="448"/>
    </row>
    <row r="39" spans="1:13" ht="24.75" customHeight="1">
      <c r="A39" s="347">
        <f t="shared" si="1"/>
        <v>17</v>
      </c>
      <c r="C39" s="263" t="s">
        <v>946</v>
      </c>
      <c r="D39" s="346"/>
      <c r="E39" s="206">
        <v>871.36506998867605</v>
      </c>
      <c r="F39" s="427"/>
      <c r="K39" s="448"/>
      <c r="L39" s="448"/>
      <c r="M39" s="448"/>
    </row>
    <row r="40" spans="1:13" ht="24.75" customHeight="1">
      <c r="A40" s="347">
        <f t="shared" si="1"/>
        <v>18</v>
      </c>
      <c r="C40" s="263" t="s">
        <v>947</v>
      </c>
      <c r="E40" s="206">
        <v>534877.2566281613</v>
      </c>
      <c r="F40" s="427"/>
      <c r="K40" s="448"/>
      <c r="L40" s="448"/>
      <c r="M40" s="448"/>
    </row>
    <row r="41" spans="1:13" ht="24.75" customHeight="1">
      <c r="A41" s="347">
        <f t="shared" si="1"/>
        <v>19</v>
      </c>
      <c r="C41" s="231" t="s">
        <v>441</v>
      </c>
      <c r="E41" s="205">
        <f>SUM(E34:E40)</f>
        <v>13360389.209299993</v>
      </c>
      <c r="K41" s="448"/>
      <c r="L41" s="448"/>
      <c r="M41" s="448"/>
    </row>
    <row r="42" spans="1:13" ht="24.75" customHeight="1">
      <c r="A42" s="347"/>
      <c r="E42" s="204"/>
      <c r="K42" s="448"/>
      <c r="L42" s="448"/>
      <c r="M42" s="448"/>
    </row>
    <row r="43" spans="1:13" ht="24.75" customHeight="1">
      <c r="A43" s="347">
        <f>1+A41</f>
        <v>20</v>
      </c>
      <c r="B43" s="231" t="s">
        <v>442</v>
      </c>
      <c r="C43" s="231"/>
      <c r="E43" s="222">
        <f>+E29+E41</f>
        <v>39121865.331111938</v>
      </c>
      <c r="K43" s="448"/>
      <c r="L43" s="448"/>
      <c r="M43" s="448"/>
    </row>
    <row r="44" spans="1:13" ht="24.75" customHeight="1">
      <c r="A44" s="347"/>
      <c r="E44" s="204"/>
      <c r="K44" s="448"/>
      <c r="L44" s="448"/>
      <c r="M44" s="448"/>
    </row>
    <row r="45" spans="1:13" ht="24.75" customHeight="1">
      <c r="A45" s="347">
        <f>1+A43</f>
        <v>21</v>
      </c>
      <c r="B45" s="633" t="s">
        <v>936</v>
      </c>
      <c r="C45" s="633"/>
      <c r="D45" s="203"/>
      <c r="E45" s="206">
        <v>37673702.954920992</v>
      </c>
      <c r="F45" s="202"/>
      <c r="G45" s="202"/>
      <c r="H45" s="202"/>
      <c r="K45" s="448"/>
      <c r="L45" s="448"/>
      <c r="M45" s="448"/>
    </row>
    <row r="46" spans="1:13" ht="24.75" customHeight="1">
      <c r="C46" s="340"/>
      <c r="D46" s="340"/>
      <c r="E46" s="357"/>
      <c r="F46" s="202"/>
      <c r="G46" s="202"/>
      <c r="H46" s="202"/>
      <c r="K46" s="448"/>
      <c r="L46" s="448"/>
      <c r="M46" s="448"/>
    </row>
    <row r="47" spans="1:13" ht="24.75" customHeight="1">
      <c r="A47" s="347">
        <f>1+A45</f>
        <v>22</v>
      </c>
      <c r="C47" s="340" t="s">
        <v>443</v>
      </c>
      <c r="D47" s="340"/>
      <c r="E47" s="357">
        <f>+E43-E45</f>
        <v>1448162.3761909455</v>
      </c>
      <c r="G47" s="643" t="s">
        <v>436</v>
      </c>
      <c r="H47" s="644"/>
      <c r="I47" s="534"/>
      <c r="K47" s="448"/>
      <c r="L47" s="448"/>
      <c r="M47" s="448"/>
    </row>
    <row r="48" spans="1:13" ht="24.75" customHeight="1">
      <c r="C48" s="340"/>
      <c r="D48" s="340"/>
      <c r="E48" s="368"/>
      <c r="F48" s="202"/>
      <c r="G48" s="202"/>
      <c r="H48" s="202"/>
    </row>
    <row r="49" spans="3:8" ht="24.75" customHeight="1">
      <c r="C49" s="340"/>
      <c r="D49" s="340"/>
      <c r="E49" s="368"/>
      <c r="F49" s="202"/>
      <c r="G49" s="202"/>
      <c r="H49" s="202"/>
    </row>
    <row r="50" spans="3:8" ht="24.75" customHeight="1">
      <c r="C50" s="340"/>
      <c r="D50" s="340"/>
      <c r="E50" s="368"/>
      <c r="F50" s="202"/>
      <c r="G50" s="202"/>
      <c r="H50" s="202"/>
    </row>
    <row r="51" spans="3:8" ht="24.75" customHeight="1">
      <c r="C51" s="340"/>
      <c r="D51" s="340"/>
      <c r="E51" s="368"/>
      <c r="F51" s="202"/>
      <c r="G51" s="202"/>
      <c r="H51" s="202"/>
    </row>
    <row r="52" spans="3:8" ht="24.75" customHeight="1">
      <c r="E52" s="216"/>
      <c r="F52" s="427"/>
      <c r="G52" s="427"/>
      <c r="H52" s="427"/>
    </row>
    <row r="53" spans="3:8" ht="24.75" customHeight="1">
      <c r="E53" s="216"/>
      <c r="F53" s="427"/>
      <c r="G53" s="427"/>
      <c r="H53" s="427"/>
    </row>
    <row r="54" spans="3:8" ht="24.75" customHeight="1">
      <c r="C54" s="32"/>
      <c r="E54" s="216"/>
      <c r="G54" s="427"/>
      <c r="H54" s="427"/>
    </row>
    <row r="55" spans="3:8" ht="24.75" customHeight="1">
      <c r="E55" s="216"/>
      <c r="G55" s="427"/>
      <c r="H55" s="427"/>
    </row>
    <row r="56" spans="3:8" ht="24.75" customHeight="1">
      <c r="C56" s="32"/>
      <c r="E56" s="216"/>
      <c r="G56" s="427"/>
      <c r="H56" s="427"/>
    </row>
    <row r="57" spans="3:8" ht="24.75" customHeight="1">
      <c r="E57" s="216"/>
      <c r="G57" s="427"/>
      <c r="H57" s="427"/>
    </row>
    <row r="58" spans="3:8" ht="24.75" customHeight="1">
      <c r="C58" s="32"/>
      <c r="E58" s="216"/>
      <c r="G58" s="427"/>
      <c r="H58" s="427"/>
    </row>
    <row r="59" spans="3:8" ht="24.75" customHeight="1">
      <c r="E59" s="216"/>
    </row>
  </sheetData>
  <customSheetViews>
    <customSheetView guid="{416404B7-8533-4A12-ABD0-58CFDEB49D80}" scale="75" fitToPage="1">
      <selection activeCell="F45" sqref="F45"/>
      <pageMargins left="0" right="0" top="0" bottom="0" header="0" footer="0"/>
      <printOptions horizontalCentered="1"/>
      <pageSetup scale="59" orientation="portrait" r:id="rId1"/>
      <headerFooter alignWithMargins="0"/>
    </customSheetView>
    <customSheetView guid="{DC91DEF3-837B-4BB9-A81E-3B78C5914E6C}" scale="75" showPageBreaks="1" fitToPage="1" showRuler="0" topLeftCell="A37">
      <selection activeCell="B71" sqref="B71:C74"/>
      <pageMargins left="0" right="0" top="0" bottom="0" header="0" footer="0"/>
      <pageSetup scale="71" orientation="portrait" r:id="rId2"/>
      <headerFooter alignWithMargins="0">
        <oddHeader>&amp;R&amp;12Page &amp;P of &amp;N</oddHeader>
      </headerFooter>
    </customSheetView>
    <customSheetView guid="{28948E05-8F34-4F1E-96FB-A80A6A844600}" scale="75" showPageBreaks="1" fitToPage="1" showRuler="0">
      <selection activeCell="C59" sqref="C59"/>
      <pageMargins left="0" right="0" top="0" bottom="0" header="0" footer="0"/>
      <pageSetup scale="71" orientation="portrait" r:id="rId3"/>
      <headerFooter alignWithMargins="0">
        <oddHeader>&amp;R&amp;12Page &amp;P of &amp;N</oddHeader>
      </headerFooter>
    </customSheetView>
    <customSheetView guid="{71B42B22-A376-44B5-B0C1-23FC1AA3DBA2}" scale="75" fitToPage="1" showRuler="0">
      <selection activeCell="C59" sqref="C59"/>
      <pageMargins left="0" right="0" top="0" bottom="0" header="0" footer="0"/>
      <pageSetup scale="72" orientation="portrait" r:id="rId4"/>
      <headerFooter alignWithMargins="0">
        <oddHeader>&amp;R&amp;14Page &amp;P of &amp;N</oddHeader>
      </headerFooter>
    </customSheetView>
    <customSheetView guid="{FAAD9AAC-1337-43AB-BF1F-CCF9DFCF5B78}" scale="75" fitToPage="1" showRuler="0" topLeftCell="A60">
      <selection activeCell="B97" sqref="B97"/>
      <pageMargins left="0" right="0" top="0" bottom="0" header="0" footer="0"/>
      <pageSetup scale="71" orientation="portrait" r:id="rId5"/>
      <headerFooter alignWithMargins="0">
        <oddHeader>&amp;R&amp;12Page &amp;P of &amp;N</oddHeader>
      </headerFooter>
    </customSheetView>
    <customSheetView guid="{4C7C2344-134C-465A-ADEB-A5E96AAE2308}" scale="75" showPageBreaks="1" fitToPage="1" showRuler="0" topLeftCell="A14">
      <selection activeCell="G21" sqref="G21"/>
      <pageMargins left="0" right="0" top="0" bottom="0" header="0" footer="0"/>
      <pageSetup scale="70" orientation="portrait" r:id="rId6"/>
      <headerFooter alignWithMargins="0">
        <oddHeader>&amp;R&amp;12Page &amp;P of &amp;N</oddHeader>
      </headerFooter>
    </customSheetView>
    <customSheetView guid="{DA967730-B71F-4038-B1B7-9D4790729C5D}" scale="75" showPageBreaks="1" fitToPage="1" showRuler="0" topLeftCell="A14">
      <selection activeCell="G21" sqref="G21"/>
      <pageMargins left="0" right="0" top="0" bottom="0" header="0" footer="0"/>
      <pageSetup scale="68" orientation="portrait" r:id="rId7"/>
      <headerFooter alignWithMargins="0">
        <oddHeader>&amp;R&amp;12Page &amp;P of &amp;N</oddHeader>
      </headerFooter>
    </customSheetView>
    <customSheetView guid="{F96D6087-3330-4A81-95EC-26BA83722A49}" scale="75" showPageBreaks="1" fitToPage="1" showRuler="0" topLeftCell="A14">
      <selection activeCell="G21" sqref="G21"/>
      <pageMargins left="0" right="0" top="0" bottom="0" header="0" footer="0"/>
      <pageSetup scale="70" orientation="portrait" r:id="rId8"/>
      <headerFooter alignWithMargins="0">
        <oddHeader>&amp;R&amp;12Page &amp;P of &amp;N</oddHeader>
      </headerFooter>
    </customSheetView>
    <customSheetView guid="{3A38DF7A-C35E-4DD3-9893-26310A3EF836}" scale="75" showPageBreaks="1" fitToPage="1" showRuler="0" topLeftCell="A19">
      <selection activeCell="G41" sqref="G41"/>
      <pageMargins left="0" right="0" top="0" bottom="0" header="0" footer="0"/>
      <pageSetup scale="74" orientation="portrait" r:id="rId9"/>
      <headerFooter alignWithMargins="0">
        <oddHeader>&amp;R&amp;12Page &amp;P of &amp;N</oddHeader>
      </headerFooter>
    </customSheetView>
  </customSheetViews>
  <mergeCells count="4">
    <mergeCell ref="A4:H4"/>
    <mergeCell ref="A2:H2"/>
    <mergeCell ref="A3:H3"/>
    <mergeCell ref="E17:G17"/>
  </mergeCells>
  <phoneticPr fontId="0" type="noConversion"/>
  <printOptions horizontalCentered="1"/>
  <pageMargins left="0.75" right="0.75" top="1" bottom="1" header="0.5" footer="0.5"/>
  <pageSetup scale="44" orientation="portrait" r:id="rId10"/>
  <headerFooter alignWithMargins="0"/>
  <customProperties>
    <customPr name="_pios_id" r:id="rId11"/>
    <customPr name="EpmWorksheetKeyString_GUID" r:id="rId1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92D050"/>
    <pageSetUpPr fitToPage="1"/>
  </sheetPr>
  <dimension ref="A2:AM45"/>
  <sheetViews>
    <sheetView showGridLines="0" topLeftCell="A27" zoomScale="75" zoomScaleNormal="75" workbookViewId="0">
      <selection activeCell="F27" sqref="F27"/>
    </sheetView>
  </sheetViews>
  <sheetFormatPr defaultColWidth="9.28515625" defaultRowHeight="20.25"/>
  <cols>
    <col min="1" max="1" width="15.28515625" style="347" customWidth="1"/>
    <col min="2" max="2" width="120.5703125" style="306" customWidth="1"/>
    <col min="3" max="3" width="23.7109375" style="306" customWidth="1"/>
    <col min="4" max="4" width="17" style="303" bestFit="1" customWidth="1"/>
    <col min="5" max="5" width="26.7109375" style="306" customWidth="1"/>
    <col min="6" max="6" width="71" style="306" customWidth="1"/>
    <col min="7" max="7" width="12.5703125" style="306" bestFit="1" customWidth="1"/>
    <col min="8" max="9" width="9.28515625" style="306"/>
    <col min="10" max="10" width="29.42578125" style="306" customWidth="1"/>
    <col min="11" max="14" width="9.28515625" style="306"/>
    <col min="15" max="15" width="14.5703125" style="306" bestFit="1" customWidth="1"/>
    <col min="16" max="16384" width="9.28515625" style="306"/>
  </cols>
  <sheetData>
    <row r="2" spans="1:10">
      <c r="A2" s="647" t="str">
        <f>+'Appendix A'!A3</f>
        <v>Dayton Power and Light</v>
      </c>
      <c r="B2" s="647"/>
      <c r="C2" s="647"/>
      <c r="D2" s="647"/>
    </row>
    <row r="3" spans="1:10">
      <c r="A3" s="647" t="str">
        <f>+'Appendix A'!A4</f>
        <v xml:space="preserve">ATTACHMENT H-15A </v>
      </c>
      <c r="B3" s="647"/>
      <c r="C3" s="647"/>
      <c r="D3" s="647"/>
      <c r="E3" s="342"/>
    </row>
    <row r="4" spans="1:10">
      <c r="A4" s="648" t="s">
        <v>999</v>
      </c>
      <c r="B4" s="648"/>
      <c r="C4" s="648"/>
      <c r="D4" s="648"/>
    </row>
    <row r="5" spans="1:10">
      <c r="B5" s="427"/>
      <c r="C5" s="347"/>
    </row>
    <row r="6" spans="1:10">
      <c r="A6" s="32" t="s">
        <v>397</v>
      </c>
      <c r="B6" s="427"/>
      <c r="C6" s="347"/>
      <c r="D6" s="343"/>
    </row>
    <row r="7" spans="1:10">
      <c r="B7" s="427"/>
      <c r="C7" s="347"/>
    </row>
    <row r="8" spans="1:10">
      <c r="B8" s="427"/>
      <c r="C8" s="347"/>
    </row>
    <row r="9" spans="1:10" ht="15" customHeight="1">
      <c r="C9" s="347"/>
      <c r="D9" s="201"/>
    </row>
    <row r="10" spans="1:10">
      <c r="B10" s="387" t="s">
        <v>444</v>
      </c>
      <c r="C10" s="347"/>
      <c r="D10" s="201"/>
      <c r="F10" s="672" t="s">
        <v>967</v>
      </c>
      <c r="G10" s="672"/>
      <c r="H10" s="672"/>
      <c r="I10" s="672"/>
      <c r="J10" s="672"/>
    </row>
    <row r="11" spans="1:10">
      <c r="A11" s="347">
        <v>1</v>
      </c>
      <c r="B11" s="32" t="s">
        <v>445</v>
      </c>
      <c r="C11" s="347"/>
      <c r="D11" s="199">
        <v>0</v>
      </c>
      <c r="E11" s="306" t="s">
        <v>446</v>
      </c>
      <c r="F11" s="263"/>
      <c r="G11" s="263"/>
      <c r="H11" s="263"/>
      <c r="I11" s="263"/>
      <c r="J11" s="263"/>
    </row>
    <row r="12" spans="1:10">
      <c r="B12" s="387"/>
      <c r="C12" s="347"/>
      <c r="D12" s="201"/>
    </row>
    <row r="13" spans="1:10">
      <c r="B13" s="231" t="s">
        <v>447</v>
      </c>
      <c r="D13" s="201"/>
    </row>
    <row r="14" spans="1:10">
      <c r="A14" s="347">
        <f>+A11+1</f>
        <v>2</v>
      </c>
      <c r="B14" s="306" t="s">
        <v>448</v>
      </c>
      <c r="D14" s="283">
        <v>0</v>
      </c>
      <c r="E14" s="306" t="s">
        <v>446</v>
      </c>
      <c r="F14" s="263"/>
      <c r="G14" s="263"/>
      <c r="H14" s="263"/>
      <c r="I14" s="263"/>
      <c r="J14" s="263"/>
    </row>
    <row r="15" spans="1:10">
      <c r="A15" s="347">
        <f>+A14+1</f>
        <v>3</v>
      </c>
      <c r="B15" s="306" t="s">
        <v>449</v>
      </c>
      <c r="D15" s="283">
        <v>0</v>
      </c>
      <c r="E15" s="306" t="s">
        <v>446</v>
      </c>
      <c r="F15" s="263"/>
      <c r="G15" s="263"/>
      <c r="H15" s="263"/>
      <c r="I15" s="263"/>
      <c r="J15" s="263"/>
    </row>
    <row r="16" spans="1:10">
      <c r="A16" s="347">
        <f t="shared" ref="A16:A17" si="0">+A15+1</f>
        <v>4</v>
      </c>
      <c r="B16" s="306" t="s">
        <v>450</v>
      </c>
      <c r="D16" s="283">
        <v>-28696</v>
      </c>
      <c r="E16" s="306" t="s">
        <v>446</v>
      </c>
      <c r="F16" s="263"/>
      <c r="G16" s="263"/>
      <c r="H16" s="263"/>
      <c r="I16" s="263"/>
      <c r="J16" s="263"/>
    </row>
    <row r="17" spans="1:39">
      <c r="A17" s="347">
        <f t="shared" si="0"/>
        <v>5</v>
      </c>
      <c r="B17" s="306" t="s">
        <v>451</v>
      </c>
      <c r="D17" s="198">
        <v>0</v>
      </c>
      <c r="E17" s="306" t="s">
        <v>446</v>
      </c>
      <c r="F17" s="263"/>
      <c r="G17" s="263"/>
      <c r="H17" s="263"/>
      <c r="I17" s="263"/>
      <c r="J17" s="263"/>
    </row>
    <row r="18" spans="1:39">
      <c r="A18" s="347">
        <f>+A17+1</f>
        <v>6</v>
      </c>
      <c r="B18" s="306" t="s">
        <v>452</v>
      </c>
      <c r="D18" s="351">
        <f>+SUM(D14:D17)</f>
        <v>-28696</v>
      </c>
    </row>
    <row r="19" spans="1:39">
      <c r="D19" s="201"/>
    </row>
    <row r="20" spans="1:39" s="197" customFormat="1">
      <c r="A20" s="347"/>
      <c r="B20" s="231" t="s">
        <v>453</v>
      </c>
      <c r="C20" s="306"/>
      <c r="D20" s="351"/>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row>
    <row r="21" spans="1:39" s="197" customFormat="1">
      <c r="A21" s="347">
        <f>+A18+1</f>
        <v>7</v>
      </c>
      <c r="B21" s="32" t="s">
        <v>454</v>
      </c>
      <c r="C21" s="346"/>
      <c r="D21" s="283">
        <v>-527296</v>
      </c>
      <c r="E21" s="306" t="s">
        <v>446</v>
      </c>
      <c r="F21" s="263"/>
      <c r="G21" s="232"/>
      <c r="H21" s="263"/>
      <c r="I21" s="263"/>
      <c r="J21" s="263"/>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row>
    <row r="22" spans="1:39" s="197" customFormat="1">
      <c r="A22" s="347">
        <f>+A21+1</f>
        <v>8</v>
      </c>
      <c r="B22" s="306" t="s">
        <v>455</v>
      </c>
      <c r="C22" s="306"/>
      <c r="D22" s="283">
        <v>0</v>
      </c>
      <c r="E22" s="306" t="s">
        <v>446</v>
      </c>
      <c r="F22" s="263"/>
      <c r="G22" s="263"/>
      <c r="H22" s="263"/>
      <c r="I22" s="263"/>
      <c r="J22" s="263"/>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6"/>
      <c r="AL22" s="306"/>
      <c r="AM22" s="306"/>
    </row>
    <row r="23" spans="1:39" s="197" customFormat="1">
      <c r="A23" s="347">
        <f>+A22+1</f>
        <v>9</v>
      </c>
      <c r="B23" s="306" t="s">
        <v>456</v>
      </c>
      <c r="C23" s="306"/>
      <c r="D23" s="283">
        <v>0</v>
      </c>
      <c r="E23" s="306" t="s">
        <v>446</v>
      </c>
      <c r="F23" s="263"/>
      <c r="G23" s="263"/>
      <c r="H23" s="263"/>
      <c r="I23" s="263"/>
      <c r="J23" s="263"/>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row>
    <row r="24" spans="1:39">
      <c r="A24" s="347">
        <f>+A23+1</f>
        <v>10</v>
      </c>
      <c r="B24" s="306" t="s">
        <v>457</v>
      </c>
      <c r="D24" s="283">
        <v>0</v>
      </c>
      <c r="E24" s="306" t="s">
        <v>446</v>
      </c>
      <c r="F24" s="263"/>
      <c r="G24" s="263"/>
      <c r="H24" s="263"/>
      <c r="I24" s="263"/>
      <c r="J24" s="263"/>
    </row>
    <row r="25" spans="1:39">
      <c r="A25" s="347">
        <f>+A24+1</f>
        <v>11</v>
      </c>
      <c r="B25" s="306" t="s">
        <v>458</v>
      </c>
      <c r="D25" s="198">
        <v>-90211</v>
      </c>
      <c r="E25" s="306" t="s">
        <v>446</v>
      </c>
      <c r="F25" s="263"/>
      <c r="G25" s="263"/>
      <c r="H25" s="263"/>
      <c r="I25" s="263"/>
      <c r="J25" s="263"/>
    </row>
    <row r="26" spans="1:39">
      <c r="A26" s="347">
        <f>+A25+1</f>
        <v>12</v>
      </c>
      <c r="B26" s="306" t="s">
        <v>459</v>
      </c>
      <c r="D26" s="351">
        <f>+SUM(D21:D25)</f>
        <v>-617507</v>
      </c>
    </row>
    <row r="27" spans="1:39" ht="30" customHeight="1">
      <c r="B27" s="231" t="s">
        <v>460</v>
      </c>
      <c r="D27" s="351"/>
    </row>
    <row r="28" spans="1:39" ht="60.75">
      <c r="A28" s="196">
        <f>+A26+1</f>
        <v>13</v>
      </c>
      <c r="B28" s="346" t="s">
        <v>461</v>
      </c>
      <c r="C28" s="346"/>
      <c r="D28" s="199">
        <v>0</v>
      </c>
      <c r="E28" s="306" t="s">
        <v>446</v>
      </c>
      <c r="F28" s="263"/>
      <c r="G28" s="263"/>
      <c r="H28" s="263"/>
      <c r="I28" s="263"/>
      <c r="J28" s="263"/>
    </row>
    <row r="29" spans="1:39">
      <c r="A29" s="347">
        <f>+A28+1</f>
        <v>14</v>
      </c>
      <c r="B29" s="306" t="s">
        <v>462</v>
      </c>
      <c r="C29" s="346"/>
      <c r="D29" s="195">
        <v>-460973</v>
      </c>
      <c r="E29" s="306" t="s">
        <v>446</v>
      </c>
      <c r="F29" s="263"/>
      <c r="G29" s="263"/>
      <c r="H29" s="263"/>
      <c r="I29" s="263"/>
      <c r="J29" s="263"/>
    </row>
    <row r="30" spans="1:39">
      <c r="A30" s="347">
        <f>+A29+1</f>
        <v>15</v>
      </c>
      <c r="B30" s="306" t="s">
        <v>463</v>
      </c>
      <c r="C30" s="346"/>
      <c r="D30" s="279">
        <f>+D28+D29</f>
        <v>-460973</v>
      </c>
    </row>
    <row r="31" spans="1:39" ht="40.5">
      <c r="A31" s="347">
        <f>+A29+1</f>
        <v>15</v>
      </c>
      <c r="B31" s="306" t="s">
        <v>464</v>
      </c>
      <c r="C31" s="350" t="str">
        <f>"(Sum of Lines "&amp;A11&amp;", "&amp;A18&amp;", "&amp;A26&amp;" and "&amp;A30&amp;")"</f>
        <v>(Sum of Lines 1, 6, 12 and 15)</v>
      </c>
      <c r="D31" s="351">
        <f>+D11+D18+D26+D30</f>
        <v>-1107176</v>
      </c>
      <c r="G31" s="351"/>
    </row>
    <row r="32" spans="1:39">
      <c r="D32" s="351"/>
    </row>
    <row r="33" spans="1:15">
      <c r="A33" s="347">
        <f>+A31+1</f>
        <v>16</v>
      </c>
      <c r="B33" s="306" t="s">
        <v>465</v>
      </c>
      <c r="D33" s="351">
        <f>+D37</f>
        <v>0</v>
      </c>
      <c r="E33" s="231"/>
      <c r="F33" s="231"/>
      <c r="G33" s="231"/>
      <c r="H33" s="231"/>
      <c r="I33" s="231"/>
      <c r="J33" s="231"/>
      <c r="K33" s="231"/>
      <c r="L33" s="231"/>
      <c r="M33" s="231"/>
      <c r="N33" s="231"/>
      <c r="O33" s="231"/>
    </row>
    <row r="34" spans="1:15">
      <c r="A34" s="347">
        <f>A33+1</f>
        <v>17</v>
      </c>
      <c r="B34" s="306" t="s">
        <v>466</v>
      </c>
      <c r="C34" s="350" t="str">
        <f>"(Line "&amp;A31&amp;" - "&amp;A33&amp;")"</f>
        <v>(Line 15 - 16)</v>
      </c>
      <c r="D34" s="194">
        <f>+D31-D33</f>
        <v>-1107176</v>
      </c>
      <c r="E34" s="345"/>
      <c r="F34" s="231"/>
      <c r="G34" s="231"/>
      <c r="H34" s="231"/>
      <c r="I34" s="231"/>
      <c r="J34" s="345"/>
      <c r="K34" s="231"/>
      <c r="L34" s="231"/>
      <c r="M34" s="231"/>
      <c r="N34" s="231"/>
      <c r="O34" s="231"/>
    </row>
    <row r="35" spans="1:15">
      <c r="B35" s="193"/>
      <c r="D35" s="351"/>
      <c r="E35" s="303"/>
      <c r="F35" s="303"/>
      <c r="G35" s="303"/>
      <c r="H35" s="303"/>
      <c r="I35" s="303"/>
      <c r="J35" s="303"/>
    </row>
    <row r="36" spans="1:15" ht="59.25" customHeight="1">
      <c r="A36" s="196">
        <f>A34+1</f>
        <v>18</v>
      </c>
      <c r="B36" s="191" t="s">
        <v>467</v>
      </c>
      <c r="C36" s="350" t="str">
        <f>"(Sum of Lines "&amp;A14&amp;" , "&amp;A15&amp;" , "&amp;A16&amp;", "&amp;A22&amp;" and "&amp;A24&amp;")"</f>
        <v>(Sum of Lines 2 , 3 , 4, 8 and 10)</v>
      </c>
      <c r="D36" s="192">
        <v>0</v>
      </c>
    </row>
    <row r="37" spans="1:15" ht="41.25" customHeight="1">
      <c r="A37" s="196">
        <f>+A36+1</f>
        <v>19</v>
      </c>
      <c r="B37" s="191" t="s">
        <v>468</v>
      </c>
      <c r="C37" s="350" t="str">
        <f>"(50% of Line "&amp;A36&amp;")"</f>
        <v>(50% of Line 18)</v>
      </c>
      <c r="D37" s="192">
        <f>+D36*0.5</f>
        <v>0</v>
      </c>
      <c r="O37" s="303"/>
    </row>
    <row r="38" spans="1:15">
      <c r="A38" s="196"/>
      <c r="D38" s="351"/>
      <c r="O38" s="303"/>
    </row>
    <row r="40" spans="1:15" ht="50.25" customHeight="1">
      <c r="A40" s="196" t="s">
        <v>469</v>
      </c>
      <c r="B40" s="673" t="s">
        <v>470</v>
      </c>
      <c r="C40" s="673"/>
      <c r="D40" s="673"/>
    </row>
    <row r="41" spans="1:15" ht="154.5" customHeight="1">
      <c r="A41" s="196" t="s">
        <v>471</v>
      </c>
      <c r="B41" s="674" t="s">
        <v>974</v>
      </c>
      <c r="C41" s="654"/>
      <c r="D41" s="654"/>
    </row>
    <row r="42" spans="1:15">
      <c r="A42" s="347" t="s">
        <v>472</v>
      </c>
      <c r="B42" s="306" t="s">
        <v>473</v>
      </c>
      <c r="O42" s="448"/>
    </row>
    <row r="43" spans="1:15">
      <c r="O43" s="448"/>
    </row>
    <row r="44" spans="1:15">
      <c r="O44" s="448"/>
    </row>
    <row r="45" spans="1:15">
      <c r="O45" s="448"/>
    </row>
  </sheetData>
  <customSheetViews>
    <customSheetView guid="{416404B7-8533-4A12-ABD0-58CFDEB49D80}" scale="75" fitToPage="1">
      <selection activeCell="F45" sqref="F45"/>
      <pageMargins left="0" right="0" top="0" bottom="0" header="0" footer="0"/>
      <printOptions horizontalCentered="1"/>
      <pageSetup scale="53" orientation="portrait" r:id="rId1"/>
      <headerFooter alignWithMargins="0"/>
    </customSheetView>
    <customSheetView guid="{DC91DEF3-837B-4BB9-A81E-3B78C5914E6C}" scale="75" showPageBreaks="1" fitToPage="1" printArea="1" showRuler="0" topLeftCell="A20">
      <selection activeCell="B28" sqref="B28"/>
      <pageMargins left="0" right="0" top="0" bottom="0" header="0" footer="0"/>
      <printOptions horizontalCentered="1"/>
      <pageSetup scale="65" orientation="portrait" r:id="rId2"/>
      <headerFooter alignWithMargins="0">
        <oddHeader>&amp;R&amp;12Page &amp;P of &amp;N</oddHeader>
      </headerFooter>
    </customSheetView>
    <customSheetView guid="{28948E05-8F34-4F1E-96FB-A80A6A844600}" scale="75" showPageBreaks="1" fitToPage="1" printArea="1" showRuler="0" topLeftCell="A14">
      <selection activeCell="B32" sqref="B32"/>
      <pageMargins left="0" right="0" top="0" bottom="0" header="0" footer="0"/>
      <printOptions horizontalCentered="1"/>
      <pageSetup scale="65" orientation="portrait" r:id="rId3"/>
      <headerFooter alignWithMargins="0">
        <oddHeader>&amp;R&amp;12Page &amp;P of &amp;N</oddHeader>
      </headerFooter>
    </customSheetView>
    <customSheetView guid="{71B42B22-A376-44B5-B0C1-23FC1AA3DBA2}" scale="75" showPageBreaks="1" fitToPage="1" printArea="1" showRuler="0" topLeftCell="A14">
      <selection activeCell="B32" sqref="B32"/>
      <pageMargins left="0" right="0" top="0" bottom="0" header="0" footer="0"/>
      <printOptions horizontalCentered="1"/>
      <pageSetup scale="66" orientation="portrait" r:id="rId4"/>
      <headerFooter alignWithMargins="0">
        <oddHeader>&amp;R&amp;14Page &amp;P of &amp;N</oddHeader>
      </headerFooter>
    </customSheetView>
    <customSheetView guid="{FAAD9AAC-1337-43AB-BF1F-CCF9DFCF5B78}" scale="75" showPageBreaks="1" fitToPage="1" printArea="1" showRuler="0" topLeftCell="A33">
      <selection activeCell="D42" sqref="D42"/>
      <pageMargins left="0" right="0" top="0" bottom="0" header="0" footer="0"/>
      <printOptions horizontalCentered="1"/>
      <pageSetup scale="64" orientation="portrait" r:id="rId5"/>
      <headerFooter alignWithMargins="0">
        <oddHeader>&amp;R&amp;12Page &amp;P of &amp;N</oddHeader>
      </headerFooter>
    </customSheetView>
    <customSheetView guid="{4C7C2344-134C-465A-ADEB-A5E96AAE2308}" scale="75" showPageBreaks="1" fitToPage="1" printArea="1" showRuler="0" topLeftCell="A19">
      <selection activeCell="D42" sqref="D42"/>
      <pageMargins left="0" right="0" top="0" bottom="0" header="0" footer="0"/>
      <printOptions horizontalCentered="1"/>
      <pageSetup scale="66" orientation="portrait" r:id="rId6"/>
      <headerFooter alignWithMargins="0">
        <oddHeader>&amp;R&amp;12Page &amp;P of &amp;N</oddHeader>
      </headerFooter>
    </customSheetView>
    <customSheetView guid="{DA967730-B71F-4038-B1B7-9D4790729C5D}" scale="75" showPageBreaks="1" fitToPage="1" printArea="1" showRuler="0" topLeftCell="A19">
      <selection activeCell="D42" sqref="D42"/>
      <pageMargins left="0" right="0" top="0" bottom="0" header="0" footer="0"/>
      <printOptions horizontalCentered="1"/>
      <pageSetup scale="64" orientation="portrait" r:id="rId7"/>
      <headerFooter alignWithMargins="0">
        <oddHeader>&amp;R&amp;12Page &amp;P of &amp;N</oddHeader>
      </headerFooter>
    </customSheetView>
    <customSheetView guid="{F96D6087-3330-4A81-95EC-26BA83722A49}" scale="75" showPageBreaks="1" fitToPage="1" printArea="1" showRuler="0" topLeftCell="A19">
      <selection activeCell="D42" sqref="D42"/>
      <pageMargins left="0" right="0" top="0" bottom="0" header="0" footer="0"/>
      <printOptions horizontalCentered="1"/>
      <pageSetup scale="65" orientation="portrait" r:id="rId8"/>
      <headerFooter alignWithMargins="0">
        <oddHeader>&amp;R&amp;12Page &amp;P of &amp;N</oddHeader>
      </headerFooter>
    </customSheetView>
    <customSheetView guid="{3A38DF7A-C35E-4DD3-9893-26310A3EF836}" scale="75" showPageBreaks="1" fitToPage="1" printArea="1" showRuler="0" topLeftCell="A22">
      <selection activeCell="D42" sqref="D42"/>
      <pageMargins left="0" right="0" top="0" bottom="0" header="0" footer="0"/>
      <printOptions horizontalCentered="1"/>
      <pageSetup scale="65" orientation="portrait" r:id="rId9"/>
      <headerFooter alignWithMargins="0">
        <oddHeader>&amp;R&amp;12Page &amp;P of &amp;N</oddHeader>
      </headerFooter>
    </customSheetView>
  </customSheetViews>
  <mergeCells count="6">
    <mergeCell ref="F10:J10"/>
    <mergeCell ref="B40:D40"/>
    <mergeCell ref="B41:D41"/>
    <mergeCell ref="A4:D4"/>
    <mergeCell ref="A2:D2"/>
    <mergeCell ref="A3:D3"/>
  </mergeCells>
  <phoneticPr fontId="0" type="noConversion"/>
  <printOptions horizontalCentered="1"/>
  <pageMargins left="0.75" right="0.75" top="1" bottom="1" header="0.5" footer="0.5"/>
  <pageSetup scale="43" orientation="landscape" r:id="rId10"/>
  <headerFooter alignWithMargins="0"/>
  <customProperties>
    <customPr name="_pios_id" r:id="rId11"/>
    <customPr name="EpmWorksheetKeyString_GUID" r:id="rId1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sheetPr>
  <dimension ref="A1:Z345"/>
  <sheetViews>
    <sheetView showGridLines="0" showWhiteSpace="0" topLeftCell="D1" zoomScale="50" zoomScaleNormal="50" zoomScaleSheetLayoutView="40" zoomScalePageLayoutView="50" workbookViewId="0">
      <selection activeCell="G12" sqref="G12:S12"/>
    </sheetView>
  </sheetViews>
  <sheetFormatPr defaultColWidth="9.28515625" defaultRowHeight="20.25"/>
  <cols>
    <col min="1" max="1" width="14.28515625" style="306" customWidth="1"/>
    <col min="2" max="2" width="6.42578125" style="306" customWidth="1"/>
    <col min="3" max="3" width="63.140625" style="306" customWidth="1"/>
    <col min="4" max="4" width="41.42578125" style="306" customWidth="1"/>
    <col min="5" max="5" width="34.5703125" style="306" customWidth="1"/>
    <col min="6" max="6" width="14.7109375" style="306" customWidth="1"/>
    <col min="7" max="7" width="30.5703125" style="306" bestFit="1" customWidth="1"/>
    <col min="8" max="19" width="25.85546875" style="306" bestFit="1" customWidth="1"/>
    <col min="20" max="20" width="25.28515625" style="306" customWidth="1"/>
    <col min="21" max="21" width="18.42578125" style="306" customWidth="1"/>
    <col min="22" max="22" width="12.7109375" style="306" customWidth="1"/>
    <col min="23" max="25" width="9.28515625" style="306"/>
    <col min="26" max="26" width="29.28515625" style="306" customWidth="1"/>
    <col min="27" max="16384" width="9.28515625" style="306"/>
  </cols>
  <sheetData>
    <row r="1" spans="1:21" ht="21" customHeight="1">
      <c r="A1" s="647" t="s">
        <v>0</v>
      </c>
      <c r="B1" s="647"/>
      <c r="C1" s="647"/>
      <c r="D1" s="647"/>
      <c r="E1" s="647"/>
      <c r="F1" s="647"/>
      <c r="G1" s="647"/>
      <c r="H1" s="647"/>
      <c r="I1" s="647"/>
      <c r="J1" s="647"/>
      <c r="K1" s="647"/>
      <c r="L1" s="647"/>
      <c r="M1" s="647"/>
      <c r="N1" s="647"/>
      <c r="O1" s="647"/>
      <c r="P1" s="647"/>
      <c r="Q1" s="647"/>
      <c r="R1" s="647"/>
      <c r="S1" s="647"/>
      <c r="T1" s="647"/>
      <c r="U1" s="647"/>
    </row>
    <row r="2" spans="1:21" ht="21" customHeight="1">
      <c r="A2" s="647" t="str">
        <f>+'Appendix A'!A4</f>
        <v xml:space="preserve">ATTACHMENT H-15A </v>
      </c>
      <c r="B2" s="647"/>
      <c r="C2" s="647"/>
      <c r="D2" s="647"/>
      <c r="E2" s="647"/>
      <c r="F2" s="647"/>
      <c r="G2" s="647"/>
      <c r="H2" s="647"/>
      <c r="I2" s="647"/>
      <c r="J2" s="647"/>
      <c r="K2" s="647"/>
      <c r="L2" s="647"/>
      <c r="M2" s="647"/>
      <c r="N2" s="647"/>
      <c r="O2" s="647"/>
      <c r="P2" s="647"/>
      <c r="Q2" s="647"/>
      <c r="R2" s="647"/>
      <c r="S2" s="647"/>
      <c r="T2" s="647"/>
      <c r="U2" s="647"/>
    </row>
    <row r="3" spans="1:21" ht="21" customHeight="1">
      <c r="A3" s="648" t="s">
        <v>1000</v>
      </c>
      <c r="B3" s="648"/>
      <c r="C3" s="648"/>
      <c r="D3" s="648"/>
      <c r="E3" s="648"/>
      <c r="F3" s="648"/>
      <c r="G3" s="648"/>
      <c r="H3" s="648"/>
      <c r="I3" s="648"/>
      <c r="J3" s="648"/>
      <c r="K3" s="648"/>
      <c r="L3" s="648"/>
      <c r="M3" s="648"/>
      <c r="N3" s="648"/>
      <c r="O3" s="648"/>
      <c r="P3" s="648"/>
      <c r="Q3" s="648"/>
      <c r="R3" s="648"/>
      <c r="S3" s="648"/>
      <c r="T3" s="648"/>
      <c r="U3" s="648"/>
    </row>
    <row r="4" spans="1:21" ht="51.6" customHeight="1">
      <c r="A4" s="306" t="s">
        <v>397</v>
      </c>
      <c r="B4" s="345"/>
      <c r="C4" s="345"/>
      <c r="D4" s="345"/>
      <c r="E4" s="345"/>
      <c r="F4" s="345"/>
      <c r="G4" s="345"/>
      <c r="H4" s="345"/>
      <c r="I4" s="345"/>
      <c r="J4" s="345"/>
      <c r="K4" s="345"/>
      <c r="L4" s="345"/>
      <c r="M4" s="345"/>
      <c r="N4" s="345"/>
      <c r="O4" s="345"/>
      <c r="P4" s="345"/>
      <c r="Q4" s="345"/>
      <c r="U4" s="342"/>
    </row>
    <row r="5" spans="1:21" ht="21" customHeight="1">
      <c r="A5" s="301"/>
      <c r="G5" s="375"/>
      <c r="H5" s="375"/>
      <c r="I5" s="375"/>
      <c r="J5" s="375"/>
      <c r="K5" s="190"/>
      <c r="L5" s="375"/>
      <c r="M5" s="375"/>
      <c r="N5" s="375"/>
      <c r="O5" s="343"/>
      <c r="Q5" s="375"/>
      <c r="U5" s="231"/>
    </row>
    <row r="6" spans="1:21" ht="21" thickBot="1">
      <c r="A6" s="387" t="s">
        <v>975</v>
      </c>
      <c r="B6" s="347"/>
      <c r="E6" s="375"/>
      <c r="F6" s="375"/>
      <c r="G6" s="146" t="s">
        <v>474</v>
      </c>
      <c r="H6" s="687" t="s">
        <v>352</v>
      </c>
      <c r="I6" s="687"/>
      <c r="J6" s="687"/>
      <c r="K6" s="687"/>
      <c r="L6" s="687"/>
      <c r="M6" s="687"/>
      <c r="N6" s="687"/>
      <c r="O6" s="687"/>
      <c r="P6" s="687"/>
      <c r="Q6" s="687"/>
      <c r="R6" s="687"/>
      <c r="S6" s="688"/>
    </row>
    <row r="7" spans="1:21" ht="73.5" customHeight="1" thickBot="1">
      <c r="A7" s="189" t="s">
        <v>475</v>
      </c>
      <c r="B7" s="188" t="s">
        <v>476</v>
      </c>
      <c r="C7" s="188"/>
      <c r="D7" s="188"/>
      <c r="E7" s="187" t="s">
        <v>477</v>
      </c>
      <c r="F7" s="97" t="s">
        <v>478</v>
      </c>
      <c r="G7" s="186" t="s">
        <v>479</v>
      </c>
      <c r="H7" s="185" t="s">
        <v>480</v>
      </c>
      <c r="I7" s="185" t="s">
        <v>481</v>
      </c>
      <c r="J7" s="185" t="s">
        <v>482</v>
      </c>
      <c r="K7" s="185" t="s">
        <v>483</v>
      </c>
      <c r="L7" s="185" t="s">
        <v>371</v>
      </c>
      <c r="M7" s="185" t="s">
        <v>484</v>
      </c>
      <c r="N7" s="185" t="s">
        <v>485</v>
      </c>
      <c r="O7" s="185" t="s">
        <v>486</v>
      </c>
      <c r="P7" s="185" t="s">
        <v>487</v>
      </c>
      <c r="Q7" s="185" t="s">
        <v>488</v>
      </c>
      <c r="R7" s="185" t="s">
        <v>489</v>
      </c>
      <c r="S7" s="186" t="s">
        <v>490</v>
      </c>
      <c r="T7" s="97" t="s">
        <v>491</v>
      </c>
      <c r="U7" s="184" t="s">
        <v>492</v>
      </c>
    </row>
    <row r="8" spans="1:21">
      <c r="A8" s="183"/>
      <c r="B8" s="182" t="s">
        <v>13</v>
      </c>
      <c r="C8" s="181"/>
      <c r="D8" s="181"/>
      <c r="E8" s="181"/>
      <c r="F8" s="181"/>
      <c r="H8" s="180"/>
      <c r="I8" s="180"/>
      <c r="J8" s="180"/>
      <c r="K8" s="180"/>
      <c r="L8" s="180"/>
      <c r="M8" s="180"/>
      <c r="N8" s="180"/>
      <c r="O8" s="180"/>
      <c r="P8" s="180"/>
      <c r="Q8" s="180"/>
      <c r="R8" s="180"/>
      <c r="S8" s="351"/>
      <c r="T8" s="179"/>
      <c r="U8" s="178"/>
    </row>
    <row r="9" spans="1:21">
      <c r="A9" s="177">
        <v>1</v>
      </c>
      <c r="B9" s="231"/>
      <c r="C9" s="306" t="s">
        <v>493</v>
      </c>
      <c r="E9" s="535" t="s">
        <v>937</v>
      </c>
      <c r="F9" s="32"/>
      <c r="G9" s="283">
        <v>2845055171</v>
      </c>
      <c r="H9" s="283">
        <v>2812225084</v>
      </c>
      <c r="I9" s="283">
        <v>2826022856</v>
      </c>
      <c r="J9" s="283">
        <v>2893830471</v>
      </c>
      <c r="K9" s="283">
        <v>2925637178</v>
      </c>
      <c r="L9" s="283">
        <v>2950665538</v>
      </c>
      <c r="M9" s="283">
        <v>2952064826</v>
      </c>
      <c r="N9" s="283">
        <v>2970319736</v>
      </c>
      <c r="O9" s="283">
        <v>2996112406</v>
      </c>
      <c r="P9" s="283">
        <v>3026444665</v>
      </c>
      <c r="Q9" s="283">
        <v>3047463457</v>
      </c>
      <c r="R9" s="283">
        <v>3073764283</v>
      </c>
      <c r="S9" s="283">
        <v>3112252391</v>
      </c>
      <c r="T9" s="176">
        <f>AVERAGE(G9:S9)</f>
        <v>2956296774</v>
      </c>
      <c r="U9" s="175">
        <v>0</v>
      </c>
    </row>
    <row r="10" spans="1:21">
      <c r="A10" s="177">
        <f>+A9+1</f>
        <v>2</v>
      </c>
      <c r="B10" s="231"/>
      <c r="C10" s="306" t="s">
        <v>494</v>
      </c>
      <c r="E10" s="306" t="s">
        <v>495</v>
      </c>
      <c r="G10" s="283">
        <v>0</v>
      </c>
      <c r="H10" s="283">
        <v>0</v>
      </c>
      <c r="I10" s="283">
        <v>0</v>
      </c>
      <c r="J10" s="283">
        <v>0</v>
      </c>
      <c r="K10" s="283">
        <v>0</v>
      </c>
      <c r="L10" s="283">
        <v>0</v>
      </c>
      <c r="M10" s="283">
        <v>0</v>
      </c>
      <c r="N10" s="283">
        <v>0</v>
      </c>
      <c r="O10" s="283">
        <v>0</v>
      </c>
      <c r="P10" s="283">
        <v>0</v>
      </c>
      <c r="Q10" s="283">
        <v>0</v>
      </c>
      <c r="R10" s="283">
        <v>0</v>
      </c>
      <c r="S10" s="283">
        <v>0</v>
      </c>
      <c r="T10" s="176">
        <f t="shared" ref="T10:T14" si="0">AVERAGE(G10:S10)</f>
        <v>0</v>
      </c>
      <c r="U10" s="175">
        <v>0</v>
      </c>
    </row>
    <row r="11" spans="1:21" ht="26.25" customHeight="1">
      <c r="A11" s="177">
        <f t="shared" ref="A11:A14" si="1">+A10+1</f>
        <v>3</v>
      </c>
      <c r="B11" s="231"/>
      <c r="C11" s="306" t="s">
        <v>15</v>
      </c>
      <c r="E11" s="535" t="s">
        <v>1058</v>
      </c>
      <c r="F11" s="32"/>
      <c r="G11" s="646">
        <v>-1223699624</v>
      </c>
      <c r="H11" s="646">
        <v>-1227073700</v>
      </c>
      <c r="I11" s="646">
        <v>-1228958356</v>
      </c>
      <c r="J11" s="646">
        <v>-1227619486</v>
      </c>
      <c r="K11" s="646">
        <v>-1228003082</v>
      </c>
      <c r="L11" s="646">
        <v>-1228665587</v>
      </c>
      <c r="M11" s="646">
        <v>-1216748246</v>
      </c>
      <c r="N11" s="646">
        <v>-1220960781</v>
      </c>
      <c r="O11" s="646">
        <v>-1226324296</v>
      </c>
      <c r="P11" s="646">
        <v>-1225481684</v>
      </c>
      <c r="Q11" s="646">
        <v>-1228514708</v>
      </c>
      <c r="R11" s="646">
        <v>-1232558790</v>
      </c>
      <c r="S11" s="646">
        <v>-1232509910</v>
      </c>
      <c r="T11" s="176">
        <f>AVERAGE(G11:S11)</f>
        <v>-1226701403.8461537</v>
      </c>
      <c r="U11" s="175">
        <v>0</v>
      </c>
    </row>
    <row r="12" spans="1:21" ht="28.5" customHeight="1">
      <c r="A12" s="177">
        <f t="shared" si="1"/>
        <v>4</v>
      </c>
      <c r="C12" s="32" t="s">
        <v>34</v>
      </c>
      <c r="E12" s="534" t="s">
        <v>938</v>
      </c>
      <c r="G12" s="526">
        <v>-34255398.240000002</v>
      </c>
      <c r="H12" s="526">
        <v>-34547837.270000003</v>
      </c>
      <c r="I12" s="526">
        <v>-34840276.289999999</v>
      </c>
      <c r="J12" s="526">
        <v>-34662474.670000002</v>
      </c>
      <c r="K12" s="526">
        <v>-34956461.340000004</v>
      </c>
      <c r="L12" s="526">
        <v>-35260327.299999997</v>
      </c>
      <c r="M12" s="526">
        <v>-35565131.799999997</v>
      </c>
      <c r="N12" s="526">
        <v>-35869958.270000003</v>
      </c>
      <c r="O12" s="526">
        <v>-36148931.579999998</v>
      </c>
      <c r="P12" s="526">
        <v>-29510715.120000001</v>
      </c>
      <c r="Q12" s="526">
        <v>-29939361.879999999</v>
      </c>
      <c r="R12" s="526">
        <v>-30357281.399999999</v>
      </c>
      <c r="S12" s="526">
        <v>-30795965.370000001</v>
      </c>
      <c r="T12" s="176">
        <f>AVERAGE(G12:S12)</f>
        <v>-33593086.194615379</v>
      </c>
      <c r="U12" s="175">
        <v>0</v>
      </c>
    </row>
    <row r="13" spans="1:21">
      <c r="A13" s="177">
        <f t="shared" si="1"/>
        <v>5</v>
      </c>
      <c r="C13" s="32" t="s">
        <v>496</v>
      </c>
      <c r="E13" s="306" t="s">
        <v>495</v>
      </c>
      <c r="G13" s="283">
        <v>0</v>
      </c>
      <c r="H13" s="283">
        <v>0</v>
      </c>
      <c r="I13" s="283">
        <v>0</v>
      </c>
      <c r="J13" s="283">
        <v>0</v>
      </c>
      <c r="K13" s="283">
        <v>0</v>
      </c>
      <c r="L13" s="283">
        <v>0</v>
      </c>
      <c r="M13" s="283">
        <v>0</v>
      </c>
      <c r="N13" s="283">
        <v>0</v>
      </c>
      <c r="O13" s="283">
        <v>0</v>
      </c>
      <c r="P13" s="283">
        <v>0</v>
      </c>
      <c r="Q13" s="283">
        <v>0</v>
      </c>
      <c r="R13" s="283">
        <v>0</v>
      </c>
      <c r="S13" s="283">
        <v>0</v>
      </c>
      <c r="T13" s="176">
        <f t="shared" si="0"/>
        <v>0</v>
      </c>
      <c r="U13" s="175">
        <v>0</v>
      </c>
    </row>
    <row r="14" spans="1:21">
      <c r="A14" s="177">
        <f t="shared" si="1"/>
        <v>6</v>
      </c>
      <c r="C14" s="32" t="s">
        <v>497</v>
      </c>
      <c r="E14" s="306" t="s">
        <v>495</v>
      </c>
      <c r="G14" s="283">
        <v>0</v>
      </c>
      <c r="H14" s="283">
        <v>0</v>
      </c>
      <c r="I14" s="283">
        <v>0</v>
      </c>
      <c r="J14" s="283">
        <v>0</v>
      </c>
      <c r="K14" s="283">
        <v>0</v>
      </c>
      <c r="L14" s="283">
        <v>0</v>
      </c>
      <c r="M14" s="283">
        <v>0</v>
      </c>
      <c r="N14" s="283">
        <v>0</v>
      </c>
      <c r="O14" s="283">
        <v>0</v>
      </c>
      <c r="P14" s="283">
        <v>0</v>
      </c>
      <c r="Q14" s="283">
        <v>0</v>
      </c>
      <c r="R14" s="283">
        <v>0</v>
      </c>
      <c r="S14" s="283">
        <v>0</v>
      </c>
      <c r="T14" s="176">
        <f t="shared" si="0"/>
        <v>0</v>
      </c>
      <c r="U14" s="175">
        <v>0</v>
      </c>
    </row>
    <row r="15" spans="1:21">
      <c r="A15" s="177"/>
      <c r="B15" s="231"/>
      <c r="E15" s="174"/>
      <c r="F15" s="174"/>
      <c r="G15" s="351"/>
      <c r="H15" s="351"/>
      <c r="I15" s="351"/>
      <c r="J15" s="351"/>
      <c r="K15" s="351"/>
      <c r="L15" s="351"/>
      <c r="M15" s="351"/>
      <c r="N15" s="351"/>
      <c r="O15" s="351"/>
      <c r="P15" s="351"/>
      <c r="Q15" s="351"/>
      <c r="R15" s="351"/>
      <c r="S15" s="351"/>
      <c r="T15" s="176"/>
      <c r="U15" s="173"/>
    </row>
    <row r="16" spans="1:21">
      <c r="A16" s="177"/>
      <c r="B16" s="231" t="s">
        <v>22</v>
      </c>
      <c r="E16" s="174"/>
      <c r="F16" s="174"/>
      <c r="G16" s="351"/>
      <c r="H16" s="351"/>
      <c r="I16" s="351"/>
      <c r="J16" s="351"/>
      <c r="K16" s="351"/>
      <c r="L16" s="351"/>
      <c r="M16" s="351"/>
      <c r="N16" s="351"/>
      <c r="O16" s="351"/>
      <c r="P16" s="351"/>
      <c r="Q16" s="351"/>
      <c r="R16" s="351"/>
      <c r="S16" s="351"/>
      <c r="T16" s="176"/>
      <c r="U16" s="173"/>
    </row>
    <row r="17" spans="1:21">
      <c r="A17" s="177">
        <f>+A14+1</f>
        <v>7</v>
      </c>
      <c r="B17" s="231"/>
      <c r="C17" s="306" t="s">
        <v>498</v>
      </c>
      <c r="E17" s="431" t="s">
        <v>499</v>
      </c>
      <c r="F17" s="357" t="s">
        <v>500</v>
      </c>
      <c r="G17" s="232">
        <v>622647841</v>
      </c>
      <c r="H17" s="232">
        <v>623829537</v>
      </c>
      <c r="I17" s="232">
        <v>625627175</v>
      </c>
      <c r="J17" s="232">
        <v>628330934</v>
      </c>
      <c r="K17" s="232">
        <v>650248242</v>
      </c>
      <c r="L17" s="232">
        <v>661602154</v>
      </c>
      <c r="M17" s="232">
        <v>665959386</v>
      </c>
      <c r="N17" s="232">
        <v>668197402</v>
      </c>
      <c r="O17" s="232">
        <v>684311821</v>
      </c>
      <c r="P17" s="232">
        <v>691120760</v>
      </c>
      <c r="Q17" s="232">
        <v>690237625</v>
      </c>
      <c r="R17" s="232">
        <v>696761654</v>
      </c>
      <c r="S17" s="232">
        <v>694123737</v>
      </c>
      <c r="T17" s="176">
        <f>AVERAGE(G17:S17)</f>
        <v>661769097.53846157</v>
      </c>
      <c r="U17" s="175">
        <v>0</v>
      </c>
    </row>
    <row r="18" spans="1:21">
      <c r="A18" s="177">
        <f>+A17+1</f>
        <v>8</v>
      </c>
      <c r="B18" s="231"/>
      <c r="C18" s="306" t="s">
        <v>501</v>
      </c>
      <c r="E18" s="306" t="s">
        <v>502</v>
      </c>
      <c r="F18" s="411" t="s">
        <v>503</v>
      </c>
      <c r="G18" s="283">
        <v>35695748</v>
      </c>
      <c r="H18" s="283">
        <v>35715684</v>
      </c>
      <c r="I18" s="283">
        <v>35870849</v>
      </c>
      <c r="J18" s="283">
        <v>35083441</v>
      </c>
      <c r="K18" s="283">
        <v>35260179</v>
      </c>
      <c r="L18" s="283">
        <v>35026849</v>
      </c>
      <c r="M18" s="283">
        <v>32407079</v>
      </c>
      <c r="N18" s="283">
        <v>33271253</v>
      </c>
      <c r="O18" s="283">
        <v>33344982</v>
      </c>
      <c r="P18" s="283">
        <v>34003297</v>
      </c>
      <c r="Q18" s="283">
        <v>33690567</v>
      </c>
      <c r="R18" s="283">
        <v>33812460</v>
      </c>
      <c r="S18" s="283">
        <v>33812460</v>
      </c>
      <c r="T18" s="176">
        <f t="shared" ref="T18:T20" si="2">AVERAGE(G18:S18)</f>
        <v>34384219.07692308</v>
      </c>
      <c r="U18" s="175">
        <v>0</v>
      </c>
    </row>
    <row r="19" spans="1:21">
      <c r="A19" s="177">
        <f t="shared" ref="A19:A20" si="3">+A18+1</f>
        <v>9</v>
      </c>
      <c r="B19" s="231"/>
      <c r="C19" s="306" t="s">
        <v>25</v>
      </c>
      <c r="E19" s="306" t="s">
        <v>504</v>
      </c>
      <c r="F19" s="411" t="s">
        <v>505</v>
      </c>
      <c r="G19" s="283">
        <v>49500382</v>
      </c>
      <c r="H19" s="283">
        <v>49500382</v>
      </c>
      <c r="I19" s="283">
        <v>49493741</v>
      </c>
      <c r="J19" s="283">
        <v>50410292</v>
      </c>
      <c r="K19" s="283">
        <v>51239903</v>
      </c>
      <c r="L19" s="283">
        <v>51318717</v>
      </c>
      <c r="M19" s="283">
        <v>51320562</v>
      </c>
      <c r="N19" s="283">
        <v>50562575</v>
      </c>
      <c r="O19" s="283">
        <v>50562575</v>
      </c>
      <c r="P19" s="283">
        <v>55957046</v>
      </c>
      <c r="Q19" s="283">
        <v>57061717</v>
      </c>
      <c r="R19" s="283">
        <v>58805407</v>
      </c>
      <c r="S19" s="283">
        <v>61926531</v>
      </c>
      <c r="T19" s="176">
        <f t="shared" si="2"/>
        <v>52896910</v>
      </c>
      <c r="U19" s="175">
        <v>0</v>
      </c>
    </row>
    <row r="20" spans="1:21">
      <c r="A20" s="177">
        <f t="shared" si="3"/>
        <v>10</v>
      </c>
      <c r="B20" s="231"/>
      <c r="C20" s="306" t="s">
        <v>494</v>
      </c>
      <c r="E20" s="306" t="s">
        <v>495</v>
      </c>
      <c r="F20" s="411"/>
      <c r="G20" s="283">
        <v>0</v>
      </c>
      <c r="H20" s="283">
        <v>0</v>
      </c>
      <c r="I20" s="283">
        <v>0</v>
      </c>
      <c r="J20" s="283">
        <v>0</v>
      </c>
      <c r="K20" s="283">
        <v>0</v>
      </c>
      <c r="L20" s="283">
        <v>0</v>
      </c>
      <c r="M20" s="283">
        <v>0</v>
      </c>
      <c r="N20" s="283">
        <v>0</v>
      </c>
      <c r="O20" s="283">
        <v>0</v>
      </c>
      <c r="P20" s="283">
        <v>0</v>
      </c>
      <c r="Q20" s="283">
        <v>0</v>
      </c>
      <c r="R20" s="283">
        <v>0</v>
      </c>
      <c r="S20" s="283">
        <v>0</v>
      </c>
      <c r="T20" s="176">
        <f t="shared" si="2"/>
        <v>0</v>
      </c>
      <c r="U20" s="175">
        <v>0</v>
      </c>
    </row>
    <row r="21" spans="1:21">
      <c r="A21" s="177"/>
      <c r="B21" s="347"/>
      <c r="C21" s="32"/>
      <c r="E21" s="351"/>
      <c r="F21" s="357"/>
      <c r="G21" s="351"/>
      <c r="H21" s="351"/>
      <c r="I21" s="351"/>
      <c r="J21" s="351"/>
      <c r="K21" s="351"/>
      <c r="L21" s="351"/>
      <c r="M21" s="351"/>
      <c r="N21" s="351"/>
      <c r="O21" s="351"/>
      <c r="P21" s="351"/>
      <c r="Q21" s="351"/>
      <c r="R21" s="351"/>
      <c r="S21" s="351"/>
      <c r="T21" s="176"/>
      <c r="U21" s="175"/>
    </row>
    <row r="22" spans="1:21">
      <c r="A22" s="177"/>
      <c r="B22" s="231" t="s">
        <v>31</v>
      </c>
      <c r="E22" s="174"/>
      <c r="F22" s="172"/>
      <c r="G22" s="351"/>
      <c r="H22" s="351"/>
      <c r="I22" s="351"/>
      <c r="J22" s="351"/>
      <c r="K22" s="351"/>
      <c r="L22" s="351"/>
      <c r="M22" s="351"/>
      <c r="N22" s="351"/>
      <c r="O22" s="351"/>
      <c r="P22" s="351"/>
      <c r="Q22" s="351"/>
      <c r="R22" s="351"/>
      <c r="S22" s="351"/>
      <c r="T22" s="176"/>
      <c r="U22" s="173"/>
    </row>
    <row r="23" spans="1:21">
      <c r="A23" s="177">
        <f>+A20+1</f>
        <v>11</v>
      </c>
      <c r="B23" s="347"/>
      <c r="C23" s="306" t="s">
        <v>32</v>
      </c>
      <c r="E23" s="32" t="s">
        <v>506</v>
      </c>
      <c r="F23" s="411">
        <v>108</v>
      </c>
      <c r="G23" s="283">
        <v>-242653472</v>
      </c>
      <c r="H23" s="283">
        <v>-242929003</v>
      </c>
      <c r="I23" s="283">
        <v>-243344972</v>
      </c>
      <c r="J23" s="283">
        <v>-239052508</v>
      </c>
      <c r="K23" s="283">
        <v>-239180518</v>
      </c>
      <c r="L23" s="283">
        <v>-236922473</v>
      </c>
      <c r="M23" s="283">
        <v>-237828566</v>
      </c>
      <c r="N23" s="283">
        <v>-239295590</v>
      </c>
      <c r="O23" s="283">
        <v>-241426921</v>
      </c>
      <c r="P23" s="283">
        <v>-236725507</v>
      </c>
      <c r="Q23" s="283">
        <v>-236728154</v>
      </c>
      <c r="R23" s="283">
        <v>-236610713</v>
      </c>
      <c r="S23" s="283">
        <v>-235749862</v>
      </c>
      <c r="T23" s="176">
        <f t="shared" ref="T23:T25" si="4">AVERAGE(G23:S23)</f>
        <v>-239111404.53846154</v>
      </c>
      <c r="U23" s="175">
        <v>0</v>
      </c>
    </row>
    <row r="24" spans="1:21">
      <c r="A24" s="177">
        <f>+A23+1</f>
        <v>12</v>
      </c>
      <c r="B24" s="347"/>
      <c r="C24" s="306" t="s">
        <v>33</v>
      </c>
      <c r="D24" s="347"/>
      <c r="E24" s="32" t="s">
        <v>507</v>
      </c>
      <c r="F24" s="411">
        <v>108</v>
      </c>
      <c r="G24" s="283">
        <v>-10500355</v>
      </c>
      <c r="H24" s="283">
        <v>-10939657</v>
      </c>
      <c r="I24" s="283">
        <v>-11019806</v>
      </c>
      <c r="J24" s="283">
        <v>-11433508</v>
      </c>
      <c r="K24" s="283">
        <v>-11749637</v>
      </c>
      <c r="L24" s="283">
        <v>-11888467</v>
      </c>
      <c r="M24" s="283">
        <v>-9301194</v>
      </c>
      <c r="N24" s="283">
        <v>-9363659</v>
      </c>
      <c r="O24" s="283">
        <v>-9450998</v>
      </c>
      <c r="P24" s="283">
        <v>-9628711</v>
      </c>
      <c r="Q24" s="283">
        <v>-9706796</v>
      </c>
      <c r="R24" s="283">
        <v>-9980908</v>
      </c>
      <c r="S24" s="283">
        <v>-8480142</v>
      </c>
      <c r="T24" s="176">
        <f t="shared" si="4"/>
        <v>-10264910.615384616</v>
      </c>
      <c r="U24" s="175">
        <v>0</v>
      </c>
    </row>
    <row r="25" spans="1:21" ht="21" thickBot="1">
      <c r="A25" s="171">
        <f>+A24+1</f>
        <v>13</v>
      </c>
      <c r="B25" s="491"/>
      <c r="C25" s="170" t="s">
        <v>508</v>
      </c>
      <c r="D25" s="170"/>
      <c r="E25" s="170" t="s">
        <v>495</v>
      </c>
      <c r="F25" s="169">
        <v>111</v>
      </c>
      <c r="G25" s="168">
        <v>0</v>
      </c>
      <c r="H25" s="168">
        <v>0</v>
      </c>
      <c r="I25" s="168">
        <v>0</v>
      </c>
      <c r="J25" s="168">
        <v>0</v>
      </c>
      <c r="K25" s="168">
        <v>0</v>
      </c>
      <c r="L25" s="168">
        <v>0</v>
      </c>
      <c r="M25" s="168">
        <v>0</v>
      </c>
      <c r="N25" s="168">
        <v>0</v>
      </c>
      <c r="O25" s="168">
        <v>0</v>
      </c>
      <c r="P25" s="168">
        <v>0</v>
      </c>
      <c r="Q25" s="168">
        <v>0</v>
      </c>
      <c r="R25" s="168">
        <v>0</v>
      </c>
      <c r="S25" s="168">
        <v>0</v>
      </c>
      <c r="T25" s="167">
        <f t="shared" si="4"/>
        <v>0</v>
      </c>
      <c r="U25" s="166">
        <v>0</v>
      </c>
    </row>
    <row r="26" spans="1:21">
      <c r="A26" s="32"/>
      <c r="B26" s="387"/>
      <c r="C26" s="32"/>
      <c r="G26" s="303"/>
      <c r="H26" s="303"/>
      <c r="I26" s="303"/>
      <c r="J26" s="303"/>
      <c r="K26" s="303"/>
      <c r="L26" s="303"/>
      <c r="M26" s="303"/>
      <c r="N26" s="303"/>
      <c r="O26" s="303"/>
      <c r="P26" s="303"/>
      <c r="Q26" s="303"/>
      <c r="R26" s="303"/>
      <c r="S26" s="303"/>
      <c r="T26" s="303"/>
      <c r="U26" s="355"/>
    </row>
    <row r="27" spans="1:21">
      <c r="A27" s="347"/>
      <c r="B27" s="387"/>
      <c r="C27" s="32"/>
      <c r="G27" s="303"/>
      <c r="H27" s="303"/>
      <c r="I27" s="303"/>
      <c r="J27" s="303"/>
      <c r="K27" s="303"/>
      <c r="L27" s="303"/>
      <c r="M27" s="303"/>
      <c r="N27" s="303"/>
      <c r="O27" s="303"/>
      <c r="P27" s="303"/>
      <c r="Q27" s="303"/>
      <c r="R27" s="303"/>
      <c r="S27" s="448"/>
      <c r="U27" s="355"/>
    </row>
    <row r="28" spans="1:21" ht="21" thickBot="1">
      <c r="A28" s="387" t="s">
        <v>509</v>
      </c>
      <c r="C28" s="32"/>
      <c r="G28" s="165"/>
      <c r="H28" s="165"/>
      <c r="I28" s="165"/>
      <c r="J28" s="165"/>
      <c r="K28" s="165"/>
      <c r="L28" s="165"/>
      <c r="M28" s="165"/>
      <c r="N28" s="165"/>
      <c r="O28" s="303"/>
      <c r="P28" s="303"/>
      <c r="Q28" s="165"/>
      <c r="R28" s="165"/>
      <c r="S28" s="165"/>
      <c r="T28" s="165"/>
      <c r="U28" s="303"/>
    </row>
    <row r="29" spans="1:21" ht="41.25" thickBot="1">
      <c r="A29" s="164" t="s">
        <v>475</v>
      </c>
      <c r="B29" s="163" t="s">
        <v>476</v>
      </c>
      <c r="C29" s="163"/>
      <c r="D29" s="163"/>
      <c r="E29" s="162" t="s">
        <v>477</v>
      </c>
      <c r="F29" s="137" t="s">
        <v>478</v>
      </c>
      <c r="G29" s="161"/>
      <c r="H29" s="161"/>
      <c r="I29" s="161"/>
      <c r="J29" s="161"/>
      <c r="K29" s="161"/>
      <c r="L29" s="161"/>
      <c r="M29" s="161"/>
      <c r="N29" s="161"/>
      <c r="O29" s="161"/>
      <c r="P29" s="161"/>
      <c r="Q29" s="161"/>
      <c r="R29" s="161"/>
      <c r="S29" s="161"/>
      <c r="T29" s="186" t="s">
        <v>510</v>
      </c>
      <c r="U29" s="160"/>
    </row>
    <row r="30" spans="1:21">
      <c r="A30" s="159"/>
      <c r="B30" s="231"/>
      <c r="C30" s="231"/>
      <c r="D30" s="231"/>
      <c r="E30" s="268"/>
      <c r="F30" s="268"/>
      <c r="T30" s="345"/>
      <c r="U30" s="158"/>
    </row>
    <row r="31" spans="1:21">
      <c r="A31" s="177">
        <f>+A25+1</f>
        <v>14</v>
      </c>
      <c r="B31" s="387"/>
      <c r="C31" s="32" t="s">
        <v>511</v>
      </c>
      <c r="D31" s="387"/>
      <c r="E31" s="306" t="s">
        <v>512</v>
      </c>
      <c r="G31" s="347"/>
      <c r="T31" s="283">
        <v>58001419</v>
      </c>
      <c r="U31" s="158"/>
    </row>
    <row r="32" spans="1:21">
      <c r="A32" s="177">
        <f>+A31+1</f>
        <v>15</v>
      </c>
      <c r="B32" s="387"/>
      <c r="C32" s="32" t="s">
        <v>513</v>
      </c>
      <c r="D32" s="387"/>
      <c r="E32" s="306" t="s">
        <v>514</v>
      </c>
      <c r="T32" s="283">
        <v>15715987</v>
      </c>
      <c r="U32" s="158"/>
    </row>
    <row r="33" spans="1:21">
      <c r="A33" s="177">
        <f>+A32+1</f>
        <v>16</v>
      </c>
      <c r="C33" s="32" t="s">
        <v>515</v>
      </c>
      <c r="E33" s="306" t="s">
        <v>516</v>
      </c>
      <c r="T33" s="283">
        <v>4655915</v>
      </c>
      <c r="U33" s="158"/>
    </row>
    <row r="34" spans="1:21" ht="21" thickBot="1">
      <c r="A34" s="171"/>
      <c r="B34" s="170"/>
      <c r="C34" s="493"/>
      <c r="D34" s="170"/>
      <c r="E34" s="170"/>
      <c r="F34" s="170"/>
      <c r="G34" s="157"/>
      <c r="H34" s="170"/>
      <c r="I34" s="170"/>
      <c r="J34" s="170"/>
      <c r="K34" s="170"/>
      <c r="L34" s="170"/>
      <c r="M34" s="170"/>
      <c r="N34" s="170"/>
      <c r="O34" s="170"/>
      <c r="P34" s="170"/>
      <c r="Q34" s="170"/>
      <c r="R34" s="170"/>
      <c r="S34" s="170"/>
      <c r="T34" s="170"/>
      <c r="U34" s="156"/>
    </row>
    <row r="35" spans="1:21">
      <c r="A35" s="347"/>
      <c r="C35" s="32"/>
      <c r="G35" s="303"/>
      <c r="H35" s="303"/>
      <c r="I35" s="303"/>
      <c r="J35" s="303"/>
      <c r="K35" s="303"/>
      <c r="L35" s="303"/>
      <c r="M35" s="303"/>
      <c r="N35" s="303"/>
      <c r="O35" s="303"/>
      <c r="P35" s="303"/>
      <c r="Q35" s="303"/>
      <c r="R35" s="303"/>
      <c r="S35" s="303"/>
      <c r="T35" s="303"/>
    </row>
    <row r="36" spans="1:21">
      <c r="A36" s="347"/>
      <c r="C36" s="32"/>
      <c r="G36" s="303"/>
      <c r="H36" s="303"/>
      <c r="I36" s="303"/>
      <c r="J36" s="303"/>
      <c r="K36" s="303"/>
      <c r="L36" s="303"/>
      <c r="M36" s="303"/>
      <c r="N36" s="303"/>
      <c r="O36" s="303"/>
      <c r="P36" s="303"/>
      <c r="Q36" s="303"/>
      <c r="R36" s="303"/>
      <c r="S36" s="303"/>
      <c r="T36" s="303"/>
    </row>
    <row r="37" spans="1:21" ht="21" thickBot="1">
      <c r="A37" s="387" t="s">
        <v>517</v>
      </c>
      <c r="G37" s="165"/>
    </row>
    <row r="38" spans="1:21" ht="41.25" thickBot="1">
      <c r="A38" s="164" t="s">
        <v>475</v>
      </c>
      <c r="B38" s="163" t="s">
        <v>476</v>
      </c>
      <c r="C38" s="163"/>
      <c r="D38" s="163"/>
      <c r="E38" s="162" t="s">
        <v>477</v>
      </c>
      <c r="F38" s="137" t="s">
        <v>478</v>
      </c>
      <c r="G38" s="161"/>
      <c r="H38" s="161"/>
      <c r="I38" s="161"/>
      <c r="J38" s="161"/>
      <c r="K38" s="161"/>
      <c r="L38" s="161"/>
      <c r="M38" s="161"/>
      <c r="N38" s="161"/>
      <c r="O38" s="161"/>
      <c r="P38" s="161"/>
      <c r="Q38" s="161"/>
      <c r="R38" s="137" t="s">
        <v>518</v>
      </c>
      <c r="S38" s="186" t="s">
        <v>510</v>
      </c>
      <c r="T38" s="137" t="s">
        <v>491</v>
      </c>
      <c r="U38" s="160"/>
    </row>
    <row r="39" spans="1:21">
      <c r="A39" s="159"/>
      <c r="B39" s="231"/>
      <c r="C39" s="231"/>
      <c r="D39" s="231"/>
      <c r="E39" s="268"/>
      <c r="F39" s="268"/>
      <c r="Q39" s="303"/>
      <c r="R39" s="303"/>
      <c r="S39" s="303"/>
      <c r="T39" s="103"/>
      <c r="U39" s="158"/>
    </row>
    <row r="40" spans="1:21">
      <c r="A40" s="177">
        <f>+A33+1</f>
        <v>17</v>
      </c>
      <c r="B40" s="347"/>
      <c r="C40" s="155" t="s">
        <v>56</v>
      </c>
      <c r="E40" s="535" t="s">
        <v>939</v>
      </c>
      <c r="F40" s="411">
        <v>105</v>
      </c>
      <c r="G40" s="347"/>
      <c r="Q40" s="303"/>
      <c r="R40" s="283">
        <v>42369</v>
      </c>
      <c r="S40" s="283">
        <v>42369</v>
      </c>
      <c r="T40" s="351">
        <f>+SUM(R40:S40)/2</f>
        <v>42369</v>
      </c>
      <c r="U40" s="158"/>
    </row>
    <row r="41" spans="1:21" ht="21" thickBot="1">
      <c r="A41" s="171"/>
      <c r="B41" s="154"/>
      <c r="C41" s="491"/>
      <c r="D41" s="170"/>
      <c r="E41" s="493"/>
      <c r="F41" s="493"/>
      <c r="G41" s="157"/>
      <c r="H41" s="157"/>
      <c r="I41" s="157"/>
      <c r="J41" s="170"/>
      <c r="K41" s="170"/>
      <c r="L41" s="170"/>
      <c r="M41" s="170"/>
      <c r="N41" s="170"/>
      <c r="O41" s="170"/>
      <c r="P41" s="170"/>
      <c r="Q41" s="157"/>
      <c r="R41" s="157"/>
      <c r="S41" s="157"/>
      <c r="T41" s="170"/>
      <c r="U41" s="156"/>
    </row>
    <row r="42" spans="1:21">
      <c r="A42" s="347"/>
      <c r="B42" s="347"/>
      <c r="C42" s="387"/>
      <c r="E42" s="32"/>
      <c r="F42" s="32"/>
      <c r="G42" s="303"/>
      <c r="H42" s="303"/>
      <c r="I42" s="303"/>
    </row>
    <row r="43" spans="1:21">
      <c r="A43" s="347"/>
      <c r="B43" s="347"/>
      <c r="C43" s="387"/>
      <c r="E43" s="32"/>
      <c r="F43" s="32"/>
      <c r="G43" s="303"/>
      <c r="H43" s="303"/>
      <c r="I43" s="303"/>
    </row>
    <row r="44" spans="1:21" ht="21" thickBot="1">
      <c r="A44" s="387" t="s">
        <v>49</v>
      </c>
    </row>
    <row r="45" spans="1:21" ht="41.25" thickBot="1">
      <c r="A45" s="164" t="s">
        <v>475</v>
      </c>
      <c r="B45" s="163" t="s">
        <v>476</v>
      </c>
      <c r="C45" s="163"/>
      <c r="D45" s="163"/>
      <c r="E45" s="187" t="s">
        <v>477</v>
      </c>
      <c r="F45" s="137" t="s">
        <v>478</v>
      </c>
      <c r="G45" s="186" t="s">
        <v>479</v>
      </c>
      <c r="H45" s="185" t="s">
        <v>480</v>
      </c>
      <c r="I45" s="185" t="s">
        <v>481</v>
      </c>
      <c r="J45" s="185" t="s">
        <v>482</v>
      </c>
      <c r="K45" s="185" t="s">
        <v>483</v>
      </c>
      <c r="L45" s="185" t="s">
        <v>371</v>
      </c>
      <c r="M45" s="185" t="s">
        <v>484</v>
      </c>
      <c r="N45" s="185" t="s">
        <v>485</v>
      </c>
      <c r="O45" s="185" t="s">
        <v>486</v>
      </c>
      <c r="P45" s="185" t="s">
        <v>487</v>
      </c>
      <c r="Q45" s="185" t="s">
        <v>488</v>
      </c>
      <c r="R45" s="185" t="s">
        <v>489</v>
      </c>
      <c r="S45" s="186" t="s">
        <v>490</v>
      </c>
      <c r="T45" s="97" t="s">
        <v>491</v>
      </c>
      <c r="U45" s="136"/>
    </row>
    <row r="46" spans="1:21">
      <c r="A46" s="153"/>
      <c r="B46" s="484"/>
      <c r="C46" s="182"/>
      <c r="D46" s="181"/>
      <c r="E46" s="485"/>
      <c r="F46" s="485"/>
      <c r="G46" s="181"/>
      <c r="H46" s="181"/>
      <c r="I46" s="181"/>
      <c r="J46" s="181"/>
      <c r="K46" s="181"/>
      <c r="L46" s="181"/>
      <c r="M46" s="152"/>
      <c r="N46" s="152"/>
      <c r="O46" s="181"/>
      <c r="P46" s="484"/>
      <c r="Q46" s="151"/>
      <c r="R46" s="484"/>
      <c r="S46" s="151"/>
      <c r="T46" s="181"/>
      <c r="U46" s="179"/>
    </row>
    <row r="47" spans="1:21">
      <c r="A47" s="177">
        <f>+A40+1</f>
        <v>18</v>
      </c>
      <c r="B47" s="347"/>
      <c r="C47" s="306" t="s">
        <v>519</v>
      </c>
      <c r="D47" s="303"/>
      <c r="E47" s="32" t="s">
        <v>520</v>
      </c>
      <c r="F47" s="411">
        <v>165</v>
      </c>
      <c r="G47" s="283">
        <v>19209765</v>
      </c>
      <c r="H47" s="283">
        <v>27089759</v>
      </c>
      <c r="I47" s="283">
        <v>28938560</v>
      </c>
      <c r="J47" s="283">
        <v>21605297</v>
      </c>
      <c r="K47" s="283">
        <v>32670586</v>
      </c>
      <c r="L47" s="283">
        <v>41441311</v>
      </c>
      <c r="M47" s="283">
        <v>28882675</v>
      </c>
      <c r="N47" s="283">
        <v>44879673</v>
      </c>
      <c r="O47" s="283">
        <v>57541491</v>
      </c>
      <c r="P47" s="283">
        <v>33360952</v>
      </c>
      <c r="Q47" s="283">
        <v>47220096</v>
      </c>
      <c r="R47" s="283">
        <v>52399433</v>
      </c>
      <c r="S47" s="283">
        <v>34346558</v>
      </c>
      <c r="T47" s="351">
        <f>+AVERAGE(G47:S47)</f>
        <v>36122012</v>
      </c>
      <c r="U47" s="150"/>
    </row>
    <row r="48" spans="1:21">
      <c r="A48" s="177">
        <f>+A47+1</f>
        <v>19</v>
      </c>
      <c r="B48" s="347"/>
      <c r="C48" s="306" t="s">
        <v>521</v>
      </c>
      <c r="E48" s="32" t="s">
        <v>520</v>
      </c>
      <c r="F48" s="411">
        <v>165</v>
      </c>
      <c r="G48" s="149">
        <v>151285</v>
      </c>
      <c r="H48" s="232">
        <v>0</v>
      </c>
      <c r="I48" s="232">
        <v>0</v>
      </c>
      <c r="J48" s="232">
        <v>0</v>
      </c>
      <c r="K48" s="232">
        <v>0</v>
      </c>
      <c r="L48" s="232">
        <v>0</v>
      </c>
      <c r="M48" s="148">
        <v>101864</v>
      </c>
      <c r="N48" s="148">
        <v>40960</v>
      </c>
      <c r="O48" s="232">
        <v>0</v>
      </c>
      <c r="P48" s="232">
        <v>0</v>
      </c>
      <c r="Q48" s="232">
        <v>40960</v>
      </c>
      <c r="R48" s="232">
        <v>0</v>
      </c>
      <c r="S48" s="232">
        <v>0</v>
      </c>
      <c r="T48" s="351">
        <f t="shared" ref="T48:T50" si="5">+AVERAGE(G48:S48)</f>
        <v>25774.538461538461</v>
      </c>
      <c r="U48" s="150"/>
    </row>
    <row r="49" spans="1:21">
      <c r="A49" s="177">
        <f>+A48+1</f>
        <v>20</v>
      </c>
      <c r="B49" s="347"/>
      <c r="C49" s="306" t="s">
        <v>522</v>
      </c>
      <c r="E49" s="32" t="s">
        <v>520</v>
      </c>
      <c r="F49" s="411">
        <v>165</v>
      </c>
      <c r="G49" s="149">
        <v>0</v>
      </c>
      <c r="H49" s="232">
        <v>0</v>
      </c>
      <c r="I49" s="232">
        <v>0</v>
      </c>
      <c r="J49" s="232">
        <v>0</v>
      </c>
      <c r="K49" s="232">
        <v>0</v>
      </c>
      <c r="L49" s="232">
        <v>0</v>
      </c>
      <c r="M49" s="232">
        <v>0</v>
      </c>
      <c r="N49" s="232">
        <v>0</v>
      </c>
      <c r="O49" s="232">
        <v>0</v>
      </c>
      <c r="P49" s="232">
        <v>0</v>
      </c>
      <c r="Q49" s="232">
        <v>0</v>
      </c>
      <c r="R49" s="232">
        <v>0</v>
      </c>
      <c r="S49" s="232">
        <v>0</v>
      </c>
      <c r="T49" s="351">
        <f t="shared" si="5"/>
        <v>0</v>
      </c>
      <c r="U49" s="150"/>
    </row>
    <row r="50" spans="1:21">
      <c r="A50" s="177">
        <f>+A49+1</f>
        <v>21</v>
      </c>
      <c r="B50" s="347"/>
      <c r="C50" s="306" t="s">
        <v>523</v>
      </c>
      <c r="E50" s="32" t="s">
        <v>520</v>
      </c>
      <c r="F50" s="411">
        <v>165</v>
      </c>
      <c r="G50" s="149">
        <v>0</v>
      </c>
      <c r="H50" s="232">
        <v>0</v>
      </c>
      <c r="I50" s="232">
        <v>0</v>
      </c>
      <c r="J50" s="232">
        <v>0</v>
      </c>
      <c r="K50" s="232">
        <v>0</v>
      </c>
      <c r="L50" s="232">
        <v>0</v>
      </c>
      <c r="M50" s="232">
        <v>0</v>
      </c>
      <c r="N50" s="232">
        <v>0</v>
      </c>
      <c r="O50" s="232">
        <v>0</v>
      </c>
      <c r="P50" s="232">
        <v>0</v>
      </c>
      <c r="Q50" s="232">
        <v>0</v>
      </c>
      <c r="R50" s="232">
        <v>0</v>
      </c>
      <c r="S50" s="232">
        <v>0</v>
      </c>
      <c r="T50" s="351">
        <f t="shared" si="5"/>
        <v>0</v>
      </c>
      <c r="U50" s="150"/>
    </row>
    <row r="51" spans="1:21">
      <c r="A51" s="177">
        <f>+A50+1</f>
        <v>22</v>
      </c>
      <c r="B51" s="347"/>
      <c r="C51" s="306" t="s">
        <v>524</v>
      </c>
      <c r="E51" s="32"/>
      <c r="F51" s="411"/>
      <c r="G51" s="347"/>
      <c r="M51" s="147"/>
      <c r="N51" s="147"/>
      <c r="O51" s="351"/>
      <c r="P51" s="351"/>
      <c r="Q51" s="351"/>
      <c r="R51" s="351"/>
      <c r="S51" s="351"/>
      <c r="T51" s="630">
        <f>+T47-T48-T49-T50</f>
        <v>36096237.461538464</v>
      </c>
      <c r="U51" s="150"/>
    </row>
    <row r="52" spans="1:21" ht="21" thickBot="1">
      <c r="A52" s="171"/>
      <c r="B52" s="154"/>
      <c r="C52" s="154"/>
      <c r="D52" s="154"/>
      <c r="E52" s="154"/>
      <c r="F52" s="154"/>
      <c r="G52" s="154"/>
      <c r="H52" s="154"/>
      <c r="I52" s="154"/>
      <c r="J52" s="154"/>
      <c r="K52" s="154"/>
      <c r="L52" s="154"/>
      <c r="M52" s="154"/>
      <c r="N52" s="154"/>
      <c r="O52" s="154"/>
      <c r="P52" s="154"/>
      <c r="Q52" s="154"/>
      <c r="R52" s="154" t="s">
        <v>143</v>
      </c>
      <c r="S52" s="170"/>
      <c r="T52" s="170"/>
      <c r="U52" s="156"/>
    </row>
    <row r="53" spans="1:21">
      <c r="A53" s="347"/>
      <c r="B53" s="347"/>
      <c r="C53" s="347"/>
      <c r="D53" s="347"/>
      <c r="E53" s="347"/>
      <c r="F53" s="347"/>
      <c r="G53" s="347"/>
      <c r="H53" s="347"/>
      <c r="I53" s="347"/>
      <c r="J53" s="347"/>
      <c r="K53" s="347"/>
      <c r="L53" s="347"/>
      <c r="M53" s="347"/>
      <c r="N53" s="347"/>
      <c r="O53" s="347"/>
      <c r="P53" s="347"/>
      <c r="Q53" s="347"/>
      <c r="R53" s="347"/>
    </row>
    <row r="54" spans="1:21">
      <c r="A54" s="347"/>
      <c r="C54" s="32"/>
      <c r="G54" s="303"/>
      <c r="H54" s="303"/>
      <c r="I54" s="303"/>
      <c r="J54" s="303"/>
      <c r="K54" s="303"/>
      <c r="L54" s="303"/>
      <c r="M54" s="303"/>
      <c r="N54" s="303"/>
      <c r="O54" s="303"/>
      <c r="P54" s="303"/>
      <c r="Q54" s="303"/>
      <c r="R54" s="303"/>
      <c r="S54" s="303"/>
      <c r="T54" s="303"/>
    </row>
    <row r="55" spans="1:21" ht="21" thickBot="1">
      <c r="A55" s="387" t="s">
        <v>52</v>
      </c>
      <c r="G55" s="165"/>
      <c r="H55" s="679"/>
      <c r="I55" s="679"/>
      <c r="J55" s="679"/>
      <c r="K55" s="679"/>
      <c r="L55" s="679"/>
      <c r="M55" s="679"/>
      <c r="N55" s="679"/>
      <c r="O55" s="679"/>
      <c r="P55" s="679"/>
      <c r="Q55" s="679"/>
      <c r="R55" s="679"/>
      <c r="S55" s="679"/>
    </row>
    <row r="56" spans="1:21" ht="41.25" thickBot="1">
      <c r="A56" s="164" t="s">
        <v>475</v>
      </c>
      <c r="B56" s="163" t="s">
        <v>476</v>
      </c>
      <c r="C56" s="163"/>
      <c r="D56" s="163"/>
      <c r="E56" s="162" t="s">
        <v>477</v>
      </c>
      <c r="F56" s="137" t="s">
        <v>478</v>
      </c>
      <c r="G56" s="186" t="s">
        <v>479</v>
      </c>
      <c r="H56" s="186" t="s">
        <v>480</v>
      </c>
      <c r="I56" s="186" t="s">
        <v>481</v>
      </c>
      <c r="J56" s="186" t="s">
        <v>482</v>
      </c>
      <c r="K56" s="186" t="s">
        <v>483</v>
      </c>
      <c r="L56" s="186" t="s">
        <v>371</v>
      </c>
      <c r="M56" s="186" t="s">
        <v>484</v>
      </c>
      <c r="N56" s="186" t="s">
        <v>485</v>
      </c>
      <c r="O56" s="186" t="s">
        <v>486</v>
      </c>
      <c r="P56" s="186" t="s">
        <v>487</v>
      </c>
      <c r="Q56" s="186" t="s">
        <v>488</v>
      </c>
      <c r="R56" s="186" t="s">
        <v>489</v>
      </c>
      <c r="S56" s="186" t="s">
        <v>490</v>
      </c>
      <c r="T56" s="137" t="s">
        <v>491</v>
      </c>
      <c r="U56" s="136"/>
    </row>
    <row r="57" spans="1:21">
      <c r="A57" s="177"/>
      <c r="C57" s="32"/>
      <c r="E57" s="351"/>
      <c r="F57" s="351"/>
      <c r="R57" s="303"/>
      <c r="S57" s="303"/>
      <c r="T57" s="303"/>
      <c r="U57" s="158"/>
    </row>
    <row r="58" spans="1:21">
      <c r="A58" s="177"/>
      <c r="C58" s="32"/>
      <c r="E58" s="351"/>
      <c r="F58" s="351"/>
      <c r="R58" s="303"/>
      <c r="S58" s="303"/>
      <c r="T58" s="303"/>
      <c r="U58" s="158"/>
    </row>
    <row r="59" spans="1:21">
      <c r="A59" s="177">
        <f>+A51+1</f>
        <v>23</v>
      </c>
      <c r="C59" s="32" t="s">
        <v>525</v>
      </c>
      <c r="E59" s="306" t="s">
        <v>526</v>
      </c>
      <c r="F59" s="411">
        <v>163</v>
      </c>
      <c r="G59" s="149">
        <v>3117</v>
      </c>
      <c r="H59" s="149">
        <v>6446</v>
      </c>
      <c r="I59" s="149">
        <v>4850</v>
      </c>
      <c r="J59" s="149">
        <v>5796</v>
      </c>
      <c r="K59" s="149">
        <v>13528</v>
      </c>
      <c r="L59" s="149">
        <v>26399</v>
      </c>
      <c r="M59" s="149">
        <v>41233</v>
      </c>
      <c r="N59" s="149">
        <v>30291</v>
      </c>
      <c r="O59" s="149">
        <v>22784</v>
      </c>
      <c r="P59" s="149">
        <v>24644</v>
      </c>
      <c r="Q59" s="149">
        <v>-1262</v>
      </c>
      <c r="R59" s="149">
        <v>-2974</v>
      </c>
      <c r="S59" s="149">
        <v>21020</v>
      </c>
      <c r="T59" s="351">
        <f>AVERAGE(G59:S59)</f>
        <v>15067.076923076924</v>
      </c>
      <c r="U59" s="158"/>
    </row>
    <row r="60" spans="1:21">
      <c r="A60" s="177">
        <f>+A59+1</f>
        <v>24</v>
      </c>
      <c r="C60" s="32" t="s">
        <v>527</v>
      </c>
      <c r="E60" s="306" t="s">
        <v>528</v>
      </c>
      <c r="F60" s="411">
        <v>154</v>
      </c>
      <c r="G60" s="149">
        <v>175344</v>
      </c>
      <c r="H60" s="149">
        <v>287105</v>
      </c>
      <c r="I60" s="149">
        <v>297055</v>
      </c>
      <c r="J60" s="149">
        <v>301413</v>
      </c>
      <c r="K60" s="149">
        <v>349586</v>
      </c>
      <c r="L60" s="149">
        <v>363820</v>
      </c>
      <c r="M60" s="149">
        <v>370721</v>
      </c>
      <c r="N60" s="149">
        <v>376195</v>
      </c>
      <c r="O60" s="149">
        <v>383582</v>
      </c>
      <c r="P60" s="149">
        <v>389643</v>
      </c>
      <c r="Q60" s="149">
        <v>397909</v>
      </c>
      <c r="R60" s="149">
        <v>417495</v>
      </c>
      <c r="S60" s="149">
        <v>566147</v>
      </c>
      <c r="T60" s="351">
        <f t="shared" ref="T60:T61" si="6">AVERAGE(G60:S60)</f>
        <v>359693.46153846156</v>
      </c>
      <c r="U60" s="158"/>
    </row>
    <row r="61" spans="1:21">
      <c r="A61" s="177">
        <f>+A60+1</f>
        <v>25</v>
      </c>
      <c r="C61" s="32" t="s">
        <v>55</v>
      </c>
      <c r="E61" s="306" t="s">
        <v>529</v>
      </c>
      <c r="F61" s="411">
        <v>154</v>
      </c>
      <c r="G61" s="283">
        <v>2016456</v>
      </c>
      <c r="H61" s="145">
        <v>2505181</v>
      </c>
      <c r="I61" s="145">
        <v>2592003</v>
      </c>
      <c r="J61" s="145">
        <v>2630028</v>
      </c>
      <c r="K61" s="145">
        <v>3050365</v>
      </c>
      <c r="L61" s="145">
        <v>3174570</v>
      </c>
      <c r="M61" s="145">
        <v>3234781</v>
      </c>
      <c r="N61" s="145">
        <v>3282552</v>
      </c>
      <c r="O61" s="283">
        <v>3347007</v>
      </c>
      <c r="P61" s="283">
        <v>3399892</v>
      </c>
      <c r="Q61" s="526">
        <v>3472015</v>
      </c>
      <c r="R61" s="283">
        <v>3642915</v>
      </c>
      <c r="S61" s="283">
        <v>4940008</v>
      </c>
      <c r="T61" s="351">
        <f t="shared" si="6"/>
        <v>3175982.5384615385</v>
      </c>
      <c r="U61" s="158"/>
    </row>
    <row r="62" spans="1:21" ht="21" thickBot="1">
      <c r="A62" s="171"/>
      <c r="B62" s="154"/>
      <c r="C62" s="491"/>
      <c r="D62" s="154"/>
      <c r="E62" s="493"/>
      <c r="F62" s="493"/>
      <c r="G62" s="170"/>
      <c r="H62" s="170"/>
      <c r="I62" s="144"/>
      <c r="J62" s="493"/>
      <c r="K62" s="493"/>
      <c r="L62" s="493"/>
      <c r="M62" s="493"/>
      <c r="N62" s="493"/>
      <c r="O62" s="493"/>
      <c r="P62" s="493"/>
      <c r="Q62" s="493"/>
      <c r="R62" s="493"/>
      <c r="S62" s="170"/>
      <c r="T62" s="677"/>
      <c r="U62" s="678"/>
    </row>
    <row r="63" spans="1:21">
      <c r="A63" s="347"/>
      <c r="B63" s="231"/>
      <c r="C63" s="32"/>
      <c r="G63" s="303"/>
      <c r="H63" s="303"/>
      <c r="I63" s="303"/>
      <c r="J63" s="303"/>
      <c r="K63" s="303"/>
      <c r="L63" s="303"/>
      <c r="M63" s="303"/>
      <c r="N63" s="303"/>
      <c r="O63" s="303"/>
      <c r="P63" s="303"/>
      <c r="Q63" s="303"/>
      <c r="R63" s="303"/>
      <c r="S63" s="303"/>
      <c r="T63" s="303"/>
      <c r="U63" s="355"/>
    </row>
    <row r="64" spans="1:21">
      <c r="A64" s="347"/>
      <c r="B64" s="231"/>
      <c r="C64" s="32"/>
      <c r="G64" s="303"/>
      <c r="H64" s="303"/>
      <c r="I64" s="303"/>
      <c r="J64" s="303"/>
      <c r="K64" s="303"/>
      <c r="L64" s="303"/>
      <c r="M64" s="303"/>
      <c r="N64" s="303"/>
      <c r="O64" s="303"/>
      <c r="P64" s="303"/>
      <c r="Q64" s="303"/>
      <c r="R64" s="303"/>
      <c r="S64" s="303"/>
      <c r="T64" s="303"/>
      <c r="U64" s="355"/>
    </row>
    <row r="65" spans="1:21" ht="21" thickBot="1">
      <c r="A65" s="387" t="s">
        <v>530</v>
      </c>
      <c r="G65" s="165"/>
    </row>
    <row r="66" spans="1:21" ht="41.25" thickBot="1">
      <c r="A66" s="164" t="s">
        <v>475</v>
      </c>
      <c r="B66" s="163" t="s">
        <v>476</v>
      </c>
      <c r="C66" s="163"/>
      <c r="D66" s="163"/>
      <c r="E66" s="162" t="s">
        <v>477</v>
      </c>
      <c r="F66" s="137" t="s">
        <v>478</v>
      </c>
      <c r="G66" s="161"/>
      <c r="H66" s="161"/>
      <c r="I66" s="161"/>
      <c r="J66" s="161"/>
      <c r="K66" s="161"/>
      <c r="L66" s="161"/>
      <c r="M66" s="161"/>
      <c r="N66" s="161"/>
      <c r="O66" s="161"/>
      <c r="P66" s="161"/>
      <c r="Q66" s="161"/>
      <c r="R66" s="161"/>
      <c r="S66" s="186" t="s">
        <v>510</v>
      </c>
      <c r="T66" s="143"/>
      <c r="U66" s="160"/>
    </row>
    <row r="67" spans="1:21">
      <c r="A67" s="177">
        <f>+A61+1</f>
        <v>26</v>
      </c>
      <c r="C67" s="32" t="s">
        <v>77</v>
      </c>
      <c r="E67" s="351" t="s">
        <v>531</v>
      </c>
      <c r="F67" s="357" t="s">
        <v>532</v>
      </c>
      <c r="G67" s="347"/>
      <c r="S67" s="283">
        <v>81946674</v>
      </c>
      <c r="U67" s="158"/>
    </row>
    <row r="68" spans="1:21">
      <c r="A68" s="177">
        <f>+A67+1</f>
        <v>27</v>
      </c>
      <c r="C68" s="32" t="s">
        <v>533</v>
      </c>
      <c r="E68" s="306" t="s">
        <v>534</v>
      </c>
      <c r="F68" s="411">
        <v>565</v>
      </c>
      <c r="G68" s="347"/>
      <c r="S68" s="283">
        <v>64486772</v>
      </c>
      <c r="U68" s="158"/>
    </row>
    <row r="69" spans="1:21">
      <c r="A69" s="177">
        <f>+A68+1</f>
        <v>28</v>
      </c>
      <c r="C69" s="32" t="s">
        <v>535</v>
      </c>
      <c r="E69" s="306" t="s">
        <v>536</v>
      </c>
      <c r="F69" s="411">
        <v>561.4</v>
      </c>
      <c r="G69" s="347"/>
      <c r="S69" s="283">
        <v>6154981</v>
      </c>
      <c r="U69" s="158"/>
    </row>
    <row r="70" spans="1:21">
      <c r="A70" s="177">
        <f>+A69+1</f>
        <v>29</v>
      </c>
      <c r="C70" s="32" t="s">
        <v>537</v>
      </c>
      <c r="F70" s="411"/>
      <c r="S70" s="351">
        <f>SUM(S68:S69)</f>
        <v>70641753</v>
      </c>
      <c r="U70" s="158"/>
    </row>
    <row r="71" spans="1:21" ht="21" thickBot="1">
      <c r="A71" s="171"/>
      <c r="B71" s="170"/>
      <c r="C71" s="493"/>
      <c r="D71" s="170"/>
      <c r="E71" s="170"/>
      <c r="F71" s="170"/>
      <c r="G71" s="157"/>
      <c r="H71" s="157"/>
      <c r="I71" s="157"/>
      <c r="J71" s="157"/>
      <c r="K71" s="157"/>
      <c r="L71" s="157"/>
      <c r="M71" s="157"/>
      <c r="N71" s="157"/>
      <c r="O71" s="157"/>
      <c r="P71" s="157"/>
      <c r="Q71" s="157"/>
      <c r="R71" s="157"/>
      <c r="S71" s="157"/>
      <c r="T71" s="157"/>
      <c r="U71" s="156"/>
    </row>
    <row r="72" spans="1:21">
      <c r="A72" s="347"/>
      <c r="C72" s="32"/>
      <c r="G72" s="303"/>
      <c r="H72" s="303"/>
      <c r="I72" s="303"/>
      <c r="J72" s="303"/>
      <c r="K72" s="303"/>
      <c r="L72" s="303"/>
      <c r="M72" s="303"/>
      <c r="N72" s="303"/>
      <c r="O72" s="303"/>
      <c r="P72" s="303"/>
      <c r="Q72" s="303"/>
      <c r="R72" s="303"/>
      <c r="S72" s="303"/>
      <c r="T72" s="303"/>
    </row>
    <row r="73" spans="1:21">
      <c r="A73" s="347"/>
      <c r="C73" s="32"/>
      <c r="G73" s="303"/>
      <c r="H73" s="303"/>
      <c r="I73" s="303"/>
      <c r="J73" s="303"/>
      <c r="K73" s="303"/>
      <c r="L73" s="303"/>
      <c r="M73" s="303"/>
      <c r="N73" s="303"/>
      <c r="O73" s="303"/>
      <c r="P73" s="303"/>
      <c r="Q73" s="303"/>
      <c r="R73" s="303"/>
      <c r="S73" s="303"/>
      <c r="T73" s="303"/>
    </row>
    <row r="74" spans="1:21" ht="21" thickBot="1">
      <c r="A74" s="387" t="s">
        <v>538</v>
      </c>
      <c r="G74" s="165"/>
      <c r="H74" s="303"/>
      <c r="I74" s="303"/>
      <c r="J74" s="303"/>
      <c r="K74" s="303"/>
      <c r="L74" s="303"/>
      <c r="M74" s="303"/>
      <c r="N74" s="303"/>
      <c r="O74" s="303"/>
      <c r="P74" s="303"/>
      <c r="Q74" s="303"/>
      <c r="R74" s="303"/>
      <c r="S74" s="303"/>
      <c r="T74" s="303"/>
      <c r="U74" s="355"/>
    </row>
    <row r="75" spans="1:21" ht="41.25" thickBot="1">
      <c r="A75" s="164" t="s">
        <v>475</v>
      </c>
      <c r="B75" s="163" t="s">
        <v>476</v>
      </c>
      <c r="C75" s="163"/>
      <c r="D75" s="163"/>
      <c r="E75" s="162" t="s">
        <v>477</v>
      </c>
      <c r="F75" s="137" t="s">
        <v>478</v>
      </c>
      <c r="G75" s="161"/>
      <c r="H75" s="142"/>
      <c r="I75" s="142"/>
      <c r="J75" s="142"/>
      <c r="K75" s="142"/>
      <c r="L75" s="142"/>
      <c r="M75" s="142"/>
      <c r="N75" s="142"/>
      <c r="O75" s="142"/>
      <c r="P75" s="142"/>
      <c r="Q75" s="142"/>
      <c r="R75" s="142"/>
      <c r="S75" s="186" t="s">
        <v>510</v>
      </c>
      <c r="T75" s="143"/>
      <c r="U75" s="136"/>
    </row>
    <row r="76" spans="1:21">
      <c r="A76" s="177"/>
      <c r="C76" s="32"/>
      <c r="H76" s="303"/>
      <c r="I76" s="303"/>
      <c r="J76" s="303"/>
      <c r="K76" s="303"/>
      <c r="L76" s="303"/>
      <c r="M76" s="303"/>
      <c r="N76" s="303"/>
      <c r="O76" s="303"/>
      <c r="P76" s="303"/>
      <c r="Q76" s="303"/>
      <c r="R76" s="303"/>
      <c r="U76" s="141"/>
    </row>
    <row r="77" spans="1:21">
      <c r="A77" s="177">
        <f>+A70+1</f>
        <v>30</v>
      </c>
      <c r="B77" s="387"/>
      <c r="C77" s="32" t="s">
        <v>539</v>
      </c>
      <c r="E77" s="306" t="s">
        <v>540</v>
      </c>
      <c r="F77" s="411">
        <v>924</v>
      </c>
      <c r="G77" s="347"/>
      <c r="H77" s="303"/>
      <c r="I77" s="303"/>
      <c r="J77" s="303"/>
      <c r="K77" s="303"/>
      <c r="L77" s="303"/>
      <c r="M77" s="303"/>
      <c r="N77" s="303"/>
      <c r="O77" s="303"/>
      <c r="P77" s="303"/>
      <c r="Q77" s="303"/>
      <c r="R77" s="303"/>
      <c r="S77" s="283">
        <v>5877742</v>
      </c>
      <c r="U77" s="141"/>
    </row>
    <row r="78" spans="1:21" ht="21" thickBot="1">
      <c r="A78" s="171"/>
      <c r="B78" s="140"/>
      <c r="C78" s="493"/>
      <c r="D78" s="170"/>
      <c r="E78" s="170"/>
      <c r="F78" s="170"/>
      <c r="G78" s="157"/>
      <c r="H78" s="157"/>
      <c r="I78" s="157"/>
      <c r="J78" s="157"/>
      <c r="K78" s="157"/>
      <c r="L78" s="157"/>
      <c r="M78" s="157"/>
      <c r="N78" s="157"/>
      <c r="O78" s="157"/>
      <c r="P78" s="157"/>
      <c r="Q78" s="157"/>
      <c r="R78" s="157"/>
      <c r="S78" s="157"/>
      <c r="T78" s="157"/>
      <c r="U78" s="139"/>
    </row>
    <row r="79" spans="1:21">
      <c r="A79" s="347"/>
      <c r="B79" s="347"/>
      <c r="C79" s="387"/>
      <c r="D79" s="347"/>
      <c r="E79" s="32"/>
      <c r="F79" s="32"/>
      <c r="I79" s="138"/>
      <c r="J79" s="32"/>
      <c r="K79" s="32"/>
      <c r="L79" s="32"/>
      <c r="M79" s="32"/>
      <c r="N79" s="32"/>
      <c r="O79" s="32"/>
      <c r="P79" s="32"/>
      <c r="Q79" s="32"/>
      <c r="R79" s="32"/>
      <c r="T79" s="411"/>
    </row>
    <row r="80" spans="1:21" ht="21" thickBot="1">
      <c r="A80" s="387" t="s">
        <v>541</v>
      </c>
    </row>
    <row r="81" spans="1:22" ht="41.25" thickBot="1">
      <c r="A81" s="164" t="s">
        <v>475</v>
      </c>
      <c r="B81" s="163" t="s">
        <v>476</v>
      </c>
      <c r="C81" s="163"/>
      <c r="D81" s="163"/>
      <c r="E81" s="162" t="s">
        <v>477</v>
      </c>
      <c r="F81" s="137" t="s">
        <v>478</v>
      </c>
      <c r="G81" s="186"/>
      <c r="H81" s="186"/>
      <c r="I81" s="186"/>
      <c r="J81" s="186"/>
      <c r="K81" s="186"/>
      <c r="L81" s="186"/>
      <c r="M81" s="186"/>
      <c r="N81" s="186"/>
      <c r="O81" s="186"/>
      <c r="P81" s="186"/>
      <c r="Q81" s="186"/>
      <c r="R81" s="186"/>
      <c r="S81" s="137" t="s">
        <v>510</v>
      </c>
      <c r="T81" s="681"/>
      <c r="U81" s="682"/>
    </row>
    <row r="82" spans="1:22">
      <c r="A82" s="177"/>
      <c r="B82" s="387"/>
      <c r="C82" s="347"/>
      <c r="D82" s="347"/>
      <c r="E82" s="347"/>
      <c r="F82" s="347"/>
      <c r="G82" s="347"/>
      <c r="H82" s="347"/>
      <c r="I82" s="347"/>
      <c r="J82" s="347"/>
      <c r="K82" s="347"/>
      <c r="L82" s="347"/>
      <c r="M82" s="347"/>
      <c r="N82" s="347"/>
      <c r="O82" s="347"/>
      <c r="P82" s="347"/>
      <c r="Q82" s="347"/>
      <c r="R82" s="347"/>
      <c r="U82" s="158"/>
    </row>
    <row r="83" spans="1:22" s="341" customFormat="1">
      <c r="A83" s="177">
        <f>+A77+1</f>
        <v>31</v>
      </c>
      <c r="B83" s="347"/>
      <c r="C83" s="32" t="s">
        <v>542</v>
      </c>
      <c r="D83" s="347"/>
      <c r="E83" s="32" t="s">
        <v>543</v>
      </c>
      <c r="F83" s="411" t="s">
        <v>544</v>
      </c>
      <c r="G83" s="347"/>
      <c r="H83" s="135"/>
      <c r="I83" s="135"/>
      <c r="J83" s="135"/>
      <c r="K83" s="135"/>
      <c r="L83" s="135"/>
      <c r="M83" s="135"/>
      <c r="N83" s="135"/>
      <c r="O83" s="135"/>
      <c r="P83" s="135"/>
      <c r="Q83" s="135" t="s">
        <v>545</v>
      </c>
      <c r="R83" s="135"/>
      <c r="S83" s="351">
        <f>+'13 - A&amp;G Detail'!F37</f>
        <v>80410067</v>
      </c>
      <c r="T83" s="103"/>
      <c r="U83" s="141"/>
      <c r="V83" s="306"/>
    </row>
    <row r="84" spans="1:22">
      <c r="A84" s="177">
        <f>+A83+1</f>
        <v>32</v>
      </c>
      <c r="B84" s="347"/>
      <c r="C84" s="306" t="s">
        <v>546</v>
      </c>
      <c r="D84" s="303"/>
      <c r="E84" s="32" t="s">
        <v>547</v>
      </c>
      <c r="F84" s="411" t="s">
        <v>544</v>
      </c>
      <c r="G84" s="32"/>
      <c r="H84" s="32"/>
      <c r="I84" s="32"/>
      <c r="J84" s="32"/>
      <c r="K84" s="32"/>
      <c r="L84" s="32"/>
      <c r="M84" s="32"/>
      <c r="N84" s="32"/>
      <c r="O84" s="32"/>
      <c r="P84" s="32"/>
      <c r="Q84" s="32"/>
      <c r="R84" s="32"/>
      <c r="S84" s="351">
        <f>+'13 - A&amp;G Detail'!H37</f>
        <v>10212945</v>
      </c>
      <c r="T84" s="649"/>
      <c r="U84" s="680"/>
    </row>
    <row r="85" spans="1:22">
      <c r="A85" s="177">
        <f>+A84+1</f>
        <v>33</v>
      </c>
      <c r="B85" s="347"/>
      <c r="C85" s="306" t="s">
        <v>548</v>
      </c>
      <c r="D85" s="303"/>
      <c r="E85" s="32" t="s">
        <v>547</v>
      </c>
      <c r="F85" s="411" t="s">
        <v>544</v>
      </c>
      <c r="G85" s="32"/>
      <c r="H85" s="32"/>
      <c r="I85" s="32"/>
      <c r="J85" s="32"/>
      <c r="K85" s="32"/>
      <c r="L85" s="32"/>
      <c r="M85" s="32"/>
      <c r="N85" s="32"/>
      <c r="O85" s="32"/>
      <c r="P85" s="32"/>
      <c r="Q85" s="32"/>
      <c r="R85" s="32"/>
      <c r="S85" s="351">
        <f>+'13 - A&amp;G Detail'!H37+'13 - A&amp;G Detail'!J37</f>
        <v>80360264</v>
      </c>
      <c r="T85" s="32"/>
      <c r="U85" s="102"/>
    </row>
    <row r="86" spans="1:22" ht="21" thickBot="1">
      <c r="A86" s="171"/>
      <c r="B86" s="154"/>
      <c r="C86" s="154"/>
      <c r="D86" s="154"/>
      <c r="E86" s="154"/>
      <c r="F86" s="154"/>
      <c r="G86" s="154"/>
      <c r="H86" s="154"/>
      <c r="I86" s="154"/>
      <c r="J86" s="154"/>
      <c r="K86" s="154"/>
      <c r="L86" s="154"/>
      <c r="M86" s="154"/>
      <c r="N86" s="154"/>
      <c r="O86" s="154"/>
      <c r="P86" s="154"/>
      <c r="Q86" s="154"/>
      <c r="R86" s="154"/>
      <c r="S86" s="170"/>
      <c r="T86" s="170"/>
      <c r="U86" s="156"/>
    </row>
    <row r="88" spans="1:22">
      <c r="T88" s="306" t="s">
        <v>143</v>
      </c>
    </row>
    <row r="89" spans="1:22" ht="21" thickBot="1">
      <c r="A89" s="387" t="s">
        <v>549</v>
      </c>
    </row>
    <row r="90" spans="1:22" ht="41.25" thickBot="1">
      <c r="A90" s="164" t="s">
        <v>475</v>
      </c>
      <c r="B90" s="163" t="s">
        <v>476</v>
      </c>
      <c r="C90" s="163"/>
      <c r="D90" s="163"/>
      <c r="E90" s="162" t="s">
        <v>477</v>
      </c>
      <c r="F90" s="137" t="s">
        <v>478</v>
      </c>
      <c r="G90" s="186"/>
      <c r="H90" s="186"/>
      <c r="I90" s="186"/>
      <c r="J90" s="186"/>
      <c r="K90" s="186"/>
      <c r="L90" s="186"/>
      <c r="M90" s="186"/>
      <c r="N90" s="186"/>
      <c r="O90" s="186"/>
      <c r="P90" s="186"/>
      <c r="Q90" s="186"/>
      <c r="R90" s="186"/>
      <c r="S90" s="137" t="s">
        <v>510</v>
      </c>
      <c r="T90" s="137"/>
      <c r="U90" s="136"/>
    </row>
    <row r="91" spans="1:22">
      <c r="A91" s="134"/>
      <c r="B91" s="182"/>
      <c r="C91" s="182"/>
      <c r="D91" s="182"/>
      <c r="E91" s="133"/>
      <c r="F91" s="133"/>
      <c r="G91" s="483"/>
      <c r="H91" s="483"/>
      <c r="I91" s="483"/>
      <c r="J91" s="483"/>
      <c r="K91" s="483"/>
      <c r="L91" s="483"/>
      <c r="M91" s="483"/>
      <c r="N91" s="483"/>
      <c r="O91" s="483"/>
      <c r="P91" s="483"/>
      <c r="Q91" s="483"/>
      <c r="R91" s="483"/>
      <c r="S91" s="132"/>
      <c r="T91" s="132"/>
      <c r="U91" s="131"/>
    </row>
    <row r="92" spans="1:22">
      <c r="A92" s="177">
        <f>+A85+1</f>
        <v>34</v>
      </c>
      <c r="B92" s="347"/>
      <c r="C92" s="32" t="s">
        <v>550</v>
      </c>
      <c r="D92" s="351"/>
      <c r="E92" s="32" t="s">
        <v>551</v>
      </c>
      <c r="F92" s="411">
        <v>928</v>
      </c>
      <c r="G92" s="347"/>
      <c r="H92" s="32"/>
      <c r="I92" s="32"/>
      <c r="J92" s="32"/>
      <c r="K92" s="32"/>
      <c r="L92" s="32"/>
      <c r="M92" s="32"/>
      <c r="N92" s="32"/>
      <c r="O92" s="32"/>
      <c r="P92" s="32"/>
      <c r="Q92" s="32"/>
      <c r="R92" s="32"/>
      <c r="S92" s="283">
        <v>4916422</v>
      </c>
      <c r="T92" s="340"/>
      <c r="U92" s="130"/>
    </row>
    <row r="93" spans="1:22">
      <c r="A93" s="177">
        <f>+A92+1</f>
        <v>35</v>
      </c>
      <c r="B93" s="347"/>
      <c r="C93" s="32" t="s">
        <v>552</v>
      </c>
      <c r="D93" s="347"/>
      <c r="E93" s="32" t="s">
        <v>941</v>
      </c>
      <c r="F93" s="411">
        <v>928</v>
      </c>
      <c r="G93" s="347"/>
      <c r="H93" s="32"/>
      <c r="I93" s="32"/>
      <c r="J93" s="32"/>
      <c r="K93" s="32"/>
      <c r="L93" s="32"/>
      <c r="M93" s="32"/>
      <c r="N93" s="32"/>
      <c r="O93" s="32"/>
      <c r="P93" s="32"/>
      <c r="Q93" s="32"/>
      <c r="R93" s="32"/>
      <c r="S93" s="283">
        <v>94126</v>
      </c>
      <c r="T93" s="303"/>
      <c r="U93" s="130"/>
    </row>
    <row r="94" spans="1:22" ht="21" thickBot="1">
      <c r="A94" s="129"/>
      <c r="B94" s="170"/>
      <c r="C94" s="170"/>
      <c r="D94" s="170"/>
      <c r="E94" s="170"/>
      <c r="F94" s="170"/>
      <c r="G94" s="170"/>
      <c r="H94" s="170"/>
      <c r="I94" s="170"/>
      <c r="J94" s="170"/>
      <c r="K94" s="170"/>
      <c r="L94" s="170"/>
      <c r="M94" s="170"/>
      <c r="N94" s="170"/>
      <c r="O94" s="170"/>
      <c r="P94" s="170"/>
      <c r="Q94" s="170"/>
      <c r="R94" s="170"/>
      <c r="S94" s="170"/>
      <c r="T94" s="170"/>
      <c r="U94" s="156"/>
    </row>
    <row r="97" spans="1:21" ht="21" thickBot="1">
      <c r="A97" s="231" t="s">
        <v>553</v>
      </c>
      <c r="E97" s="32"/>
      <c r="F97" s="32"/>
    </row>
    <row r="98" spans="1:21" ht="41.25" thickBot="1">
      <c r="A98" s="164" t="s">
        <v>475</v>
      </c>
      <c r="B98" s="163" t="s">
        <v>476</v>
      </c>
      <c r="C98" s="163"/>
      <c r="D98" s="163"/>
      <c r="E98" s="162" t="s">
        <v>477</v>
      </c>
      <c r="F98" s="137" t="s">
        <v>478</v>
      </c>
      <c r="G98" s="186"/>
      <c r="H98" s="186"/>
      <c r="I98" s="186"/>
      <c r="J98" s="186"/>
      <c r="K98" s="186"/>
      <c r="L98" s="186"/>
      <c r="M98" s="186"/>
      <c r="N98" s="186"/>
      <c r="O98" s="186"/>
      <c r="P98" s="186"/>
      <c r="Q98" s="186"/>
      <c r="R98" s="186"/>
      <c r="S98" s="137" t="s">
        <v>510</v>
      </c>
      <c r="T98" s="137"/>
      <c r="U98" s="136"/>
    </row>
    <row r="99" spans="1:21">
      <c r="A99" s="159"/>
      <c r="B99" s="231"/>
      <c r="C99" s="231"/>
      <c r="D99" s="231"/>
      <c r="E99" s="268"/>
      <c r="F99" s="268"/>
      <c r="G99" s="345"/>
      <c r="H99" s="345"/>
      <c r="I99" s="345"/>
      <c r="J99" s="345"/>
      <c r="K99" s="345"/>
      <c r="L99" s="345"/>
      <c r="M99" s="345"/>
      <c r="N99" s="345"/>
      <c r="O99" s="345"/>
      <c r="P99" s="345"/>
      <c r="Q99" s="345"/>
      <c r="R99" s="345"/>
      <c r="S99" s="103"/>
      <c r="T99" s="103"/>
      <c r="U99" s="102"/>
    </row>
    <row r="100" spans="1:21">
      <c r="A100" s="177">
        <f>+A93+1</f>
        <v>36</v>
      </c>
      <c r="B100" s="347"/>
      <c r="C100" s="32" t="s">
        <v>554</v>
      </c>
      <c r="E100" s="306" t="s">
        <v>555</v>
      </c>
      <c r="F100" s="306" t="s">
        <v>556</v>
      </c>
      <c r="G100" s="347"/>
      <c r="H100" s="32"/>
      <c r="I100" s="32"/>
      <c r="J100" s="32"/>
      <c r="K100" s="32"/>
      <c r="L100" s="32"/>
      <c r="M100" s="32"/>
      <c r="N100" s="32"/>
      <c r="O100" s="32"/>
      <c r="P100" s="32"/>
      <c r="Q100" s="32"/>
      <c r="R100" s="32"/>
      <c r="S100" s="128">
        <v>0</v>
      </c>
      <c r="T100" s="340"/>
      <c r="U100" s="127"/>
    </row>
    <row r="101" spans="1:21">
      <c r="A101" s="177">
        <f>+A100+1</f>
        <v>37</v>
      </c>
      <c r="B101" s="347"/>
      <c r="C101" s="32" t="s">
        <v>557</v>
      </c>
      <c r="E101" s="306" t="s">
        <v>558</v>
      </c>
      <c r="F101" s="306" t="s">
        <v>556</v>
      </c>
      <c r="G101" s="347"/>
      <c r="H101" s="32"/>
      <c r="I101" s="32"/>
      <c r="J101" s="32"/>
      <c r="K101" s="32"/>
      <c r="L101" s="32"/>
      <c r="M101" s="32"/>
      <c r="N101" s="32"/>
      <c r="O101" s="32"/>
      <c r="P101" s="32"/>
      <c r="Q101" s="32"/>
      <c r="R101" s="32"/>
      <c r="S101" s="128">
        <v>0</v>
      </c>
      <c r="T101" s="340"/>
      <c r="U101" s="127"/>
    </row>
    <row r="102" spans="1:21" ht="21" thickBot="1">
      <c r="A102" s="171"/>
      <c r="B102" s="154"/>
      <c r="C102" s="493"/>
      <c r="D102" s="170"/>
      <c r="E102" s="170"/>
      <c r="F102" s="170"/>
      <c r="G102" s="493"/>
      <c r="H102" s="493"/>
      <c r="I102" s="493"/>
      <c r="J102" s="493"/>
      <c r="K102" s="493"/>
      <c r="L102" s="493"/>
      <c r="M102" s="493"/>
      <c r="N102" s="493"/>
      <c r="O102" s="493"/>
      <c r="P102" s="493"/>
      <c r="Q102" s="493"/>
      <c r="R102" s="493"/>
      <c r="S102" s="157"/>
      <c r="T102" s="126"/>
      <c r="U102" s="125"/>
    </row>
    <row r="103" spans="1:21">
      <c r="U103" s="158"/>
    </row>
    <row r="104" spans="1:21">
      <c r="U104" s="342"/>
    </row>
    <row r="105" spans="1:21" ht="21" thickBot="1">
      <c r="A105" s="387" t="s">
        <v>559</v>
      </c>
      <c r="G105" s="165"/>
    </row>
    <row r="106" spans="1:21" ht="41.25" thickBot="1">
      <c r="A106" s="164" t="s">
        <v>475</v>
      </c>
      <c r="B106" s="163" t="s">
        <v>476</v>
      </c>
      <c r="C106" s="163"/>
      <c r="D106" s="163"/>
      <c r="E106" s="162" t="s">
        <v>477</v>
      </c>
      <c r="F106" s="137" t="s">
        <v>478</v>
      </c>
      <c r="G106" s="161"/>
      <c r="H106" s="161"/>
      <c r="I106" s="161"/>
      <c r="J106" s="161"/>
      <c r="K106" s="161"/>
      <c r="L106" s="161"/>
      <c r="M106" s="161"/>
      <c r="N106" s="161"/>
      <c r="O106" s="161"/>
      <c r="P106" s="161"/>
      <c r="Q106" s="161"/>
      <c r="R106" s="161"/>
      <c r="S106" s="186" t="s">
        <v>510</v>
      </c>
      <c r="T106" s="186"/>
      <c r="U106" s="160"/>
    </row>
    <row r="107" spans="1:21">
      <c r="A107" s="183"/>
      <c r="B107" s="181"/>
      <c r="C107" s="485"/>
      <c r="D107" s="181"/>
      <c r="E107" s="181"/>
      <c r="F107" s="181"/>
      <c r="G107" s="181"/>
      <c r="H107" s="181"/>
      <c r="I107" s="181"/>
      <c r="J107" s="181"/>
      <c r="K107" s="181"/>
      <c r="L107" s="181"/>
      <c r="M107" s="181"/>
      <c r="N107" s="181"/>
      <c r="O107" s="181"/>
      <c r="P107" s="181"/>
      <c r="Q107" s="181"/>
      <c r="R107" s="181"/>
      <c r="S107" s="181"/>
      <c r="T107" s="181"/>
      <c r="U107" s="179"/>
    </row>
    <row r="108" spans="1:21">
      <c r="A108" s="177">
        <f>+A101+1</f>
        <v>38</v>
      </c>
      <c r="B108" s="387"/>
      <c r="C108" s="32" t="s">
        <v>560</v>
      </c>
      <c r="E108" s="306" t="s">
        <v>561</v>
      </c>
      <c r="F108" s="411">
        <v>403</v>
      </c>
      <c r="G108" s="347"/>
      <c r="S108" s="124">
        <v>12896480</v>
      </c>
      <c r="U108" s="158"/>
    </row>
    <row r="109" spans="1:21">
      <c r="A109" s="177">
        <f>+A108+1</f>
        <v>39</v>
      </c>
      <c r="B109" s="387"/>
      <c r="C109" s="32" t="s">
        <v>562</v>
      </c>
      <c r="E109" s="306" t="s">
        <v>563</v>
      </c>
      <c r="F109" s="411">
        <v>403</v>
      </c>
      <c r="S109" s="124">
        <v>1132706</v>
      </c>
      <c r="U109" s="123"/>
    </row>
    <row r="110" spans="1:21">
      <c r="A110" s="177">
        <f>+A109+1</f>
        <v>40</v>
      </c>
      <c r="B110" s="411"/>
      <c r="C110" s="32" t="s">
        <v>564</v>
      </c>
      <c r="E110" s="306" t="s">
        <v>565</v>
      </c>
      <c r="F110" s="411">
        <v>404</v>
      </c>
      <c r="S110" s="283">
        <v>3904989</v>
      </c>
      <c r="U110" s="158"/>
    </row>
    <row r="111" spans="1:21" ht="21" thickBot="1">
      <c r="A111" s="171"/>
      <c r="B111" s="169"/>
      <c r="C111" s="493"/>
      <c r="D111" s="170"/>
      <c r="E111" s="170"/>
      <c r="F111" s="170"/>
      <c r="G111" s="170"/>
      <c r="H111" s="170"/>
      <c r="I111" s="170"/>
      <c r="J111" s="170"/>
      <c r="K111" s="170"/>
      <c r="L111" s="170"/>
      <c r="M111" s="170"/>
      <c r="N111" s="170"/>
      <c r="O111" s="170"/>
      <c r="P111" s="170"/>
      <c r="Q111" s="170"/>
      <c r="R111" s="170"/>
      <c r="S111" s="170"/>
      <c r="T111" s="170"/>
      <c r="U111" s="156"/>
    </row>
    <row r="112" spans="1:21">
      <c r="A112" s="347"/>
      <c r="B112" s="411"/>
      <c r="C112" s="32"/>
      <c r="S112" s="355"/>
      <c r="T112" s="355"/>
      <c r="U112" s="355"/>
    </row>
    <row r="113" spans="1:21">
      <c r="A113" s="347"/>
      <c r="B113" s="411"/>
      <c r="C113" s="32"/>
      <c r="S113" s="355"/>
      <c r="T113" s="355"/>
      <c r="U113" s="355"/>
    </row>
    <row r="114" spans="1:21" ht="21" thickBot="1">
      <c r="A114" s="387" t="s">
        <v>566</v>
      </c>
    </row>
    <row r="115" spans="1:21" ht="41.25" thickBot="1">
      <c r="A115" s="164" t="s">
        <v>475</v>
      </c>
      <c r="B115" s="163" t="s">
        <v>476</v>
      </c>
      <c r="C115" s="163"/>
      <c r="D115" s="163"/>
      <c r="E115" s="162" t="s">
        <v>477</v>
      </c>
      <c r="F115" s="137" t="s">
        <v>478</v>
      </c>
      <c r="G115" s="186"/>
      <c r="H115" s="186"/>
      <c r="I115" s="186"/>
      <c r="J115" s="186"/>
      <c r="K115" s="186"/>
      <c r="L115" s="186"/>
      <c r="M115" s="186"/>
      <c r="N115" s="186"/>
      <c r="O115" s="186"/>
      <c r="P115" s="186"/>
      <c r="Q115" s="186"/>
      <c r="R115" s="186"/>
      <c r="S115" s="137" t="s">
        <v>510</v>
      </c>
      <c r="T115" s="137" t="s">
        <v>567</v>
      </c>
      <c r="U115" s="136"/>
    </row>
    <row r="116" spans="1:21">
      <c r="A116" s="159"/>
      <c r="B116" s="231"/>
      <c r="C116" s="231"/>
      <c r="D116" s="231"/>
      <c r="E116" s="268"/>
      <c r="F116" s="268"/>
      <c r="G116" s="345"/>
      <c r="H116" s="345"/>
      <c r="I116" s="345"/>
      <c r="J116" s="345"/>
      <c r="K116" s="345"/>
      <c r="L116" s="345"/>
      <c r="M116" s="345"/>
      <c r="N116" s="345"/>
      <c r="O116" s="345"/>
      <c r="P116" s="345"/>
      <c r="Q116" s="345"/>
      <c r="R116" s="345"/>
      <c r="S116" s="103"/>
      <c r="T116" s="103"/>
      <c r="U116" s="102"/>
    </row>
    <row r="117" spans="1:21">
      <c r="A117" s="177">
        <f>+A110+1</f>
        <v>41</v>
      </c>
      <c r="B117" s="347"/>
      <c r="C117" s="32" t="s">
        <v>568</v>
      </c>
      <c r="D117" s="347"/>
      <c r="E117" s="32" t="s">
        <v>569</v>
      </c>
      <c r="F117" s="411">
        <v>408.1</v>
      </c>
      <c r="G117" s="347"/>
      <c r="H117" s="32"/>
      <c r="I117" s="32"/>
      <c r="J117" s="32"/>
      <c r="K117" s="32"/>
      <c r="L117" s="32"/>
      <c r="M117" s="32"/>
      <c r="N117" s="32"/>
      <c r="P117" s="32"/>
      <c r="Q117" s="346"/>
      <c r="R117" s="303"/>
      <c r="S117" s="283">
        <v>23297894</v>
      </c>
      <c r="T117" s="283">
        <f>S117</f>
        <v>23297894</v>
      </c>
      <c r="U117" s="122"/>
    </row>
    <row r="118" spans="1:21">
      <c r="A118" s="177">
        <f>+A117+1</f>
        <v>42</v>
      </c>
      <c r="B118" s="347"/>
      <c r="C118" s="32" t="s">
        <v>570</v>
      </c>
      <c r="D118" s="347"/>
      <c r="E118" s="32" t="s">
        <v>571</v>
      </c>
      <c r="F118" s="411">
        <v>408.1</v>
      </c>
      <c r="G118" s="32"/>
      <c r="H118" s="32"/>
      <c r="I118" s="32"/>
      <c r="J118" s="32"/>
      <c r="K118" s="32"/>
      <c r="L118" s="32"/>
      <c r="M118" s="32"/>
      <c r="N118" s="32"/>
      <c r="P118" s="32"/>
      <c r="Q118" s="346"/>
      <c r="R118" s="303"/>
      <c r="S118" s="283">
        <v>0</v>
      </c>
      <c r="T118" s="121"/>
      <c r="U118" s="122"/>
    </row>
    <row r="119" spans="1:21">
      <c r="A119" s="177">
        <f>+A118+1</f>
        <v>43</v>
      </c>
      <c r="B119" s="347"/>
      <c r="C119" s="32" t="s">
        <v>435</v>
      </c>
      <c r="D119" s="347"/>
      <c r="E119" s="32" t="s">
        <v>572</v>
      </c>
      <c r="F119" s="411">
        <v>408.1</v>
      </c>
      <c r="G119" s="32"/>
      <c r="H119" s="32"/>
      <c r="I119" s="32"/>
      <c r="J119" s="32"/>
      <c r="K119" s="32"/>
      <c r="L119" s="32"/>
      <c r="M119" s="32"/>
      <c r="N119" s="32"/>
      <c r="P119" s="32"/>
      <c r="Q119" s="346"/>
      <c r="R119" s="303"/>
      <c r="S119" s="283">
        <v>1015420</v>
      </c>
      <c r="T119" s="351"/>
      <c r="U119" s="122"/>
    </row>
    <row r="120" spans="1:21" ht="21" thickBot="1">
      <c r="A120" s="129"/>
      <c r="B120" s="170"/>
      <c r="C120" s="170"/>
      <c r="D120" s="170"/>
      <c r="E120" s="170"/>
      <c r="F120" s="170"/>
      <c r="G120" s="170"/>
      <c r="H120" s="170"/>
      <c r="I120" s="170"/>
      <c r="J120" s="170"/>
      <c r="K120" s="170"/>
      <c r="L120" s="170"/>
      <c r="M120" s="170"/>
      <c r="N120" s="170"/>
      <c r="O120" s="170"/>
      <c r="P120" s="170"/>
      <c r="Q120" s="170"/>
      <c r="R120" s="170"/>
      <c r="S120" s="170"/>
      <c r="T120" s="170"/>
      <c r="U120" s="156"/>
    </row>
    <row r="123" spans="1:21" ht="21" thickBot="1">
      <c r="A123" s="387" t="s">
        <v>573</v>
      </c>
    </row>
    <row r="124" spans="1:21" ht="41.25" thickBot="1">
      <c r="A124" s="164" t="s">
        <v>475</v>
      </c>
      <c r="B124" s="163" t="s">
        <v>476</v>
      </c>
      <c r="C124" s="163"/>
      <c r="D124" s="163"/>
      <c r="E124" s="162" t="s">
        <v>477</v>
      </c>
      <c r="F124" s="137" t="s">
        <v>478</v>
      </c>
      <c r="G124" s="161"/>
      <c r="H124" s="161"/>
      <c r="I124" s="161"/>
      <c r="J124" s="186"/>
      <c r="K124" s="186"/>
      <c r="L124" s="186"/>
      <c r="M124" s="186"/>
      <c r="N124" s="186"/>
      <c r="O124" s="186"/>
      <c r="P124" s="186"/>
      <c r="Q124" s="186"/>
      <c r="R124" s="137" t="s">
        <v>574</v>
      </c>
      <c r="S124" s="120" t="s">
        <v>510</v>
      </c>
      <c r="T124" s="137" t="s">
        <v>491</v>
      </c>
      <c r="U124" s="136"/>
    </row>
    <row r="125" spans="1:21">
      <c r="A125" s="153"/>
      <c r="B125" s="484"/>
      <c r="C125" s="181"/>
      <c r="D125" s="181"/>
      <c r="E125" s="485"/>
      <c r="F125" s="485"/>
      <c r="G125" s="181"/>
      <c r="H125" s="181"/>
      <c r="I125" s="181"/>
      <c r="J125" s="119"/>
      <c r="K125" s="152"/>
      <c r="L125" s="181"/>
      <c r="M125" s="152"/>
      <c r="N125" s="152"/>
      <c r="O125" s="152"/>
      <c r="P125" s="180"/>
      <c r="Q125" s="180"/>
      <c r="R125" s="181"/>
      <c r="S125" s="181"/>
      <c r="T125" s="181"/>
      <c r="U125" s="179"/>
    </row>
    <row r="126" spans="1:21">
      <c r="A126" s="177">
        <f>+A119+1</f>
        <v>44</v>
      </c>
      <c r="B126" s="387"/>
      <c r="C126" s="306" t="s">
        <v>575</v>
      </c>
      <c r="E126" s="32" t="s">
        <v>576</v>
      </c>
      <c r="F126" s="411">
        <v>427</v>
      </c>
      <c r="G126" s="347"/>
      <c r="J126" s="355"/>
      <c r="K126" s="445"/>
      <c r="M126" s="445"/>
      <c r="N126" s="445"/>
      <c r="O126" s="445"/>
      <c r="P126" s="351"/>
      <c r="Q126" s="351"/>
      <c r="R126" s="118"/>
      <c r="S126" s="232">
        <v>31641223</v>
      </c>
      <c r="T126" s="121"/>
      <c r="U126" s="158"/>
    </row>
    <row r="127" spans="1:21">
      <c r="A127" s="177">
        <f t="shared" ref="A127:A134" si="7">+A126+1</f>
        <v>45</v>
      </c>
      <c r="B127" s="387"/>
      <c r="C127" s="306" t="s">
        <v>577</v>
      </c>
      <c r="E127" s="32" t="s">
        <v>578</v>
      </c>
      <c r="F127" s="411">
        <v>428</v>
      </c>
      <c r="J127" s="355"/>
      <c r="K127" s="445"/>
      <c r="M127" s="445"/>
      <c r="N127" s="445"/>
      <c r="O127" s="445"/>
      <c r="P127" s="351"/>
      <c r="Q127" s="351"/>
      <c r="R127" s="118"/>
      <c r="S127" s="232">
        <v>719429</v>
      </c>
      <c r="T127" s="121"/>
      <c r="U127" s="158"/>
    </row>
    <row r="128" spans="1:21">
      <c r="A128" s="177">
        <f t="shared" si="7"/>
        <v>46</v>
      </c>
      <c r="B128" s="387"/>
      <c r="C128" s="306" t="s">
        <v>579</v>
      </c>
      <c r="E128" s="32" t="s">
        <v>580</v>
      </c>
      <c r="F128" s="411">
        <v>428.1</v>
      </c>
      <c r="J128" s="355"/>
      <c r="K128" s="445"/>
      <c r="M128" s="445"/>
      <c r="N128" s="445"/>
      <c r="O128" s="445"/>
      <c r="P128" s="351"/>
      <c r="Q128" s="351"/>
      <c r="R128" s="118"/>
      <c r="S128" s="232">
        <v>987079</v>
      </c>
      <c r="T128" s="121"/>
      <c r="U128" s="158"/>
    </row>
    <row r="129" spans="1:21">
      <c r="A129" s="177">
        <f t="shared" si="7"/>
        <v>47</v>
      </c>
      <c r="B129" s="387"/>
      <c r="C129" s="306" t="s">
        <v>581</v>
      </c>
      <c r="E129" s="32" t="s">
        <v>582</v>
      </c>
      <c r="F129" s="411">
        <v>429</v>
      </c>
      <c r="J129" s="355"/>
      <c r="K129" s="445"/>
      <c r="M129" s="445"/>
      <c r="N129" s="445"/>
      <c r="O129" s="445"/>
      <c r="P129" s="351"/>
      <c r="Q129" s="351"/>
      <c r="R129" s="118"/>
      <c r="S129" s="232">
        <v>0</v>
      </c>
      <c r="T129" s="121"/>
      <c r="U129" s="158"/>
    </row>
    <row r="130" spans="1:21">
      <c r="A130" s="177">
        <f t="shared" si="7"/>
        <v>48</v>
      </c>
      <c r="B130" s="387"/>
      <c r="C130" s="306" t="s">
        <v>583</v>
      </c>
      <c r="E130" s="32" t="s">
        <v>584</v>
      </c>
      <c r="F130" s="411">
        <v>429.1</v>
      </c>
      <c r="J130" s="355"/>
      <c r="K130" s="445"/>
      <c r="M130" s="445"/>
      <c r="N130" s="445"/>
      <c r="O130" s="445"/>
      <c r="P130" s="351"/>
      <c r="Q130" s="351"/>
      <c r="R130" s="118"/>
      <c r="S130" s="232">
        <v>0</v>
      </c>
      <c r="T130" s="121"/>
      <c r="U130" s="158"/>
    </row>
    <row r="131" spans="1:21">
      <c r="A131" s="177">
        <f t="shared" si="7"/>
        <v>49</v>
      </c>
      <c r="B131" s="387"/>
      <c r="C131" s="306" t="s">
        <v>585</v>
      </c>
      <c r="E131" s="32" t="s">
        <v>586</v>
      </c>
      <c r="F131" s="411">
        <v>430</v>
      </c>
      <c r="J131" s="355"/>
      <c r="K131" s="445"/>
      <c r="M131" s="445"/>
      <c r="N131" s="445"/>
      <c r="O131" s="445"/>
      <c r="P131" s="351"/>
      <c r="Q131" s="351"/>
      <c r="R131" s="118"/>
      <c r="S131" s="232">
        <v>0</v>
      </c>
      <c r="T131" s="121"/>
      <c r="U131" s="158"/>
    </row>
    <row r="132" spans="1:21">
      <c r="A132" s="177">
        <f>+A131+1</f>
        <v>50</v>
      </c>
      <c r="B132" s="387"/>
      <c r="C132" s="306" t="s">
        <v>587</v>
      </c>
      <c r="E132" s="32"/>
      <c r="F132" s="411"/>
      <c r="J132" s="355"/>
      <c r="K132" s="445"/>
      <c r="M132" s="445"/>
      <c r="N132" s="445"/>
      <c r="O132" s="445"/>
      <c r="P132" s="351"/>
      <c r="Q132" s="351"/>
      <c r="R132" s="118"/>
      <c r="S132" s="117">
        <f>+SUM(S126:S131)</f>
        <v>33347731</v>
      </c>
      <c r="T132" s="121"/>
      <c r="U132" s="158"/>
    </row>
    <row r="133" spans="1:21">
      <c r="A133" s="177">
        <f>+A132+1</f>
        <v>51</v>
      </c>
      <c r="B133" s="387"/>
      <c r="C133" s="306" t="s">
        <v>107</v>
      </c>
      <c r="E133" s="351" t="s">
        <v>588</v>
      </c>
      <c r="F133" s="357" t="s">
        <v>589</v>
      </c>
      <c r="J133" s="355"/>
      <c r="K133" s="445"/>
      <c r="M133" s="445"/>
      <c r="N133" s="445"/>
      <c r="O133" s="445"/>
      <c r="P133" s="351"/>
      <c r="Q133" s="351"/>
      <c r="R133" s="116"/>
      <c r="S133" s="232">
        <f>[3]Capitalization!E10</f>
        <v>0</v>
      </c>
      <c r="T133" s="121"/>
      <c r="U133" s="158"/>
    </row>
    <row r="134" spans="1:21">
      <c r="A134" s="177">
        <f t="shared" si="7"/>
        <v>52</v>
      </c>
      <c r="B134" s="347"/>
      <c r="C134" s="351" t="s">
        <v>110</v>
      </c>
      <c r="E134" s="431" t="s">
        <v>590</v>
      </c>
      <c r="F134" s="357" t="s">
        <v>591</v>
      </c>
      <c r="K134" s="115"/>
      <c r="L134" s="32"/>
      <c r="M134" s="147"/>
      <c r="N134" s="147"/>
      <c r="O134" s="147"/>
      <c r="Q134" s="147"/>
      <c r="R134" s="232">
        <v>-741832620</v>
      </c>
      <c r="S134" s="232">
        <v>-979277792</v>
      </c>
      <c r="T134" s="351">
        <f>+(S134+R134)/2</f>
        <v>-860555206</v>
      </c>
      <c r="U134" s="150"/>
    </row>
    <row r="135" spans="1:21">
      <c r="A135" s="177">
        <f t="shared" ref="A135:A143" si="8">+A134+1</f>
        <v>53</v>
      </c>
      <c r="B135" s="347"/>
      <c r="C135" s="351" t="s">
        <v>592</v>
      </c>
      <c r="E135" s="431" t="s">
        <v>593</v>
      </c>
      <c r="F135" s="357">
        <v>219</v>
      </c>
      <c r="K135" s="115"/>
      <c r="L135" s="147"/>
      <c r="M135" s="348"/>
      <c r="N135" s="348"/>
      <c r="O135" s="348"/>
      <c r="P135" s="348"/>
      <c r="Q135" s="303"/>
      <c r="R135" s="232">
        <v>26849084</v>
      </c>
      <c r="S135" s="232">
        <v>27886710</v>
      </c>
      <c r="T135" s="351">
        <f>+(S135+R135)/2</f>
        <v>27367897</v>
      </c>
      <c r="U135" s="150"/>
    </row>
    <row r="136" spans="1:21">
      <c r="A136" s="177">
        <f t="shared" si="8"/>
        <v>54</v>
      </c>
      <c r="B136" s="347"/>
      <c r="C136" s="351" t="s">
        <v>594</v>
      </c>
      <c r="E136" s="431" t="s">
        <v>595</v>
      </c>
      <c r="F136" s="411">
        <v>216.1</v>
      </c>
      <c r="K136" s="114"/>
      <c r="L136" s="147"/>
      <c r="R136" s="232">
        <v>0</v>
      </c>
      <c r="S136" s="232">
        <v>0</v>
      </c>
      <c r="T136" s="351">
        <f>+(R136+S136)/2</f>
        <v>0</v>
      </c>
      <c r="U136" s="158"/>
    </row>
    <row r="137" spans="1:21">
      <c r="A137" s="177">
        <f t="shared" si="8"/>
        <v>55</v>
      </c>
      <c r="B137" s="347"/>
      <c r="C137" s="351" t="s">
        <v>114</v>
      </c>
      <c r="E137" s="431" t="s">
        <v>596</v>
      </c>
      <c r="F137" s="357" t="s">
        <v>597</v>
      </c>
      <c r="R137" s="232">
        <v>-719594748</v>
      </c>
      <c r="S137" s="232">
        <v>-1019501938</v>
      </c>
      <c r="T137" s="351">
        <f>+(R137+S137)/2</f>
        <v>-869548343</v>
      </c>
      <c r="U137" s="158"/>
    </row>
    <row r="138" spans="1:21">
      <c r="A138" s="177">
        <f>+A137+1</f>
        <v>56</v>
      </c>
      <c r="B138" s="347"/>
      <c r="C138" s="351" t="s">
        <v>598</v>
      </c>
      <c r="E138" s="431" t="s">
        <v>599</v>
      </c>
      <c r="F138" s="357">
        <v>181</v>
      </c>
      <c r="R138" s="232">
        <v>7877016</v>
      </c>
      <c r="S138" s="232">
        <v>7804126</v>
      </c>
      <c r="T138" s="351">
        <f>+(R138+S138)/2</f>
        <v>7840571</v>
      </c>
      <c r="U138" s="158"/>
    </row>
    <row r="139" spans="1:21">
      <c r="A139" s="177">
        <f>+A138+1</f>
        <v>57</v>
      </c>
      <c r="B139" s="347"/>
      <c r="C139" s="351" t="s">
        <v>600</v>
      </c>
      <c r="E139" s="431" t="s">
        <v>601</v>
      </c>
      <c r="F139" s="357">
        <v>189</v>
      </c>
      <c r="R139" s="232">
        <v>2044525</v>
      </c>
      <c r="S139" s="232">
        <v>1057446</v>
      </c>
      <c r="T139" s="351">
        <f>+(S139+R139)/2</f>
        <v>1550985.5</v>
      </c>
      <c r="U139" s="158"/>
    </row>
    <row r="140" spans="1:21">
      <c r="A140" s="177">
        <f t="shared" si="8"/>
        <v>58</v>
      </c>
      <c r="B140" s="347"/>
      <c r="C140" s="351" t="s">
        <v>602</v>
      </c>
      <c r="E140" s="431" t="s">
        <v>603</v>
      </c>
      <c r="F140" s="357">
        <v>225</v>
      </c>
      <c r="R140" s="232">
        <v>0</v>
      </c>
      <c r="S140" s="232">
        <v>0</v>
      </c>
      <c r="T140" s="351">
        <f t="shared" ref="T140:T141" si="9">+(S140+R140)/2</f>
        <v>0</v>
      </c>
      <c r="U140" s="158"/>
    </row>
    <row r="141" spans="1:21">
      <c r="A141" s="177">
        <f t="shared" si="8"/>
        <v>59</v>
      </c>
      <c r="B141" s="347"/>
      <c r="C141" s="351" t="s">
        <v>604</v>
      </c>
      <c r="E141" s="431" t="s">
        <v>605</v>
      </c>
      <c r="F141" s="357">
        <v>226</v>
      </c>
      <c r="R141" s="232">
        <v>2413823</v>
      </c>
      <c r="S141" s="232">
        <v>2322448</v>
      </c>
      <c r="T141" s="351">
        <f t="shared" si="9"/>
        <v>2368135.5</v>
      </c>
      <c r="U141" s="158"/>
    </row>
    <row r="142" spans="1:21">
      <c r="A142" s="177">
        <f t="shared" si="8"/>
        <v>60</v>
      </c>
      <c r="B142" s="347"/>
      <c r="C142" s="351" t="s">
        <v>606</v>
      </c>
      <c r="E142" s="431" t="s">
        <v>607</v>
      </c>
      <c r="F142" s="357">
        <v>257</v>
      </c>
      <c r="R142" s="232">
        <v>0</v>
      </c>
      <c r="S142" s="232">
        <v>0</v>
      </c>
      <c r="T142" s="351">
        <f>+(R142+S142)/2</f>
        <v>0</v>
      </c>
      <c r="U142" s="158"/>
    </row>
    <row r="143" spans="1:21">
      <c r="A143" s="177">
        <f t="shared" si="8"/>
        <v>61</v>
      </c>
      <c r="B143" s="347"/>
      <c r="C143" s="351" t="s">
        <v>608</v>
      </c>
      <c r="E143" s="113" t="s">
        <v>609</v>
      </c>
      <c r="F143" s="357" t="s">
        <v>610</v>
      </c>
      <c r="R143" s="112">
        <f>+'1C - ADIT Prior Year'!D78</f>
        <v>-385279</v>
      </c>
      <c r="S143" s="630">
        <f>+'1A - ADIT Current Year'!D83</f>
        <v>-143045.45000000001</v>
      </c>
      <c r="T143" s="351">
        <f>+(R143+S143)/2</f>
        <v>-264162.22499999998</v>
      </c>
      <c r="U143" s="158"/>
    </row>
    <row r="144" spans="1:21">
      <c r="A144" s="177">
        <f>+A143+1</f>
        <v>62</v>
      </c>
      <c r="B144" s="347"/>
      <c r="C144" s="351" t="s">
        <v>611</v>
      </c>
      <c r="E144" s="113" t="s">
        <v>612</v>
      </c>
      <c r="F144" s="357">
        <v>176</v>
      </c>
      <c r="R144" s="232">
        <v>0</v>
      </c>
      <c r="S144" s="232">
        <v>0</v>
      </c>
      <c r="T144" s="351">
        <f t="shared" ref="T144:T145" si="10">+(R144+S144)/2</f>
        <v>0</v>
      </c>
      <c r="U144" s="158"/>
    </row>
    <row r="145" spans="1:21">
      <c r="A145" s="177">
        <f>+A144+1</f>
        <v>63</v>
      </c>
      <c r="B145" s="347"/>
      <c r="C145" s="351" t="s">
        <v>613</v>
      </c>
      <c r="E145" s="113" t="s">
        <v>614</v>
      </c>
      <c r="F145" s="357">
        <v>245</v>
      </c>
      <c r="R145" s="232">
        <v>0</v>
      </c>
      <c r="S145" s="232">
        <v>0</v>
      </c>
      <c r="T145" s="351">
        <f t="shared" si="10"/>
        <v>0</v>
      </c>
      <c r="U145" s="158"/>
    </row>
    <row r="146" spans="1:21" ht="21" thickBot="1">
      <c r="A146" s="171">
        <f>+A145+1</f>
        <v>64</v>
      </c>
      <c r="B146" s="154"/>
      <c r="C146" s="111" t="s">
        <v>126</v>
      </c>
      <c r="D146" s="170"/>
      <c r="E146" s="110" t="s">
        <v>615</v>
      </c>
      <c r="F146" s="109">
        <v>204</v>
      </c>
      <c r="G146" s="170"/>
      <c r="H146" s="170"/>
      <c r="I146" s="170"/>
      <c r="J146" s="170"/>
      <c r="K146" s="170"/>
      <c r="L146" s="170"/>
      <c r="M146" s="170"/>
      <c r="N146" s="170"/>
      <c r="O146" s="170"/>
      <c r="P146" s="170"/>
      <c r="Q146" s="170"/>
      <c r="R146" s="108">
        <v>0</v>
      </c>
      <c r="S146" s="108">
        <v>0</v>
      </c>
      <c r="T146" s="111">
        <v>0</v>
      </c>
      <c r="U146" s="156"/>
    </row>
    <row r="148" spans="1:21">
      <c r="A148" s="231"/>
    </row>
    <row r="149" spans="1:21" ht="21" thickBot="1">
      <c r="A149" s="387" t="s">
        <v>616</v>
      </c>
    </row>
    <row r="150" spans="1:21" ht="41.25" thickBot="1">
      <c r="A150" s="164" t="s">
        <v>475</v>
      </c>
      <c r="B150" s="163" t="s">
        <v>476</v>
      </c>
      <c r="C150" s="163"/>
      <c r="D150" s="163"/>
      <c r="E150" s="162" t="s">
        <v>477</v>
      </c>
      <c r="F150" s="137" t="s">
        <v>478</v>
      </c>
      <c r="G150" s="186"/>
      <c r="H150" s="186"/>
      <c r="I150" s="186"/>
      <c r="J150" s="186"/>
      <c r="K150" s="186"/>
      <c r="L150" s="186"/>
      <c r="M150" s="186"/>
      <c r="N150" s="186"/>
      <c r="O150" s="186"/>
      <c r="P150" s="186"/>
      <c r="Q150" s="186"/>
      <c r="R150" s="186"/>
      <c r="S150" s="137" t="s">
        <v>617</v>
      </c>
      <c r="T150" s="137" t="s">
        <v>618</v>
      </c>
      <c r="U150" s="136" t="s">
        <v>619</v>
      </c>
    </row>
    <row r="151" spans="1:21">
      <c r="A151" s="177" t="s">
        <v>143</v>
      </c>
      <c r="B151" s="434" t="s">
        <v>144</v>
      </c>
      <c r="E151" s="351"/>
      <c r="F151" s="351"/>
      <c r="U151" s="158"/>
    </row>
    <row r="152" spans="1:21">
      <c r="A152" s="177"/>
      <c r="B152" s="434"/>
      <c r="E152" s="351"/>
      <c r="F152" s="351"/>
      <c r="G152" s="355"/>
      <c r="H152" s="351"/>
      <c r="I152" s="351"/>
      <c r="J152" s="351"/>
      <c r="K152" s="351"/>
      <c r="L152" s="351"/>
      <c r="M152" s="351"/>
      <c r="N152" s="351"/>
      <c r="O152" s="351"/>
      <c r="P152" s="351"/>
      <c r="Q152" s="351"/>
      <c r="R152" s="351"/>
      <c r="S152" s="345" t="s">
        <v>620</v>
      </c>
      <c r="T152" s="345"/>
      <c r="U152" s="107"/>
    </row>
    <row r="153" spans="1:21">
      <c r="A153" s="177">
        <f>+A146+1</f>
        <v>65</v>
      </c>
      <c r="B153" s="347"/>
      <c r="C153" s="32" t="str">
        <f>+'Appendix A'!C212</f>
        <v>SIT=State Income Tax Rate or Composite</v>
      </c>
      <c r="D153" s="435"/>
      <c r="E153" s="32"/>
      <c r="F153" s="32"/>
      <c r="G153" s="32"/>
      <c r="H153" s="32"/>
      <c r="I153" s="32"/>
      <c r="J153" s="32"/>
      <c r="K153" s="32"/>
      <c r="L153" s="32"/>
      <c r="M153" s="32"/>
      <c r="N153" s="32"/>
      <c r="O153" s="32"/>
      <c r="P153" s="32"/>
      <c r="Q153" s="32"/>
      <c r="R153" s="32"/>
      <c r="S153" s="106">
        <v>0</v>
      </c>
      <c r="T153" s="407"/>
      <c r="U153" s="105"/>
    </row>
    <row r="154" spans="1:21" ht="21" thickBot="1">
      <c r="A154" s="171">
        <f>+A153+1</f>
        <v>66</v>
      </c>
      <c r="B154" s="170"/>
      <c r="C154" s="170" t="s">
        <v>621</v>
      </c>
      <c r="D154" s="170"/>
      <c r="E154" s="170"/>
      <c r="F154" s="170"/>
      <c r="G154" s="170"/>
      <c r="H154" s="170"/>
      <c r="I154" s="170"/>
      <c r="J154" s="170"/>
      <c r="K154" s="170"/>
      <c r="L154" s="170"/>
      <c r="M154" s="170"/>
      <c r="N154" s="170"/>
      <c r="O154" s="170"/>
      <c r="P154" s="170"/>
      <c r="Q154" s="170"/>
      <c r="R154" s="170"/>
      <c r="S154" s="104">
        <v>1.77E-2</v>
      </c>
      <c r="T154" s="170"/>
      <c r="U154" s="156"/>
    </row>
    <row r="157" spans="1:21" ht="21" thickBot="1">
      <c r="A157" s="387" t="s">
        <v>622</v>
      </c>
    </row>
    <row r="158" spans="1:21" ht="41.25" thickBot="1">
      <c r="A158" s="164" t="s">
        <v>475</v>
      </c>
      <c r="B158" s="163" t="s">
        <v>476</v>
      </c>
      <c r="C158" s="163"/>
      <c r="D158" s="163"/>
      <c r="E158" s="162" t="s">
        <v>477</v>
      </c>
      <c r="F158" s="137" t="s">
        <v>478</v>
      </c>
      <c r="G158" s="161"/>
      <c r="H158" s="186"/>
      <c r="I158" s="186"/>
      <c r="J158" s="186"/>
      <c r="K158" s="186"/>
      <c r="L158" s="186"/>
      <c r="M158" s="186"/>
      <c r="N158" s="186"/>
      <c r="O158" s="186"/>
      <c r="P158" s="186"/>
      <c r="Q158" s="186"/>
      <c r="R158" s="186"/>
      <c r="S158" s="120" t="s">
        <v>510</v>
      </c>
      <c r="T158" s="681"/>
      <c r="U158" s="682"/>
    </row>
    <row r="159" spans="1:21">
      <c r="A159" s="177"/>
      <c r="B159" s="387"/>
      <c r="C159" s="347"/>
      <c r="D159" s="347"/>
      <c r="E159" s="347"/>
      <c r="F159" s="347"/>
      <c r="H159" s="347"/>
      <c r="I159" s="347"/>
      <c r="J159" s="347"/>
      <c r="K159" s="347"/>
      <c r="L159" s="347"/>
      <c r="M159" s="347"/>
      <c r="N159" s="347"/>
      <c r="O159" s="347"/>
      <c r="P159" s="347"/>
      <c r="Q159" s="347"/>
      <c r="R159" s="347"/>
      <c r="S159" s="347"/>
      <c r="U159" s="158"/>
    </row>
    <row r="160" spans="1:21">
      <c r="A160" s="177">
        <f>+A154+1</f>
        <v>67</v>
      </c>
      <c r="B160" s="347"/>
      <c r="C160" s="32" t="s">
        <v>623</v>
      </c>
      <c r="D160" s="347"/>
      <c r="E160" s="32" t="s">
        <v>624</v>
      </c>
      <c r="F160" s="411">
        <v>411.4</v>
      </c>
      <c r="G160" s="347"/>
      <c r="H160" s="32"/>
      <c r="I160" s="32"/>
      <c r="J160" s="32"/>
      <c r="K160" s="32"/>
      <c r="L160" s="32"/>
      <c r="M160" s="32"/>
      <c r="N160" s="32"/>
      <c r="O160" s="32"/>
      <c r="P160" s="32"/>
      <c r="Q160" s="32"/>
      <c r="R160" s="32"/>
      <c r="S160" s="283">
        <v>-27167</v>
      </c>
      <c r="T160" s="685"/>
      <c r="U160" s="686"/>
    </row>
    <row r="161" spans="1:26">
      <c r="A161" s="177">
        <f>+A160+1</f>
        <v>68</v>
      </c>
      <c r="B161" s="347"/>
      <c r="C161" s="32" t="s">
        <v>625</v>
      </c>
      <c r="D161" s="347"/>
      <c r="E161" s="32" t="s">
        <v>624</v>
      </c>
      <c r="F161" s="411">
        <v>411.4</v>
      </c>
      <c r="G161" s="347"/>
      <c r="H161" s="32"/>
      <c r="I161" s="32"/>
      <c r="J161" s="32"/>
      <c r="K161" s="32"/>
      <c r="L161" s="32"/>
      <c r="M161" s="32"/>
      <c r="N161" s="32"/>
      <c r="O161" s="32"/>
      <c r="P161" s="32"/>
      <c r="Q161" s="32"/>
      <c r="R161" s="32"/>
      <c r="S161" s="283">
        <v>-1248</v>
      </c>
      <c r="T161" s="685"/>
      <c r="U161" s="686"/>
    </row>
    <row r="162" spans="1:26" ht="21" thickBot="1">
      <c r="A162" s="171">
        <f>+A161+1</f>
        <v>69</v>
      </c>
      <c r="B162" s="154"/>
      <c r="C162" s="493" t="s">
        <v>626</v>
      </c>
      <c r="D162" s="154"/>
      <c r="E162" s="634" t="s">
        <v>940</v>
      </c>
      <c r="F162" s="169"/>
      <c r="G162" s="154"/>
      <c r="H162" s="154"/>
      <c r="I162" s="154"/>
      <c r="J162" s="154"/>
      <c r="K162" s="154"/>
      <c r="L162" s="154"/>
      <c r="M162" s="154"/>
      <c r="N162" s="154"/>
      <c r="O162" s="154"/>
      <c r="P162" s="154"/>
      <c r="Q162" s="154"/>
      <c r="R162" s="154"/>
      <c r="S162" s="168">
        <v>329354.96000000002</v>
      </c>
      <c r="T162" s="101"/>
      <c r="U162" s="100"/>
      <c r="Z162" s="111"/>
    </row>
    <row r="163" spans="1:26">
      <c r="A163" s="347"/>
      <c r="B163" s="347"/>
      <c r="C163" s="32"/>
      <c r="D163" s="347"/>
      <c r="E163" s="32"/>
      <c r="F163" s="411"/>
      <c r="G163" s="32"/>
      <c r="H163" s="347"/>
      <c r="I163" s="347"/>
      <c r="J163" s="347"/>
      <c r="K163" s="347"/>
      <c r="L163" s="347"/>
      <c r="M163" s="347"/>
      <c r="N163" s="347"/>
      <c r="O163" s="347"/>
      <c r="P163" s="347"/>
      <c r="Q163" s="347"/>
      <c r="R163" s="347"/>
      <c r="S163" s="121"/>
      <c r="T163" s="103"/>
      <c r="U163" s="103"/>
    </row>
    <row r="164" spans="1:26">
      <c r="A164" s="347"/>
      <c r="B164" s="347"/>
      <c r="C164" s="345"/>
      <c r="D164" s="347"/>
      <c r="E164" s="347"/>
      <c r="F164" s="347"/>
      <c r="G164" s="347"/>
      <c r="H164" s="347"/>
      <c r="I164" s="347"/>
      <c r="J164" s="347"/>
      <c r="K164" s="347"/>
      <c r="L164" s="347"/>
      <c r="M164" s="347"/>
      <c r="N164" s="347"/>
      <c r="O164" s="347"/>
      <c r="P164" s="347"/>
      <c r="Q164" s="347"/>
      <c r="R164" s="347"/>
    </row>
    <row r="165" spans="1:26" ht="21" thickBot="1">
      <c r="A165" s="387" t="s">
        <v>627</v>
      </c>
    </row>
    <row r="166" spans="1:26" ht="41.25" thickBot="1">
      <c r="A166" s="189" t="s">
        <v>475</v>
      </c>
      <c r="B166" s="188" t="s">
        <v>476</v>
      </c>
      <c r="C166" s="188"/>
      <c r="D166" s="188"/>
      <c r="E166" s="162" t="s">
        <v>477</v>
      </c>
      <c r="F166" s="137" t="s">
        <v>478</v>
      </c>
      <c r="G166" s="186" t="s">
        <v>479</v>
      </c>
      <c r="H166" s="186" t="s">
        <v>480</v>
      </c>
      <c r="I166" s="186" t="s">
        <v>481</v>
      </c>
      <c r="J166" s="186" t="s">
        <v>482</v>
      </c>
      <c r="K166" s="186" t="s">
        <v>483</v>
      </c>
      <c r="L166" s="186" t="s">
        <v>371</v>
      </c>
      <c r="M166" s="186" t="s">
        <v>484</v>
      </c>
      <c r="N166" s="186" t="s">
        <v>485</v>
      </c>
      <c r="O166" s="186" t="s">
        <v>486</v>
      </c>
      <c r="P166" s="186" t="s">
        <v>487</v>
      </c>
      <c r="Q166" s="186" t="s">
        <v>488</v>
      </c>
      <c r="R166" s="186" t="s">
        <v>489</v>
      </c>
      <c r="S166" s="186" t="s">
        <v>490</v>
      </c>
      <c r="T166" s="137" t="s">
        <v>491</v>
      </c>
      <c r="U166" s="136"/>
    </row>
    <row r="167" spans="1:26">
      <c r="A167" s="134"/>
      <c r="B167" s="182"/>
      <c r="C167" s="182"/>
      <c r="D167" s="182"/>
      <c r="E167" s="99"/>
      <c r="F167" s="133"/>
      <c r="G167" s="483"/>
      <c r="H167" s="483"/>
      <c r="I167" s="483"/>
      <c r="J167" s="483"/>
      <c r="K167" s="483"/>
      <c r="L167" s="483"/>
      <c r="M167" s="483"/>
      <c r="N167" s="483"/>
      <c r="O167" s="483"/>
      <c r="P167" s="483"/>
      <c r="Q167" s="483"/>
      <c r="R167" s="483"/>
      <c r="S167" s="132"/>
      <c r="T167" s="132"/>
      <c r="U167" s="98"/>
    </row>
    <row r="168" spans="1:26">
      <c r="A168" s="177">
        <f>+A162+1</f>
        <v>70</v>
      </c>
      <c r="C168" s="306" t="str">
        <f>+'Appendix A'!C258</f>
        <v>Excluded Transmission Facilities</v>
      </c>
      <c r="E168" s="32">
        <v>206</v>
      </c>
      <c r="F168" s="411" t="s">
        <v>500</v>
      </c>
      <c r="G168" s="283">
        <v>2437101</v>
      </c>
      <c r="H168" s="283">
        <v>3249993</v>
      </c>
      <c r="I168" s="283">
        <v>3249993</v>
      </c>
      <c r="J168" s="283">
        <v>3249993</v>
      </c>
      <c r="K168" s="283">
        <v>3249993</v>
      </c>
      <c r="L168" s="283">
        <v>3249993</v>
      </c>
      <c r="M168" s="283">
        <v>3249993</v>
      </c>
      <c r="N168" s="283">
        <v>3249993</v>
      </c>
      <c r="O168" s="283">
        <v>3249993</v>
      </c>
      <c r="P168" s="283">
        <v>3249993</v>
      </c>
      <c r="Q168" s="283">
        <v>3249993</v>
      </c>
      <c r="R168" s="283">
        <v>3249993</v>
      </c>
      <c r="S168" s="283">
        <v>3249993</v>
      </c>
      <c r="T168" s="351">
        <f>+AVERAGE(G168:S168)</f>
        <v>3187462.846153846</v>
      </c>
      <c r="U168" s="158"/>
    </row>
    <row r="169" spans="1:26" ht="21" thickBot="1">
      <c r="A169" s="129"/>
      <c r="B169" s="170"/>
      <c r="C169" s="170"/>
      <c r="D169" s="170"/>
      <c r="E169" s="170"/>
      <c r="F169" s="170"/>
      <c r="G169" s="170"/>
      <c r="H169" s="111"/>
      <c r="I169" s="170"/>
      <c r="J169" s="170"/>
      <c r="K169" s="170"/>
      <c r="L169" s="170"/>
      <c r="M169" s="170"/>
      <c r="N169" s="170"/>
      <c r="O169" s="170"/>
      <c r="P169" s="170"/>
      <c r="Q169" s="170"/>
      <c r="R169" s="170"/>
      <c r="S169" s="170"/>
      <c r="T169" s="170"/>
      <c r="U169" s="156"/>
    </row>
    <row r="171" spans="1:26">
      <c r="A171" s="347"/>
      <c r="B171" s="347"/>
      <c r="C171" s="347"/>
      <c r="D171" s="347"/>
      <c r="E171" s="347"/>
      <c r="F171" s="347"/>
      <c r="G171" s="347"/>
      <c r="H171" s="347"/>
      <c r="I171" s="347"/>
      <c r="J171" s="347"/>
      <c r="K171" s="347"/>
      <c r="L171" s="347"/>
      <c r="M171" s="347"/>
      <c r="N171" s="347"/>
      <c r="O171" s="347"/>
      <c r="P171" s="347"/>
      <c r="Q171" s="347"/>
      <c r="R171" s="347"/>
    </row>
    <row r="172" spans="1:26" ht="21" thickBot="1">
      <c r="A172" s="387" t="s">
        <v>196</v>
      </c>
    </row>
    <row r="173" spans="1:26" ht="41.25" thickBot="1">
      <c r="A173" s="189" t="s">
        <v>475</v>
      </c>
      <c r="B173" s="188" t="s">
        <v>476</v>
      </c>
      <c r="C173" s="188"/>
      <c r="D173" s="188"/>
      <c r="E173" s="162" t="s">
        <v>477</v>
      </c>
      <c r="F173" s="137" t="s">
        <v>478</v>
      </c>
      <c r="G173" s="185"/>
      <c r="H173" s="185"/>
      <c r="I173" s="185"/>
      <c r="J173" s="185"/>
      <c r="K173" s="185"/>
      <c r="L173" s="185"/>
      <c r="M173" s="185"/>
      <c r="N173" s="185"/>
      <c r="O173" s="185"/>
      <c r="P173" s="185"/>
      <c r="Q173" s="185"/>
      <c r="R173" s="185"/>
      <c r="S173" s="97" t="s">
        <v>510</v>
      </c>
      <c r="T173" s="683"/>
      <c r="U173" s="684"/>
    </row>
    <row r="174" spans="1:26">
      <c r="A174" s="134"/>
      <c r="B174" s="182"/>
      <c r="C174" s="182"/>
      <c r="D174" s="182"/>
      <c r="E174" s="133"/>
      <c r="F174" s="133"/>
      <c r="G174" s="483"/>
      <c r="H174" s="483"/>
      <c r="I174" s="483"/>
      <c r="J174" s="483"/>
      <c r="K174" s="483"/>
      <c r="L174" s="483"/>
      <c r="M174" s="483"/>
      <c r="N174" s="483"/>
      <c r="O174" s="483"/>
      <c r="P174" s="483"/>
      <c r="Q174" s="483"/>
      <c r="R174" s="483"/>
      <c r="S174" s="132"/>
      <c r="T174" s="132"/>
      <c r="U174" s="131"/>
    </row>
    <row r="175" spans="1:26">
      <c r="A175" s="177">
        <f>+A168+1</f>
        <v>71</v>
      </c>
      <c r="B175" s="347"/>
      <c r="C175" s="32" t="str">
        <f>+'Appendix A'!C283</f>
        <v>Facility Credits under Section 30.9 of the PJM OATT</v>
      </c>
      <c r="E175" s="347"/>
      <c r="F175" s="357" t="str">
        <f>"(Appendix A, Note "&amp;'Appendix A'!B315&amp;")"</f>
        <v>(Appendix A, Note S)</v>
      </c>
      <c r="G175" s="411"/>
      <c r="H175" s="347"/>
      <c r="I175" s="347"/>
      <c r="J175" s="347"/>
      <c r="K175" s="347"/>
      <c r="L175" s="347"/>
      <c r="M175" s="347"/>
      <c r="N175" s="347"/>
      <c r="O175" s="347"/>
      <c r="P175" s="347"/>
      <c r="Q175" s="347"/>
      <c r="R175" s="347"/>
      <c r="S175" s="128">
        <v>0</v>
      </c>
      <c r="T175" s="685"/>
      <c r="U175" s="686"/>
    </row>
    <row r="176" spans="1:26" ht="21" thickBot="1">
      <c r="A176" s="171"/>
      <c r="B176" s="154"/>
      <c r="C176" s="154"/>
      <c r="D176" s="154"/>
      <c r="E176" s="154"/>
      <c r="F176" s="154"/>
      <c r="G176" s="154"/>
      <c r="H176" s="154"/>
      <c r="I176" s="154"/>
      <c r="J176" s="154"/>
      <c r="K176" s="154"/>
      <c r="L176" s="154"/>
      <c r="M176" s="154"/>
      <c r="N176" s="154"/>
      <c r="O176" s="154"/>
      <c r="P176" s="154"/>
      <c r="Q176" s="154"/>
      <c r="R176" s="154"/>
      <c r="S176" s="170"/>
      <c r="T176" s="170"/>
      <c r="U176" s="156"/>
    </row>
    <row r="179" spans="1:21" ht="21" thickBot="1">
      <c r="A179" s="387" t="s">
        <v>628</v>
      </c>
    </row>
    <row r="180" spans="1:21" ht="41.25" thickBot="1">
      <c r="A180" s="189" t="s">
        <v>475</v>
      </c>
      <c r="B180" s="188" t="s">
        <v>476</v>
      </c>
      <c r="C180" s="188"/>
      <c r="D180" s="188"/>
      <c r="E180" s="162" t="s">
        <v>477</v>
      </c>
      <c r="F180" s="137" t="s">
        <v>478</v>
      </c>
      <c r="G180" s="185"/>
      <c r="H180" s="185"/>
      <c r="I180" s="185"/>
      <c r="J180" s="185"/>
      <c r="K180" s="185"/>
      <c r="L180" s="185"/>
      <c r="M180" s="185"/>
      <c r="N180" s="185"/>
      <c r="O180" s="185"/>
      <c r="P180" s="185"/>
      <c r="Q180" s="185"/>
      <c r="R180" s="185"/>
      <c r="S180" s="97" t="s">
        <v>629</v>
      </c>
      <c r="T180" s="681"/>
      <c r="U180" s="682"/>
    </row>
    <row r="181" spans="1:21">
      <c r="A181" s="134"/>
      <c r="B181" s="182"/>
      <c r="C181" s="182"/>
      <c r="D181" s="182"/>
      <c r="E181" s="133"/>
      <c r="F181" s="133"/>
      <c r="G181" s="483"/>
      <c r="H181" s="483"/>
      <c r="I181" s="483"/>
      <c r="J181" s="483"/>
      <c r="K181" s="483"/>
      <c r="L181" s="483"/>
      <c r="M181" s="483"/>
      <c r="N181" s="483"/>
      <c r="O181" s="483"/>
      <c r="P181" s="483"/>
      <c r="Q181" s="483"/>
      <c r="R181" s="483"/>
      <c r="S181" s="132"/>
      <c r="T181" s="132"/>
      <c r="U181" s="131"/>
    </row>
    <row r="182" spans="1:21">
      <c r="A182" s="177"/>
      <c r="B182" s="387" t="s">
        <v>630</v>
      </c>
      <c r="G182" s="347"/>
      <c r="U182" s="158"/>
    </row>
    <row r="183" spans="1:21">
      <c r="A183" s="177">
        <f>+A175+1</f>
        <v>72</v>
      </c>
      <c r="B183" s="347"/>
      <c r="C183" s="32" t="s">
        <v>631</v>
      </c>
      <c r="D183" s="32"/>
      <c r="E183" s="32" t="s">
        <v>632</v>
      </c>
      <c r="F183" s="411" t="s">
        <v>589</v>
      </c>
      <c r="H183" s="32"/>
      <c r="I183" s="32"/>
      <c r="J183" s="32"/>
      <c r="K183" s="32"/>
      <c r="L183" s="32"/>
      <c r="M183" s="32"/>
      <c r="N183" s="32"/>
      <c r="O183" s="32"/>
      <c r="P183" s="32"/>
      <c r="Q183" s="32"/>
      <c r="R183" s="32"/>
      <c r="S183" s="96">
        <v>3329.9</v>
      </c>
      <c r="T183" s="685"/>
      <c r="U183" s="686"/>
    </row>
    <row r="184" spans="1:21" ht="21" thickBot="1">
      <c r="A184" s="129"/>
      <c r="B184" s="170"/>
      <c r="C184" s="170"/>
      <c r="D184" s="170"/>
      <c r="E184" s="170"/>
      <c r="F184" s="170"/>
      <c r="G184" s="170"/>
      <c r="H184" s="170"/>
      <c r="I184" s="170"/>
      <c r="J184" s="170"/>
      <c r="K184" s="170"/>
      <c r="L184" s="170"/>
      <c r="M184" s="170"/>
      <c r="N184" s="170"/>
      <c r="O184" s="170"/>
      <c r="P184" s="170"/>
      <c r="Q184" s="170"/>
      <c r="R184" s="170"/>
      <c r="S184" s="170"/>
      <c r="T184" s="170"/>
      <c r="U184" s="156"/>
    </row>
    <row r="185" spans="1:21">
      <c r="D185" s="95"/>
    </row>
    <row r="186" spans="1:21">
      <c r="A186" s="387"/>
      <c r="U186" s="267"/>
    </row>
    <row r="187" spans="1:21" ht="21" thickBot="1">
      <c r="A187" s="231" t="s">
        <v>46</v>
      </c>
      <c r="K187" s="94"/>
      <c r="L187" s="94"/>
      <c r="M187" s="94"/>
      <c r="N187" s="94"/>
      <c r="O187" s="94"/>
      <c r="P187" s="94"/>
      <c r="Q187" s="94"/>
      <c r="R187" s="94"/>
    </row>
    <row r="188" spans="1:21" ht="41.25" thickBot="1">
      <c r="A188" s="164" t="s">
        <v>475</v>
      </c>
      <c r="B188" s="163" t="s">
        <v>476</v>
      </c>
      <c r="C188" s="163"/>
      <c r="D188" s="163"/>
      <c r="E188" s="162" t="s">
        <v>477</v>
      </c>
      <c r="F188" s="137" t="s">
        <v>478</v>
      </c>
      <c r="G188" s="186"/>
      <c r="H188" s="186" t="s">
        <v>633</v>
      </c>
      <c r="I188" s="186" t="s">
        <v>634</v>
      </c>
      <c r="J188" s="186" t="s">
        <v>635</v>
      </c>
      <c r="K188" s="186" t="s">
        <v>67</v>
      </c>
      <c r="L188" s="186"/>
      <c r="M188" s="186"/>
      <c r="N188" s="186"/>
      <c r="O188" s="186"/>
      <c r="P188" s="186"/>
      <c r="Q188" s="186"/>
      <c r="R188" s="186"/>
      <c r="S188" s="137"/>
      <c r="T188" s="681"/>
      <c r="U188" s="682"/>
    </row>
    <row r="189" spans="1:21">
      <c r="A189" s="93"/>
      <c r="B189" s="234"/>
      <c r="C189" s="234"/>
      <c r="D189" s="234"/>
      <c r="E189" s="92"/>
      <c r="F189" s="92"/>
      <c r="G189" s="234"/>
      <c r="H189" s="233"/>
      <c r="I189" s="233"/>
      <c r="J189" s="233"/>
      <c r="K189" s="91"/>
      <c r="L189" s="91"/>
      <c r="M189" s="91"/>
      <c r="N189" s="91"/>
      <c r="O189" s="91"/>
      <c r="P189" s="91"/>
      <c r="Q189" s="91"/>
      <c r="R189" s="91"/>
      <c r="S189" s="345"/>
      <c r="T189" s="103"/>
      <c r="U189" s="102"/>
    </row>
    <row r="190" spans="1:21">
      <c r="A190" s="177">
        <f>+A183+1</f>
        <v>73</v>
      </c>
      <c r="C190" s="306" t="s">
        <v>636</v>
      </c>
      <c r="D190" s="234"/>
      <c r="E190" s="306" t="s">
        <v>637</v>
      </c>
      <c r="F190" s="306">
        <v>182.1</v>
      </c>
      <c r="G190" s="234"/>
      <c r="H190" s="90">
        <v>0</v>
      </c>
      <c r="I190" s="90">
        <v>0</v>
      </c>
      <c r="J190" s="90">
        <v>0</v>
      </c>
      <c r="K190" s="355">
        <f>+H190+I190+J190</f>
        <v>0</v>
      </c>
      <c r="L190" s="91"/>
      <c r="M190" s="91"/>
      <c r="N190" s="91"/>
      <c r="O190" s="91"/>
      <c r="P190" s="91"/>
      <c r="Q190" s="91"/>
      <c r="R190" s="91"/>
      <c r="S190" s="345"/>
      <c r="T190" s="103"/>
      <c r="U190" s="102"/>
    </row>
    <row r="191" spans="1:21">
      <c r="A191" s="177">
        <f>+A190+1</f>
        <v>74</v>
      </c>
      <c r="C191" s="306" t="s">
        <v>638</v>
      </c>
      <c r="D191" s="233"/>
      <c r="E191" s="306" t="str">
        <f>+E190</f>
        <v>Per FERC Order</v>
      </c>
      <c r="G191" s="234"/>
      <c r="H191" s="90">
        <v>0</v>
      </c>
      <c r="I191" s="90">
        <v>0</v>
      </c>
      <c r="J191" s="90">
        <v>0</v>
      </c>
      <c r="K191" s="355"/>
      <c r="L191" s="91"/>
      <c r="M191" s="91"/>
      <c r="N191" s="91"/>
      <c r="O191" s="91"/>
      <c r="P191" s="91"/>
      <c r="Q191" s="91"/>
      <c r="R191" s="91"/>
      <c r="S191" s="345"/>
      <c r="T191" s="103"/>
      <c r="U191" s="102"/>
    </row>
    <row r="192" spans="1:21">
      <c r="A192" s="177">
        <f>+A191+1</f>
        <v>75</v>
      </c>
      <c r="C192" s="306" t="s">
        <v>639</v>
      </c>
      <c r="D192" s="233"/>
      <c r="E192" s="306" t="str">
        <f>"(Line "&amp;A190&amp;") / (Line "&amp;A191&amp;")"</f>
        <v>(Line 73) / (Line 74)</v>
      </c>
      <c r="F192" s="306">
        <v>407</v>
      </c>
      <c r="G192" s="234"/>
      <c r="H192" s="90">
        <v>0</v>
      </c>
      <c r="I192" s="90">
        <v>0</v>
      </c>
      <c r="J192" s="90">
        <v>0</v>
      </c>
      <c r="K192" s="355">
        <f>+H192+I192+J192</f>
        <v>0</v>
      </c>
      <c r="L192" s="91"/>
      <c r="M192" s="91"/>
      <c r="N192" s="91"/>
      <c r="O192" s="91"/>
      <c r="P192" s="91"/>
      <c r="Q192" s="91"/>
      <c r="R192" s="91"/>
      <c r="S192" s="345"/>
      <c r="T192" s="103"/>
      <c r="U192" s="102"/>
    </row>
    <row r="193" spans="1:21">
      <c r="A193" s="177"/>
      <c r="D193" s="233"/>
      <c r="G193" s="234"/>
      <c r="H193" s="431"/>
      <c r="I193" s="431"/>
      <c r="J193" s="431"/>
      <c r="K193" s="355"/>
      <c r="L193" s="91"/>
      <c r="M193" s="91"/>
      <c r="N193" s="91"/>
      <c r="O193" s="91"/>
      <c r="P193" s="91"/>
      <c r="Q193" s="91"/>
      <c r="R193" s="91"/>
      <c r="S193" s="345"/>
      <c r="T193" s="103"/>
      <c r="U193" s="102"/>
    </row>
    <row r="194" spans="1:21">
      <c r="A194" s="177">
        <f>+A192+1</f>
        <v>76</v>
      </c>
      <c r="C194" s="306" t="s">
        <v>640</v>
      </c>
      <c r="D194" s="233"/>
      <c r="E194" s="306" t="str">
        <f>"(Line "&amp;A190&amp;") - (Line "&amp;A192&amp;")"</f>
        <v>(Line 73) - (Line 75)</v>
      </c>
      <c r="F194" s="306">
        <v>182.1</v>
      </c>
      <c r="G194" s="89"/>
      <c r="H194" s="431">
        <f>+H190-H192</f>
        <v>0</v>
      </c>
      <c r="I194" s="431">
        <f>+I190-I192</f>
        <v>0</v>
      </c>
      <c r="J194" s="431">
        <f>+J190-J192</f>
        <v>0</v>
      </c>
      <c r="K194" s="355">
        <f>+H194+I194+J194</f>
        <v>0</v>
      </c>
      <c r="L194" s="91"/>
      <c r="M194" s="91"/>
      <c r="N194" s="91"/>
      <c r="O194" s="91"/>
      <c r="P194" s="91"/>
      <c r="Q194" s="91"/>
      <c r="R194" s="91"/>
      <c r="S194" s="345"/>
      <c r="T194" s="103"/>
      <c r="U194" s="102"/>
    </row>
    <row r="195" spans="1:21">
      <c r="A195" s="177">
        <f>+A194+1</f>
        <v>77</v>
      </c>
      <c r="C195" s="306" t="s">
        <v>641</v>
      </c>
      <c r="D195" s="233"/>
      <c r="E195" s="306" t="str">
        <f>"(Line "&amp;A190&amp;") + (Line "&amp;A194&amp;") / 2"</f>
        <v>(Line 73) + (Line 76) / 2</v>
      </c>
      <c r="G195" s="234"/>
      <c r="H195" s="431">
        <f>+H190/2+H194/2</f>
        <v>0</v>
      </c>
      <c r="I195" s="431">
        <f>+I190/2+I194/2</f>
        <v>0</v>
      </c>
      <c r="J195" s="431">
        <f>+J190/2+J194/2</f>
        <v>0</v>
      </c>
      <c r="K195" s="355">
        <f>+H195+I195+J195</f>
        <v>0</v>
      </c>
      <c r="L195" s="91"/>
      <c r="M195" s="91"/>
      <c r="N195" s="91"/>
      <c r="O195" s="91"/>
      <c r="P195" s="91"/>
      <c r="Q195" s="91"/>
      <c r="R195" s="91"/>
      <c r="S195" s="345"/>
      <c r="T195" s="103"/>
      <c r="U195" s="102"/>
    </row>
    <row r="196" spans="1:21">
      <c r="A196" s="88"/>
      <c r="C196" s="234"/>
      <c r="D196" s="233"/>
      <c r="G196" s="234"/>
      <c r="H196" s="234"/>
      <c r="I196" s="234"/>
      <c r="J196" s="234"/>
      <c r="K196" s="234"/>
      <c r="L196" s="94"/>
      <c r="M196" s="94"/>
      <c r="N196" s="94"/>
      <c r="O196" s="94"/>
      <c r="P196" s="94"/>
      <c r="Q196" s="94"/>
      <c r="R196" s="94"/>
      <c r="U196" s="158"/>
    </row>
    <row r="197" spans="1:21" ht="21" thickBot="1">
      <c r="A197" s="87"/>
      <c r="B197" s="170"/>
      <c r="C197" s="170" t="s">
        <v>642</v>
      </c>
      <c r="D197" s="154"/>
      <c r="E197" s="170"/>
      <c r="F197" s="170"/>
      <c r="G197" s="170"/>
      <c r="H197" s="154" t="s">
        <v>643</v>
      </c>
      <c r="I197" s="154" t="s">
        <v>644</v>
      </c>
      <c r="J197" s="154" t="s">
        <v>643</v>
      </c>
      <c r="K197" s="154"/>
      <c r="L197" s="86"/>
      <c r="M197" s="85"/>
      <c r="N197" s="85"/>
      <c r="O197" s="85"/>
      <c r="P197" s="85"/>
      <c r="Q197" s="85"/>
      <c r="R197" s="85"/>
      <c r="S197" s="170"/>
      <c r="T197" s="170"/>
      <c r="U197" s="156"/>
    </row>
    <row r="200" spans="1:21" ht="21" thickBot="1">
      <c r="A200" s="387" t="s">
        <v>645</v>
      </c>
      <c r="G200" s="165"/>
      <c r="H200" s="679"/>
      <c r="I200" s="679"/>
      <c r="J200" s="679"/>
      <c r="K200" s="679"/>
      <c r="L200" s="679"/>
      <c r="M200" s="679"/>
      <c r="N200" s="679"/>
      <c r="O200" s="679"/>
      <c r="P200" s="679"/>
      <c r="Q200" s="679"/>
      <c r="R200" s="679"/>
      <c r="S200" s="679"/>
    </row>
    <row r="201" spans="1:21" ht="41.25" thickBot="1">
      <c r="A201" s="164" t="s">
        <v>475</v>
      </c>
      <c r="B201" s="163" t="s">
        <v>476</v>
      </c>
      <c r="C201" s="163"/>
      <c r="D201" s="163"/>
      <c r="E201" s="162" t="s">
        <v>477</v>
      </c>
      <c r="F201" s="137" t="s">
        <v>478</v>
      </c>
      <c r="G201" s="161"/>
      <c r="H201" s="161"/>
      <c r="I201" s="161"/>
      <c r="J201" s="161"/>
      <c r="K201" s="161"/>
      <c r="L201" s="161"/>
      <c r="M201" s="161"/>
      <c r="N201" s="161"/>
      <c r="O201" s="161"/>
      <c r="P201" s="161"/>
      <c r="Q201" s="137" t="s">
        <v>518</v>
      </c>
      <c r="R201" s="137" t="s">
        <v>646</v>
      </c>
      <c r="S201" s="137" t="s">
        <v>647</v>
      </c>
      <c r="T201" s="137" t="s">
        <v>491</v>
      </c>
      <c r="U201" s="136"/>
    </row>
    <row r="202" spans="1:21">
      <c r="A202" s="177"/>
      <c r="C202" s="32"/>
      <c r="E202" s="351"/>
      <c r="F202" s="351"/>
      <c r="Q202" s="303"/>
      <c r="R202" s="303"/>
      <c r="S202" s="303"/>
      <c r="T202" s="303"/>
      <c r="U202" s="158"/>
    </row>
    <row r="203" spans="1:21">
      <c r="A203" s="177">
        <f>+A195+1</f>
        <v>78</v>
      </c>
      <c r="C203" s="32" t="s">
        <v>43</v>
      </c>
      <c r="E203" s="534" t="s">
        <v>1055</v>
      </c>
      <c r="F203" s="357" t="s">
        <v>986</v>
      </c>
      <c r="J203" s="303"/>
      <c r="Q203" s="351">
        <f>+'9 - Excess ADIT'!R38+'9 - Excess ADIT'!R64</f>
        <v>-26850592.270620577</v>
      </c>
      <c r="R203" s="351">
        <f>+'9 - Excess ADIT'!S70</f>
        <v>-2735614.6613900829</v>
      </c>
      <c r="S203" s="351">
        <f>+'9 - Excess ADIT'!T38+'9 - Excess ADIT'!T64</f>
        <v>-24114977.609230496</v>
      </c>
      <c r="T203" s="351">
        <f>+(S203+Q203)/2</f>
        <v>-25482784.939925537</v>
      </c>
      <c r="U203" s="158"/>
    </row>
    <row r="204" spans="1:21" ht="21" thickBot="1">
      <c r="A204" s="171"/>
      <c r="B204" s="154"/>
      <c r="C204" s="491"/>
      <c r="D204" s="154"/>
      <c r="E204" s="493"/>
      <c r="F204" s="493"/>
      <c r="G204" s="170"/>
      <c r="H204" s="170"/>
      <c r="I204" s="144"/>
      <c r="J204" s="493"/>
      <c r="K204" s="493"/>
      <c r="L204" s="493"/>
      <c r="M204" s="493"/>
      <c r="N204" s="493"/>
      <c r="O204" s="493"/>
      <c r="P204" s="493"/>
      <c r="Q204" s="493"/>
      <c r="R204" s="493"/>
      <c r="S204" s="111"/>
      <c r="T204" s="677"/>
      <c r="U204" s="678"/>
    </row>
    <row r="206" spans="1:21">
      <c r="U206" s="342"/>
    </row>
    <row r="207" spans="1:21" ht="21" thickBot="1">
      <c r="A207" s="387" t="s">
        <v>62</v>
      </c>
      <c r="G207" s="165"/>
      <c r="H207" s="679"/>
      <c r="I207" s="679"/>
      <c r="J207" s="679"/>
      <c r="K207" s="679"/>
      <c r="L207" s="679"/>
      <c r="M207" s="679"/>
      <c r="N207" s="679"/>
      <c r="O207" s="679"/>
      <c r="P207" s="679"/>
      <c r="Q207" s="679"/>
      <c r="R207" s="679"/>
      <c r="S207" s="679"/>
      <c r="U207" s="267"/>
    </row>
    <row r="208" spans="1:21" ht="41.25" thickBot="1">
      <c r="A208" s="164" t="s">
        <v>475</v>
      </c>
      <c r="B208" s="163" t="s">
        <v>476</v>
      </c>
      <c r="C208" s="163"/>
      <c r="D208" s="163"/>
      <c r="E208" s="162" t="s">
        <v>477</v>
      </c>
      <c r="F208" s="137" t="s">
        <v>478</v>
      </c>
      <c r="G208" s="186" t="s">
        <v>479</v>
      </c>
      <c r="H208" s="186" t="s">
        <v>480</v>
      </c>
      <c r="I208" s="186" t="s">
        <v>481</v>
      </c>
      <c r="J208" s="186" t="s">
        <v>482</v>
      </c>
      <c r="K208" s="186" t="s">
        <v>483</v>
      </c>
      <c r="L208" s="186" t="s">
        <v>371</v>
      </c>
      <c r="M208" s="186" t="s">
        <v>484</v>
      </c>
      <c r="N208" s="186" t="s">
        <v>485</v>
      </c>
      <c r="O208" s="186" t="s">
        <v>486</v>
      </c>
      <c r="P208" s="186" t="s">
        <v>487</v>
      </c>
      <c r="Q208" s="186" t="s">
        <v>488</v>
      </c>
      <c r="R208" s="186" t="s">
        <v>489</v>
      </c>
      <c r="S208" s="186" t="s">
        <v>490</v>
      </c>
      <c r="T208" s="137" t="s">
        <v>491</v>
      </c>
      <c r="U208" s="136"/>
    </row>
    <row r="209" spans="1:21">
      <c r="A209" s="177"/>
      <c r="C209" s="32"/>
      <c r="E209" s="351"/>
      <c r="F209" s="351"/>
      <c r="Q209" s="303"/>
      <c r="R209" s="303"/>
      <c r="S209" s="303"/>
      <c r="T209" s="303"/>
      <c r="U209" s="158"/>
    </row>
    <row r="210" spans="1:21">
      <c r="A210" s="177"/>
      <c r="B210" s="387" t="s">
        <v>62</v>
      </c>
      <c r="C210" s="32"/>
      <c r="E210" s="351"/>
      <c r="F210" s="351"/>
      <c r="G210" s="347"/>
      <c r="Q210" s="303"/>
      <c r="R210" s="303"/>
      <c r="S210" s="303"/>
      <c r="T210" s="303"/>
      <c r="U210" s="158"/>
    </row>
    <row r="211" spans="1:21">
      <c r="A211" s="177"/>
      <c r="C211" s="32"/>
      <c r="E211" s="351"/>
      <c r="F211" s="351"/>
      <c r="Q211" s="303"/>
      <c r="R211" s="303"/>
      <c r="S211" s="303"/>
      <c r="T211" s="303"/>
      <c r="U211" s="158"/>
    </row>
    <row r="212" spans="1:21">
      <c r="A212" s="177">
        <f>+A203+1</f>
        <v>79</v>
      </c>
      <c r="C212" s="32" t="s">
        <v>63</v>
      </c>
      <c r="E212" s="306" t="s">
        <v>648</v>
      </c>
      <c r="F212" s="411">
        <v>228.1</v>
      </c>
      <c r="G212" s="207">
        <v>0</v>
      </c>
      <c r="H212" s="207">
        <v>0</v>
      </c>
      <c r="I212" s="207">
        <v>0</v>
      </c>
      <c r="J212" s="207">
        <v>0</v>
      </c>
      <c r="K212" s="207">
        <v>0</v>
      </c>
      <c r="L212" s="207">
        <v>0</v>
      </c>
      <c r="M212" s="207">
        <v>0</v>
      </c>
      <c r="N212" s="207">
        <v>0</v>
      </c>
      <c r="O212" s="207">
        <v>0</v>
      </c>
      <c r="P212" s="207">
        <v>0</v>
      </c>
      <c r="Q212" s="207">
        <v>0</v>
      </c>
      <c r="R212" s="207">
        <v>0</v>
      </c>
      <c r="S212" s="207">
        <v>0</v>
      </c>
      <c r="T212" s="351">
        <f>AVERAGE(G212:S212)</f>
        <v>0</v>
      </c>
      <c r="U212" s="158"/>
    </row>
    <row r="213" spans="1:21">
      <c r="A213" s="177">
        <f>+A212+1</f>
        <v>80</v>
      </c>
      <c r="C213" s="32" t="s">
        <v>65</v>
      </c>
      <c r="E213" s="306" t="s">
        <v>649</v>
      </c>
      <c r="F213" s="411">
        <v>228.2</v>
      </c>
      <c r="G213" s="207">
        <v>-1073423</v>
      </c>
      <c r="H213" s="207">
        <v>-1073423</v>
      </c>
      <c r="I213" s="207">
        <v>-1073423</v>
      </c>
      <c r="J213" s="207">
        <v>-1073423</v>
      </c>
      <c r="K213" s="207">
        <v>-1073423</v>
      </c>
      <c r="L213" s="207">
        <v>-1073423</v>
      </c>
      <c r="M213" s="207">
        <v>-1173423</v>
      </c>
      <c r="N213" s="207">
        <v>-1173423</v>
      </c>
      <c r="O213" s="207">
        <v>-1173423</v>
      </c>
      <c r="P213" s="207">
        <v>-1098423</v>
      </c>
      <c r="Q213" s="207">
        <v>-1098423</v>
      </c>
      <c r="R213" s="207">
        <v>-1098423</v>
      </c>
      <c r="S213" s="207">
        <v>-1245828</v>
      </c>
      <c r="T213" s="351">
        <f>AVERAGE(G213:S213)</f>
        <v>-1115531.076923077</v>
      </c>
      <c r="U213" s="158"/>
    </row>
    <row r="214" spans="1:21">
      <c r="A214" s="177">
        <f>+A213+1</f>
        <v>81</v>
      </c>
      <c r="C214" s="32" t="s">
        <v>650</v>
      </c>
      <c r="E214" s="306" t="s">
        <v>651</v>
      </c>
      <c r="F214" s="411">
        <v>228.3</v>
      </c>
      <c r="G214" s="207">
        <v>-1741509</v>
      </c>
      <c r="H214" s="207">
        <v>-1755037</v>
      </c>
      <c r="I214" s="207">
        <v>-1758684</v>
      </c>
      <c r="J214" s="207">
        <v>-1767063</v>
      </c>
      <c r="K214" s="207">
        <v>-1799064</v>
      </c>
      <c r="L214" s="207">
        <v>-1749772</v>
      </c>
      <c r="M214" s="207">
        <v>-1754682</v>
      </c>
      <c r="N214" s="207">
        <v>-1766574</v>
      </c>
      <c r="O214" s="207">
        <v>-1794367</v>
      </c>
      <c r="P214" s="207">
        <v>-1803968</v>
      </c>
      <c r="Q214" s="207">
        <v>-1741332</v>
      </c>
      <c r="R214" s="207">
        <v>-1749389</v>
      </c>
      <c r="S214" s="207">
        <v>-1578667</v>
      </c>
      <c r="T214" s="351">
        <f>AVERAGE(G214:S214)</f>
        <v>-1750777.5384615385</v>
      </c>
      <c r="U214" s="158"/>
    </row>
    <row r="215" spans="1:21">
      <c r="A215" s="177">
        <f>+A214+1</f>
        <v>82</v>
      </c>
      <c r="C215" s="32" t="s">
        <v>652</v>
      </c>
      <c r="E215" s="306" t="s">
        <v>653</v>
      </c>
      <c r="F215" s="411">
        <v>228.4</v>
      </c>
      <c r="G215" s="207">
        <v>0</v>
      </c>
      <c r="H215" s="207">
        <v>0</v>
      </c>
      <c r="I215" s="207">
        <v>0</v>
      </c>
      <c r="J215" s="207">
        <v>0</v>
      </c>
      <c r="K215" s="207">
        <v>0</v>
      </c>
      <c r="L215" s="207">
        <v>0</v>
      </c>
      <c r="M215" s="207">
        <v>0</v>
      </c>
      <c r="N215" s="207">
        <v>0</v>
      </c>
      <c r="O215" s="207">
        <v>0</v>
      </c>
      <c r="P215" s="207">
        <v>0</v>
      </c>
      <c r="Q215" s="207">
        <v>0</v>
      </c>
      <c r="R215" s="207">
        <v>0</v>
      </c>
      <c r="S215" s="207">
        <v>0</v>
      </c>
      <c r="T215" s="351">
        <f>AVERAGE(G215:S215)</f>
        <v>0</v>
      </c>
      <c r="U215" s="158"/>
    </row>
    <row r="216" spans="1:21">
      <c r="A216" s="177"/>
      <c r="C216" s="32"/>
      <c r="J216" s="303"/>
      <c r="Q216" s="138"/>
      <c r="R216" s="138"/>
      <c r="S216" s="138"/>
      <c r="T216" s="138"/>
      <c r="U216" s="158"/>
    </row>
    <row r="217" spans="1:21" ht="21" thickBot="1">
      <c r="A217" s="87" t="s">
        <v>654</v>
      </c>
      <c r="B217" s="154"/>
      <c r="C217" s="491"/>
      <c r="D217" s="154"/>
      <c r="E217" s="493"/>
      <c r="F217" s="493"/>
      <c r="G217" s="170"/>
      <c r="H217" s="170"/>
      <c r="I217" s="144"/>
      <c r="J217" s="493"/>
      <c r="K217" s="493"/>
      <c r="L217" s="493"/>
      <c r="M217" s="493"/>
      <c r="N217" s="493"/>
      <c r="O217" s="493"/>
      <c r="P217" s="493"/>
      <c r="Q217" s="493"/>
      <c r="R217" s="493"/>
      <c r="S217" s="170"/>
      <c r="T217" s="677"/>
      <c r="U217" s="678"/>
    </row>
    <row r="219" spans="1:21" ht="21" thickBot="1">
      <c r="A219" s="387" t="s">
        <v>72</v>
      </c>
      <c r="G219" s="165"/>
      <c r="H219" s="679"/>
      <c r="I219" s="679"/>
      <c r="J219" s="679"/>
      <c r="K219" s="679"/>
      <c r="L219" s="679"/>
      <c r="M219" s="679"/>
      <c r="N219" s="679"/>
      <c r="O219" s="679"/>
      <c r="P219" s="679"/>
      <c r="Q219" s="679"/>
      <c r="R219" s="679"/>
      <c r="S219" s="679"/>
    </row>
    <row r="220" spans="1:21" ht="41.25" thickBot="1">
      <c r="A220" s="164" t="s">
        <v>475</v>
      </c>
      <c r="B220" s="163" t="s">
        <v>476</v>
      </c>
      <c r="C220" s="163"/>
      <c r="D220" s="163"/>
      <c r="E220" s="162" t="s">
        <v>477</v>
      </c>
      <c r="F220" s="137" t="s">
        <v>478</v>
      </c>
      <c r="G220" s="186" t="s">
        <v>479</v>
      </c>
      <c r="H220" s="186" t="s">
        <v>480</v>
      </c>
      <c r="I220" s="186" t="s">
        <v>481</v>
      </c>
      <c r="J220" s="186" t="s">
        <v>482</v>
      </c>
      <c r="K220" s="186" t="s">
        <v>483</v>
      </c>
      <c r="L220" s="186" t="s">
        <v>371</v>
      </c>
      <c r="M220" s="186" t="s">
        <v>484</v>
      </c>
      <c r="N220" s="186" t="s">
        <v>485</v>
      </c>
      <c r="O220" s="186" t="s">
        <v>486</v>
      </c>
      <c r="P220" s="186" t="s">
        <v>487</v>
      </c>
      <c r="Q220" s="186" t="s">
        <v>488</v>
      </c>
      <c r="R220" s="186" t="s">
        <v>489</v>
      </c>
      <c r="S220" s="186" t="s">
        <v>490</v>
      </c>
      <c r="T220" s="137" t="s">
        <v>491</v>
      </c>
      <c r="U220" s="136"/>
    </row>
    <row r="221" spans="1:21">
      <c r="A221" s="177"/>
      <c r="C221" s="32"/>
      <c r="E221" s="351"/>
      <c r="F221" s="351"/>
      <c r="Q221" s="303"/>
      <c r="R221" s="303"/>
      <c r="S221" s="303"/>
      <c r="T221" s="303"/>
      <c r="U221" s="158"/>
    </row>
    <row r="222" spans="1:21">
      <c r="A222" s="177">
        <f>+A215+1</f>
        <v>83</v>
      </c>
      <c r="C222" s="32" t="s">
        <v>655</v>
      </c>
      <c r="E222" s="306" t="s">
        <v>656</v>
      </c>
      <c r="F222" s="306">
        <v>253</v>
      </c>
      <c r="G222" s="128">
        <v>0</v>
      </c>
      <c r="H222" s="128">
        <v>0</v>
      </c>
      <c r="I222" s="128">
        <v>0</v>
      </c>
      <c r="J222" s="128">
        <v>0</v>
      </c>
      <c r="K222" s="128">
        <v>0</v>
      </c>
      <c r="L222" s="128">
        <v>0</v>
      </c>
      <c r="M222" s="128">
        <v>0</v>
      </c>
      <c r="N222" s="128">
        <v>0</v>
      </c>
      <c r="O222" s="128">
        <v>0</v>
      </c>
      <c r="P222" s="128">
        <v>0</v>
      </c>
      <c r="Q222" s="128">
        <v>0</v>
      </c>
      <c r="R222" s="128">
        <v>0</v>
      </c>
      <c r="S222" s="128">
        <v>0</v>
      </c>
      <c r="T222" s="351">
        <f>AVERAGE(G222:S222)</f>
        <v>0</v>
      </c>
      <c r="U222" s="158"/>
    </row>
    <row r="223" spans="1:21" ht="21" thickBot="1">
      <c r="A223" s="87"/>
      <c r="B223" s="154"/>
      <c r="C223" s="491"/>
      <c r="D223" s="154"/>
      <c r="E223" s="493"/>
      <c r="F223" s="493"/>
      <c r="G223" s="170"/>
      <c r="H223" s="170"/>
      <c r="I223" s="144"/>
      <c r="J223" s="493"/>
      <c r="K223" s="493"/>
      <c r="L223" s="493"/>
      <c r="M223" s="493"/>
      <c r="N223" s="493"/>
      <c r="O223" s="493"/>
      <c r="P223" s="493"/>
      <c r="Q223" s="493"/>
      <c r="R223" s="493"/>
      <c r="S223" s="170"/>
      <c r="T223" s="677"/>
      <c r="U223" s="678"/>
    </row>
    <row r="227" spans="1:21" ht="21" thickBot="1">
      <c r="A227" s="231" t="s">
        <v>71</v>
      </c>
    </row>
    <row r="228" spans="1:21" ht="41.25" thickBot="1">
      <c r="A228" s="164" t="s">
        <v>475</v>
      </c>
      <c r="B228" s="163" t="s">
        <v>476</v>
      </c>
      <c r="C228" s="163"/>
      <c r="D228" s="163"/>
      <c r="E228" s="162" t="s">
        <v>477</v>
      </c>
      <c r="F228" s="137" t="s">
        <v>478</v>
      </c>
      <c r="G228" s="186" t="s">
        <v>479</v>
      </c>
      <c r="H228" s="186" t="s">
        <v>480</v>
      </c>
      <c r="I228" s="186" t="s">
        <v>481</v>
      </c>
      <c r="J228" s="186" t="s">
        <v>482</v>
      </c>
      <c r="K228" s="186" t="s">
        <v>483</v>
      </c>
      <c r="L228" s="186" t="s">
        <v>371</v>
      </c>
      <c r="M228" s="186" t="s">
        <v>484</v>
      </c>
      <c r="N228" s="186" t="s">
        <v>485</v>
      </c>
      <c r="O228" s="186" t="s">
        <v>486</v>
      </c>
      <c r="P228" s="186" t="s">
        <v>487</v>
      </c>
      <c r="Q228" s="186" t="s">
        <v>488</v>
      </c>
      <c r="R228" s="186" t="s">
        <v>489</v>
      </c>
      <c r="S228" s="186" t="s">
        <v>490</v>
      </c>
      <c r="T228" s="137" t="s">
        <v>491</v>
      </c>
      <c r="U228" s="136"/>
    </row>
    <row r="229" spans="1:21">
      <c r="A229" s="177">
        <f>+A222+1</f>
        <v>84</v>
      </c>
      <c r="C229" s="32" t="s">
        <v>657</v>
      </c>
      <c r="E229" s="351" t="s">
        <v>658</v>
      </c>
      <c r="F229" s="357">
        <v>252</v>
      </c>
      <c r="G229" s="128">
        <v>0</v>
      </c>
      <c r="H229" s="128">
        <v>0</v>
      </c>
      <c r="I229" s="128">
        <v>0</v>
      </c>
      <c r="J229" s="128">
        <v>0</v>
      </c>
      <c r="K229" s="128">
        <v>0</v>
      </c>
      <c r="L229" s="128">
        <v>0</v>
      </c>
      <c r="M229" s="128">
        <v>0</v>
      </c>
      <c r="N229" s="128">
        <v>0</v>
      </c>
      <c r="O229" s="128">
        <v>0</v>
      </c>
      <c r="P229" s="128">
        <v>0</v>
      </c>
      <c r="Q229" s="128">
        <v>0</v>
      </c>
      <c r="R229" s="128">
        <v>0</v>
      </c>
      <c r="S229" s="128">
        <v>0</v>
      </c>
      <c r="T229" s="351">
        <f>AVERAGE(G229:S229)</f>
        <v>0</v>
      </c>
      <c r="U229" s="158"/>
    </row>
    <row r="230" spans="1:21">
      <c r="A230" s="177">
        <f>+A229+1</f>
        <v>85</v>
      </c>
      <c r="C230" s="32" t="s">
        <v>659</v>
      </c>
      <c r="E230" s="351" t="s">
        <v>660</v>
      </c>
      <c r="F230" s="357">
        <v>235</v>
      </c>
      <c r="G230" s="128">
        <v>0</v>
      </c>
      <c r="H230" s="128">
        <v>0</v>
      </c>
      <c r="I230" s="128">
        <v>0</v>
      </c>
      <c r="J230" s="128">
        <v>0</v>
      </c>
      <c r="K230" s="128">
        <v>0</v>
      </c>
      <c r="L230" s="128">
        <v>0</v>
      </c>
      <c r="M230" s="128">
        <v>0</v>
      </c>
      <c r="N230" s="128">
        <v>0</v>
      </c>
      <c r="O230" s="128">
        <v>0</v>
      </c>
      <c r="P230" s="128">
        <v>0</v>
      </c>
      <c r="Q230" s="128">
        <v>0</v>
      </c>
      <c r="R230" s="128">
        <v>0</v>
      </c>
      <c r="S230" s="128">
        <v>0</v>
      </c>
      <c r="T230" s="351">
        <f>AVERAGE(G230:S230)</f>
        <v>0</v>
      </c>
      <c r="U230" s="158"/>
    </row>
    <row r="231" spans="1:21">
      <c r="A231" s="177">
        <f>+A230+1</f>
        <v>86</v>
      </c>
      <c r="C231" s="32" t="s">
        <v>67</v>
      </c>
      <c r="E231" s="351"/>
      <c r="F231" s="357"/>
      <c r="G231" s="340"/>
      <c r="H231" s="340"/>
      <c r="I231" s="340"/>
      <c r="J231" s="340"/>
      <c r="K231" s="340"/>
      <c r="L231" s="340"/>
      <c r="M231" s="340"/>
      <c r="N231" s="340"/>
      <c r="O231" s="340"/>
      <c r="P231" s="340"/>
      <c r="Q231" s="340"/>
      <c r="R231" s="340"/>
      <c r="S231" s="340"/>
      <c r="T231" s="351">
        <f>+T229+T230</f>
        <v>0</v>
      </c>
      <c r="U231" s="158"/>
    </row>
    <row r="232" spans="1:21" ht="21" thickBot="1">
      <c r="A232" s="87"/>
      <c r="B232" s="170"/>
      <c r="C232" s="493"/>
      <c r="D232" s="170"/>
      <c r="E232" s="170" t="s">
        <v>661</v>
      </c>
      <c r="F232" s="170"/>
      <c r="G232" s="157"/>
      <c r="H232" s="157"/>
      <c r="I232" s="157"/>
      <c r="J232" s="157"/>
      <c r="K232" s="157"/>
      <c r="L232" s="157"/>
      <c r="M232" s="157"/>
      <c r="N232" s="157"/>
      <c r="O232" s="157"/>
      <c r="P232" s="157"/>
      <c r="Q232" s="157"/>
      <c r="R232" s="157"/>
      <c r="S232" s="157"/>
      <c r="T232" s="157"/>
      <c r="U232" s="156"/>
    </row>
    <row r="235" spans="1:21" ht="21" thickBot="1">
      <c r="A235" s="231" t="s">
        <v>73</v>
      </c>
    </row>
    <row r="236" spans="1:21" ht="41.25" thickBot="1">
      <c r="A236" s="164" t="s">
        <v>475</v>
      </c>
      <c r="B236" s="163" t="s">
        <v>476</v>
      </c>
      <c r="C236" s="163"/>
      <c r="D236" s="163"/>
      <c r="E236" s="162" t="s">
        <v>477</v>
      </c>
      <c r="F236" s="137" t="s">
        <v>478</v>
      </c>
      <c r="G236" s="84"/>
      <c r="H236" s="161"/>
      <c r="I236" s="161"/>
      <c r="J236" s="161"/>
      <c r="K236" s="161"/>
      <c r="L236" s="161"/>
      <c r="M236" s="161"/>
      <c r="N236" s="161"/>
      <c r="O236" s="161"/>
      <c r="P236" s="161"/>
      <c r="Q236" s="161"/>
      <c r="R236" s="137"/>
      <c r="S236" s="137"/>
      <c r="T236" s="137" t="s">
        <v>491</v>
      </c>
      <c r="U236" s="160"/>
    </row>
    <row r="237" spans="1:21">
      <c r="A237" s="177">
        <f>+A231+1</f>
        <v>87</v>
      </c>
      <c r="C237" s="32" t="s">
        <v>662</v>
      </c>
      <c r="E237" s="306" t="s">
        <v>985</v>
      </c>
      <c r="F237" s="357">
        <v>242</v>
      </c>
      <c r="G237" s="347"/>
      <c r="R237" s="351"/>
      <c r="S237" s="351"/>
      <c r="T237" s="351">
        <f>+'10 - Misc. Liabilities'!W22</f>
        <v>-1130087.6974042465</v>
      </c>
      <c r="U237" s="158"/>
    </row>
    <row r="238" spans="1:21" ht="21" thickBot="1">
      <c r="A238" s="129"/>
      <c r="B238" s="170"/>
      <c r="C238" s="170"/>
      <c r="D238" s="170"/>
      <c r="E238" s="170"/>
      <c r="F238" s="170"/>
      <c r="G238" s="170"/>
      <c r="H238" s="170"/>
      <c r="I238" s="170"/>
      <c r="J238" s="170"/>
      <c r="K238" s="170"/>
      <c r="L238" s="170"/>
      <c r="M238" s="170"/>
      <c r="N238" s="170"/>
      <c r="O238" s="170"/>
      <c r="P238" s="170"/>
      <c r="Q238" s="170"/>
      <c r="R238" s="170"/>
      <c r="S238" s="170"/>
      <c r="T238" s="170"/>
      <c r="U238" s="156"/>
    </row>
    <row r="240" spans="1:21" ht="21" thickBot="1">
      <c r="A240" s="231" t="s">
        <v>663</v>
      </c>
      <c r="G240" s="1"/>
      <c r="H240" s="675" t="s">
        <v>664</v>
      </c>
      <c r="I240" s="675"/>
      <c r="J240" s="675"/>
      <c r="K240" s="675"/>
      <c r="L240" s="675"/>
      <c r="M240" s="675"/>
      <c r="N240" s="675"/>
      <c r="O240" s="675"/>
      <c r="P240" s="675"/>
      <c r="Q240" s="675"/>
      <c r="R240" s="675"/>
      <c r="S240" s="676"/>
    </row>
    <row r="241" spans="1:21" ht="41.25" thickBot="1">
      <c r="A241" s="164" t="s">
        <v>475</v>
      </c>
      <c r="B241" s="163" t="s">
        <v>476</v>
      </c>
      <c r="C241" s="163"/>
      <c r="D241" s="163"/>
      <c r="E241" s="162" t="s">
        <v>477</v>
      </c>
      <c r="F241" s="137" t="s">
        <v>478</v>
      </c>
      <c r="G241" s="2" t="s">
        <v>479</v>
      </c>
      <c r="H241" s="186" t="s">
        <v>480</v>
      </c>
      <c r="I241" s="186" t="s">
        <v>481</v>
      </c>
      <c r="J241" s="186" t="s">
        <v>482</v>
      </c>
      <c r="K241" s="186" t="s">
        <v>483</v>
      </c>
      <c r="L241" s="186" t="s">
        <v>371</v>
      </c>
      <c r="M241" s="186" t="s">
        <v>484</v>
      </c>
      <c r="N241" s="186" t="s">
        <v>485</v>
      </c>
      <c r="O241" s="186" t="s">
        <v>486</v>
      </c>
      <c r="P241" s="186" t="s">
        <v>487</v>
      </c>
      <c r="Q241" s="186" t="s">
        <v>488</v>
      </c>
      <c r="R241" s="186" t="s">
        <v>489</v>
      </c>
      <c r="S241" s="186" t="s">
        <v>490</v>
      </c>
      <c r="T241" s="136" t="s">
        <v>491</v>
      </c>
      <c r="U241" s="103"/>
    </row>
    <row r="242" spans="1:21">
      <c r="A242" s="177"/>
      <c r="B242" s="263" t="str">
        <f>+'7A - Project ROE Adder'!G8</f>
        <v>Name</v>
      </c>
      <c r="C242" s="32"/>
      <c r="F242" s="357"/>
      <c r="T242" s="81"/>
    </row>
    <row r="243" spans="1:21">
      <c r="A243" s="177">
        <f>+A237+1</f>
        <v>88</v>
      </c>
      <c r="B243" s="306" t="s">
        <v>665</v>
      </c>
      <c r="C243" s="32"/>
      <c r="E243" s="32">
        <v>206</v>
      </c>
      <c r="F243" s="357"/>
      <c r="G243" s="80">
        <v>0</v>
      </c>
      <c r="H243" s="283">
        <v>0</v>
      </c>
      <c r="I243" s="283">
        <v>0</v>
      </c>
      <c r="J243" s="283">
        <v>0</v>
      </c>
      <c r="K243" s="283">
        <v>0</v>
      </c>
      <c r="L243" s="283">
        <v>0</v>
      </c>
      <c r="M243" s="283">
        <v>0</v>
      </c>
      <c r="N243" s="283">
        <v>0</v>
      </c>
      <c r="O243" s="283">
        <v>0</v>
      </c>
      <c r="P243" s="283">
        <v>0</v>
      </c>
      <c r="Q243" s="283">
        <v>0</v>
      </c>
      <c r="R243" s="283">
        <v>0</v>
      </c>
      <c r="S243" s="283">
        <v>0</v>
      </c>
      <c r="T243" s="79">
        <f>+SUM(G243:S243)/13</f>
        <v>0</v>
      </c>
    </row>
    <row r="244" spans="1:21">
      <c r="A244" s="177">
        <f>+A243+1</f>
        <v>89</v>
      </c>
      <c r="B244" s="306" t="s">
        <v>31</v>
      </c>
      <c r="C244" s="32"/>
      <c r="E244" s="32">
        <v>219</v>
      </c>
      <c r="F244" s="357"/>
      <c r="G244" s="80">
        <v>0</v>
      </c>
      <c r="H244" s="283">
        <v>0</v>
      </c>
      <c r="I244" s="283">
        <v>0</v>
      </c>
      <c r="J244" s="283">
        <v>0</v>
      </c>
      <c r="K244" s="283">
        <v>0</v>
      </c>
      <c r="L244" s="283">
        <v>0</v>
      </c>
      <c r="M244" s="283">
        <v>0</v>
      </c>
      <c r="N244" s="283">
        <v>0</v>
      </c>
      <c r="O244" s="283">
        <v>0</v>
      </c>
      <c r="P244" s="283">
        <v>0</v>
      </c>
      <c r="Q244" s="283">
        <v>0</v>
      </c>
      <c r="R244" s="283">
        <v>0</v>
      </c>
      <c r="S244" s="283">
        <v>0</v>
      </c>
      <c r="T244" s="79">
        <f t="shared" ref="T244" si="11">+SUM(G244:S244)/13</f>
        <v>0</v>
      </c>
    </row>
    <row r="245" spans="1:21">
      <c r="A245" s="177">
        <f>+A244+1</f>
        <v>90</v>
      </c>
      <c r="B245" s="306" t="s">
        <v>41</v>
      </c>
      <c r="C245" s="32"/>
      <c r="E245" s="32">
        <v>274</v>
      </c>
      <c r="F245" s="357"/>
      <c r="G245" s="80">
        <v>0</v>
      </c>
      <c r="H245" s="351"/>
      <c r="I245" s="351"/>
      <c r="J245" s="351"/>
      <c r="K245" s="351"/>
      <c r="L245" s="351"/>
      <c r="M245" s="351"/>
      <c r="N245" s="351"/>
      <c r="O245" s="351"/>
      <c r="P245" s="351"/>
      <c r="Q245" s="351"/>
      <c r="R245" s="351"/>
      <c r="S245" s="283">
        <v>0</v>
      </c>
      <c r="T245" s="79">
        <f>+(G245+S245)/2</f>
        <v>0</v>
      </c>
    </row>
    <row r="246" spans="1:21">
      <c r="A246" s="177"/>
      <c r="C246" s="32"/>
      <c r="E246" s="32"/>
      <c r="F246" s="357"/>
      <c r="G246" s="355"/>
      <c r="H246" s="351"/>
      <c r="I246" s="351"/>
      <c r="J246" s="351"/>
      <c r="K246" s="351"/>
      <c r="L246" s="351"/>
      <c r="M246" s="351"/>
      <c r="N246" s="351"/>
      <c r="O246" s="351"/>
      <c r="P246" s="351"/>
      <c r="Q246" s="351"/>
      <c r="R246" s="351"/>
      <c r="S246" s="351"/>
      <c r="T246" s="79"/>
    </row>
    <row r="247" spans="1:21">
      <c r="A247" s="177"/>
      <c r="B247" s="263" t="str">
        <f>+'7A - Project ROE Adder'!I8</f>
        <v>Name</v>
      </c>
      <c r="C247" s="32"/>
      <c r="E247" s="32"/>
      <c r="F247" s="357"/>
      <c r="G247" s="351"/>
      <c r="H247" s="351"/>
      <c r="I247" s="351"/>
      <c r="J247" s="351"/>
      <c r="K247" s="351"/>
      <c r="L247" s="351"/>
      <c r="M247" s="351"/>
      <c r="N247" s="351"/>
      <c r="O247" s="351"/>
      <c r="P247" s="351"/>
      <c r="Q247" s="351"/>
      <c r="R247" s="351"/>
      <c r="S247" s="351"/>
      <c r="T247" s="79"/>
    </row>
    <row r="248" spans="1:21">
      <c r="A248" s="177">
        <f>+A245+1</f>
        <v>91</v>
      </c>
      <c r="B248" s="306" t="s">
        <v>665</v>
      </c>
      <c r="C248" s="32"/>
      <c r="E248" s="32">
        <v>206</v>
      </c>
      <c r="F248" s="357"/>
      <c r="G248" s="80">
        <v>0</v>
      </c>
      <c r="H248" s="283">
        <v>0</v>
      </c>
      <c r="I248" s="283">
        <v>0</v>
      </c>
      <c r="J248" s="283">
        <v>0</v>
      </c>
      <c r="K248" s="283">
        <v>0</v>
      </c>
      <c r="L248" s="283">
        <v>0</v>
      </c>
      <c r="M248" s="283">
        <v>0</v>
      </c>
      <c r="N248" s="283">
        <v>0</v>
      </c>
      <c r="O248" s="283">
        <v>0</v>
      </c>
      <c r="P248" s="283">
        <v>0</v>
      </c>
      <c r="Q248" s="283">
        <v>0</v>
      </c>
      <c r="R248" s="283">
        <v>0</v>
      </c>
      <c r="S248" s="283">
        <v>0</v>
      </c>
      <c r="T248" s="79">
        <f>+SUM(G248:S248)/13</f>
        <v>0</v>
      </c>
    </row>
    <row r="249" spans="1:21">
      <c r="A249" s="177">
        <f>+A248+1</f>
        <v>92</v>
      </c>
      <c r="B249" s="306" t="s">
        <v>31</v>
      </c>
      <c r="C249" s="32"/>
      <c r="E249" s="32">
        <v>219</v>
      </c>
      <c r="F249" s="357"/>
      <c r="G249" s="80">
        <v>0</v>
      </c>
      <c r="H249" s="283">
        <v>0</v>
      </c>
      <c r="I249" s="283">
        <v>0</v>
      </c>
      <c r="J249" s="283">
        <v>0</v>
      </c>
      <c r="K249" s="283">
        <v>0</v>
      </c>
      <c r="L249" s="283">
        <v>0</v>
      </c>
      <c r="M249" s="283">
        <v>0</v>
      </c>
      <c r="N249" s="283">
        <v>0</v>
      </c>
      <c r="O249" s="283">
        <v>0</v>
      </c>
      <c r="P249" s="283">
        <v>0</v>
      </c>
      <c r="Q249" s="283">
        <v>0</v>
      </c>
      <c r="R249" s="283">
        <v>0</v>
      </c>
      <c r="S249" s="283">
        <v>0</v>
      </c>
      <c r="T249" s="79">
        <f t="shared" ref="T249" si="12">+SUM(G249:S249)/13</f>
        <v>0</v>
      </c>
    </row>
    <row r="250" spans="1:21">
      <c r="A250" s="177">
        <f>+A249+1</f>
        <v>93</v>
      </c>
      <c r="B250" s="306" t="s">
        <v>41</v>
      </c>
      <c r="C250" s="32"/>
      <c r="E250" s="32">
        <v>274</v>
      </c>
      <c r="F250" s="357"/>
      <c r="G250" s="80">
        <v>0</v>
      </c>
      <c r="H250" s="351"/>
      <c r="I250" s="351"/>
      <c r="J250" s="351"/>
      <c r="K250" s="351"/>
      <c r="L250" s="351"/>
      <c r="M250" s="351"/>
      <c r="N250" s="351"/>
      <c r="O250" s="351"/>
      <c r="P250" s="351"/>
      <c r="Q250" s="351"/>
      <c r="R250" s="351"/>
      <c r="S250" s="283">
        <v>0</v>
      </c>
      <c r="T250" s="79">
        <f>+(G250+S250)/2</f>
        <v>0</v>
      </c>
    </row>
    <row r="251" spans="1:21">
      <c r="E251" s="32"/>
      <c r="G251" s="351"/>
      <c r="H251" s="351"/>
      <c r="I251" s="351"/>
      <c r="J251" s="351"/>
      <c r="K251" s="351"/>
      <c r="L251" s="351"/>
      <c r="M251" s="351"/>
      <c r="N251" s="351"/>
      <c r="O251" s="351"/>
      <c r="P251" s="351"/>
      <c r="Q251" s="351"/>
      <c r="R251" s="351"/>
      <c r="S251" s="351"/>
      <c r="T251" s="79"/>
    </row>
    <row r="252" spans="1:21">
      <c r="A252" s="177"/>
      <c r="B252" s="263" t="str">
        <f>+'7A - Project ROE Adder'!K8</f>
        <v>Name</v>
      </c>
      <c r="C252" s="32"/>
      <c r="E252" s="32"/>
      <c r="F252" s="357"/>
      <c r="G252" s="351"/>
      <c r="H252" s="351"/>
      <c r="I252" s="351"/>
      <c r="J252" s="351"/>
      <c r="K252" s="351"/>
      <c r="L252" s="351"/>
      <c r="M252" s="351"/>
      <c r="N252" s="351"/>
      <c r="O252" s="351"/>
      <c r="P252" s="351"/>
      <c r="Q252" s="351"/>
      <c r="R252" s="351"/>
      <c r="S252" s="351"/>
      <c r="T252" s="79"/>
    </row>
    <row r="253" spans="1:21">
      <c r="A253" s="177">
        <f>+A250+1</f>
        <v>94</v>
      </c>
      <c r="B253" s="306" t="s">
        <v>665</v>
      </c>
      <c r="C253" s="32"/>
      <c r="E253" s="32">
        <v>206</v>
      </c>
      <c r="F253" s="357"/>
      <c r="G253" s="80">
        <v>0</v>
      </c>
      <c r="H253" s="283">
        <v>0</v>
      </c>
      <c r="I253" s="283">
        <v>0</v>
      </c>
      <c r="J253" s="283">
        <v>0</v>
      </c>
      <c r="K253" s="283">
        <v>0</v>
      </c>
      <c r="L253" s="283">
        <v>0</v>
      </c>
      <c r="M253" s="283">
        <v>0</v>
      </c>
      <c r="N253" s="283">
        <v>0</v>
      </c>
      <c r="O253" s="283">
        <v>0</v>
      </c>
      <c r="P253" s="283">
        <v>0</v>
      </c>
      <c r="Q253" s="283">
        <v>0</v>
      </c>
      <c r="R253" s="283">
        <v>0</v>
      </c>
      <c r="S253" s="283">
        <v>0</v>
      </c>
      <c r="T253" s="79">
        <f>+SUM(G253:S253)/13</f>
        <v>0</v>
      </c>
    </row>
    <row r="254" spans="1:21">
      <c r="A254" s="177">
        <f>+A253+1</f>
        <v>95</v>
      </c>
      <c r="B254" s="306" t="s">
        <v>31</v>
      </c>
      <c r="C254" s="32"/>
      <c r="E254" s="32">
        <v>219</v>
      </c>
      <c r="F254" s="357"/>
      <c r="G254" s="80">
        <v>0</v>
      </c>
      <c r="H254" s="283">
        <v>0</v>
      </c>
      <c r="I254" s="283">
        <v>0</v>
      </c>
      <c r="J254" s="283">
        <v>0</v>
      </c>
      <c r="K254" s="283">
        <v>0</v>
      </c>
      <c r="L254" s="283">
        <v>0</v>
      </c>
      <c r="M254" s="283">
        <v>0</v>
      </c>
      <c r="N254" s="283">
        <v>0</v>
      </c>
      <c r="O254" s="283">
        <v>0</v>
      </c>
      <c r="P254" s="283">
        <v>0</v>
      </c>
      <c r="Q254" s="283">
        <v>0</v>
      </c>
      <c r="R254" s="283">
        <v>0</v>
      </c>
      <c r="S254" s="283">
        <v>0</v>
      </c>
      <c r="T254" s="79">
        <f t="shared" ref="T254" si="13">+SUM(G254:S254)/13</f>
        <v>0</v>
      </c>
    </row>
    <row r="255" spans="1:21">
      <c r="A255" s="177">
        <f>+A254+1</f>
        <v>96</v>
      </c>
      <c r="B255" s="306" t="s">
        <v>41</v>
      </c>
      <c r="C255" s="32"/>
      <c r="E255" s="32">
        <v>274</v>
      </c>
      <c r="F255" s="357"/>
      <c r="G255" s="80">
        <v>0</v>
      </c>
      <c r="H255" s="351"/>
      <c r="I255" s="351"/>
      <c r="J255" s="351"/>
      <c r="K255" s="351"/>
      <c r="L255" s="351"/>
      <c r="M255" s="351"/>
      <c r="N255" s="351"/>
      <c r="O255" s="351"/>
      <c r="P255" s="351"/>
      <c r="Q255" s="351"/>
      <c r="R255" s="351"/>
      <c r="S255" s="283">
        <v>0</v>
      </c>
      <c r="T255" s="79">
        <f>+(G255+S255)/2</f>
        <v>0</v>
      </c>
    </row>
    <row r="256" spans="1:21">
      <c r="E256" s="32"/>
      <c r="G256" s="351"/>
      <c r="H256" s="351"/>
      <c r="I256" s="351"/>
      <c r="J256" s="351"/>
      <c r="K256" s="351"/>
      <c r="L256" s="351"/>
      <c r="M256" s="351"/>
      <c r="N256" s="351"/>
      <c r="O256" s="351"/>
      <c r="P256" s="351"/>
      <c r="Q256" s="351"/>
      <c r="R256" s="351"/>
      <c r="S256" s="351"/>
      <c r="T256" s="79"/>
    </row>
    <row r="257" spans="1:20">
      <c r="A257" s="177"/>
      <c r="B257" s="263" t="str">
        <f>+'7A - Project ROE Adder'!M8</f>
        <v>Name</v>
      </c>
      <c r="C257" s="32"/>
      <c r="E257" s="32"/>
      <c r="F257" s="357"/>
      <c r="G257" s="351"/>
      <c r="H257" s="351"/>
      <c r="I257" s="351"/>
      <c r="J257" s="351"/>
      <c r="K257" s="351"/>
      <c r="L257" s="351"/>
      <c r="M257" s="351"/>
      <c r="N257" s="351"/>
      <c r="O257" s="351"/>
      <c r="P257" s="351"/>
      <c r="Q257" s="351"/>
      <c r="R257" s="351"/>
      <c r="S257" s="351"/>
      <c r="T257" s="79"/>
    </row>
    <row r="258" spans="1:20">
      <c r="A258" s="177">
        <f>+A255+1</f>
        <v>97</v>
      </c>
      <c r="B258" s="306" t="s">
        <v>665</v>
      </c>
      <c r="C258" s="32"/>
      <c r="E258" s="32">
        <v>206</v>
      </c>
      <c r="F258" s="357"/>
      <c r="G258" s="80">
        <v>0</v>
      </c>
      <c r="H258" s="283">
        <v>0</v>
      </c>
      <c r="I258" s="283">
        <v>0</v>
      </c>
      <c r="J258" s="283">
        <v>0</v>
      </c>
      <c r="K258" s="283">
        <v>0</v>
      </c>
      <c r="L258" s="283">
        <v>0</v>
      </c>
      <c r="M258" s="283">
        <v>0</v>
      </c>
      <c r="N258" s="283">
        <v>0</v>
      </c>
      <c r="O258" s="283">
        <v>0</v>
      </c>
      <c r="P258" s="283">
        <v>0</v>
      </c>
      <c r="Q258" s="283">
        <v>0</v>
      </c>
      <c r="R258" s="283">
        <v>0</v>
      </c>
      <c r="S258" s="283">
        <v>0</v>
      </c>
      <c r="T258" s="79">
        <f>+SUM(G258:S258)/13</f>
        <v>0</v>
      </c>
    </row>
    <row r="259" spans="1:20">
      <c r="A259" s="177">
        <f>+A258+1</f>
        <v>98</v>
      </c>
      <c r="B259" s="306" t="s">
        <v>31</v>
      </c>
      <c r="C259" s="32"/>
      <c r="E259" s="32">
        <v>219</v>
      </c>
      <c r="F259" s="357"/>
      <c r="G259" s="80">
        <v>0</v>
      </c>
      <c r="H259" s="283">
        <v>0</v>
      </c>
      <c r="I259" s="283">
        <v>0</v>
      </c>
      <c r="J259" s="283">
        <v>0</v>
      </c>
      <c r="K259" s="283">
        <v>0</v>
      </c>
      <c r="L259" s="283">
        <v>0</v>
      </c>
      <c r="M259" s="283">
        <v>0</v>
      </c>
      <c r="N259" s="283">
        <v>0</v>
      </c>
      <c r="O259" s="283">
        <v>0</v>
      </c>
      <c r="P259" s="283">
        <v>0</v>
      </c>
      <c r="Q259" s="283">
        <v>0</v>
      </c>
      <c r="R259" s="283">
        <v>0</v>
      </c>
      <c r="S259" s="283">
        <v>0</v>
      </c>
      <c r="T259" s="79">
        <f t="shared" ref="T259" si="14">+SUM(G259:S259)/13</f>
        <v>0</v>
      </c>
    </row>
    <row r="260" spans="1:20">
      <c r="A260" s="177">
        <f>+A259+1</f>
        <v>99</v>
      </c>
      <c r="B260" s="306" t="s">
        <v>41</v>
      </c>
      <c r="C260" s="32"/>
      <c r="E260" s="32">
        <v>274</v>
      </c>
      <c r="F260" s="357"/>
      <c r="G260" s="80">
        <v>0</v>
      </c>
      <c r="H260" s="351"/>
      <c r="I260" s="351"/>
      <c r="J260" s="351"/>
      <c r="K260" s="351"/>
      <c r="L260" s="351"/>
      <c r="M260" s="351"/>
      <c r="N260" s="351"/>
      <c r="O260" s="351"/>
      <c r="P260" s="351"/>
      <c r="Q260" s="351"/>
      <c r="R260" s="351"/>
      <c r="S260" s="283">
        <v>0</v>
      </c>
      <c r="T260" s="79">
        <f>+(G260+S260)/2</f>
        <v>0</v>
      </c>
    </row>
    <row r="261" spans="1:20">
      <c r="E261" s="32"/>
      <c r="G261" s="351"/>
      <c r="H261" s="351"/>
      <c r="I261" s="351"/>
      <c r="J261" s="351"/>
      <c r="K261" s="351"/>
      <c r="L261" s="351"/>
      <c r="M261" s="351"/>
      <c r="N261" s="351"/>
      <c r="O261" s="351"/>
      <c r="P261" s="351"/>
      <c r="Q261" s="351"/>
      <c r="R261" s="351"/>
      <c r="S261" s="351"/>
      <c r="T261" s="79"/>
    </row>
    <row r="262" spans="1:20">
      <c r="A262" s="177"/>
      <c r="B262" s="263" t="str">
        <f>+'7A - Project ROE Adder'!O8</f>
        <v>Name</v>
      </c>
      <c r="C262" s="32"/>
      <c r="E262" s="32"/>
      <c r="F262" s="357"/>
      <c r="G262" s="351"/>
      <c r="H262" s="351"/>
      <c r="I262" s="351"/>
      <c r="J262" s="351"/>
      <c r="K262" s="351"/>
      <c r="L262" s="351"/>
      <c r="M262" s="351"/>
      <c r="N262" s="351"/>
      <c r="O262" s="351"/>
      <c r="P262" s="351"/>
      <c r="Q262" s="351"/>
      <c r="R262" s="351"/>
      <c r="S262" s="351"/>
      <c r="T262" s="79"/>
    </row>
    <row r="263" spans="1:20">
      <c r="A263" s="177">
        <f>+A260+1</f>
        <v>100</v>
      </c>
      <c r="B263" s="306" t="s">
        <v>665</v>
      </c>
      <c r="C263" s="32"/>
      <c r="E263" s="32">
        <v>206</v>
      </c>
      <c r="F263" s="357"/>
      <c r="G263" s="80">
        <v>0</v>
      </c>
      <c r="H263" s="283">
        <v>0</v>
      </c>
      <c r="I263" s="283">
        <v>0</v>
      </c>
      <c r="J263" s="283">
        <v>0</v>
      </c>
      <c r="K263" s="283">
        <v>0</v>
      </c>
      <c r="L263" s="283">
        <v>0</v>
      </c>
      <c r="M263" s="283">
        <v>0</v>
      </c>
      <c r="N263" s="283">
        <v>0</v>
      </c>
      <c r="O263" s="283">
        <v>0</v>
      </c>
      <c r="P263" s="283">
        <v>0</v>
      </c>
      <c r="Q263" s="283">
        <v>0</v>
      </c>
      <c r="R263" s="283">
        <v>0</v>
      </c>
      <c r="S263" s="283">
        <v>0</v>
      </c>
      <c r="T263" s="79">
        <f>+SUM(G263:S263)/13</f>
        <v>0</v>
      </c>
    </row>
    <row r="264" spans="1:20">
      <c r="A264" s="177">
        <f>+A263+1</f>
        <v>101</v>
      </c>
      <c r="B264" s="306" t="s">
        <v>31</v>
      </c>
      <c r="C264" s="32"/>
      <c r="E264" s="32">
        <v>219</v>
      </c>
      <c r="F264" s="357"/>
      <c r="G264" s="80">
        <v>0</v>
      </c>
      <c r="H264" s="283">
        <v>0</v>
      </c>
      <c r="I264" s="283">
        <v>0</v>
      </c>
      <c r="J264" s="283">
        <v>0</v>
      </c>
      <c r="K264" s="283">
        <v>0</v>
      </c>
      <c r="L264" s="283">
        <v>0</v>
      </c>
      <c r="M264" s="283">
        <v>0</v>
      </c>
      <c r="N264" s="283">
        <v>0</v>
      </c>
      <c r="O264" s="283">
        <v>0</v>
      </c>
      <c r="P264" s="283">
        <v>0</v>
      </c>
      <c r="Q264" s="283">
        <v>0</v>
      </c>
      <c r="R264" s="283">
        <v>0</v>
      </c>
      <c r="S264" s="283">
        <v>0</v>
      </c>
      <c r="T264" s="79">
        <f t="shared" ref="T264" si="15">+SUM(G264:S264)/13</f>
        <v>0</v>
      </c>
    </row>
    <row r="265" spans="1:20">
      <c r="A265" s="177">
        <f>+A264+1</f>
        <v>102</v>
      </c>
      <c r="B265" s="306" t="s">
        <v>41</v>
      </c>
      <c r="C265" s="32"/>
      <c r="E265" s="32">
        <v>274</v>
      </c>
      <c r="F265" s="357"/>
      <c r="G265" s="80">
        <v>0</v>
      </c>
      <c r="H265" s="351"/>
      <c r="I265" s="351"/>
      <c r="J265" s="351"/>
      <c r="K265" s="351"/>
      <c r="L265" s="351"/>
      <c r="M265" s="351"/>
      <c r="N265" s="351"/>
      <c r="O265" s="351"/>
      <c r="P265" s="351"/>
      <c r="Q265" s="351"/>
      <c r="R265" s="351"/>
      <c r="S265" s="283">
        <v>0</v>
      </c>
      <c r="T265" s="79">
        <f>+(G265+S265)/2</f>
        <v>0</v>
      </c>
    </row>
    <row r="266" spans="1:20">
      <c r="E266" s="32"/>
      <c r="G266" s="351"/>
      <c r="H266" s="351"/>
      <c r="I266" s="351"/>
      <c r="J266" s="351"/>
      <c r="K266" s="351"/>
      <c r="L266" s="351"/>
      <c r="M266" s="351"/>
      <c r="N266" s="351"/>
      <c r="O266" s="351"/>
      <c r="P266" s="351"/>
      <c r="Q266" s="351"/>
      <c r="R266" s="351"/>
      <c r="S266" s="351"/>
      <c r="T266" s="79"/>
    </row>
    <row r="267" spans="1:20">
      <c r="A267" s="177"/>
      <c r="B267" s="263" t="str">
        <f>+'7A - Project ROE Adder'!Q8</f>
        <v>Name</v>
      </c>
      <c r="C267" s="32"/>
      <c r="E267" s="32"/>
      <c r="F267" s="357"/>
      <c r="G267" s="351"/>
      <c r="H267" s="351"/>
      <c r="I267" s="351"/>
      <c r="J267" s="351"/>
      <c r="K267" s="351"/>
      <c r="L267" s="351"/>
      <c r="M267" s="351"/>
      <c r="N267" s="351"/>
      <c r="O267" s="351"/>
      <c r="P267" s="351"/>
      <c r="Q267" s="351"/>
      <c r="R267" s="351"/>
      <c r="S267" s="351"/>
      <c r="T267" s="79"/>
    </row>
    <row r="268" spans="1:20">
      <c r="A268" s="177">
        <f>+A265+1</f>
        <v>103</v>
      </c>
      <c r="B268" s="306" t="s">
        <v>665</v>
      </c>
      <c r="C268" s="32"/>
      <c r="E268" s="32">
        <v>206</v>
      </c>
      <c r="F268" s="357"/>
      <c r="G268" s="80">
        <v>0</v>
      </c>
      <c r="H268" s="283">
        <v>0</v>
      </c>
      <c r="I268" s="283">
        <v>0</v>
      </c>
      <c r="J268" s="283">
        <v>0</v>
      </c>
      <c r="K268" s="283">
        <v>0</v>
      </c>
      <c r="L268" s="283">
        <v>0</v>
      </c>
      <c r="M268" s="283">
        <v>0</v>
      </c>
      <c r="N268" s="283">
        <v>0</v>
      </c>
      <c r="O268" s="283">
        <v>0</v>
      </c>
      <c r="P268" s="283">
        <v>0</v>
      </c>
      <c r="Q268" s="283">
        <v>0</v>
      </c>
      <c r="R268" s="283">
        <v>0</v>
      </c>
      <c r="S268" s="283">
        <v>0</v>
      </c>
      <c r="T268" s="79">
        <f>+SUM(G268:S268)/13</f>
        <v>0</v>
      </c>
    </row>
    <row r="269" spans="1:20">
      <c r="A269" s="177">
        <f>+A268+1</f>
        <v>104</v>
      </c>
      <c r="B269" s="306" t="s">
        <v>31</v>
      </c>
      <c r="C269" s="32"/>
      <c r="E269" s="32">
        <v>219</v>
      </c>
      <c r="F269" s="357"/>
      <c r="G269" s="80">
        <v>0</v>
      </c>
      <c r="H269" s="283">
        <v>0</v>
      </c>
      <c r="I269" s="283">
        <v>0</v>
      </c>
      <c r="J269" s="283">
        <v>0</v>
      </c>
      <c r="K269" s="283">
        <v>0</v>
      </c>
      <c r="L269" s="283">
        <v>0</v>
      </c>
      <c r="M269" s="283">
        <v>0</v>
      </c>
      <c r="N269" s="283">
        <v>0</v>
      </c>
      <c r="O269" s="283">
        <v>0</v>
      </c>
      <c r="P269" s="283">
        <v>0</v>
      </c>
      <c r="Q269" s="283">
        <v>0</v>
      </c>
      <c r="R269" s="283">
        <v>0</v>
      </c>
      <c r="S269" s="283">
        <v>0</v>
      </c>
      <c r="T269" s="79">
        <f t="shared" ref="T269" si="16">+SUM(G269:S269)/13</f>
        <v>0</v>
      </c>
    </row>
    <row r="270" spans="1:20">
      <c r="A270" s="177">
        <f>+A269+1</f>
        <v>105</v>
      </c>
      <c r="B270" s="306" t="s">
        <v>41</v>
      </c>
      <c r="C270" s="32"/>
      <c r="E270" s="32">
        <v>274</v>
      </c>
      <c r="F270" s="357"/>
      <c r="G270" s="80">
        <v>0</v>
      </c>
      <c r="H270" s="351"/>
      <c r="I270" s="351"/>
      <c r="J270" s="351"/>
      <c r="K270" s="351"/>
      <c r="L270" s="351"/>
      <c r="M270" s="351"/>
      <c r="N270" s="351"/>
      <c r="O270" s="351"/>
      <c r="P270" s="351"/>
      <c r="Q270" s="351"/>
      <c r="R270" s="351"/>
      <c r="S270" s="283">
        <v>0</v>
      </c>
      <c r="T270" s="79">
        <f>+(G270+S270)/2</f>
        <v>0</v>
      </c>
    </row>
    <row r="271" spans="1:20">
      <c r="E271" s="32"/>
      <c r="G271" s="351"/>
      <c r="H271" s="351"/>
      <c r="I271" s="351"/>
      <c r="J271" s="351"/>
      <c r="K271" s="351"/>
      <c r="L271" s="351"/>
      <c r="M271" s="351"/>
      <c r="N271" s="351"/>
      <c r="O271" s="351"/>
      <c r="P271" s="351"/>
      <c r="Q271" s="351"/>
      <c r="R271" s="351"/>
      <c r="S271" s="351"/>
      <c r="T271" s="79"/>
    </row>
    <row r="272" spans="1:20">
      <c r="A272" s="177"/>
      <c r="B272" s="263" t="str">
        <f>+'7A - Project ROE Adder'!S8</f>
        <v>Name</v>
      </c>
      <c r="C272" s="32"/>
      <c r="E272" s="32"/>
      <c r="F272" s="357"/>
      <c r="G272" s="351"/>
      <c r="H272" s="351"/>
      <c r="I272" s="351"/>
      <c r="J272" s="351"/>
      <c r="K272" s="351"/>
      <c r="L272" s="351"/>
      <c r="M272" s="351"/>
      <c r="N272" s="351"/>
      <c r="O272" s="351"/>
      <c r="P272" s="351"/>
      <c r="Q272" s="351"/>
      <c r="R272" s="351"/>
      <c r="S272" s="351"/>
      <c r="T272" s="79"/>
    </row>
    <row r="273" spans="1:20">
      <c r="A273" s="177">
        <f>+A270+1</f>
        <v>106</v>
      </c>
      <c r="B273" s="306" t="s">
        <v>665</v>
      </c>
      <c r="C273" s="32"/>
      <c r="E273" s="32">
        <v>206</v>
      </c>
      <c r="F273" s="357"/>
      <c r="G273" s="80">
        <v>0</v>
      </c>
      <c r="H273" s="283">
        <v>0</v>
      </c>
      <c r="I273" s="283">
        <v>0</v>
      </c>
      <c r="J273" s="283">
        <v>0</v>
      </c>
      <c r="K273" s="283">
        <v>0</v>
      </c>
      <c r="L273" s="283">
        <v>0</v>
      </c>
      <c r="M273" s="283">
        <v>0</v>
      </c>
      <c r="N273" s="283">
        <v>0</v>
      </c>
      <c r="O273" s="283">
        <v>0</v>
      </c>
      <c r="P273" s="283">
        <v>0</v>
      </c>
      <c r="Q273" s="283">
        <v>0</v>
      </c>
      <c r="R273" s="283">
        <v>0</v>
      </c>
      <c r="S273" s="283">
        <v>0</v>
      </c>
      <c r="T273" s="79">
        <f>+SUM(G273:S273)/13</f>
        <v>0</v>
      </c>
    </row>
    <row r="274" spans="1:20">
      <c r="A274" s="177">
        <f>+A273+1</f>
        <v>107</v>
      </c>
      <c r="B274" s="306" t="s">
        <v>31</v>
      </c>
      <c r="C274" s="32"/>
      <c r="E274" s="32">
        <v>219</v>
      </c>
      <c r="F274" s="357"/>
      <c r="G274" s="80">
        <v>0</v>
      </c>
      <c r="H274" s="283">
        <v>0</v>
      </c>
      <c r="I274" s="283">
        <v>0</v>
      </c>
      <c r="J274" s="283">
        <v>0</v>
      </c>
      <c r="K274" s="283">
        <v>0</v>
      </c>
      <c r="L274" s="283">
        <v>0</v>
      </c>
      <c r="M274" s="283">
        <v>0</v>
      </c>
      <c r="N274" s="283">
        <v>0</v>
      </c>
      <c r="O274" s="283">
        <v>0</v>
      </c>
      <c r="P274" s="283">
        <v>0</v>
      </c>
      <c r="Q274" s="283">
        <v>0</v>
      </c>
      <c r="R274" s="283">
        <v>0</v>
      </c>
      <c r="S274" s="283">
        <v>0</v>
      </c>
      <c r="T274" s="79">
        <f t="shared" ref="T274" si="17">+SUM(G274:S274)/13</f>
        <v>0</v>
      </c>
    </row>
    <row r="275" spans="1:20">
      <c r="A275" s="177">
        <f>+A274+1</f>
        <v>108</v>
      </c>
      <c r="B275" s="306" t="s">
        <v>41</v>
      </c>
      <c r="C275" s="32"/>
      <c r="E275" s="32">
        <v>274</v>
      </c>
      <c r="F275" s="357"/>
      <c r="G275" s="80">
        <v>0</v>
      </c>
      <c r="H275" s="351"/>
      <c r="I275" s="351"/>
      <c r="J275" s="351"/>
      <c r="K275" s="351"/>
      <c r="L275" s="351"/>
      <c r="M275" s="351"/>
      <c r="N275" s="351"/>
      <c r="O275" s="351"/>
      <c r="P275" s="351"/>
      <c r="Q275" s="351"/>
      <c r="R275" s="351"/>
      <c r="S275" s="283">
        <v>0</v>
      </c>
      <c r="T275" s="79">
        <f>+(G275+S275)/2</f>
        <v>0</v>
      </c>
    </row>
    <row r="276" spans="1:20">
      <c r="E276" s="32"/>
      <c r="G276" s="351"/>
      <c r="H276" s="351"/>
      <c r="I276" s="351"/>
      <c r="J276" s="351"/>
      <c r="K276" s="351"/>
      <c r="L276" s="351"/>
      <c r="M276" s="351"/>
      <c r="N276" s="351"/>
      <c r="O276" s="351"/>
      <c r="P276" s="351"/>
      <c r="Q276" s="351"/>
      <c r="R276" s="351"/>
      <c r="S276" s="351"/>
      <c r="T276" s="79"/>
    </row>
    <row r="277" spans="1:20">
      <c r="A277" s="177"/>
      <c r="B277" s="263" t="str">
        <f>+'7A - Project ROE Adder'!U8</f>
        <v>Name</v>
      </c>
      <c r="C277" s="32"/>
      <c r="E277" s="32"/>
      <c r="F277" s="357"/>
      <c r="G277" s="351"/>
      <c r="H277" s="351"/>
      <c r="I277" s="351"/>
      <c r="J277" s="351"/>
      <c r="K277" s="351"/>
      <c r="L277" s="351"/>
      <c r="M277" s="351"/>
      <c r="N277" s="351"/>
      <c r="O277" s="351"/>
      <c r="P277" s="351"/>
      <c r="Q277" s="351"/>
      <c r="R277" s="351"/>
      <c r="S277" s="351"/>
      <c r="T277" s="79"/>
    </row>
    <row r="278" spans="1:20">
      <c r="A278" s="177">
        <f>+A275+1</f>
        <v>109</v>
      </c>
      <c r="B278" s="306" t="s">
        <v>665</v>
      </c>
      <c r="C278" s="32"/>
      <c r="E278" s="32">
        <v>206</v>
      </c>
      <c r="F278" s="357"/>
      <c r="G278" s="80">
        <v>0</v>
      </c>
      <c r="H278" s="283">
        <v>0</v>
      </c>
      <c r="I278" s="283">
        <v>0</v>
      </c>
      <c r="J278" s="283">
        <v>0</v>
      </c>
      <c r="K278" s="283">
        <v>0</v>
      </c>
      <c r="L278" s="283">
        <v>0</v>
      </c>
      <c r="M278" s="283">
        <v>0</v>
      </c>
      <c r="N278" s="283">
        <v>0</v>
      </c>
      <c r="O278" s="283">
        <v>0</v>
      </c>
      <c r="P278" s="283">
        <v>0</v>
      </c>
      <c r="Q278" s="283">
        <v>0</v>
      </c>
      <c r="R278" s="283">
        <v>0</v>
      </c>
      <c r="S278" s="283">
        <v>0</v>
      </c>
      <c r="T278" s="79">
        <f>+SUM(G278:S278)/13</f>
        <v>0</v>
      </c>
    </row>
    <row r="279" spans="1:20">
      <c r="A279" s="177">
        <f>+A278+1</f>
        <v>110</v>
      </c>
      <c r="B279" s="306" t="s">
        <v>31</v>
      </c>
      <c r="C279" s="32"/>
      <c r="E279" s="32">
        <v>219</v>
      </c>
      <c r="F279" s="357"/>
      <c r="G279" s="80">
        <v>0</v>
      </c>
      <c r="H279" s="283">
        <v>0</v>
      </c>
      <c r="I279" s="283">
        <v>0</v>
      </c>
      <c r="J279" s="283">
        <v>0</v>
      </c>
      <c r="K279" s="283">
        <v>0</v>
      </c>
      <c r="L279" s="283">
        <v>0</v>
      </c>
      <c r="M279" s="283">
        <v>0</v>
      </c>
      <c r="N279" s="283">
        <v>0</v>
      </c>
      <c r="O279" s="283">
        <v>0</v>
      </c>
      <c r="P279" s="283">
        <v>0</v>
      </c>
      <c r="Q279" s="283">
        <v>0</v>
      </c>
      <c r="R279" s="283">
        <v>0</v>
      </c>
      <c r="S279" s="283">
        <v>0</v>
      </c>
      <c r="T279" s="79">
        <f t="shared" ref="T279" si="18">+SUM(G279:S279)/13</f>
        <v>0</v>
      </c>
    </row>
    <row r="280" spans="1:20">
      <c r="A280" s="177">
        <f>+A279+1</f>
        <v>111</v>
      </c>
      <c r="B280" s="306" t="s">
        <v>41</v>
      </c>
      <c r="C280" s="32"/>
      <c r="E280" s="32">
        <v>274</v>
      </c>
      <c r="F280" s="357"/>
      <c r="G280" s="80">
        <v>0</v>
      </c>
      <c r="H280" s="351"/>
      <c r="I280" s="351"/>
      <c r="J280" s="351"/>
      <c r="K280" s="351"/>
      <c r="L280" s="351"/>
      <c r="M280" s="351"/>
      <c r="N280" s="351"/>
      <c r="O280" s="351"/>
      <c r="P280" s="351"/>
      <c r="Q280" s="351"/>
      <c r="R280" s="351"/>
      <c r="S280" s="283">
        <v>0</v>
      </c>
      <c r="T280" s="79">
        <f>+(G280+S280)/2</f>
        <v>0</v>
      </c>
    </row>
    <row r="281" spans="1:20">
      <c r="E281" s="32"/>
      <c r="G281" s="351"/>
      <c r="H281" s="351"/>
      <c r="I281" s="351"/>
      <c r="J281" s="351"/>
      <c r="K281" s="351"/>
      <c r="L281" s="351"/>
      <c r="M281" s="351"/>
      <c r="N281" s="351"/>
      <c r="O281" s="351"/>
      <c r="P281" s="351"/>
      <c r="Q281" s="351"/>
      <c r="R281" s="351"/>
      <c r="S281" s="351"/>
      <c r="T281" s="79"/>
    </row>
    <row r="282" spans="1:20">
      <c r="A282" s="177"/>
      <c r="B282" s="263" t="str">
        <f>+'7A - Project ROE Adder'!W8</f>
        <v>Name</v>
      </c>
      <c r="C282" s="32"/>
      <c r="E282" s="32"/>
      <c r="F282" s="357"/>
      <c r="G282" s="351"/>
      <c r="H282" s="351"/>
      <c r="I282" s="351"/>
      <c r="J282" s="351"/>
      <c r="K282" s="351"/>
      <c r="L282" s="351"/>
      <c r="M282" s="351"/>
      <c r="N282" s="351"/>
      <c r="O282" s="351"/>
      <c r="P282" s="351"/>
      <c r="Q282" s="351"/>
      <c r="R282" s="351"/>
      <c r="S282" s="351"/>
      <c r="T282" s="79"/>
    </row>
    <row r="283" spans="1:20">
      <c r="A283" s="177">
        <f>+A280+1</f>
        <v>112</v>
      </c>
      <c r="B283" s="306" t="s">
        <v>665</v>
      </c>
      <c r="C283" s="32"/>
      <c r="E283" s="32">
        <v>206</v>
      </c>
      <c r="F283" s="357"/>
      <c r="G283" s="80">
        <v>0</v>
      </c>
      <c r="H283" s="283">
        <v>0</v>
      </c>
      <c r="I283" s="283">
        <v>0</v>
      </c>
      <c r="J283" s="283">
        <v>0</v>
      </c>
      <c r="K283" s="283">
        <v>0</v>
      </c>
      <c r="L283" s="283">
        <v>0</v>
      </c>
      <c r="M283" s="283">
        <v>0</v>
      </c>
      <c r="N283" s="283">
        <v>0</v>
      </c>
      <c r="O283" s="283">
        <v>0</v>
      </c>
      <c r="P283" s="283">
        <v>0</v>
      </c>
      <c r="Q283" s="283">
        <v>0</v>
      </c>
      <c r="R283" s="283">
        <v>0</v>
      </c>
      <c r="S283" s="283">
        <v>0</v>
      </c>
      <c r="T283" s="79">
        <f>+SUM(G283:S283)/13</f>
        <v>0</v>
      </c>
    </row>
    <row r="284" spans="1:20">
      <c r="A284" s="177">
        <f>+A283+1</f>
        <v>113</v>
      </c>
      <c r="B284" s="306" t="s">
        <v>31</v>
      </c>
      <c r="C284" s="32"/>
      <c r="E284" s="32">
        <v>219</v>
      </c>
      <c r="F284" s="357"/>
      <c r="G284" s="80">
        <v>0</v>
      </c>
      <c r="H284" s="283">
        <v>0</v>
      </c>
      <c r="I284" s="283">
        <v>0</v>
      </c>
      <c r="J284" s="283">
        <v>0</v>
      </c>
      <c r="K284" s="283">
        <v>0</v>
      </c>
      <c r="L284" s="283">
        <v>0</v>
      </c>
      <c r="M284" s="283">
        <v>0</v>
      </c>
      <c r="N284" s="283">
        <v>0</v>
      </c>
      <c r="O284" s="283">
        <v>0</v>
      </c>
      <c r="P284" s="283">
        <v>0</v>
      </c>
      <c r="Q284" s="283">
        <v>0</v>
      </c>
      <c r="R284" s="283">
        <v>0</v>
      </c>
      <c r="S284" s="283">
        <v>0</v>
      </c>
      <c r="T284" s="79">
        <f t="shared" ref="T284" si="19">+SUM(G284:S284)/13</f>
        <v>0</v>
      </c>
    </row>
    <row r="285" spans="1:20">
      <c r="A285" s="177">
        <f>+A284+1</f>
        <v>114</v>
      </c>
      <c r="B285" s="306" t="s">
        <v>41</v>
      </c>
      <c r="C285" s="32"/>
      <c r="E285" s="32">
        <v>274</v>
      </c>
      <c r="F285" s="357"/>
      <c r="G285" s="80">
        <v>0</v>
      </c>
      <c r="H285" s="351"/>
      <c r="I285" s="351"/>
      <c r="J285" s="351"/>
      <c r="K285" s="351"/>
      <c r="L285" s="351"/>
      <c r="M285" s="351"/>
      <c r="N285" s="351"/>
      <c r="O285" s="351"/>
      <c r="P285" s="351"/>
      <c r="Q285" s="351"/>
      <c r="R285" s="351"/>
      <c r="S285" s="283">
        <v>0</v>
      </c>
      <c r="T285" s="79">
        <f>+(G285+S285)/2</f>
        <v>0</v>
      </c>
    </row>
    <row r="286" spans="1:20">
      <c r="E286" s="32"/>
      <c r="G286" s="351"/>
      <c r="H286" s="351"/>
      <c r="I286" s="351"/>
      <c r="J286" s="351"/>
      <c r="K286" s="351"/>
      <c r="L286" s="351"/>
      <c r="M286" s="351"/>
      <c r="N286" s="351"/>
      <c r="O286" s="351"/>
      <c r="P286" s="351"/>
      <c r="Q286" s="351"/>
      <c r="R286" s="351"/>
      <c r="S286" s="351"/>
      <c r="T286" s="79"/>
    </row>
    <row r="287" spans="1:20">
      <c r="A287" s="177"/>
      <c r="B287" s="263" t="str">
        <f>+'7A - Project ROE Adder'!Y8</f>
        <v>Name</v>
      </c>
      <c r="C287" s="32"/>
      <c r="E287" s="32"/>
      <c r="F287" s="357"/>
      <c r="G287" s="351"/>
      <c r="H287" s="351"/>
      <c r="I287" s="351"/>
      <c r="J287" s="351"/>
      <c r="K287" s="351"/>
      <c r="L287" s="351"/>
      <c r="M287" s="351"/>
      <c r="N287" s="351"/>
      <c r="O287" s="351"/>
      <c r="P287" s="351"/>
      <c r="Q287" s="351"/>
      <c r="R287" s="351"/>
      <c r="S287" s="351"/>
      <c r="T287" s="79"/>
    </row>
    <row r="288" spans="1:20">
      <c r="A288" s="177">
        <f>+A285+1</f>
        <v>115</v>
      </c>
      <c r="B288" s="306" t="s">
        <v>665</v>
      </c>
      <c r="C288" s="32"/>
      <c r="E288" s="32">
        <v>206</v>
      </c>
      <c r="F288" s="357"/>
      <c r="G288" s="80">
        <v>0</v>
      </c>
      <c r="H288" s="283">
        <v>0</v>
      </c>
      <c r="I288" s="283">
        <v>0</v>
      </c>
      <c r="J288" s="283">
        <v>0</v>
      </c>
      <c r="K288" s="283">
        <v>0</v>
      </c>
      <c r="L288" s="283">
        <v>0</v>
      </c>
      <c r="M288" s="283">
        <v>0</v>
      </c>
      <c r="N288" s="283">
        <v>0</v>
      </c>
      <c r="O288" s="283">
        <v>0</v>
      </c>
      <c r="P288" s="283">
        <v>0</v>
      </c>
      <c r="Q288" s="283">
        <v>0</v>
      </c>
      <c r="R288" s="283">
        <v>0</v>
      </c>
      <c r="S288" s="283">
        <v>0</v>
      </c>
      <c r="T288" s="79">
        <f>+SUM(G288:S288)/13</f>
        <v>0</v>
      </c>
    </row>
    <row r="289" spans="1:21">
      <c r="A289" s="177">
        <f>+A288+1</f>
        <v>116</v>
      </c>
      <c r="B289" s="306" t="s">
        <v>31</v>
      </c>
      <c r="C289" s="32"/>
      <c r="E289" s="32">
        <v>219</v>
      </c>
      <c r="F289" s="357"/>
      <c r="G289" s="80">
        <v>0</v>
      </c>
      <c r="H289" s="283">
        <v>0</v>
      </c>
      <c r="I289" s="283">
        <v>0</v>
      </c>
      <c r="J289" s="283">
        <v>0</v>
      </c>
      <c r="K289" s="283">
        <v>0</v>
      </c>
      <c r="L289" s="283">
        <v>0</v>
      </c>
      <c r="M289" s="283">
        <v>0</v>
      </c>
      <c r="N289" s="283">
        <v>0</v>
      </c>
      <c r="O289" s="283">
        <v>0</v>
      </c>
      <c r="P289" s="283">
        <v>0</v>
      </c>
      <c r="Q289" s="283">
        <v>0</v>
      </c>
      <c r="R289" s="283">
        <v>0</v>
      </c>
      <c r="S289" s="283">
        <v>0</v>
      </c>
      <c r="T289" s="79">
        <f t="shared" ref="T289" si="20">+SUM(G289:S289)/13</f>
        <v>0</v>
      </c>
    </row>
    <row r="290" spans="1:21">
      <c r="A290" s="177">
        <f>+A289+1</f>
        <v>117</v>
      </c>
      <c r="B290" s="306" t="s">
        <v>41</v>
      </c>
      <c r="C290" s="32"/>
      <c r="E290" s="32">
        <v>274</v>
      </c>
      <c r="F290" s="357"/>
      <c r="G290" s="80">
        <v>0</v>
      </c>
      <c r="H290" s="351"/>
      <c r="I290" s="351"/>
      <c r="J290" s="351"/>
      <c r="K290" s="351"/>
      <c r="L290" s="351"/>
      <c r="M290" s="351"/>
      <c r="N290" s="351"/>
      <c r="O290" s="351"/>
      <c r="P290" s="351"/>
      <c r="Q290" s="351"/>
      <c r="R290" s="351"/>
      <c r="S290" s="283">
        <v>0</v>
      </c>
      <c r="T290" s="79">
        <f>+(G290+S290)/2</f>
        <v>0</v>
      </c>
    </row>
    <row r="291" spans="1:21" ht="21" thickBot="1">
      <c r="A291" s="170"/>
      <c r="B291" s="170"/>
      <c r="C291" s="170"/>
      <c r="D291" s="170"/>
      <c r="E291" s="170"/>
      <c r="F291" s="170"/>
      <c r="G291" s="170"/>
      <c r="H291" s="170"/>
      <c r="I291" s="170"/>
      <c r="J291" s="170"/>
      <c r="K291" s="170"/>
      <c r="L291" s="170"/>
      <c r="M291" s="170"/>
      <c r="N291" s="170"/>
      <c r="O291" s="170"/>
      <c r="P291" s="170"/>
      <c r="Q291" s="170"/>
      <c r="R291" s="170"/>
      <c r="S291" s="170"/>
      <c r="T291" s="78"/>
    </row>
    <row r="292" spans="1:21">
      <c r="U292" s="342"/>
    </row>
    <row r="293" spans="1:21" ht="21" thickBot="1">
      <c r="A293" s="231" t="s">
        <v>666</v>
      </c>
      <c r="G293" s="1"/>
      <c r="H293" s="675" t="s">
        <v>664</v>
      </c>
      <c r="I293" s="675"/>
      <c r="J293" s="675"/>
      <c r="K293" s="675"/>
      <c r="L293" s="675"/>
      <c r="M293" s="675"/>
      <c r="N293" s="675"/>
      <c r="O293" s="675"/>
      <c r="P293" s="675"/>
      <c r="Q293" s="675"/>
      <c r="R293" s="675"/>
      <c r="S293" s="676"/>
    </row>
    <row r="294" spans="1:21" ht="41.25" thickBot="1">
      <c r="A294" s="164" t="s">
        <v>475</v>
      </c>
      <c r="B294" s="163" t="s">
        <v>476</v>
      </c>
      <c r="C294" s="163"/>
      <c r="D294" s="163"/>
      <c r="E294" s="162" t="s">
        <v>477</v>
      </c>
      <c r="F294" s="137" t="s">
        <v>478</v>
      </c>
      <c r="G294" s="2" t="s">
        <v>479</v>
      </c>
      <c r="H294" s="186" t="s">
        <v>480</v>
      </c>
      <c r="I294" s="186" t="s">
        <v>481</v>
      </c>
      <c r="J294" s="186" t="s">
        <v>482</v>
      </c>
      <c r="K294" s="186" t="s">
        <v>483</v>
      </c>
      <c r="L294" s="186" t="s">
        <v>371</v>
      </c>
      <c r="M294" s="186" t="s">
        <v>484</v>
      </c>
      <c r="N294" s="186" t="s">
        <v>485</v>
      </c>
      <c r="O294" s="186" t="s">
        <v>486</v>
      </c>
      <c r="P294" s="186" t="s">
        <v>487</v>
      </c>
      <c r="Q294" s="186" t="s">
        <v>488</v>
      </c>
      <c r="R294" s="186" t="s">
        <v>489</v>
      </c>
      <c r="S294" s="186" t="s">
        <v>490</v>
      </c>
      <c r="T294" s="136" t="s">
        <v>667</v>
      </c>
    </row>
    <row r="295" spans="1:21">
      <c r="A295" s="177"/>
      <c r="B295" s="263" t="s">
        <v>668</v>
      </c>
      <c r="C295" s="286"/>
      <c r="F295" s="357"/>
      <c r="T295" s="81"/>
    </row>
    <row r="296" spans="1:21">
      <c r="A296" s="177">
        <f>+A290+1</f>
        <v>118</v>
      </c>
      <c r="B296" s="306" t="s">
        <v>669</v>
      </c>
      <c r="C296" s="32"/>
      <c r="E296" s="32" t="s">
        <v>670</v>
      </c>
      <c r="F296" s="357"/>
      <c r="G296" s="80">
        <v>21298180.439999998</v>
      </c>
      <c r="H296" s="80">
        <v>21298180.439999998</v>
      </c>
      <c r="I296" s="80">
        <v>21282362.039999999</v>
      </c>
      <c r="J296" s="80">
        <v>21153750.280000001</v>
      </c>
      <c r="K296" s="80">
        <v>21162126.98</v>
      </c>
      <c r="L296" s="80">
        <v>20714915.890000001</v>
      </c>
      <c r="M296" s="80">
        <v>20113665.890000001</v>
      </c>
      <c r="N296" s="80">
        <v>20115636.890000001</v>
      </c>
      <c r="O296" s="80">
        <v>20201422.66</v>
      </c>
      <c r="P296" s="80">
        <v>20201422.66</v>
      </c>
      <c r="Q296" s="80">
        <v>20201422.66</v>
      </c>
      <c r="R296" s="80">
        <v>20204288.07</v>
      </c>
      <c r="S296" s="80">
        <v>20204035.670000002</v>
      </c>
      <c r="T296" s="79">
        <f>+SUM(G296:S296)/13</f>
        <v>20627031.582307689</v>
      </c>
    </row>
    <row r="297" spans="1:21">
      <c r="A297" s="177">
        <f>+A296+1</f>
        <v>119</v>
      </c>
      <c r="B297" s="306" t="s">
        <v>31</v>
      </c>
      <c r="C297" s="32"/>
      <c r="E297" s="32">
        <v>219</v>
      </c>
      <c r="F297" s="357"/>
      <c r="G297" s="80">
        <v>119437.37062729859</v>
      </c>
      <c r="H297" s="80">
        <v>151366.48218814388</v>
      </c>
      <c r="I297" s="80">
        <v>183272.08746008179</v>
      </c>
      <c r="J297" s="80">
        <v>214986.57446547857</v>
      </c>
      <c r="K297" s="80">
        <v>246713.50932465895</v>
      </c>
      <c r="L297" s="80">
        <v>277762.1740306727</v>
      </c>
      <c r="M297" s="80">
        <v>307898.94290335302</v>
      </c>
      <c r="N297" s="80">
        <v>338038.64070028847</v>
      </c>
      <c r="O297" s="80">
        <v>368305.81694597774</v>
      </c>
      <c r="P297" s="80">
        <v>398572.99319166702</v>
      </c>
      <c r="Q297" s="80">
        <v>428840.16943735635</v>
      </c>
      <c r="R297" s="80">
        <v>459111.60370884457</v>
      </c>
      <c r="S297" s="80">
        <v>489382.66291159508</v>
      </c>
      <c r="T297" s="79">
        <f t="shared" ref="T297" si="21">+SUM(G297:S297)/13</f>
        <v>306437.61753041664</v>
      </c>
    </row>
    <row r="298" spans="1:21">
      <c r="A298" s="177">
        <f>+A297+1</f>
        <v>120</v>
      </c>
      <c r="B298" s="306" t="s">
        <v>671</v>
      </c>
      <c r="C298" s="32"/>
      <c r="E298" s="32">
        <v>336</v>
      </c>
      <c r="F298" s="357"/>
      <c r="G298" s="355">
        <v>0</v>
      </c>
      <c r="H298" s="80">
        <v>31929.111560845326</v>
      </c>
      <c r="I298" s="80">
        <v>31905.605271937886</v>
      </c>
      <c r="J298" s="80">
        <v>31714.487005396768</v>
      </c>
      <c r="K298" s="80">
        <v>31726.934859180401</v>
      </c>
      <c r="L298" s="80">
        <v>31048.664706013729</v>
      </c>
      <c r="M298" s="80">
        <v>30136.768872680397</v>
      </c>
      <c r="N298" s="80">
        <v>30139.697796935478</v>
      </c>
      <c r="O298" s="80">
        <v>30267.176245689268</v>
      </c>
      <c r="P298" s="80">
        <v>30267.176245689268</v>
      </c>
      <c r="Q298" s="80">
        <v>30267.176245689268</v>
      </c>
      <c r="R298" s="80">
        <v>30271.43427148823</v>
      </c>
      <c r="S298" s="80">
        <v>30271.059202750541</v>
      </c>
      <c r="T298" s="79">
        <f>SUM(H298:S298)</f>
        <v>369945.29228429659</v>
      </c>
    </row>
    <row r="299" spans="1:21">
      <c r="A299" s="177"/>
      <c r="C299" s="32"/>
      <c r="E299" s="32"/>
      <c r="F299" s="357"/>
      <c r="G299" s="355"/>
      <c r="H299" s="351"/>
      <c r="I299" s="351"/>
      <c r="J299" s="351"/>
      <c r="K299" s="351"/>
      <c r="L299" s="351"/>
      <c r="M299" s="351"/>
      <c r="N299" s="351"/>
      <c r="O299" s="351"/>
      <c r="P299" s="351"/>
      <c r="Q299" s="351"/>
      <c r="R299" s="351"/>
      <c r="S299" s="351"/>
      <c r="T299" s="79"/>
    </row>
    <row r="300" spans="1:21">
      <c r="A300" s="177"/>
      <c r="B300" s="263" t="str">
        <f>+'7B - Schedule 12 Projects'!I8</f>
        <v>Name</v>
      </c>
      <c r="C300" s="32"/>
      <c r="E300" s="32"/>
      <c r="F300" s="357"/>
      <c r="G300" s="351"/>
      <c r="H300" s="351"/>
      <c r="I300" s="351"/>
      <c r="J300" s="351"/>
      <c r="K300" s="351"/>
      <c r="L300" s="351"/>
      <c r="M300" s="351"/>
      <c r="N300" s="351"/>
      <c r="O300" s="351"/>
      <c r="P300" s="351"/>
      <c r="Q300" s="351"/>
      <c r="R300" s="351"/>
      <c r="S300" s="351"/>
      <c r="T300" s="79"/>
    </row>
    <row r="301" spans="1:21">
      <c r="A301" s="177">
        <f>+A298+1</f>
        <v>121</v>
      </c>
      <c r="B301" s="306" t="s">
        <v>669</v>
      </c>
      <c r="C301" s="32"/>
      <c r="E301" s="32" t="s">
        <v>670</v>
      </c>
      <c r="F301" s="357"/>
      <c r="G301" s="80">
        <v>0</v>
      </c>
      <c r="H301" s="283">
        <v>0</v>
      </c>
      <c r="I301" s="283">
        <v>0</v>
      </c>
      <c r="J301" s="283">
        <v>0</v>
      </c>
      <c r="K301" s="283">
        <v>0</v>
      </c>
      <c r="L301" s="283">
        <v>0</v>
      </c>
      <c r="M301" s="283">
        <v>0</v>
      </c>
      <c r="N301" s="283">
        <v>0</v>
      </c>
      <c r="O301" s="283">
        <v>0</v>
      </c>
      <c r="P301" s="283">
        <v>0</v>
      </c>
      <c r="Q301" s="283">
        <v>0</v>
      </c>
      <c r="R301" s="283">
        <v>0</v>
      </c>
      <c r="S301" s="283">
        <v>0</v>
      </c>
      <c r="T301" s="79">
        <f>+SUM(G301:S301)/13</f>
        <v>0</v>
      </c>
    </row>
    <row r="302" spans="1:21">
      <c r="A302" s="177">
        <f>+A301+1</f>
        <v>122</v>
      </c>
      <c r="B302" s="306" t="s">
        <v>31</v>
      </c>
      <c r="C302" s="32"/>
      <c r="E302" s="32">
        <v>219</v>
      </c>
      <c r="F302" s="357"/>
      <c r="G302" s="80">
        <v>0</v>
      </c>
      <c r="H302" s="283">
        <v>0</v>
      </c>
      <c r="I302" s="283">
        <v>0</v>
      </c>
      <c r="J302" s="283">
        <v>0</v>
      </c>
      <c r="K302" s="283">
        <v>0</v>
      </c>
      <c r="L302" s="283">
        <v>0</v>
      </c>
      <c r="M302" s="283">
        <v>0</v>
      </c>
      <c r="N302" s="283">
        <v>0</v>
      </c>
      <c r="O302" s="283">
        <v>0</v>
      </c>
      <c r="P302" s="283">
        <v>0</v>
      </c>
      <c r="Q302" s="283">
        <v>0</v>
      </c>
      <c r="R302" s="283">
        <v>0</v>
      </c>
      <c r="S302" s="283">
        <v>0</v>
      </c>
      <c r="T302" s="79">
        <f t="shared" ref="T302" si="22">+SUM(G302:S302)/13</f>
        <v>0</v>
      </c>
    </row>
    <row r="303" spans="1:21">
      <c r="A303" s="347">
        <f>+A302+1</f>
        <v>123</v>
      </c>
      <c r="B303" s="306" t="s">
        <v>671</v>
      </c>
      <c r="C303" s="32"/>
      <c r="E303" s="32">
        <v>336</v>
      </c>
      <c r="F303" s="357"/>
      <c r="G303" s="355"/>
      <c r="H303" s="351"/>
      <c r="I303" s="351"/>
      <c r="J303" s="351"/>
      <c r="K303" s="351"/>
      <c r="L303" s="351"/>
      <c r="M303" s="351"/>
      <c r="N303" s="351"/>
      <c r="O303" s="351"/>
      <c r="P303" s="351"/>
      <c r="Q303" s="351"/>
      <c r="R303" s="351"/>
      <c r="S303" s="351"/>
      <c r="T303" s="77">
        <v>0</v>
      </c>
    </row>
    <row r="304" spans="1:21">
      <c r="E304" s="32"/>
      <c r="G304" s="351"/>
      <c r="H304" s="351"/>
      <c r="I304" s="351"/>
      <c r="J304" s="351"/>
      <c r="K304" s="351"/>
      <c r="L304" s="351"/>
      <c r="M304" s="351"/>
      <c r="N304" s="351"/>
      <c r="O304" s="351"/>
      <c r="P304" s="351"/>
      <c r="Q304" s="351"/>
      <c r="R304" s="351"/>
      <c r="S304" s="351"/>
      <c r="T304" s="79"/>
    </row>
    <row r="305" spans="1:20">
      <c r="A305" s="177"/>
      <c r="B305" s="263" t="str">
        <f>+'7B - Schedule 12 Projects'!K8</f>
        <v>Name</v>
      </c>
      <c r="C305" s="32"/>
      <c r="E305" s="32"/>
      <c r="F305" s="357"/>
      <c r="G305" s="351"/>
      <c r="H305" s="351"/>
      <c r="I305" s="351"/>
      <c r="J305" s="351"/>
      <c r="K305" s="351"/>
      <c r="L305" s="351"/>
      <c r="M305" s="351"/>
      <c r="N305" s="351"/>
      <c r="O305" s="351"/>
      <c r="P305" s="351"/>
      <c r="Q305" s="351"/>
      <c r="R305" s="351"/>
      <c r="S305" s="351"/>
      <c r="T305" s="79"/>
    </row>
    <row r="306" spans="1:20">
      <c r="A306" s="177">
        <f>+A303+1</f>
        <v>124</v>
      </c>
      <c r="B306" s="306" t="s">
        <v>669</v>
      </c>
      <c r="C306" s="32"/>
      <c r="E306" s="32" t="s">
        <v>670</v>
      </c>
      <c r="F306" s="357"/>
      <c r="G306" s="80">
        <v>0</v>
      </c>
      <c r="H306" s="283">
        <v>0</v>
      </c>
      <c r="I306" s="283">
        <v>0</v>
      </c>
      <c r="J306" s="283">
        <v>0</v>
      </c>
      <c r="K306" s="283">
        <v>0</v>
      </c>
      <c r="L306" s="283">
        <v>0</v>
      </c>
      <c r="M306" s="283">
        <v>0</v>
      </c>
      <c r="N306" s="283">
        <v>0</v>
      </c>
      <c r="O306" s="283">
        <v>0</v>
      </c>
      <c r="P306" s="283">
        <v>0</v>
      </c>
      <c r="Q306" s="283">
        <v>0</v>
      </c>
      <c r="R306" s="283">
        <v>0</v>
      </c>
      <c r="S306" s="283">
        <v>0</v>
      </c>
      <c r="T306" s="79">
        <f>+SUM(G306:S306)/13</f>
        <v>0</v>
      </c>
    </row>
    <row r="307" spans="1:20">
      <c r="A307" s="177">
        <f>+A306+1</f>
        <v>125</v>
      </c>
      <c r="B307" s="306" t="s">
        <v>31</v>
      </c>
      <c r="C307" s="32"/>
      <c r="E307" s="32">
        <v>219</v>
      </c>
      <c r="F307" s="357"/>
      <c r="G307" s="80">
        <v>0</v>
      </c>
      <c r="H307" s="283">
        <v>0</v>
      </c>
      <c r="I307" s="283">
        <v>0</v>
      </c>
      <c r="J307" s="283">
        <v>0</v>
      </c>
      <c r="K307" s="283">
        <v>0</v>
      </c>
      <c r="L307" s="283">
        <v>0</v>
      </c>
      <c r="M307" s="283">
        <v>0</v>
      </c>
      <c r="N307" s="283">
        <v>0</v>
      </c>
      <c r="O307" s="283">
        <v>0</v>
      </c>
      <c r="P307" s="283">
        <v>0</v>
      </c>
      <c r="Q307" s="283">
        <v>0</v>
      </c>
      <c r="R307" s="283">
        <v>0</v>
      </c>
      <c r="S307" s="283">
        <v>0</v>
      </c>
      <c r="T307" s="79">
        <f t="shared" ref="T307" si="23">+SUM(G307:S307)/13</f>
        <v>0</v>
      </c>
    </row>
    <row r="308" spans="1:20">
      <c r="A308" s="347">
        <f>+A307+1</f>
        <v>126</v>
      </c>
      <c r="B308" s="306" t="s">
        <v>671</v>
      </c>
      <c r="C308" s="32"/>
      <c r="E308" s="32">
        <v>336</v>
      </c>
      <c r="F308" s="357"/>
      <c r="G308" s="355"/>
      <c r="H308" s="351"/>
      <c r="I308" s="351"/>
      <c r="J308" s="351"/>
      <c r="K308" s="351"/>
      <c r="L308" s="351"/>
      <c r="M308" s="351"/>
      <c r="N308" s="351"/>
      <c r="O308" s="351"/>
      <c r="P308" s="351"/>
      <c r="Q308" s="351"/>
      <c r="R308" s="351"/>
      <c r="S308" s="351"/>
      <c r="T308" s="77">
        <v>0</v>
      </c>
    </row>
    <row r="309" spans="1:20">
      <c r="E309" s="32"/>
      <c r="G309" s="351"/>
      <c r="H309" s="351"/>
      <c r="I309" s="351"/>
      <c r="J309" s="351"/>
      <c r="K309" s="351"/>
      <c r="L309" s="351"/>
      <c r="M309" s="351"/>
      <c r="N309" s="351"/>
      <c r="O309" s="351"/>
      <c r="P309" s="351"/>
      <c r="Q309" s="351"/>
      <c r="R309" s="351"/>
      <c r="S309" s="351"/>
      <c r="T309" s="79"/>
    </row>
    <row r="310" spans="1:20">
      <c r="A310" s="177"/>
      <c r="B310" s="263" t="str">
        <f>+'7B - Schedule 12 Projects'!M8</f>
        <v>Name</v>
      </c>
      <c r="C310" s="32"/>
      <c r="E310" s="32"/>
      <c r="F310" s="357"/>
      <c r="G310" s="351"/>
      <c r="H310" s="351"/>
      <c r="I310" s="351"/>
      <c r="J310" s="351"/>
      <c r="K310" s="351"/>
      <c r="L310" s="351"/>
      <c r="M310" s="351"/>
      <c r="N310" s="351"/>
      <c r="O310" s="351"/>
      <c r="P310" s="351"/>
      <c r="Q310" s="351"/>
      <c r="R310" s="351"/>
      <c r="S310" s="351"/>
      <c r="T310" s="79"/>
    </row>
    <row r="311" spans="1:20">
      <c r="A311" s="177">
        <f>+A308+1</f>
        <v>127</v>
      </c>
      <c r="B311" s="306" t="s">
        <v>669</v>
      </c>
      <c r="C311" s="32"/>
      <c r="E311" s="32" t="s">
        <v>670</v>
      </c>
      <c r="F311" s="357"/>
      <c r="G311" s="80">
        <v>0</v>
      </c>
      <c r="H311" s="283">
        <v>0</v>
      </c>
      <c r="I311" s="283">
        <v>0</v>
      </c>
      <c r="J311" s="283">
        <v>0</v>
      </c>
      <c r="K311" s="283">
        <v>0</v>
      </c>
      <c r="L311" s="283">
        <v>0</v>
      </c>
      <c r="M311" s="283">
        <v>0</v>
      </c>
      <c r="N311" s="283">
        <v>0</v>
      </c>
      <c r="O311" s="283">
        <v>0</v>
      </c>
      <c r="P311" s="283">
        <v>0</v>
      </c>
      <c r="Q311" s="283">
        <v>0</v>
      </c>
      <c r="R311" s="283">
        <v>0</v>
      </c>
      <c r="S311" s="283">
        <v>0</v>
      </c>
      <c r="T311" s="79">
        <f>+SUM(G311:S311)/13</f>
        <v>0</v>
      </c>
    </row>
    <row r="312" spans="1:20">
      <c r="A312" s="177">
        <f>+A311+1</f>
        <v>128</v>
      </c>
      <c r="B312" s="306" t="s">
        <v>31</v>
      </c>
      <c r="C312" s="32"/>
      <c r="E312" s="32">
        <v>219</v>
      </c>
      <c r="F312" s="357"/>
      <c r="G312" s="80">
        <v>0</v>
      </c>
      <c r="H312" s="283">
        <v>0</v>
      </c>
      <c r="I312" s="283">
        <v>0</v>
      </c>
      <c r="J312" s="283">
        <v>0</v>
      </c>
      <c r="K312" s="283">
        <v>0</v>
      </c>
      <c r="L312" s="283">
        <v>0</v>
      </c>
      <c r="M312" s="283">
        <v>0</v>
      </c>
      <c r="N312" s="283">
        <v>0</v>
      </c>
      <c r="O312" s="283">
        <v>0</v>
      </c>
      <c r="P312" s="283">
        <v>0</v>
      </c>
      <c r="Q312" s="283">
        <v>0</v>
      </c>
      <c r="R312" s="283">
        <v>0</v>
      </c>
      <c r="S312" s="283">
        <v>0</v>
      </c>
      <c r="T312" s="79">
        <f t="shared" ref="T312" si="24">+SUM(G312:S312)/13</f>
        <v>0</v>
      </c>
    </row>
    <row r="313" spans="1:20">
      <c r="A313" s="347">
        <f>+A312+1</f>
        <v>129</v>
      </c>
      <c r="B313" s="306" t="s">
        <v>671</v>
      </c>
      <c r="C313" s="32"/>
      <c r="E313" s="32">
        <v>336</v>
      </c>
      <c r="F313" s="357"/>
      <c r="G313" s="355"/>
      <c r="H313" s="351"/>
      <c r="I313" s="351"/>
      <c r="J313" s="351"/>
      <c r="K313" s="351"/>
      <c r="L313" s="351"/>
      <c r="M313" s="351"/>
      <c r="N313" s="351"/>
      <c r="O313" s="351"/>
      <c r="P313" s="351"/>
      <c r="Q313" s="351"/>
      <c r="R313" s="351"/>
      <c r="S313" s="351"/>
      <c r="T313" s="77">
        <v>0</v>
      </c>
    </row>
    <row r="314" spans="1:20">
      <c r="C314" s="32"/>
      <c r="E314" s="32"/>
      <c r="F314" s="357"/>
      <c r="G314" s="355"/>
      <c r="H314" s="351"/>
      <c r="I314" s="351"/>
      <c r="J314" s="351"/>
      <c r="K314" s="351"/>
      <c r="L314" s="351"/>
      <c r="M314" s="351"/>
      <c r="N314" s="351"/>
      <c r="O314" s="351"/>
      <c r="P314" s="351"/>
      <c r="Q314" s="351"/>
      <c r="R314" s="351"/>
      <c r="S314" s="351"/>
      <c r="T314" s="79"/>
    </row>
    <row r="315" spans="1:20">
      <c r="A315" s="177"/>
      <c r="B315" s="263" t="str">
        <f>+'7B - Schedule 12 Projects'!O8</f>
        <v>Name</v>
      </c>
      <c r="C315" s="32"/>
      <c r="E315" s="32"/>
      <c r="F315" s="357"/>
      <c r="G315" s="351"/>
      <c r="H315" s="351"/>
      <c r="I315" s="351"/>
      <c r="J315" s="351"/>
      <c r="K315" s="351"/>
      <c r="L315" s="351"/>
      <c r="M315" s="351"/>
      <c r="N315" s="351"/>
      <c r="O315" s="351"/>
      <c r="P315" s="351"/>
      <c r="Q315" s="351"/>
      <c r="R315" s="351"/>
      <c r="S315" s="351"/>
      <c r="T315" s="79"/>
    </row>
    <row r="316" spans="1:20">
      <c r="A316" s="177">
        <f>+A313+1</f>
        <v>130</v>
      </c>
      <c r="B316" s="306" t="s">
        <v>669</v>
      </c>
      <c r="C316" s="32"/>
      <c r="E316" s="32" t="s">
        <v>670</v>
      </c>
      <c r="F316" s="357"/>
      <c r="G316" s="80">
        <v>0</v>
      </c>
      <c r="H316" s="283">
        <v>0</v>
      </c>
      <c r="I316" s="283">
        <v>0</v>
      </c>
      <c r="J316" s="283">
        <v>0</v>
      </c>
      <c r="K316" s="283">
        <v>0</v>
      </c>
      <c r="L316" s="283">
        <v>0</v>
      </c>
      <c r="M316" s="283">
        <v>0</v>
      </c>
      <c r="N316" s="283">
        <v>0</v>
      </c>
      <c r="O316" s="283">
        <v>0</v>
      </c>
      <c r="P316" s="283">
        <v>0</v>
      </c>
      <c r="Q316" s="283">
        <v>0</v>
      </c>
      <c r="R316" s="283">
        <v>0</v>
      </c>
      <c r="S316" s="283">
        <v>0</v>
      </c>
      <c r="T316" s="79">
        <f>+SUM(G316:S316)/13</f>
        <v>0</v>
      </c>
    </row>
    <row r="317" spans="1:20">
      <c r="A317" s="177">
        <f>+A316+1</f>
        <v>131</v>
      </c>
      <c r="B317" s="306" t="s">
        <v>31</v>
      </c>
      <c r="C317" s="32"/>
      <c r="E317" s="32">
        <v>219</v>
      </c>
      <c r="F317" s="357"/>
      <c r="G317" s="80">
        <v>0</v>
      </c>
      <c r="H317" s="283">
        <v>0</v>
      </c>
      <c r="I317" s="283">
        <v>0</v>
      </c>
      <c r="J317" s="283">
        <v>0</v>
      </c>
      <c r="K317" s="283">
        <v>0</v>
      </c>
      <c r="L317" s="283">
        <v>0</v>
      </c>
      <c r="M317" s="283">
        <v>0</v>
      </c>
      <c r="N317" s="283">
        <v>0</v>
      </c>
      <c r="O317" s="283">
        <v>0</v>
      </c>
      <c r="P317" s="283">
        <v>0</v>
      </c>
      <c r="Q317" s="283">
        <v>0</v>
      </c>
      <c r="R317" s="283">
        <v>0</v>
      </c>
      <c r="S317" s="283">
        <v>0</v>
      </c>
      <c r="T317" s="79">
        <f t="shared" ref="T317" si="25">+SUM(G317:S317)/13</f>
        <v>0</v>
      </c>
    </row>
    <row r="318" spans="1:20">
      <c r="A318" s="177">
        <f>+A317+1</f>
        <v>132</v>
      </c>
      <c r="B318" s="306" t="s">
        <v>671</v>
      </c>
      <c r="C318" s="32"/>
      <c r="E318" s="32">
        <v>336</v>
      </c>
      <c r="F318" s="357"/>
      <c r="G318" s="355"/>
      <c r="H318" s="351"/>
      <c r="I318" s="351"/>
      <c r="J318" s="351"/>
      <c r="K318" s="351"/>
      <c r="L318" s="351"/>
      <c r="M318" s="351"/>
      <c r="N318" s="351"/>
      <c r="O318" s="351"/>
      <c r="P318" s="351"/>
      <c r="Q318" s="351"/>
      <c r="R318" s="351"/>
      <c r="S318" s="351"/>
      <c r="T318" s="77">
        <v>0</v>
      </c>
    </row>
    <row r="319" spans="1:20">
      <c r="A319" s="177"/>
      <c r="C319" s="32"/>
      <c r="E319" s="32"/>
      <c r="F319" s="357"/>
      <c r="G319" s="355"/>
      <c r="H319" s="351"/>
      <c r="I319" s="351"/>
      <c r="J319" s="351"/>
      <c r="K319" s="351"/>
      <c r="L319" s="351"/>
      <c r="M319" s="351"/>
      <c r="N319" s="351"/>
      <c r="O319" s="351"/>
      <c r="P319" s="351"/>
      <c r="Q319" s="351"/>
      <c r="R319" s="351"/>
      <c r="S319" s="351"/>
      <c r="T319" s="79"/>
    </row>
    <row r="320" spans="1:20">
      <c r="A320" s="177"/>
      <c r="B320" s="263" t="str">
        <f>+'7B - Schedule 12 Projects'!Q8</f>
        <v>Name</v>
      </c>
      <c r="C320" s="32"/>
      <c r="E320" s="32"/>
      <c r="F320" s="357"/>
      <c r="G320" s="351"/>
      <c r="H320" s="351"/>
      <c r="I320" s="351"/>
      <c r="J320" s="351"/>
      <c r="K320" s="351"/>
      <c r="L320" s="351"/>
      <c r="M320" s="351"/>
      <c r="N320" s="351"/>
      <c r="O320" s="351"/>
      <c r="P320" s="351"/>
      <c r="Q320" s="351"/>
      <c r="R320" s="351"/>
      <c r="S320" s="351"/>
      <c r="T320" s="79"/>
    </row>
    <row r="321" spans="1:20">
      <c r="A321" s="177">
        <f>+A318+1</f>
        <v>133</v>
      </c>
      <c r="B321" s="306" t="s">
        <v>669</v>
      </c>
      <c r="C321" s="32"/>
      <c r="E321" s="32" t="s">
        <v>670</v>
      </c>
      <c r="F321" s="357"/>
      <c r="G321" s="80">
        <v>0</v>
      </c>
      <c r="H321" s="283">
        <v>0</v>
      </c>
      <c r="I321" s="283">
        <v>0</v>
      </c>
      <c r="J321" s="283">
        <v>0</v>
      </c>
      <c r="K321" s="283">
        <v>0</v>
      </c>
      <c r="L321" s="283">
        <v>0</v>
      </c>
      <c r="M321" s="283">
        <v>0</v>
      </c>
      <c r="N321" s="283">
        <v>0</v>
      </c>
      <c r="O321" s="283">
        <v>0</v>
      </c>
      <c r="P321" s="283">
        <v>0</v>
      </c>
      <c r="Q321" s="283">
        <v>0</v>
      </c>
      <c r="R321" s="283">
        <v>0</v>
      </c>
      <c r="S321" s="283">
        <v>0</v>
      </c>
      <c r="T321" s="79">
        <f>+SUM(G321:S321)/13</f>
        <v>0</v>
      </c>
    </row>
    <row r="322" spans="1:20">
      <c r="A322" s="177">
        <f>+A321+1</f>
        <v>134</v>
      </c>
      <c r="B322" s="306" t="s">
        <v>31</v>
      </c>
      <c r="C322" s="32"/>
      <c r="E322" s="32">
        <v>219</v>
      </c>
      <c r="F322" s="357"/>
      <c r="G322" s="80">
        <v>0</v>
      </c>
      <c r="H322" s="283">
        <v>0</v>
      </c>
      <c r="I322" s="283">
        <v>0</v>
      </c>
      <c r="J322" s="283">
        <v>0</v>
      </c>
      <c r="K322" s="283">
        <v>0</v>
      </c>
      <c r="L322" s="283">
        <v>0</v>
      </c>
      <c r="M322" s="283">
        <v>0</v>
      </c>
      <c r="N322" s="283">
        <v>0</v>
      </c>
      <c r="O322" s="283">
        <v>0</v>
      </c>
      <c r="P322" s="283">
        <v>0</v>
      </c>
      <c r="Q322" s="283">
        <v>0</v>
      </c>
      <c r="R322" s="283">
        <v>0</v>
      </c>
      <c r="S322" s="283">
        <v>0</v>
      </c>
      <c r="T322" s="79">
        <f t="shared" ref="T322" si="26">+SUM(G322:S322)/13</f>
        <v>0</v>
      </c>
    </row>
    <row r="323" spans="1:20">
      <c r="A323" s="177">
        <f>+A322+1</f>
        <v>135</v>
      </c>
      <c r="B323" s="306" t="s">
        <v>671</v>
      </c>
      <c r="C323" s="32"/>
      <c r="E323" s="32">
        <v>336</v>
      </c>
      <c r="F323" s="357"/>
      <c r="G323" s="355"/>
      <c r="H323" s="351"/>
      <c r="I323" s="351"/>
      <c r="J323" s="351"/>
      <c r="K323" s="351"/>
      <c r="L323" s="351"/>
      <c r="M323" s="351"/>
      <c r="N323" s="351"/>
      <c r="O323" s="351"/>
      <c r="P323" s="351"/>
      <c r="Q323" s="351"/>
      <c r="R323" s="351"/>
      <c r="S323" s="351"/>
      <c r="T323" s="77">
        <v>0</v>
      </c>
    </row>
    <row r="324" spans="1:20">
      <c r="A324" s="177"/>
      <c r="C324" s="32"/>
      <c r="E324" s="32"/>
      <c r="F324" s="357"/>
      <c r="G324" s="355"/>
      <c r="H324" s="351"/>
      <c r="I324" s="351"/>
      <c r="J324" s="351"/>
      <c r="K324" s="351"/>
      <c r="L324" s="351"/>
      <c r="M324" s="351"/>
      <c r="N324" s="351"/>
      <c r="O324" s="351"/>
      <c r="P324" s="351"/>
      <c r="Q324" s="351"/>
      <c r="R324" s="351"/>
      <c r="S324" s="351"/>
      <c r="T324" s="79"/>
    </row>
    <row r="325" spans="1:20">
      <c r="A325" s="177"/>
      <c r="B325" s="263" t="str">
        <f>+'7B - Schedule 12 Projects'!S8</f>
        <v>Name</v>
      </c>
      <c r="C325" s="32"/>
      <c r="E325" s="32"/>
      <c r="F325" s="357"/>
      <c r="G325" s="351"/>
      <c r="H325" s="351"/>
      <c r="I325" s="351"/>
      <c r="J325" s="351"/>
      <c r="K325" s="351"/>
      <c r="L325" s="351"/>
      <c r="M325" s="351"/>
      <c r="N325" s="351"/>
      <c r="O325" s="351"/>
      <c r="P325" s="351"/>
      <c r="Q325" s="351"/>
      <c r="R325" s="351"/>
      <c r="S325" s="351"/>
      <c r="T325" s="79"/>
    </row>
    <row r="326" spans="1:20">
      <c r="A326" s="177">
        <f>+A323+1</f>
        <v>136</v>
      </c>
      <c r="B326" s="306" t="s">
        <v>669</v>
      </c>
      <c r="C326" s="32"/>
      <c r="E326" s="32" t="s">
        <v>670</v>
      </c>
      <c r="F326" s="357"/>
      <c r="G326" s="80">
        <v>0</v>
      </c>
      <c r="H326" s="283">
        <v>0</v>
      </c>
      <c r="I326" s="283">
        <v>0</v>
      </c>
      <c r="J326" s="283">
        <v>0</v>
      </c>
      <c r="K326" s="283">
        <v>0</v>
      </c>
      <c r="L326" s="283">
        <v>0</v>
      </c>
      <c r="M326" s="283">
        <v>0</v>
      </c>
      <c r="N326" s="283">
        <v>0</v>
      </c>
      <c r="O326" s="283">
        <v>0</v>
      </c>
      <c r="P326" s="283">
        <v>0</v>
      </c>
      <c r="Q326" s="283">
        <v>0</v>
      </c>
      <c r="R326" s="283">
        <v>0</v>
      </c>
      <c r="S326" s="283">
        <v>0</v>
      </c>
      <c r="T326" s="79">
        <f>+SUM(G326:S326)/13</f>
        <v>0</v>
      </c>
    </row>
    <row r="327" spans="1:20">
      <c r="A327" s="177">
        <f>+A326+1</f>
        <v>137</v>
      </c>
      <c r="B327" s="306" t="s">
        <v>31</v>
      </c>
      <c r="C327" s="32"/>
      <c r="E327" s="32">
        <v>219</v>
      </c>
      <c r="F327" s="357"/>
      <c r="G327" s="80">
        <v>0</v>
      </c>
      <c r="H327" s="283">
        <v>0</v>
      </c>
      <c r="I327" s="283">
        <v>0</v>
      </c>
      <c r="J327" s="283">
        <v>0</v>
      </c>
      <c r="K327" s="283">
        <v>0</v>
      </c>
      <c r="L327" s="283">
        <v>0</v>
      </c>
      <c r="M327" s="283">
        <v>0</v>
      </c>
      <c r="N327" s="283">
        <v>0</v>
      </c>
      <c r="O327" s="283">
        <v>0</v>
      </c>
      <c r="P327" s="283">
        <v>0</v>
      </c>
      <c r="Q327" s="283">
        <v>0</v>
      </c>
      <c r="R327" s="283">
        <v>0</v>
      </c>
      <c r="S327" s="283">
        <v>0</v>
      </c>
      <c r="T327" s="79">
        <f t="shared" ref="T327" si="27">+SUM(G327:S327)/13</f>
        <v>0</v>
      </c>
    </row>
    <row r="328" spans="1:20">
      <c r="A328" s="177">
        <f>+A327+1</f>
        <v>138</v>
      </c>
      <c r="B328" s="306" t="s">
        <v>671</v>
      </c>
      <c r="C328" s="32"/>
      <c r="E328" s="32">
        <v>336</v>
      </c>
      <c r="F328" s="357"/>
      <c r="G328" s="355"/>
      <c r="H328" s="351"/>
      <c r="I328" s="351"/>
      <c r="J328" s="351"/>
      <c r="K328" s="351"/>
      <c r="L328" s="351"/>
      <c r="M328" s="351"/>
      <c r="N328" s="351"/>
      <c r="O328" s="351"/>
      <c r="P328" s="351"/>
      <c r="Q328" s="351"/>
      <c r="R328" s="351"/>
      <c r="S328" s="351"/>
      <c r="T328" s="77">
        <v>0</v>
      </c>
    </row>
    <row r="329" spans="1:20">
      <c r="A329" s="177"/>
      <c r="C329" s="32"/>
      <c r="E329" s="32"/>
      <c r="F329" s="357"/>
      <c r="G329" s="355"/>
      <c r="H329" s="351"/>
      <c r="I329" s="351"/>
      <c r="J329" s="351"/>
      <c r="K329" s="351"/>
      <c r="L329" s="351"/>
      <c r="M329" s="351"/>
      <c r="N329" s="351"/>
      <c r="O329" s="351"/>
      <c r="P329" s="351"/>
      <c r="Q329" s="351"/>
      <c r="R329" s="351"/>
      <c r="S329" s="351"/>
      <c r="T329" s="79"/>
    </row>
    <row r="330" spans="1:20">
      <c r="A330" s="177"/>
      <c r="B330" s="263" t="str">
        <f>+'7B - Schedule 12 Projects'!U8</f>
        <v>Name</v>
      </c>
      <c r="C330" s="32"/>
      <c r="E330" s="32"/>
      <c r="F330" s="357"/>
      <c r="G330" s="351"/>
      <c r="H330" s="351"/>
      <c r="I330" s="351"/>
      <c r="J330" s="351"/>
      <c r="K330" s="351"/>
      <c r="L330" s="351"/>
      <c r="M330" s="351"/>
      <c r="N330" s="351"/>
      <c r="O330" s="351"/>
      <c r="P330" s="351"/>
      <c r="Q330" s="351"/>
      <c r="R330" s="351"/>
      <c r="S330" s="351"/>
      <c r="T330" s="79"/>
    </row>
    <row r="331" spans="1:20">
      <c r="A331" s="177">
        <f>+A328+1</f>
        <v>139</v>
      </c>
      <c r="B331" s="306" t="s">
        <v>669</v>
      </c>
      <c r="C331" s="32"/>
      <c r="E331" s="32" t="s">
        <v>670</v>
      </c>
      <c r="F331" s="357"/>
      <c r="G331" s="80">
        <v>0</v>
      </c>
      <c r="H331" s="283">
        <v>0</v>
      </c>
      <c r="I331" s="283">
        <v>0</v>
      </c>
      <c r="J331" s="283">
        <v>0</v>
      </c>
      <c r="K331" s="283">
        <v>0</v>
      </c>
      <c r="L331" s="283">
        <v>0</v>
      </c>
      <c r="M331" s="283">
        <v>0</v>
      </c>
      <c r="N331" s="283">
        <v>0</v>
      </c>
      <c r="O331" s="283">
        <v>0</v>
      </c>
      <c r="P331" s="283">
        <v>0</v>
      </c>
      <c r="Q331" s="283">
        <v>0</v>
      </c>
      <c r="R331" s="283">
        <v>0</v>
      </c>
      <c r="S331" s="283">
        <v>0</v>
      </c>
      <c r="T331" s="79">
        <f>+SUM(G331:S331)/13</f>
        <v>0</v>
      </c>
    </row>
    <row r="332" spans="1:20">
      <c r="A332" s="177">
        <f>+A331+1</f>
        <v>140</v>
      </c>
      <c r="B332" s="306" t="s">
        <v>31</v>
      </c>
      <c r="C332" s="32"/>
      <c r="E332" s="32">
        <v>219</v>
      </c>
      <c r="F332" s="357"/>
      <c r="G332" s="80">
        <v>0</v>
      </c>
      <c r="H332" s="283">
        <v>0</v>
      </c>
      <c r="I332" s="283">
        <v>0</v>
      </c>
      <c r="J332" s="283">
        <v>0</v>
      </c>
      <c r="K332" s="283">
        <v>0</v>
      </c>
      <c r="L332" s="283">
        <v>0</v>
      </c>
      <c r="M332" s="283">
        <v>0</v>
      </c>
      <c r="N332" s="283">
        <v>0</v>
      </c>
      <c r="O332" s="283">
        <v>0</v>
      </c>
      <c r="P332" s="283">
        <v>0</v>
      </c>
      <c r="Q332" s="283">
        <v>0</v>
      </c>
      <c r="R332" s="283">
        <v>0</v>
      </c>
      <c r="S332" s="283">
        <v>0</v>
      </c>
      <c r="T332" s="79">
        <f t="shared" ref="T332" si="28">+SUM(G332:S332)/13</f>
        <v>0</v>
      </c>
    </row>
    <row r="333" spans="1:20">
      <c r="A333" s="177">
        <f>+A332+1</f>
        <v>141</v>
      </c>
      <c r="B333" s="306" t="s">
        <v>671</v>
      </c>
      <c r="C333" s="32"/>
      <c r="E333" s="32">
        <v>336</v>
      </c>
      <c r="F333" s="357"/>
      <c r="G333" s="355"/>
      <c r="H333" s="351"/>
      <c r="I333" s="351"/>
      <c r="J333" s="351"/>
      <c r="K333" s="351"/>
      <c r="L333" s="351"/>
      <c r="M333" s="351"/>
      <c r="N333" s="351"/>
      <c r="O333" s="351"/>
      <c r="P333" s="351"/>
      <c r="Q333" s="351"/>
      <c r="R333" s="351"/>
      <c r="S333" s="351"/>
      <c r="T333" s="77">
        <v>0</v>
      </c>
    </row>
    <row r="334" spans="1:20">
      <c r="A334" s="177"/>
      <c r="C334" s="32"/>
      <c r="E334" s="32"/>
      <c r="F334" s="357"/>
      <c r="G334" s="355"/>
      <c r="H334" s="351"/>
      <c r="I334" s="351"/>
      <c r="J334" s="351"/>
      <c r="K334" s="351"/>
      <c r="L334" s="351"/>
      <c r="M334" s="351"/>
      <c r="N334" s="351"/>
      <c r="O334" s="351"/>
      <c r="P334" s="351"/>
      <c r="Q334" s="351"/>
      <c r="R334" s="351"/>
      <c r="S334" s="351"/>
      <c r="T334" s="79"/>
    </row>
    <row r="335" spans="1:20">
      <c r="A335" s="177"/>
      <c r="B335" s="263" t="str">
        <f>+'7B - Schedule 12 Projects'!W8</f>
        <v>Name</v>
      </c>
      <c r="C335" s="32"/>
      <c r="E335" s="32"/>
      <c r="F335" s="357"/>
      <c r="G335" s="351"/>
      <c r="H335" s="351"/>
      <c r="I335" s="351"/>
      <c r="J335" s="351"/>
      <c r="K335" s="351"/>
      <c r="L335" s="351"/>
      <c r="M335" s="351"/>
      <c r="N335" s="351"/>
      <c r="O335" s="351"/>
      <c r="P335" s="351"/>
      <c r="Q335" s="351"/>
      <c r="R335" s="351"/>
      <c r="S335" s="351"/>
      <c r="T335" s="79"/>
    </row>
    <row r="336" spans="1:20">
      <c r="A336" s="177">
        <f>+A333+1</f>
        <v>142</v>
      </c>
      <c r="B336" s="306" t="s">
        <v>669</v>
      </c>
      <c r="C336" s="32"/>
      <c r="E336" s="32" t="s">
        <v>670</v>
      </c>
      <c r="F336" s="357"/>
      <c r="G336" s="80">
        <v>0</v>
      </c>
      <c r="H336" s="283">
        <v>0</v>
      </c>
      <c r="I336" s="283">
        <v>0</v>
      </c>
      <c r="J336" s="283">
        <v>0</v>
      </c>
      <c r="K336" s="283">
        <v>0</v>
      </c>
      <c r="L336" s="283">
        <v>0</v>
      </c>
      <c r="M336" s="283">
        <v>0</v>
      </c>
      <c r="N336" s="283">
        <v>0</v>
      </c>
      <c r="O336" s="283">
        <v>0</v>
      </c>
      <c r="P336" s="283">
        <v>0</v>
      </c>
      <c r="Q336" s="283">
        <v>0</v>
      </c>
      <c r="R336" s="283">
        <v>0</v>
      </c>
      <c r="S336" s="283">
        <v>0</v>
      </c>
      <c r="T336" s="79">
        <f>+SUM(G336:S336)/13</f>
        <v>0</v>
      </c>
    </row>
    <row r="337" spans="1:20">
      <c r="A337" s="177">
        <f>+A336+1</f>
        <v>143</v>
      </c>
      <c r="B337" s="306" t="s">
        <v>31</v>
      </c>
      <c r="C337" s="32"/>
      <c r="E337" s="32">
        <v>219</v>
      </c>
      <c r="F337" s="357"/>
      <c r="G337" s="80">
        <v>0</v>
      </c>
      <c r="H337" s="283">
        <v>0</v>
      </c>
      <c r="I337" s="283">
        <v>0</v>
      </c>
      <c r="J337" s="283">
        <v>0</v>
      </c>
      <c r="K337" s="283">
        <v>0</v>
      </c>
      <c r="L337" s="283">
        <v>0</v>
      </c>
      <c r="M337" s="283">
        <v>0</v>
      </c>
      <c r="N337" s="283">
        <v>0</v>
      </c>
      <c r="O337" s="283">
        <v>0</v>
      </c>
      <c r="P337" s="283">
        <v>0</v>
      </c>
      <c r="Q337" s="283">
        <v>0</v>
      </c>
      <c r="R337" s="283">
        <v>0</v>
      </c>
      <c r="S337" s="283">
        <v>0</v>
      </c>
      <c r="T337" s="79">
        <f t="shared" ref="T337" si="29">+SUM(G337:S337)/13</f>
        <v>0</v>
      </c>
    </row>
    <row r="338" spans="1:20">
      <c r="A338" s="177">
        <f>+A337+1</f>
        <v>144</v>
      </c>
      <c r="B338" s="306" t="s">
        <v>671</v>
      </c>
      <c r="C338" s="32"/>
      <c r="E338" s="32">
        <v>336</v>
      </c>
      <c r="F338" s="357"/>
      <c r="G338" s="355"/>
      <c r="H338" s="351"/>
      <c r="I338" s="351"/>
      <c r="J338" s="351"/>
      <c r="K338" s="351"/>
      <c r="L338" s="351"/>
      <c r="M338" s="351"/>
      <c r="N338" s="351"/>
      <c r="O338" s="351"/>
      <c r="P338" s="351"/>
      <c r="Q338" s="351"/>
      <c r="R338" s="351"/>
      <c r="S338" s="351"/>
      <c r="T338" s="77">
        <v>0</v>
      </c>
    </row>
    <row r="339" spans="1:20">
      <c r="A339" s="177"/>
      <c r="C339" s="32"/>
      <c r="E339" s="32"/>
      <c r="F339" s="357"/>
      <c r="G339" s="355"/>
      <c r="H339" s="351"/>
      <c r="I339" s="351"/>
      <c r="J339" s="351"/>
      <c r="K339" s="351"/>
      <c r="L339" s="351"/>
      <c r="M339" s="351"/>
      <c r="N339" s="351"/>
      <c r="O339" s="351"/>
      <c r="P339" s="351"/>
      <c r="Q339" s="351"/>
      <c r="R339" s="351"/>
      <c r="S339" s="351"/>
      <c r="T339" s="79"/>
    </row>
    <row r="340" spans="1:20">
      <c r="A340" s="177"/>
      <c r="B340" s="263" t="str">
        <f>+'7B - Schedule 12 Projects'!Y8</f>
        <v>Name</v>
      </c>
      <c r="C340" s="32"/>
      <c r="E340" s="32"/>
      <c r="F340" s="357"/>
      <c r="G340" s="351"/>
      <c r="H340" s="351"/>
      <c r="I340" s="351"/>
      <c r="J340" s="351"/>
      <c r="K340" s="351"/>
      <c r="L340" s="351"/>
      <c r="M340" s="351"/>
      <c r="N340" s="351"/>
      <c r="O340" s="351"/>
      <c r="P340" s="351"/>
      <c r="Q340" s="351"/>
      <c r="R340" s="351"/>
      <c r="S340" s="351"/>
      <c r="T340" s="79"/>
    </row>
    <row r="341" spans="1:20">
      <c r="A341" s="177">
        <f>+A338+1</f>
        <v>145</v>
      </c>
      <c r="B341" s="306" t="s">
        <v>669</v>
      </c>
      <c r="C341" s="32"/>
      <c r="E341" s="32" t="s">
        <v>670</v>
      </c>
      <c r="F341" s="357"/>
      <c r="G341" s="80">
        <v>0</v>
      </c>
      <c r="H341" s="283">
        <v>0</v>
      </c>
      <c r="I341" s="283">
        <v>0</v>
      </c>
      <c r="J341" s="283">
        <v>0</v>
      </c>
      <c r="K341" s="283">
        <v>0</v>
      </c>
      <c r="L341" s="283">
        <v>0</v>
      </c>
      <c r="M341" s="283">
        <v>0</v>
      </c>
      <c r="N341" s="283">
        <v>0</v>
      </c>
      <c r="O341" s="283">
        <v>0</v>
      </c>
      <c r="P341" s="283">
        <v>0</v>
      </c>
      <c r="Q341" s="283">
        <v>0</v>
      </c>
      <c r="R341" s="283">
        <v>0</v>
      </c>
      <c r="S341" s="283">
        <v>0</v>
      </c>
      <c r="T341" s="79">
        <f>+SUM(G341:S341)/13</f>
        <v>0</v>
      </c>
    </row>
    <row r="342" spans="1:20">
      <c r="A342" s="177">
        <f>+A341+1</f>
        <v>146</v>
      </c>
      <c r="B342" s="306" t="s">
        <v>31</v>
      </c>
      <c r="C342" s="32"/>
      <c r="E342" s="32">
        <v>219</v>
      </c>
      <c r="F342" s="357"/>
      <c r="G342" s="80">
        <v>0</v>
      </c>
      <c r="H342" s="283">
        <v>0</v>
      </c>
      <c r="I342" s="283">
        <v>0</v>
      </c>
      <c r="J342" s="283">
        <v>0</v>
      </c>
      <c r="K342" s="283">
        <v>0</v>
      </c>
      <c r="L342" s="283">
        <v>0</v>
      </c>
      <c r="M342" s="283">
        <v>0</v>
      </c>
      <c r="N342" s="283">
        <v>0</v>
      </c>
      <c r="O342" s="283">
        <v>0</v>
      </c>
      <c r="P342" s="283">
        <v>0</v>
      </c>
      <c r="Q342" s="283">
        <v>0</v>
      </c>
      <c r="R342" s="283">
        <v>0</v>
      </c>
      <c r="S342" s="283">
        <v>0</v>
      </c>
      <c r="T342" s="79">
        <f t="shared" ref="T342" si="30">+SUM(G342:S342)/13</f>
        <v>0</v>
      </c>
    </row>
    <row r="343" spans="1:20">
      <c r="A343" s="177">
        <f>+A342+1</f>
        <v>147</v>
      </c>
      <c r="B343" s="306" t="s">
        <v>671</v>
      </c>
      <c r="C343" s="32"/>
      <c r="E343" s="32">
        <v>336</v>
      </c>
      <c r="F343" s="357"/>
      <c r="G343" s="355"/>
      <c r="H343" s="351"/>
      <c r="I343" s="351"/>
      <c r="J343" s="351"/>
      <c r="K343" s="351"/>
      <c r="L343" s="351"/>
      <c r="M343" s="351"/>
      <c r="N343" s="351"/>
      <c r="O343" s="351"/>
      <c r="P343" s="351"/>
      <c r="Q343" s="351"/>
      <c r="R343" s="351"/>
      <c r="S343" s="351"/>
      <c r="T343" s="77">
        <v>0</v>
      </c>
    </row>
    <row r="344" spans="1:20">
      <c r="A344" s="347"/>
      <c r="C344" s="32"/>
      <c r="E344" s="32"/>
      <c r="F344" s="357"/>
      <c r="G344" s="355"/>
      <c r="H344" s="351"/>
      <c r="I344" s="351"/>
      <c r="J344" s="351"/>
      <c r="K344" s="351"/>
      <c r="L344" s="351"/>
      <c r="M344" s="351"/>
      <c r="N344" s="351"/>
      <c r="O344" s="351"/>
      <c r="P344" s="351"/>
      <c r="Q344" s="351"/>
      <c r="R344" s="351"/>
      <c r="S344" s="351"/>
      <c r="T344" s="77"/>
    </row>
    <row r="345" spans="1:20" ht="21" thickBot="1">
      <c r="A345" s="76"/>
      <c r="B345" s="76"/>
      <c r="C345" s="76"/>
      <c r="D345" s="76"/>
      <c r="E345" s="76"/>
      <c r="F345" s="76"/>
      <c r="G345" s="76"/>
      <c r="H345" s="76"/>
      <c r="I345" s="76"/>
      <c r="J345" s="76"/>
      <c r="K345" s="76"/>
      <c r="L345" s="76"/>
      <c r="M345" s="76"/>
      <c r="N345" s="76"/>
      <c r="O345" s="76"/>
      <c r="P345" s="76"/>
      <c r="Q345" s="76"/>
      <c r="R345" s="76"/>
      <c r="S345" s="76"/>
      <c r="T345" s="75"/>
    </row>
  </sheetData>
  <customSheetViews>
    <customSheetView guid="{416404B7-8533-4A12-ABD0-58CFDEB49D80}" scale="75" topLeftCell="I105">
      <selection activeCell="F45" sqref="F45"/>
      <rowBreaks count="1" manualBreakCount="1">
        <brk id="91" max="16383" man="1"/>
      </rowBreaks>
      <pageMargins left="0" right="0" top="0" bottom="0" header="0" footer="0"/>
      <printOptions horizontalCentered="1"/>
      <pageSetup scale="31" fitToHeight="4" orientation="landscape" r:id="rId1"/>
    </customSheetView>
  </customSheetViews>
  <mergeCells count="24">
    <mergeCell ref="T62:U62"/>
    <mergeCell ref="T84:U84"/>
    <mergeCell ref="T188:U188"/>
    <mergeCell ref="A1:U1"/>
    <mergeCell ref="T173:U173"/>
    <mergeCell ref="T175:U175"/>
    <mergeCell ref="T180:U180"/>
    <mergeCell ref="T183:U183"/>
    <mergeCell ref="A2:U2"/>
    <mergeCell ref="A3:U3"/>
    <mergeCell ref="H6:S6"/>
    <mergeCell ref="H55:S55"/>
    <mergeCell ref="T81:U81"/>
    <mergeCell ref="T158:U158"/>
    <mergeCell ref="T160:U160"/>
    <mergeCell ref="T161:U161"/>
    <mergeCell ref="H240:S240"/>
    <mergeCell ref="H293:S293"/>
    <mergeCell ref="T223:U223"/>
    <mergeCell ref="H200:S200"/>
    <mergeCell ref="T204:U204"/>
    <mergeCell ref="H207:S207"/>
    <mergeCell ref="T217:U217"/>
    <mergeCell ref="H219:S219"/>
  </mergeCells>
  <phoneticPr fontId="5" type="noConversion"/>
  <printOptions horizontalCentered="1"/>
  <pageMargins left="0.45" right="0.21" top="5.5555555555555601E-3" bottom="1.46" header="0.45" footer="0.3"/>
  <pageSetup scale="26" fitToHeight="4" orientation="landscape" r:id="rId2"/>
  <rowBreaks count="3" manualBreakCount="3">
    <brk id="103" max="21" man="1"/>
    <brk id="205" max="21" man="1"/>
    <brk id="291" max="21" man="1"/>
  </rowBreaks>
  <customProperties>
    <customPr name="_pios_id" r:id="rId3"/>
    <customPr name="EpmWorksheetKeyString_GUID" r:id="rId4"/>
  </customProperties>
  <ignoredErrors>
    <ignoredError sqref="T136:T137" formula="1"/>
    <ignoredError sqref="T9"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2B4AE-887C-4A02-8700-3078E8FFEEB2}">
  <sheetPr>
    <tabColor rgb="FF92D050"/>
    <pageSetUpPr fitToPage="1"/>
  </sheetPr>
  <dimension ref="A1:U81"/>
  <sheetViews>
    <sheetView zoomScale="50" zoomScaleNormal="50" workbookViewId="0">
      <selection activeCell="T7" sqref="T7:U7"/>
    </sheetView>
  </sheetViews>
  <sheetFormatPr defaultRowHeight="20.25"/>
  <cols>
    <col min="1" max="1" width="17.7109375" style="306" customWidth="1"/>
    <col min="2" max="2" width="6.42578125" style="306" customWidth="1"/>
    <col min="3" max="3" width="127.5703125" style="306" bestFit="1" customWidth="1"/>
    <col min="4" max="4" width="21.140625" style="306" customWidth="1"/>
    <col min="5" max="5" width="17.7109375" style="306" customWidth="1"/>
    <col min="6" max="6" width="20.28515625" style="306" customWidth="1"/>
    <col min="7" max="7" width="19.7109375" style="306" customWidth="1"/>
    <col min="8" max="9" width="20.7109375" style="306" customWidth="1"/>
    <col min="10" max="10" width="19" style="306" customWidth="1"/>
    <col min="11" max="11" width="20.42578125" style="306" customWidth="1"/>
    <col min="12" max="12" width="18.28515625" style="306" customWidth="1"/>
    <col min="13" max="13" width="21.7109375" style="306" customWidth="1"/>
    <col min="14" max="14" width="21.42578125" style="306" customWidth="1"/>
    <col min="15" max="15" width="22" style="306" customWidth="1"/>
    <col min="16" max="16" width="20.7109375" style="306" customWidth="1"/>
    <col min="17" max="17" width="21.42578125" style="306" customWidth="1"/>
    <col min="18" max="18" width="24.7109375" style="306" bestFit="1" customWidth="1"/>
    <col min="19" max="19" width="20.42578125" style="306" customWidth="1"/>
    <col min="20" max="20" width="35.28515625" style="306" customWidth="1"/>
    <col min="21" max="21" width="20.28515625" style="306" customWidth="1"/>
    <col min="22" max="16384" width="9.140625" style="306"/>
  </cols>
  <sheetData>
    <row r="1" spans="1:21">
      <c r="F1" s="345" t="str">
        <f>+'Appendix A'!A3</f>
        <v>Dayton Power and Light</v>
      </c>
    </row>
    <row r="2" spans="1:21">
      <c r="F2" s="345" t="str">
        <f>+'Appendix A'!A4</f>
        <v xml:space="preserve">ATTACHMENT H-15A </v>
      </c>
      <c r="S2" s="342"/>
    </row>
    <row r="3" spans="1:21">
      <c r="F3" s="231"/>
    </row>
    <row r="4" spans="1:21">
      <c r="D4" s="263"/>
      <c r="E4" s="263"/>
      <c r="F4" s="344" t="s">
        <v>1001</v>
      </c>
      <c r="G4" s="263"/>
      <c r="H4" s="263"/>
    </row>
    <row r="5" spans="1:21">
      <c r="A5" s="306" t="s">
        <v>397</v>
      </c>
    </row>
    <row r="6" spans="1:21" ht="21" thickBot="1"/>
    <row r="7" spans="1:21" ht="52.5" customHeight="1" thickBot="1">
      <c r="A7" s="387"/>
      <c r="B7" s="347"/>
      <c r="E7" s="345"/>
      <c r="F7" s="83" t="s">
        <v>474</v>
      </c>
      <c r="G7" s="689" t="s">
        <v>672</v>
      </c>
      <c r="H7" s="689"/>
      <c r="I7" s="689"/>
      <c r="J7" s="689"/>
      <c r="K7" s="689"/>
      <c r="L7" s="689"/>
      <c r="M7" s="689"/>
      <c r="N7" s="689"/>
      <c r="O7" s="689"/>
      <c r="P7" s="689"/>
      <c r="Q7" s="689"/>
      <c r="R7" s="690"/>
      <c r="T7" s="691" t="s">
        <v>970</v>
      </c>
      <c r="U7" s="691"/>
    </row>
    <row r="8" spans="1:21" ht="61.5" thickBot="1">
      <c r="A8" s="189" t="s">
        <v>475</v>
      </c>
      <c r="B8" s="188" t="s">
        <v>476</v>
      </c>
      <c r="C8" s="188"/>
      <c r="D8" s="97" t="s">
        <v>1041</v>
      </c>
      <c r="E8" s="97" t="s">
        <v>963</v>
      </c>
      <c r="F8" s="82" t="s">
        <v>673</v>
      </c>
      <c r="G8" s="186" t="s">
        <v>480</v>
      </c>
      <c r="H8" s="186" t="s">
        <v>481</v>
      </c>
      <c r="I8" s="186" t="s">
        <v>482</v>
      </c>
      <c r="J8" s="186" t="s">
        <v>483</v>
      </c>
      <c r="K8" s="186" t="s">
        <v>371</v>
      </c>
      <c r="L8" s="186" t="s">
        <v>484</v>
      </c>
      <c r="M8" s="186" t="s">
        <v>485</v>
      </c>
      <c r="N8" s="186" t="s">
        <v>486</v>
      </c>
      <c r="O8" s="186" t="s">
        <v>487</v>
      </c>
      <c r="P8" s="186" t="s">
        <v>488</v>
      </c>
      <c r="Q8" s="186" t="s">
        <v>489</v>
      </c>
      <c r="R8" s="186" t="s">
        <v>674</v>
      </c>
      <c r="S8" s="74" t="s">
        <v>491</v>
      </c>
      <c r="T8" s="73" t="s">
        <v>968</v>
      </c>
      <c r="U8" s="136" t="s">
        <v>969</v>
      </c>
    </row>
    <row r="9" spans="1:21">
      <c r="A9" s="183"/>
      <c r="B9" s="182" t="s">
        <v>675</v>
      </c>
      <c r="C9" s="181"/>
      <c r="D9" s="181"/>
      <c r="E9" s="72"/>
      <c r="F9" s="178"/>
      <c r="G9" s="71"/>
      <c r="H9" s="71"/>
      <c r="I9" s="71"/>
      <c r="J9" s="71"/>
      <c r="K9" s="71"/>
      <c r="L9" s="71"/>
      <c r="M9" s="71"/>
      <c r="N9" s="71"/>
      <c r="O9" s="71"/>
      <c r="P9" s="71"/>
      <c r="Q9" s="71"/>
      <c r="R9" s="71"/>
      <c r="S9" s="178"/>
      <c r="U9" s="158"/>
    </row>
    <row r="10" spans="1:21">
      <c r="A10" s="177">
        <v>1</v>
      </c>
      <c r="B10" s="231"/>
      <c r="C10" s="263" t="s">
        <v>1025</v>
      </c>
      <c r="E10" s="287" t="s">
        <v>1023</v>
      </c>
      <c r="F10" s="70">
        <v>9914867</v>
      </c>
      <c r="G10" s="70">
        <v>10123185</v>
      </c>
      <c r="H10" s="70">
        <v>10373044</v>
      </c>
      <c r="I10" s="70">
        <v>10652180</v>
      </c>
      <c r="J10" s="70">
        <v>10510811</v>
      </c>
      <c r="K10" s="70">
        <v>10559020</v>
      </c>
      <c r="L10" s="70">
        <v>10412837</v>
      </c>
      <c r="M10" s="70">
        <v>10326404</v>
      </c>
      <c r="N10" s="70">
        <v>0</v>
      </c>
      <c r="O10" s="70">
        <v>0</v>
      </c>
      <c r="P10" s="70">
        <v>0</v>
      </c>
      <c r="Q10" s="70">
        <v>0</v>
      </c>
      <c r="R10" s="70">
        <v>0</v>
      </c>
      <c r="S10" s="173">
        <f t="shared" ref="S10" si="0">AVERAGE(F10:R10)</f>
        <v>6374796</v>
      </c>
      <c r="T10" s="287" t="s">
        <v>1035</v>
      </c>
      <c r="U10" s="69"/>
    </row>
    <row r="11" spans="1:21">
      <c r="A11" s="177">
        <f t="shared" ref="A11:A32" si="1">+A10+1</f>
        <v>2</v>
      </c>
      <c r="B11" s="231"/>
      <c r="C11" s="263" t="s">
        <v>1026</v>
      </c>
      <c r="E11" s="287" t="s">
        <v>1023</v>
      </c>
      <c r="F11" s="70">
        <v>6893432</v>
      </c>
      <c r="G11" s="70">
        <v>6976335</v>
      </c>
      <c r="H11" s="70">
        <v>7047798</v>
      </c>
      <c r="I11" s="526">
        <v>7195405</v>
      </c>
      <c r="J11" s="70">
        <v>7324455</v>
      </c>
      <c r="K11" s="70">
        <v>7881321</v>
      </c>
      <c r="L11" s="70">
        <v>8232193</v>
      </c>
      <c r="M11" s="70">
        <v>8365230</v>
      </c>
      <c r="N11" s="70">
        <v>8501363</v>
      </c>
      <c r="O11" s="70">
        <v>10037222</v>
      </c>
      <c r="P11" s="70">
        <v>11866347</v>
      </c>
      <c r="Q11" s="70">
        <v>12487121</v>
      </c>
      <c r="R11" s="70">
        <v>14143552</v>
      </c>
      <c r="S11" s="173">
        <f>AVERAGE(F11:R11)</f>
        <v>8996290.307692308</v>
      </c>
      <c r="T11" s="287" t="s">
        <v>1036</v>
      </c>
      <c r="U11" s="69">
        <v>45627</v>
      </c>
    </row>
    <row r="12" spans="1:21">
      <c r="A12" s="177">
        <f t="shared" si="1"/>
        <v>3</v>
      </c>
      <c r="B12" s="231"/>
      <c r="C12" s="263" t="s">
        <v>1010</v>
      </c>
      <c r="D12" s="527">
        <v>44986</v>
      </c>
      <c r="E12" s="287" t="s">
        <v>1023</v>
      </c>
      <c r="F12" s="70">
        <v>0</v>
      </c>
      <c r="G12" s="70">
        <v>0</v>
      </c>
      <c r="H12" s="70">
        <v>0</v>
      </c>
      <c r="I12" s="70">
        <v>150579</v>
      </c>
      <c r="J12" s="70">
        <v>164772</v>
      </c>
      <c r="K12" s="70">
        <v>172643</v>
      </c>
      <c r="L12" s="70">
        <v>198501</v>
      </c>
      <c r="M12" s="70">
        <v>207922</v>
      </c>
      <c r="N12" s="70">
        <v>233295</v>
      </c>
      <c r="O12" s="70">
        <v>272205</v>
      </c>
      <c r="P12" s="70">
        <v>273278</v>
      </c>
      <c r="Q12" s="70">
        <v>279722</v>
      </c>
      <c r="R12" s="70">
        <v>295812</v>
      </c>
      <c r="S12" s="173">
        <f t="shared" ref="S12:S32" si="2">AVERAGE(F12:R12)</f>
        <v>172979.15384615384</v>
      </c>
      <c r="T12" s="287" t="s">
        <v>1036</v>
      </c>
      <c r="U12" s="69">
        <v>45992</v>
      </c>
    </row>
    <row r="13" spans="1:21">
      <c r="A13" s="177">
        <f t="shared" si="1"/>
        <v>4</v>
      </c>
      <c r="B13" s="231"/>
      <c r="C13" s="263" t="s">
        <v>1011</v>
      </c>
      <c r="D13" s="527">
        <v>44986</v>
      </c>
      <c r="E13" s="287" t="s">
        <v>1023</v>
      </c>
      <c r="F13" s="70">
        <v>0</v>
      </c>
      <c r="G13" s="70">
        <v>0</v>
      </c>
      <c r="H13" s="70">
        <v>0</v>
      </c>
      <c r="I13" s="70">
        <v>175567</v>
      </c>
      <c r="J13" s="70">
        <v>205010</v>
      </c>
      <c r="K13" s="70">
        <v>214509</v>
      </c>
      <c r="L13" s="70">
        <v>247646</v>
      </c>
      <c r="M13" s="70">
        <v>284438</v>
      </c>
      <c r="N13" s="70">
        <v>340432</v>
      </c>
      <c r="O13" s="70">
        <v>439333</v>
      </c>
      <c r="P13" s="70">
        <v>482184</v>
      </c>
      <c r="Q13" s="70">
        <v>509617</v>
      </c>
      <c r="R13" s="70">
        <v>585797</v>
      </c>
      <c r="S13" s="173">
        <f t="shared" si="2"/>
        <v>268041</v>
      </c>
      <c r="T13" s="287" t="s">
        <v>1036</v>
      </c>
      <c r="U13" s="69">
        <v>46357</v>
      </c>
    </row>
    <row r="14" spans="1:21">
      <c r="A14" s="177">
        <f t="shared" si="1"/>
        <v>5</v>
      </c>
      <c r="B14" s="231"/>
      <c r="C14" s="263" t="s">
        <v>1012</v>
      </c>
      <c r="D14" s="527">
        <v>44986</v>
      </c>
      <c r="E14" s="287" t="s">
        <v>1023</v>
      </c>
      <c r="F14" s="70">
        <v>0</v>
      </c>
      <c r="G14" s="70">
        <v>0</v>
      </c>
      <c r="H14" s="70">
        <v>0</v>
      </c>
      <c r="I14" s="70">
        <v>0</v>
      </c>
      <c r="J14" s="70">
        <v>0</v>
      </c>
      <c r="K14" s="70">
        <v>0</v>
      </c>
      <c r="L14" s="70">
        <v>0</v>
      </c>
      <c r="M14" s="70">
        <v>0</v>
      </c>
      <c r="N14" s="70">
        <v>0</v>
      </c>
      <c r="O14" s="70">
        <v>0</v>
      </c>
      <c r="P14" s="70">
        <v>0</v>
      </c>
      <c r="Q14" s="70">
        <v>6896</v>
      </c>
      <c r="R14" s="70">
        <v>7016</v>
      </c>
      <c r="S14" s="173">
        <f t="shared" si="2"/>
        <v>1070.1538461538462</v>
      </c>
      <c r="T14" s="287" t="s">
        <v>1036</v>
      </c>
      <c r="U14" s="69">
        <v>46357</v>
      </c>
    </row>
    <row r="15" spans="1:21">
      <c r="A15" s="177">
        <f t="shared" si="1"/>
        <v>6</v>
      </c>
      <c r="B15" s="231"/>
      <c r="C15" s="263" t="s">
        <v>1013</v>
      </c>
      <c r="D15" s="527">
        <v>44986</v>
      </c>
      <c r="E15" s="287" t="s">
        <v>1023</v>
      </c>
      <c r="F15" s="70">
        <v>0</v>
      </c>
      <c r="G15" s="70">
        <v>0</v>
      </c>
      <c r="H15" s="70">
        <v>0</v>
      </c>
      <c r="I15" s="70">
        <v>1671306</v>
      </c>
      <c r="J15" s="70">
        <v>1699948</v>
      </c>
      <c r="K15" s="70">
        <v>1801207</v>
      </c>
      <c r="L15" s="70">
        <v>1797812</v>
      </c>
      <c r="M15" s="70">
        <v>2127286</v>
      </c>
      <c r="N15" s="70">
        <v>2220088</v>
      </c>
      <c r="O15" s="70">
        <v>2729643</v>
      </c>
      <c r="P15" s="70">
        <v>7793927</v>
      </c>
      <c r="Q15" s="70">
        <v>8551290</v>
      </c>
      <c r="R15" s="70">
        <v>8640913</v>
      </c>
      <c r="S15" s="173">
        <f t="shared" si="2"/>
        <v>3002570.769230769</v>
      </c>
      <c r="T15" s="287" t="s">
        <v>1036</v>
      </c>
      <c r="U15" s="69">
        <v>46174</v>
      </c>
    </row>
    <row r="16" spans="1:21">
      <c r="A16" s="177">
        <f t="shared" si="1"/>
        <v>7</v>
      </c>
      <c r="B16" s="231"/>
      <c r="C16" s="263" t="s">
        <v>1014</v>
      </c>
      <c r="D16" s="527">
        <v>44986</v>
      </c>
      <c r="E16" s="287" t="s">
        <v>1023</v>
      </c>
      <c r="F16" s="70">
        <v>0</v>
      </c>
      <c r="G16" s="70">
        <v>0</v>
      </c>
      <c r="H16" s="70">
        <v>0</v>
      </c>
      <c r="I16" s="70">
        <v>3231820</v>
      </c>
      <c r="J16" s="70">
        <v>3277810</v>
      </c>
      <c r="K16" s="70">
        <v>3544485</v>
      </c>
      <c r="L16" s="70">
        <v>3596725</v>
      </c>
      <c r="M16" s="70">
        <v>3670803</v>
      </c>
      <c r="N16" s="70">
        <v>3762848</v>
      </c>
      <c r="O16" s="70">
        <v>3664284</v>
      </c>
      <c r="P16" s="70">
        <v>3788387</v>
      </c>
      <c r="Q16" s="70">
        <v>3950224</v>
      </c>
      <c r="R16" s="70">
        <v>4096912</v>
      </c>
      <c r="S16" s="173">
        <f t="shared" si="2"/>
        <v>2814176.769230769</v>
      </c>
      <c r="T16" s="287" t="s">
        <v>1036</v>
      </c>
      <c r="U16" s="69">
        <v>46174</v>
      </c>
    </row>
    <row r="17" spans="1:21">
      <c r="A17" s="177">
        <f t="shared" si="1"/>
        <v>8</v>
      </c>
      <c r="B17" s="231"/>
      <c r="C17" s="263" t="s">
        <v>1015</v>
      </c>
      <c r="E17" s="287" t="s">
        <v>1023</v>
      </c>
      <c r="F17" s="70">
        <v>0</v>
      </c>
      <c r="G17" s="70">
        <v>0</v>
      </c>
      <c r="H17" s="70">
        <v>0</v>
      </c>
      <c r="I17" s="70">
        <v>0</v>
      </c>
      <c r="J17" s="70">
        <v>0</v>
      </c>
      <c r="K17" s="70">
        <v>0</v>
      </c>
      <c r="L17" s="70">
        <v>0</v>
      </c>
      <c r="M17" s="70">
        <v>0</v>
      </c>
      <c r="N17" s="70">
        <v>1065</v>
      </c>
      <c r="O17" s="70">
        <v>5848</v>
      </c>
      <c r="P17" s="70">
        <v>0</v>
      </c>
      <c r="Q17" s="70">
        <v>7127</v>
      </c>
      <c r="R17" s="70">
        <v>3103</v>
      </c>
      <c r="S17" s="173">
        <f t="shared" si="2"/>
        <v>1318.6923076923076</v>
      </c>
      <c r="T17" s="287" t="s">
        <v>1037</v>
      </c>
      <c r="U17" s="69">
        <v>46082</v>
      </c>
    </row>
    <row r="18" spans="1:21">
      <c r="A18" s="177">
        <f t="shared" si="1"/>
        <v>9</v>
      </c>
      <c r="B18" s="231"/>
      <c r="C18" s="263" t="s">
        <v>1017</v>
      </c>
      <c r="E18" s="287" t="s">
        <v>1023</v>
      </c>
      <c r="F18" s="70">
        <v>9896</v>
      </c>
      <c r="G18" s="70">
        <v>14327</v>
      </c>
      <c r="H18" s="70">
        <v>16278</v>
      </c>
      <c r="I18" s="70">
        <v>17300</v>
      </c>
      <c r="J18" s="70">
        <v>25584</v>
      </c>
      <c r="K18" s="70">
        <v>58472</v>
      </c>
      <c r="L18" s="70">
        <v>60441</v>
      </c>
      <c r="M18" s="70">
        <v>61320</v>
      </c>
      <c r="N18" s="70">
        <v>88051</v>
      </c>
      <c r="O18" s="70">
        <v>96476</v>
      </c>
      <c r="P18" s="70">
        <v>97849</v>
      </c>
      <c r="Q18" s="70">
        <v>164814</v>
      </c>
      <c r="R18" s="70">
        <v>0</v>
      </c>
      <c r="S18" s="173">
        <f t="shared" si="2"/>
        <v>54677.538461538461</v>
      </c>
      <c r="T18" s="287" t="s">
        <v>1036</v>
      </c>
      <c r="U18" s="69">
        <v>45627</v>
      </c>
    </row>
    <row r="19" spans="1:21">
      <c r="A19" s="177">
        <f t="shared" si="1"/>
        <v>10</v>
      </c>
      <c r="B19" s="231"/>
      <c r="C19" s="263" t="s">
        <v>1016</v>
      </c>
      <c r="D19" s="527">
        <v>44986</v>
      </c>
      <c r="E19" s="287" t="s">
        <v>1023</v>
      </c>
      <c r="F19" s="70">
        <v>0</v>
      </c>
      <c r="G19" s="70">
        <v>0</v>
      </c>
      <c r="H19" s="70">
        <v>0</v>
      </c>
      <c r="I19" s="70">
        <v>20557</v>
      </c>
      <c r="J19" s="70">
        <v>26671</v>
      </c>
      <c r="K19" s="70">
        <v>33821</v>
      </c>
      <c r="L19" s="70">
        <v>37784</v>
      </c>
      <c r="M19" s="70">
        <v>45386</v>
      </c>
      <c r="N19" s="70">
        <v>50259</v>
      </c>
      <c r="O19" s="70">
        <v>425431</v>
      </c>
      <c r="P19" s="70">
        <v>467026</v>
      </c>
      <c r="Q19" s="70">
        <v>706161</v>
      </c>
      <c r="R19" s="70">
        <v>932220</v>
      </c>
      <c r="S19" s="173">
        <f t="shared" si="2"/>
        <v>211178.15384615384</v>
      </c>
      <c r="T19" s="287" t="s">
        <v>1036</v>
      </c>
      <c r="U19" s="69">
        <v>45536</v>
      </c>
    </row>
    <row r="20" spans="1:21">
      <c r="A20" s="177">
        <f t="shared" si="1"/>
        <v>11</v>
      </c>
      <c r="B20" s="231"/>
      <c r="C20" s="263" t="s">
        <v>1018</v>
      </c>
      <c r="D20" s="527">
        <v>44986</v>
      </c>
      <c r="E20" s="287" t="s">
        <v>1023</v>
      </c>
      <c r="F20" s="70">
        <v>0</v>
      </c>
      <c r="G20" s="70">
        <v>0</v>
      </c>
      <c r="H20" s="70">
        <v>0</v>
      </c>
      <c r="I20" s="70">
        <v>559430</v>
      </c>
      <c r="J20" s="70">
        <v>573880</v>
      </c>
      <c r="K20" s="70">
        <v>594636</v>
      </c>
      <c r="L20" s="70">
        <v>638299</v>
      </c>
      <c r="M20" s="70">
        <v>709237</v>
      </c>
      <c r="N20" s="70">
        <v>1038415</v>
      </c>
      <c r="O20" s="70">
        <v>1471561</v>
      </c>
      <c r="P20" s="70">
        <v>2305020</v>
      </c>
      <c r="Q20" s="70">
        <v>3032421</v>
      </c>
      <c r="R20" s="70">
        <v>3702152</v>
      </c>
      <c r="S20" s="173">
        <f t="shared" si="2"/>
        <v>1125003.923076923</v>
      </c>
      <c r="T20" s="287" t="s">
        <v>1036</v>
      </c>
      <c r="U20" s="69">
        <v>45444</v>
      </c>
    </row>
    <row r="21" spans="1:21">
      <c r="A21" s="68">
        <f t="shared" si="1"/>
        <v>12</v>
      </c>
      <c r="B21" s="231"/>
      <c r="C21" s="263" t="s">
        <v>1019</v>
      </c>
      <c r="D21" s="527">
        <v>45017</v>
      </c>
      <c r="E21" s="287" t="s">
        <v>1023</v>
      </c>
      <c r="F21" s="70">
        <v>0</v>
      </c>
      <c r="G21" s="70">
        <v>0</v>
      </c>
      <c r="H21" s="70">
        <v>0</v>
      </c>
      <c r="I21" s="70">
        <v>0</v>
      </c>
      <c r="J21" s="70">
        <v>2259455</v>
      </c>
      <c r="K21" s="70">
        <v>2489267</v>
      </c>
      <c r="L21" s="70">
        <v>2812470</v>
      </c>
      <c r="M21" s="70">
        <v>3120506</v>
      </c>
      <c r="N21" s="70">
        <v>3185725</v>
      </c>
      <c r="O21" s="70">
        <v>3505528</v>
      </c>
      <c r="P21" s="70">
        <v>5210565</v>
      </c>
      <c r="Q21" s="70">
        <v>6448141</v>
      </c>
      <c r="R21" s="70">
        <v>7338850</v>
      </c>
      <c r="S21" s="173">
        <f t="shared" si="2"/>
        <v>2797731.3076923075</v>
      </c>
      <c r="T21" s="287" t="s">
        <v>1036</v>
      </c>
      <c r="U21" s="69">
        <v>45474</v>
      </c>
    </row>
    <row r="22" spans="1:21">
      <c r="A22" s="177">
        <f t="shared" si="1"/>
        <v>13</v>
      </c>
      <c r="B22" s="231"/>
      <c r="C22" s="263" t="s">
        <v>1020</v>
      </c>
      <c r="D22" s="527">
        <v>44986</v>
      </c>
      <c r="E22" s="287" t="s">
        <v>1023</v>
      </c>
      <c r="F22" s="70">
        <v>0</v>
      </c>
      <c r="G22" s="70">
        <v>0</v>
      </c>
      <c r="H22" s="70">
        <v>0</v>
      </c>
      <c r="I22" s="70">
        <v>7195405</v>
      </c>
      <c r="J22" s="70">
        <v>7324455</v>
      </c>
      <c r="K22" s="70">
        <v>7881321</v>
      </c>
      <c r="L22" s="70">
        <v>8232193</v>
      </c>
      <c r="M22" s="70">
        <v>8365230</v>
      </c>
      <c r="N22" s="70">
        <v>8501363</v>
      </c>
      <c r="O22" s="70">
        <v>10037222</v>
      </c>
      <c r="P22" s="70">
        <v>11866347</v>
      </c>
      <c r="Q22" s="70">
        <v>12487121</v>
      </c>
      <c r="R22" s="70">
        <v>11795089</v>
      </c>
      <c r="S22" s="173">
        <f t="shared" si="2"/>
        <v>7206595.846153846</v>
      </c>
      <c r="T22" s="287" t="s">
        <v>1036</v>
      </c>
      <c r="U22" s="69">
        <v>45627</v>
      </c>
    </row>
    <row r="23" spans="1:21">
      <c r="A23" s="177">
        <f t="shared" si="1"/>
        <v>14</v>
      </c>
      <c r="B23" s="231"/>
      <c r="C23" s="263" t="s">
        <v>1029</v>
      </c>
      <c r="D23" s="527">
        <v>45078</v>
      </c>
      <c r="E23" s="287" t="s">
        <v>1023</v>
      </c>
      <c r="F23" s="70">
        <v>0</v>
      </c>
      <c r="G23" s="70">
        <v>0</v>
      </c>
      <c r="H23" s="70">
        <v>0</v>
      </c>
      <c r="I23" s="70">
        <v>0</v>
      </c>
      <c r="J23" s="70">
        <v>0</v>
      </c>
      <c r="K23" s="70">
        <v>0</v>
      </c>
      <c r="L23" s="70">
        <v>683067</v>
      </c>
      <c r="M23" s="70">
        <v>701929</v>
      </c>
      <c r="N23" s="70">
        <v>709926</v>
      </c>
      <c r="O23" s="70">
        <v>2515275</v>
      </c>
      <c r="P23" s="70">
        <v>7931603</v>
      </c>
      <c r="Q23" s="70">
        <v>17183274</v>
      </c>
      <c r="R23" s="70">
        <v>21101137</v>
      </c>
      <c r="S23" s="173">
        <f t="shared" si="2"/>
        <v>3909708.5384615385</v>
      </c>
      <c r="T23" s="287" t="s">
        <v>1036</v>
      </c>
      <c r="U23" s="69">
        <v>45627</v>
      </c>
    </row>
    <row r="24" spans="1:21">
      <c r="A24" s="177">
        <f t="shared" si="1"/>
        <v>15</v>
      </c>
      <c r="B24" s="231"/>
      <c r="C24" s="263" t="s">
        <v>1030</v>
      </c>
      <c r="D24" s="527">
        <v>45078</v>
      </c>
      <c r="E24" s="287" t="s">
        <v>1023</v>
      </c>
      <c r="F24" s="70">
        <v>0</v>
      </c>
      <c r="G24" s="70">
        <v>0</v>
      </c>
      <c r="H24" s="70">
        <v>0</v>
      </c>
      <c r="I24" s="70">
        <v>0</v>
      </c>
      <c r="J24" s="70">
        <v>0</v>
      </c>
      <c r="K24" s="70">
        <v>0</v>
      </c>
      <c r="L24" s="70">
        <v>910009</v>
      </c>
      <c r="M24" s="70">
        <v>940207</v>
      </c>
      <c r="N24" s="70">
        <v>950078</v>
      </c>
      <c r="O24" s="70">
        <v>2741192</v>
      </c>
      <c r="P24" s="70">
        <v>8050134</v>
      </c>
      <c r="Q24" s="70">
        <v>17406219</v>
      </c>
      <c r="R24" s="70">
        <v>21382578</v>
      </c>
      <c r="S24" s="173">
        <f t="shared" si="2"/>
        <v>4029262.846153846</v>
      </c>
      <c r="T24" s="287" t="s">
        <v>1036</v>
      </c>
      <c r="U24" s="69">
        <v>45505</v>
      </c>
    </row>
    <row r="25" spans="1:21">
      <c r="A25" s="177">
        <f t="shared" si="1"/>
        <v>16</v>
      </c>
      <c r="B25" s="231"/>
      <c r="C25" s="263" t="s">
        <v>1021</v>
      </c>
      <c r="D25" s="527">
        <v>45170</v>
      </c>
      <c r="E25" s="287" t="s">
        <v>1023</v>
      </c>
      <c r="F25" s="70">
        <v>0</v>
      </c>
      <c r="G25" s="70">
        <v>0</v>
      </c>
      <c r="H25" s="70">
        <v>0</v>
      </c>
      <c r="I25" s="70">
        <v>0</v>
      </c>
      <c r="J25" s="70">
        <v>0</v>
      </c>
      <c r="K25" s="70">
        <v>0</v>
      </c>
      <c r="L25" s="70">
        <v>0</v>
      </c>
      <c r="M25" s="70">
        <v>0</v>
      </c>
      <c r="N25" s="70">
        <v>0</v>
      </c>
      <c r="O25" s="70">
        <v>4486794</v>
      </c>
      <c r="P25" s="70">
        <v>7009440</v>
      </c>
      <c r="Q25" s="70">
        <v>8603549</v>
      </c>
      <c r="R25" s="70">
        <v>8492735</v>
      </c>
      <c r="S25" s="173">
        <f t="shared" si="2"/>
        <v>2199424.4615384615</v>
      </c>
      <c r="T25" s="287" t="s">
        <v>1036</v>
      </c>
      <c r="U25" s="69">
        <v>45627</v>
      </c>
    </row>
    <row r="26" spans="1:21">
      <c r="A26" s="177">
        <f t="shared" si="1"/>
        <v>17</v>
      </c>
      <c r="B26" s="231"/>
      <c r="C26" s="263" t="s">
        <v>1031</v>
      </c>
      <c r="D26" s="527">
        <v>45170</v>
      </c>
      <c r="E26" s="287" t="s">
        <v>1023</v>
      </c>
      <c r="F26" s="70">
        <v>0</v>
      </c>
      <c r="G26" s="70">
        <v>0</v>
      </c>
      <c r="H26" s="70">
        <v>0</v>
      </c>
      <c r="I26" s="70">
        <v>0</v>
      </c>
      <c r="J26" s="70">
        <v>0</v>
      </c>
      <c r="K26" s="70">
        <v>0</v>
      </c>
      <c r="L26" s="70">
        <v>0</v>
      </c>
      <c r="M26" s="70">
        <v>0</v>
      </c>
      <c r="N26" s="70">
        <v>0</v>
      </c>
      <c r="O26" s="70">
        <v>217731</v>
      </c>
      <c r="P26" s="70">
        <v>221241</v>
      </c>
      <c r="Q26" s="70">
        <v>259908</v>
      </c>
      <c r="R26" s="70">
        <v>262739</v>
      </c>
      <c r="S26" s="173">
        <f t="shared" ref="S26" si="3">AVERAGE(F26:R26)</f>
        <v>73970.692307692312</v>
      </c>
      <c r="T26" s="287" t="s">
        <v>1036</v>
      </c>
      <c r="U26" s="69">
        <v>45505</v>
      </c>
    </row>
    <row r="27" spans="1:21">
      <c r="A27" s="177">
        <f t="shared" si="1"/>
        <v>18</v>
      </c>
      <c r="B27" s="231"/>
      <c r="C27" s="263" t="s">
        <v>1032</v>
      </c>
      <c r="D27" s="527">
        <v>45170</v>
      </c>
      <c r="E27" s="287" t="s">
        <v>1023</v>
      </c>
      <c r="F27" s="70">
        <v>0</v>
      </c>
      <c r="G27" s="70">
        <v>0</v>
      </c>
      <c r="H27" s="70">
        <v>0</v>
      </c>
      <c r="I27" s="70">
        <v>0</v>
      </c>
      <c r="J27" s="70">
        <v>0</v>
      </c>
      <c r="K27" s="70">
        <v>0</v>
      </c>
      <c r="L27" s="70">
        <v>0</v>
      </c>
      <c r="M27" s="70">
        <v>0</v>
      </c>
      <c r="N27" s="70">
        <v>0</v>
      </c>
      <c r="O27" s="70">
        <v>213661</v>
      </c>
      <c r="P27" s="70">
        <v>217147</v>
      </c>
      <c r="Q27" s="70">
        <v>253781</v>
      </c>
      <c r="R27" s="70">
        <v>256577</v>
      </c>
      <c r="S27" s="173">
        <f t="shared" si="2"/>
        <v>72397.38461538461</v>
      </c>
      <c r="T27" s="287" t="s">
        <v>1036</v>
      </c>
      <c r="U27" s="69">
        <v>45505</v>
      </c>
    </row>
    <row r="28" spans="1:21">
      <c r="A28" s="177">
        <f t="shared" si="1"/>
        <v>19</v>
      </c>
      <c r="B28" s="231"/>
      <c r="C28" s="263" t="s">
        <v>1022</v>
      </c>
      <c r="D28" s="527">
        <v>44986</v>
      </c>
      <c r="E28" s="287" t="s">
        <v>1023</v>
      </c>
      <c r="F28" s="70">
        <v>0</v>
      </c>
      <c r="G28" s="70">
        <v>0</v>
      </c>
      <c r="H28" s="70">
        <v>0</v>
      </c>
      <c r="I28" s="70">
        <v>128445</v>
      </c>
      <c r="J28" s="70">
        <v>127994</v>
      </c>
      <c r="K28" s="70">
        <v>408133</v>
      </c>
      <c r="L28" s="70">
        <v>410316</v>
      </c>
      <c r="M28" s="70">
        <v>449029</v>
      </c>
      <c r="N28" s="70">
        <v>589462</v>
      </c>
      <c r="O28" s="70">
        <v>579784</v>
      </c>
      <c r="P28" s="70">
        <v>844989</v>
      </c>
      <c r="Q28" s="70">
        <v>875684</v>
      </c>
      <c r="R28" s="70">
        <v>951449</v>
      </c>
      <c r="S28" s="173">
        <f t="shared" si="2"/>
        <v>412714.23076923075</v>
      </c>
      <c r="T28" s="287" t="s">
        <v>1036</v>
      </c>
      <c r="U28" s="69">
        <v>45474</v>
      </c>
    </row>
    <row r="29" spans="1:21">
      <c r="A29" s="177">
        <f t="shared" si="1"/>
        <v>20</v>
      </c>
      <c r="B29" s="231"/>
      <c r="C29" s="263" t="s">
        <v>1034</v>
      </c>
      <c r="D29" s="527">
        <v>44986</v>
      </c>
      <c r="E29" s="287" t="s">
        <v>1023</v>
      </c>
      <c r="F29" s="70">
        <v>0</v>
      </c>
      <c r="G29" s="70">
        <v>0</v>
      </c>
      <c r="H29" s="70">
        <v>0</v>
      </c>
      <c r="I29" s="70">
        <v>103951</v>
      </c>
      <c r="J29" s="70">
        <v>126347</v>
      </c>
      <c r="K29" s="70">
        <v>373478</v>
      </c>
      <c r="L29" s="70">
        <v>402144</v>
      </c>
      <c r="M29" s="70">
        <v>511537</v>
      </c>
      <c r="N29" s="70">
        <v>772213</v>
      </c>
      <c r="O29" s="70">
        <v>889448</v>
      </c>
      <c r="P29" s="70">
        <v>889690</v>
      </c>
      <c r="Q29" s="70">
        <v>891471</v>
      </c>
      <c r="R29" s="70">
        <v>899414</v>
      </c>
      <c r="S29" s="173">
        <f t="shared" si="2"/>
        <v>450745.61538461538</v>
      </c>
      <c r="T29" s="287" t="s">
        <v>1044</v>
      </c>
      <c r="U29" s="69">
        <v>46722</v>
      </c>
    </row>
    <row r="30" spans="1:21">
      <c r="A30" s="177">
        <f t="shared" si="1"/>
        <v>21</v>
      </c>
      <c r="B30" s="231"/>
      <c r="C30" s="263" t="s">
        <v>1033</v>
      </c>
      <c r="D30" s="527">
        <v>44986</v>
      </c>
      <c r="E30" s="287" t="s">
        <v>1023</v>
      </c>
      <c r="F30" s="70">
        <v>0</v>
      </c>
      <c r="G30" s="70">
        <v>0</v>
      </c>
      <c r="H30" s="70">
        <v>0</v>
      </c>
      <c r="I30" s="70">
        <v>105348</v>
      </c>
      <c r="J30" s="70">
        <v>127829</v>
      </c>
      <c r="K30" s="70">
        <v>374928</v>
      </c>
      <c r="L30" s="70">
        <v>383429</v>
      </c>
      <c r="M30" s="70">
        <v>424457</v>
      </c>
      <c r="N30" s="70">
        <v>684601</v>
      </c>
      <c r="O30" s="70">
        <v>802587</v>
      </c>
      <c r="P30" s="70">
        <v>802830</v>
      </c>
      <c r="Q30" s="70">
        <v>804611</v>
      </c>
      <c r="R30" s="70">
        <v>863625</v>
      </c>
      <c r="S30" s="173">
        <f t="shared" ref="S30" si="4">AVERAGE(F30:R30)</f>
        <v>413403.46153846156</v>
      </c>
      <c r="T30" s="287" t="s">
        <v>1044</v>
      </c>
      <c r="U30" s="69">
        <v>46722</v>
      </c>
    </row>
    <row r="31" spans="1:21">
      <c r="A31" s="177">
        <f t="shared" si="1"/>
        <v>22</v>
      </c>
      <c r="B31" s="231"/>
      <c r="C31" s="263" t="s">
        <v>1027</v>
      </c>
      <c r="E31" s="287" t="s">
        <v>1023</v>
      </c>
      <c r="F31" s="70">
        <v>22866190</v>
      </c>
      <c r="G31" s="70">
        <v>22869881</v>
      </c>
      <c r="H31" s="70">
        <v>23000066</v>
      </c>
      <c r="I31" s="70">
        <v>0</v>
      </c>
      <c r="J31" s="70">
        <v>0</v>
      </c>
      <c r="K31" s="70">
        <v>0</v>
      </c>
      <c r="L31" s="70">
        <v>0</v>
      </c>
      <c r="M31" s="70">
        <v>0</v>
      </c>
      <c r="N31" s="70">
        <v>0</v>
      </c>
      <c r="O31" s="70">
        <v>0</v>
      </c>
      <c r="P31" s="70">
        <v>0</v>
      </c>
      <c r="Q31" s="70">
        <v>0</v>
      </c>
      <c r="R31" s="70">
        <v>0</v>
      </c>
      <c r="S31" s="173">
        <f t="shared" si="2"/>
        <v>5287395.153846154</v>
      </c>
      <c r="T31" s="287" t="s">
        <v>1035</v>
      </c>
      <c r="U31" s="69"/>
    </row>
    <row r="32" spans="1:21">
      <c r="A32" s="177">
        <f t="shared" si="1"/>
        <v>23</v>
      </c>
      <c r="B32" s="231"/>
      <c r="C32" s="263" t="s">
        <v>1028</v>
      </c>
      <c r="E32" s="287" t="s">
        <v>1023</v>
      </c>
      <c r="F32" s="70">
        <v>12821683</v>
      </c>
      <c r="G32" s="70">
        <v>12822110</v>
      </c>
      <c r="H32" s="70">
        <v>12777616</v>
      </c>
      <c r="I32" s="70">
        <v>0</v>
      </c>
      <c r="J32" s="70">
        <v>0</v>
      </c>
      <c r="K32" s="70">
        <v>0</v>
      </c>
      <c r="L32" s="70">
        <v>0</v>
      </c>
      <c r="M32" s="70">
        <v>0</v>
      </c>
      <c r="N32" s="70">
        <v>0</v>
      </c>
      <c r="O32" s="70">
        <v>0</v>
      </c>
      <c r="P32" s="70">
        <v>0</v>
      </c>
      <c r="Q32" s="70">
        <v>0</v>
      </c>
      <c r="R32" s="70">
        <v>0</v>
      </c>
      <c r="S32" s="173">
        <f t="shared" si="2"/>
        <v>2955493</v>
      </c>
      <c r="T32" s="287" t="s">
        <v>1035</v>
      </c>
      <c r="U32" s="69"/>
    </row>
    <row r="33" spans="1:21">
      <c r="A33" s="177"/>
      <c r="B33" s="231"/>
      <c r="C33" s="263"/>
      <c r="E33" s="287"/>
      <c r="F33" s="70"/>
      <c r="G33" s="70"/>
      <c r="H33" s="70"/>
      <c r="I33" s="70"/>
      <c r="J33" s="70"/>
      <c r="K33" s="70"/>
      <c r="L33" s="70"/>
      <c r="M33" s="70"/>
      <c r="N33" s="70"/>
      <c r="O33" s="70"/>
      <c r="P33" s="70"/>
      <c r="Q33" s="70"/>
      <c r="R33" s="70"/>
      <c r="S33" s="173"/>
      <c r="T33" s="287"/>
      <c r="U33" s="69"/>
    </row>
    <row r="34" spans="1:21">
      <c r="A34" s="177"/>
      <c r="B34" s="231"/>
      <c r="C34" s="263"/>
      <c r="E34" s="287"/>
      <c r="F34" s="70"/>
      <c r="G34" s="70"/>
      <c r="H34" s="70"/>
      <c r="I34" s="70"/>
      <c r="J34" s="70"/>
      <c r="K34" s="70"/>
      <c r="L34" s="70"/>
      <c r="M34" s="70"/>
      <c r="N34" s="70"/>
      <c r="O34" s="70"/>
      <c r="P34" s="70"/>
      <c r="Q34" s="70"/>
      <c r="R34" s="70"/>
      <c r="S34" s="173"/>
      <c r="T34" s="287"/>
      <c r="U34" s="69"/>
    </row>
    <row r="35" spans="1:21">
      <c r="A35" s="177"/>
      <c r="B35" s="231"/>
      <c r="C35" s="263"/>
      <c r="E35" s="287"/>
      <c r="F35" s="70"/>
      <c r="G35" s="70"/>
      <c r="H35" s="70"/>
      <c r="I35" s="70"/>
      <c r="J35" s="70"/>
      <c r="K35" s="70"/>
      <c r="L35" s="70"/>
      <c r="M35" s="70"/>
      <c r="N35" s="70"/>
      <c r="O35" s="70"/>
      <c r="P35" s="70"/>
      <c r="Q35" s="70"/>
      <c r="R35" s="70"/>
      <c r="S35" s="173"/>
      <c r="T35" s="287"/>
      <c r="U35" s="69"/>
    </row>
    <row r="36" spans="1:21">
      <c r="A36" s="177"/>
      <c r="B36" s="231"/>
      <c r="C36" s="263"/>
      <c r="E36" s="287"/>
      <c r="F36" s="70"/>
      <c r="G36" s="70"/>
      <c r="H36" s="70"/>
      <c r="I36" s="70"/>
      <c r="J36" s="70"/>
      <c r="K36" s="70"/>
      <c r="L36" s="70"/>
      <c r="M36" s="70"/>
      <c r="N36" s="70"/>
      <c r="O36" s="70"/>
      <c r="P36" s="70"/>
      <c r="Q36" s="70"/>
      <c r="R36" s="70"/>
      <c r="S36" s="173"/>
      <c r="T36" s="287"/>
      <c r="U36" s="69"/>
    </row>
    <row r="37" spans="1:21" ht="21" thickBot="1">
      <c r="A37" s="171"/>
      <c r="B37" s="491"/>
      <c r="C37" s="170" t="s">
        <v>67</v>
      </c>
      <c r="D37" s="170"/>
      <c r="E37" s="154"/>
      <c r="F37" s="67">
        <f>SUM(F10:F36)</f>
        <v>52506068</v>
      </c>
      <c r="G37" s="67">
        <f t="shared" ref="G37:S37" si="5">SUM(G10:G36)</f>
        <v>52805838</v>
      </c>
      <c r="H37" s="67">
        <f t="shared" si="5"/>
        <v>53214802</v>
      </c>
      <c r="I37" s="67">
        <f t="shared" si="5"/>
        <v>31207293</v>
      </c>
      <c r="J37" s="67">
        <f t="shared" si="5"/>
        <v>33775021</v>
      </c>
      <c r="K37" s="67">
        <f t="shared" si="5"/>
        <v>36387241</v>
      </c>
      <c r="L37" s="67">
        <f t="shared" si="5"/>
        <v>39055866</v>
      </c>
      <c r="M37" s="67">
        <f t="shared" si="5"/>
        <v>40310921</v>
      </c>
      <c r="N37" s="67">
        <f t="shared" si="5"/>
        <v>31629184</v>
      </c>
      <c r="O37" s="67">
        <f t="shared" si="5"/>
        <v>45131225</v>
      </c>
      <c r="P37" s="67">
        <f t="shared" si="5"/>
        <v>70118004</v>
      </c>
      <c r="Q37" s="67">
        <f t="shared" si="5"/>
        <v>94909152</v>
      </c>
      <c r="R37" s="67">
        <f t="shared" si="5"/>
        <v>105751670</v>
      </c>
      <c r="S37" s="67">
        <f t="shared" si="5"/>
        <v>52830945.000000007</v>
      </c>
      <c r="T37" s="66"/>
      <c r="U37" s="125"/>
    </row>
    <row r="39" spans="1:21">
      <c r="S39" s="231"/>
    </row>
    <row r="49" s="306" customFormat="1"/>
    <row r="50" s="306" customFormat="1"/>
    <row r="51" s="306" customFormat="1"/>
    <row r="52" s="306" customFormat="1"/>
    <row r="53" s="306" customFormat="1"/>
    <row r="54" s="306" customFormat="1"/>
    <row r="55" s="306" customFormat="1"/>
    <row r="56" s="306" customFormat="1"/>
    <row r="57" s="306" customFormat="1"/>
    <row r="58" s="306" customFormat="1"/>
    <row r="59" s="306" customFormat="1"/>
    <row r="60" s="306" customFormat="1"/>
    <row r="61" s="306" customFormat="1"/>
    <row r="62" s="306" customFormat="1"/>
    <row r="63" s="306" customFormat="1"/>
    <row r="64" s="306" customFormat="1"/>
    <row r="65" s="306" customFormat="1"/>
    <row r="66" s="306" customFormat="1"/>
    <row r="67" s="306" customFormat="1"/>
    <row r="68" s="306" customFormat="1"/>
    <row r="69" s="306" customFormat="1"/>
    <row r="70" s="306" customFormat="1"/>
    <row r="71" s="306" customFormat="1"/>
    <row r="72" s="306" customFormat="1"/>
    <row r="73" s="306" customFormat="1"/>
    <row r="74" s="306" customFormat="1"/>
    <row r="75" s="306" customFormat="1"/>
    <row r="76" s="306" customFormat="1"/>
    <row r="77" s="306" customFormat="1"/>
    <row r="78" s="306" customFormat="1"/>
    <row r="79" s="306" customFormat="1"/>
    <row r="80" s="306" customFormat="1"/>
    <row r="81" s="306" customFormat="1"/>
  </sheetData>
  <mergeCells count="2">
    <mergeCell ref="G7:R7"/>
    <mergeCell ref="T7:U7"/>
  </mergeCells>
  <phoneticPr fontId="5" type="noConversion"/>
  <pageMargins left="0.7" right="0.7" top="0.75" bottom="0.75" header="0.3" footer="0.3"/>
  <pageSetup scale="23" orientation="landscape" r:id="rId1"/>
  <customProperties>
    <customPr name="_pios_id" r:id="rId2"/>
    <customPr name="EpmWorksheetKeyString_GUID" r:id="rId3"/>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92D050"/>
    <pageSetUpPr fitToPage="1"/>
  </sheetPr>
  <dimension ref="A2:M76"/>
  <sheetViews>
    <sheetView showGridLines="0" tabSelected="1" topLeftCell="A32" zoomScale="75" zoomScaleNormal="75" workbookViewId="0">
      <selection activeCell="J48" sqref="J48"/>
    </sheetView>
  </sheetViews>
  <sheetFormatPr defaultColWidth="9.28515625" defaultRowHeight="20.25"/>
  <cols>
    <col min="1" max="1" width="5.7109375" style="306" customWidth="1"/>
    <col min="2" max="2" width="13.28515625" style="347" customWidth="1"/>
    <col min="3" max="3" width="39.28515625" style="306" customWidth="1"/>
    <col min="4" max="4" width="16.7109375" style="306" customWidth="1"/>
    <col min="5" max="5" width="17.7109375" style="306" customWidth="1"/>
    <col min="6" max="6" width="15.140625" style="306" customWidth="1"/>
    <col min="7" max="7" width="34.42578125" style="306" customWidth="1"/>
    <col min="8" max="8" width="66.7109375" style="306" customWidth="1"/>
    <col min="9" max="9" width="37.5703125" style="306" customWidth="1"/>
    <col min="10" max="10" width="21" style="306" customWidth="1"/>
    <col min="11" max="11" width="19.28515625" style="306" customWidth="1"/>
    <col min="12" max="12" width="9.28515625" style="306"/>
    <col min="13" max="13" width="10.28515625" style="306" customWidth="1"/>
    <col min="14" max="16384" width="9.28515625" style="306"/>
  </cols>
  <sheetData>
    <row r="2" spans="2:12">
      <c r="B2" s="647" t="str">
        <f>+'Appendix A'!A3</f>
        <v>Dayton Power and Light</v>
      </c>
      <c r="C2" s="647"/>
      <c r="D2" s="647"/>
      <c r="E2" s="647"/>
      <c r="F2" s="647"/>
      <c r="G2" s="647"/>
      <c r="H2" s="647"/>
      <c r="I2" s="647"/>
      <c r="J2" s="647"/>
      <c r="K2" s="647"/>
      <c r="L2" s="647"/>
    </row>
    <row r="3" spans="2:12">
      <c r="B3" s="647" t="str">
        <f>+'Appendix A'!A4</f>
        <v xml:space="preserve">ATTACHMENT H-15A </v>
      </c>
      <c r="C3" s="647"/>
      <c r="D3" s="647"/>
      <c r="E3" s="647"/>
      <c r="F3" s="647"/>
      <c r="G3" s="647"/>
      <c r="H3" s="647"/>
      <c r="I3" s="647"/>
      <c r="J3" s="647"/>
      <c r="K3" s="342"/>
      <c r="L3" s="345"/>
    </row>
    <row r="4" spans="2:12">
      <c r="B4" s="648" t="s">
        <v>1009</v>
      </c>
      <c r="C4" s="648"/>
      <c r="D4" s="648"/>
      <c r="E4" s="648"/>
      <c r="F4" s="648"/>
      <c r="G4" s="648"/>
      <c r="H4" s="648"/>
      <c r="I4" s="648"/>
      <c r="J4" s="648"/>
      <c r="K4" s="647"/>
      <c r="L4" s="647"/>
    </row>
    <row r="5" spans="2:12">
      <c r="B5" s="345"/>
      <c r="C5" s="345"/>
      <c r="D5" s="345"/>
      <c r="E5" s="345"/>
      <c r="F5" s="345"/>
      <c r="G5" s="345"/>
      <c r="H5" s="345"/>
      <c r="I5" s="345"/>
      <c r="J5" s="345"/>
      <c r="K5" s="345"/>
      <c r="L5" s="345"/>
    </row>
    <row r="6" spans="2:12">
      <c r="B6" s="306" t="s">
        <v>397</v>
      </c>
    </row>
    <row r="7" spans="2:12">
      <c r="B7" s="32" t="s">
        <v>676</v>
      </c>
    </row>
    <row r="9" spans="2:12">
      <c r="B9" s="347" t="s">
        <v>341</v>
      </c>
      <c r="C9" s="306" t="s">
        <v>677</v>
      </c>
    </row>
    <row r="10" spans="2:12">
      <c r="C10" s="306" t="s">
        <v>678</v>
      </c>
    </row>
    <row r="11" spans="2:12">
      <c r="C11" s="306" t="s">
        <v>679</v>
      </c>
      <c r="H11" s="89"/>
    </row>
    <row r="12" spans="2:12">
      <c r="H12" s="89"/>
    </row>
    <row r="13" spans="2:12">
      <c r="B13" s="347" t="s">
        <v>680</v>
      </c>
      <c r="C13" s="306" t="s">
        <v>681</v>
      </c>
      <c r="H13" s="89"/>
    </row>
    <row r="14" spans="2:12">
      <c r="C14" s="306" t="s">
        <v>682</v>
      </c>
    </row>
    <row r="16" spans="2:12">
      <c r="B16" s="347" t="s">
        <v>683</v>
      </c>
      <c r="C16" s="306" t="s">
        <v>684</v>
      </c>
    </row>
    <row r="17" spans="2:13">
      <c r="C17" s="306" t="s">
        <v>685</v>
      </c>
    </row>
    <row r="19" spans="2:13">
      <c r="B19" s="347" t="s">
        <v>686</v>
      </c>
      <c r="C19" s="306" t="s">
        <v>687</v>
      </c>
    </row>
    <row r="20" spans="2:13">
      <c r="K20" s="65"/>
    </row>
    <row r="21" spans="2:13">
      <c r="C21" s="306" t="s">
        <v>688</v>
      </c>
      <c r="D21" s="347" t="s">
        <v>689</v>
      </c>
      <c r="E21" s="306" t="s">
        <v>690</v>
      </c>
    </row>
    <row r="22" spans="2:13">
      <c r="E22" s="306" t="s">
        <v>691</v>
      </c>
    </row>
    <row r="23" spans="2:13">
      <c r="E23" s="306" t="s">
        <v>692</v>
      </c>
      <c r="K23" s="115"/>
    </row>
    <row r="26" spans="2:13" ht="23.25">
      <c r="B26" s="64"/>
      <c r="C26" s="306" t="s">
        <v>693</v>
      </c>
    </row>
    <row r="27" spans="2:13" ht="23.25">
      <c r="B27" s="63"/>
      <c r="C27" s="306" t="s">
        <v>694</v>
      </c>
    </row>
    <row r="28" spans="2:13">
      <c r="C28" s="306" t="s">
        <v>695</v>
      </c>
    </row>
    <row r="29" spans="2:13">
      <c r="C29" s="306" t="s">
        <v>696</v>
      </c>
      <c r="M29" s="231"/>
    </row>
    <row r="30" spans="2:13">
      <c r="C30" s="306" t="s">
        <v>697</v>
      </c>
    </row>
    <row r="31" spans="2:13">
      <c r="C31" s="306" t="s">
        <v>698</v>
      </c>
    </row>
    <row r="34" spans="1:13">
      <c r="A34" s="234" t="s">
        <v>699</v>
      </c>
      <c r="D34" s="347"/>
      <c r="I34" s="347" t="s">
        <v>700</v>
      </c>
      <c r="J34" s="347" t="s">
        <v>701</v>
      </c>
    </row>
    <row r="35" spans="1:13">
      <c r="D35" s="347"/>
      <c r="I35" s="233" t="s">
        <v>702</v>
      </c>
      <c r="J35" s="233" t="s">
        <v>702</v>
      </c>
      <c r="K35" s="234" t="s">
        <v>703</v>
      </c>
    </row>
    <row r="36" spans="1:13">
      <c r="A36" s="347">
        <v>1</v>
      </c>
      <c r="B36" s="347" t="s">
        <v>206</v>
      </c>
      <c r="C36" s="306" t="s">
        <v>704</v>
      </c>
      <c r="D36" s="347"/>
      <c r="I36" s="283">
        <f>+'Appendix A'!H278-'7B - Schedule 12 Projects'!G19</f>
        <v>85160261.827786103</v>
      </c>
      <c r="J36" s="351"/>
      <c r="M36" s="62"/>
    </row>
    <row r="37" spans="1:13">
      <c r="A37" s="347">
        <f>+A36+1</f>
        <v>2</v>
      </c>
      <c r="B37" s="347" t="s">
        <v>208</v>
      </c>
      <c r="C37" s="306" t="s">
        <v>705</v>
      </c>
      <c r="D37" s="347"/>
      <c r="I37" s="61">
        <f>76717483-4444773</f>
        <v>72272710</v>
      </c>
      <c r="J37" s="201"/>
      <c r="M37" s="231"/>
    </row>
    <row r="38" spans="1:13">
      <c r="A38" s="347">
        <f t="shared" ref="A38:A40" si="0">+A37+1</f>
        <v>3</v>
      </c>
      <c r="B38" s="347" t="s">
        <v>210</v>
      </c>
      <c r="C38" s="306" t="s">
        <v>706</v>
      </c>
      <c r="D38" s="347"/>
      <c r="I38" s="351">
        <f>I36-I37</f>
        <v>12887551.827786103</v>
      </c>
      <c r="J38" s="351">
        <f>+I38</f>
        <v>12887551.827786103</v>
      </c>
    </row>
    <row r="39" spans="1:13">
      <c r="A39" s="347">
        <f t="shared" si="0"/>
        <v>4</v>
      </c>
      <c r="B39" s="347" t="s">
        <v>212</v>
      </c>
      <c r="C39" s="306" t="s">
        <v>707</v>
      </c>
      <c r="D39" s="347"/>
      <c r="I39" s="60">
        <f>(1+E74)^24</f>
        <v>1.1818923179010559</v>
      </c>
      <c r="J39" s="60">
        <f>(1+F74)^24</f>
        <v>1.1788444933322932</v>
      </c>
    </row>
    <row r="40" spans="1:13">
      <c r="A40" s="347">
        <f t="shared" si="0"/>
        <v>5</v>
      </c>
      <c r="B40" s="347" t="s">
        <v>214</v>
      </c>
      <c r="C40" s="306" t="s">
        <v>708</v>
      </c>
      <c r="D40" s="347"/>
      <c r="I40" s="351">
        <f>+I38*I39</f>
        <v>15231698.501812106</v>
      </c>
      <c r="J40" s="351">
        <f>+J38*J39</f>
        <v>15192419.504720178</v>
      </c>
      <c r="K40" s="630">
        <f>J40-I40</f>
        <v>-39278.997091928497</v>
      </c>
    </row>
    <row r="41" spans="1:13">
      <c r="A41" s="347">
        <f>+A40+1</f>
        <v>6</v>
      </c>
      <c r="B41" s="347" t="s">
        <v>216</v>
      </c>
      <c r="C41" s="306" t="s">
        <v>971</v>
      </c>
      <c r="D41" s="347"/>
      <c r="H41" s="351"/>
      <c r="I41" s="630">
        <f>K40</f>
        <v>-39278.997091928497</v>
      </c>
    </row>
    <row r="42" spans="1:13">
      <c r="A42" s="347"/>
      <c r="D42" s="347"/>
    </row>
    <row r="43" spans="1:13">
      <c r="A43" s="347"/>
      <c r="C43" s="306" t="s">
        <v>709</v>
      </c>
      <c r="H43" s="458"/>
    </row>
    <row r="44" spans="1:13">
      <c r="A44" s="347"/>
      <c r="C44" s="306" t="s">
        <v>710</v>
      </c>
      <c r="H44" s="448"/>
      <c r="I44" s="448"/>
      <c r="J44" s="303"/>
    </row>
    <row r="45" spans="1:13">
      <c r="A45" s="347"/>
      <c r="H45" s="303"/>
      <c r="I45" s="347"/>
      <c r="J45" s="347"/>
      <c r="K45" s="347"/>
    </row>
    <row r="46" spans="1:13">
      <c r="A46" s="347"/>
      <c r="B46" s="32" t="s">
        <v>711</v>
      </c>
      <c r="E46" s="347" t="s">
        <v>700</v>
      </c>
      <c r="F46" s="347" t="s">
        <v>712</v>
      </c>
      <c r="H46" s="303"/>
      <c r="I46" s="347"/>
      <c r="J46" s="347"/>
      <c r="K46" s="347"/>
    </row>
    <row r="47" spans="1:13">
      <c r="A47" s="347"/>
      <c r="B47" s="306"/>
      <c r="C47" s="347"/>
      <c r="E47" s="347" t="s">
        <v>713</v>
      </c>
      <c r="F47" s="347" t="s">
        <v>713</v>
      </c>
      <c r="H47" s="348"/>
      <c r="I47" s="303"/>
      <c r="J47" s="458"/>
    </row>
    <row r="48" spans="1:13" ht="24.75">
      <c r="A48" s="347"/>
      <c r="B48" s="59" t="s">
        <v>402</v>
      </c>
      <c r="C48" s="233" t="s">
        <v>352</v>
      </c>
      <c r="E48" s="233" t="s">
        <v>702</v>
      </c>
      <c r="F48" s="233" t="s">
        <v>702</v>
      </c>
      <c r="H48" s="191"/>
      <c r="I48" s="303"/>
      <c r="J48" s="458"/>
    </row>
    <row r="49" spans="1:10">
      <c r="A49" s="347">
        <f>+A41+1</f>
        <v>7</v>
      </c>
      <c r="B49" s="32" t="s">
        <v>373</v>
      </c>
      <c r="C49" s="347">
        <v>2023</v>
      </c>
      <c r="E49" s="58">
        <v>6.7999999999999996E-3</v>
      </c>
      <c r="F49" s="58">
        <v>6.7999999999999996E-3</v>
      </c>
      <c r="G49" s="32"/>
      <c r="H49" s="355"/>
      <c r="I49" s="57"/>
      <c r="J49" s="56"/>
    </row>
    <row r="50" spans="1:10">
      <c r="A50" s="347">
        <f>+A49+1</f>
        <v>8</v>
      </c>
      <c r="B50" s="32" t="s">
        <v>374</v>
      </c>
      <c r="C50" s="347">
        <v>2023</v>
      </c>
      <c r="E50" s="58">
        <v>6.7999999999999996E-3</v>
      </c>
      <c r="F50" s="58">
        <v>6.7999999999999996E-3</v>
      </c>
      <c r="G50" s="55"/>
      <c r="H50" s="347"/>
      <c r="J50" s="355"/>
    </row>
    <row r="51" spans="1:10">
      <c r="A51" s="347">
        <f t="shared" ref="A51:A72" si="1">+A50+1</f>
        <v>9</v>
      </c>
      <c r="B51" s="32" t="s">
        <v>375</v>
      </c>
      <c r="C51" s="347">
        <v>2023</v>
      </c>
      <c r="E51" s="58">
        <v>6.6E-3</v>
      </c>
      <c r="F51" s="58">
        <v>6.6E-3</v>
      </c>
      <c r="H51" s="347"/>
      <c r="J51" s="347"/>
    </row>
    <row r="52" spans="1:10">
      <c r="A52" s="347">
        <f t="shared" si="1"/>
        <v>10</v>
      </c>
      <c r="B52" s="32" t="s">
        <v>376</v>
      </c>
      <c r="C52" s="347">
        <v>2023</v>
      </c>
      <c r="E52" s="58">
        <v>7.1000000000000004E-3</v>
      </c>
      <c r="F52" s="58">
        <v>7.1000000000000004E-3</v>
      </c>
      <c r="H52" s="347"/>
      <c r="J52" s="347"/>
    </row>
    <row r="53" spans="1:10">
      <c r="A53" s="347">
        <f t="shared" si="1"/>
        <v>11</v>
      </c>
      <c r="B53" s="32" t="s">
        <v>377</v>
      </c>
      <c r="C53" s="347">
        <v>2023</v>
      </c>
      <c r="E53" s="58">
        <v>6.8999999999999999E-3</v>
      </c>
      <c r="F53" s="58">
        <v>6.8999999999999999E-3</v>
      </c>
      <c r="H53" s="355"/>
      <c r="J53" s="347"/>
    </row>
    <row r="54" spans="1:10">
      <c r="A54" s="347">
        <f t="shared" si="1"/>
        <v>12</v>
      </c>
      <c r="B54" s="32" t="s">
        <v>378</v>
      </c>
      <c r="C54" s="347">
        <v>2023</v>
      </c>
      <c r="E54" s="58">
        <v>7.1000000000000004E-3</v>
      </c>
      <c r="F54" s="58">
        <v>7.1000000000000004E-3</v>
      </c>
      <c r="H54" s="347"/>
      <c r="J54" s="347"/>
    </row>
    <row r="55" spans="1:10">
      <c r="A55" s="347">
        <f t="shared" si="1"/>
        <v>13</v>
      </c>
      <c r="B55" s="32" t="s">
        <v>367</v>
      </c>
      <c r="C55" s="347">
        <v>2024</v>
      </c>
      <c r="E55" s="58">
        <v>7.1999999999999998E-3</v>
      </c>
      <c r="F55" s="58">
        <v>7.1999999999999998E-3</v>
      </c>
      <c r="H55" s="347"/>
      <c r="J55" s="347"/>
    </row>
    <row r="56" spans="1:10">
      <c r="A56" s="347">
        <f t="shared" si="1"/>
        <v>14</v>
      </c>
      <c r="B56" s="32" t="s">
        <v>368</v>
      </c>
      <c r="C56" s="347">
        <v>2024</v>
      </c>
      <c r="E56" s="58">
        <v>6.7999999999999996E-3</v>
      </c>
      <c r="F56" s="58">
        <v>6.7999999999999996E-3</v>
      </c>
      <c r="H56" s="347"/>
      <c r="J56" s="347"/>
    </row>
    <row r="57" spans="1:10">
      <c r="A57" s="347">
        <f t="shared" si="1"/>
        <v>15</v>
      </c>
      <c r="B57" s="32" t="s">
        <v>369</v>
      </c>
      <c r="C57" s="347">
        <v>2024</v>
      </c>
      <c r="E57" s="58">
        <v>7.1999999999999998E-3</v>
      </c>
      <c r="F57" s="58">
        <v>7.1999999999999998E-3</v>
      </c>
      <c r="H57" s="347"/>
      <c r="J57" s="347"/>
    </row>
    <row r="58" spans="1:10">
      <c r="A58" s="347">
        <f t="shared" si="1"/>
        <v>16</v>
      </c>
      <c r="B58" s="32" t="s">
        <v>370</v>
      </c>
      <c r="C58" s="347">
        <v>2024</v>
      </c>
      <c r="E58" s="58">
        <v>7.0000000000000001E-3</v>
      </c>
      <c r="F58" s="58">
        <v>7.0000000000000001E-3</v>
      </c>
      <c r="H58" s="347"/>
      <c r="J58" s="347"/>
    </row>
    <row r="59" spans="1:10">
      <c r="A59" s="347">
        <f t="shared" si="1"/>
        <v>17</v>
      </c>
      <c r="B59" s="32" t="s">
        <v>371</v>
      </c>
      <c r="C59" s="347">
        <v>2024</v>
      </c>
      <c r="E59" s="58">
        <v>7.1999999999999998E-3</v>
      </c>
      <c r="F59" s="58">
        <v>7.1999999999999998E-3</v>
      </c>
      <c r="H59" s="347"/>
      <c r="J59" s="347"/>
    </row>
    <row r="60" spans="1:10">
      <c r="A60" s="347">
        <f t="shared" si="1"/>
        <v>18</v>
      </c>
      <c r="B60" s="32" t="s">
        <v>372</v>
      </c>
      <c r="C60" s="347">
        <v>2024</v>
      </c>
      <c r="E60" s="58">
        <v>7.0000000000000001E-3</v>
      </c>
      <c r="F60" s="58">
        <v>7.0000000000000001E-3</v>
      </c>
      <c r="H60" s="347"/>
      <c r="J60" s="347"/>
    </row>
    <row r="61" spans="1:10">
      <c r="A61" s="347">
        <f t="shared" si="1"/>
        <v>19</v>
      </c>
      <c r="B61" s="32" t="s">
        <v>373</v>
      </c>
      <c r="C61" s="347">
        <v>2024</v>
      </c>
      <c r="E61" s="58">
        <v>7.0000000000000001E-3</v>
      </c>
      <c r="F61" s="58">
        <v>7.1999999999999998E-3</v>
      </c>
      <c r="H61" s="347"/>
      <c r="J61" s="347"/>
    </row>
    <row r="62" spans="1:10">
      <c r="A62" s="347">
        <f t="shared" si="1"/>
        <v>20</v>
      </c>
      <c r="B62" s="32" t="s">
        <v>374</v>
      </c>
      <c r="C62" s="347">
        <v>2024</v>
      </c>
      <c r="E62" s="58">
        <v>7.0000000000000001E-3</v>
      </c>
      <c r="F62" s="58">
        <v>7.1999999999999998E-3</v>
      </c>
      <c r="H62" s="347"/>
      <c r="J62" s="347"/>
    </row>
    <row r="63" spans="1:10">
      <c r="A63" s="347">
        <f t="shared" si="1"/>
        <v>21</v>
      </c>
      <c r="B63" s="32" t="s">
        <v>375</v>
      </c>
      <c r="C63" s="347">
        <v>2024</v>
      </c>
      <c r="E63" s="58">
        <v>7.0000000000000001E-3</v>
      </c>
      <c r="F63" s="58">
        <v>7.0000000000000001E-3</v>
      </c>
      <c r="H63" s="347"/>
      <c r="J63" s="347"/>
    </row>
    <row r="64" spans="1:10">
      <c r="A64" s="347">
        <f t="shared" si="1"/>
        <v>22</v>
      </c>
      <c r="B64" s="32" t="s">
        <v>376</v>
      </c>
      <c r="C64" s="347">
        <v>2024</v>
      </c>
      <c r="E64" s="58">
        <v>7.0000000000000001E-3</v>
      </c>
      <c r="F64" s="58">
        <v>7.1999999999999998E-3</v>
      </c>
      <c r="H64" s="347"/>
      <c r="J64" s="347"/>
    </row>
    <row r="65" spans="1:10">
      <c r="A65" s="347">
        <f t="shared" si="1"/>
        <v>23</v>
      </c>
      <c r="B65" s="32" t="s">
        <v>377</v>
      </c>
      <c r="C65" s="347">
        <v>2024</v>
      </c>
      <c r="E65" s="58">
        <v>7.0000000000000001E-3</v>
      </c>
      <c r="F65" s="58">
        <v>7.0000000000000001E-3</v>
      </c>
      <c r="H65" s="347"/>
      <c r="J65" s="347"/>
    </row>
    <row r="66" spans="1:10">
      <c r="A66" s="347">
        <f t="shared" si="1"/>
        <v>24</v>
      </c>
      <c r="B66" s="32" t="s">
        <v>378</v>
      </c>
      <c r="C66" s="347">
        <v>2024</v>
      </c>
      <c r="E66" s="58">
        <v>7.0000000000000001E-3</v>
      </c>
      <c r="F66" s="58">
        <v>7.1999999999999998E-3</v>
      </c>
      <c r="H66" s="347"/>
      <c r="J66" s="347"/>
    </row>
    <row r="67" spans="1:10">
      <c r="A67" s="347">
        <f t="shared" si="1"/>
        <v>25</v>
      </c>
      <c r="B67" s="32" t="s">
        <v>367</v>
      </c>
      <c r="C67" s="347">
        <v>2025</v>
      </c>
      <c r="E67" s="58">
        <v>7.0000000000000001E-3</v>
      </c>
      <c r="F67" s="58">
        <v>6.7999999999999996E-3</v>
      </c>
      <c r="H67" s="347"/>
      <c r="J67" s="347"/>
    </row>
    <row r="68" spans="1:10">
      <c r="A68" s="347">
        <f t="shared" si="1"/>
        <v>26</v>
      </c>
      <c r="B68" s="32" t="s">
        <v>368</v>
      </c>
      <c r="C68" s="347">
        <v>2025</v>
      </c>
      <c r="E68" s="58">
        <v>7.0000000000000001E-3</v>
      </c>
      <c r="F68" s="58">
        <v>6.1999999999999998E-3</v>
      </c>
      <c r="H68" s="347"/>
      <c r="J68" s="347"/>
    </row>
    <row r="69" spans="1:10">
      <c r="A69" s="347">
        <f t="shared" si="1"/>
        <v>27</v>
      </c>
      <c r="B69" s="32" t="s">
        <v>369</v>
      </c>
      <c r="C69" s="347">
        <v>2025</v>
      </c>
      <c r="E69" s="58">
        <v>7.0000000000000001E-3</v>
      </c>
      <c r="F69" s="58">
        <v>6.7999999999999996E-3</v>
      </c>
      <c r="H69" s="347"/>
      <c r="J69" s="347"/>
    </row>
    <row r="70" spans="1:10">
      <c r="A70" s="347">
        <f t="shared" si="1"/>
        <v>28</v>
      </c>
      <c r="B70" s="32" t="s">
        <v>370</v>
      </c>
      <c r="C70" s="347">
        <v>2025</v>
      </c>
      <c r="E70" s="58">
        <v>7.0000000000000001E-3</v>
      </c>
      <c r="F70" s="58">
        <v>6.1999999999999998E-3</v>
      </c>
      <c r="H70" s="347"/>
      <c r="J70" s="347"/>
    </row>
    <row r="71" spans="1:10">
      <c r="A71" s="347">
        <f t="shared" si="1"/>
        <v>29</v>
      </c>
      <c r="B71" s="32" t="s">
        <v>371</v>
      </c>
      <c r="C71" s="347">
        <v>2025</v>
      </c>
      <c r="E71" s="58">
        <v>7.0000000000000001E-3</v>
      </c>
      <c r="F71" s="58">
        <v>6.4000000000000003E-3</v>
      </c>
      <c r="H71" s="347"/>
      <c r="J71" s="347"/>
    </row>
    <row r="72" spans="1:10">
      <c r="A72" s="347">
        <f t="shared" si="1"/>
        <v>30</v>
      </c>
      <c r="B72" s="32" t="s">
        <v>372</v>
      </c>
      <c r="C72" s="347">
        <v>2025</v>
      </c>
      <c r="E72" s="58">
        <v>7.0000000000000001E-3</v>
      </c>
      <c r="F72" s="58">
        <v>6.1999999999999998E-3</v>
      </c>
      <c r="J72" s="458"/>
    </row>
    <row r="73" spans="1:10">
      <c r="A73" s="347"/>
      <c r="B73" s="32"/>
    </row>
    <row r="74" spans="1:10">
      <c r="A74" s="347">
        <f>+A72+1</f>
        <v>31</v>
      </c>
      <c r="B74" s="32" t="s">
        <v>491</v>
      </c>
      <c r="E74" s="54">
        <f>+SUM(E49:E72)/24</f>
        <v>6.9875000000000033E-3</v>
      </c>
      <c r="F74" s="54">
        <f>+SUM(F49:F72)/24</f>
        <v>6.879166666666668E-3</v>
      </c>
    </row>
    <row r="76" spans="1:10">
      <c r="B76" s="306" t="s">
        <v>972</v>
      </c>
    </row>
  </sheetData>
  <customSheetViews>
    <customSheetView guid="{416404B7-8533-4A12-ABD0-58CFDEB49D80}" scale="75" fitToPage="1">
      <selection activeCell="F45" sqref="F45"/>
      <pageMargins left="0" right="0" top="0" bottom="0" header="0" footer="0"/>
      <printOptions horizontalCentered="1"/>
      <pageSetup scale="44" orientation="portrait" r:id="rId1"/>
      <headerFooter alignWithMargins="0">
        <oddFooter>&amp;L&amp;P</oddFooter>
      </headerFooter>
    </customSheetView>
  </customSheetViews>
  <mergeCells count="5">
    <mergeCell ref="B2:J2"/>
    <mergeCell ref="K2:L2"/>
    <mergeCell ref="B4:J4"/>
    <mergeCell ref="K4:L4"/>
    <mergeCell ref="B3:J3"/>
  </mergeCells>
  <phoneticPr fontId="5" type="noConversion"/>
  <printOptions horizontalCentered="1"/>
  <pageMargins left="0.75" right="0.75" top="1" bottom="1" header="0.5" footer="0.5"/>
  <pageSetup scale="41" orientation="portrait" r:id="rId2"/>
  <headerFooter alignWithMargins="0">
    <oddFooter>&amp;L&amp;P</oddFooter>
  </headerFooter>
  <customProperties>
    <customPr name="_pios_id" r:id="rId3"/>
    <customPr name="EpmWorksheetKeyString_GUID" r:id="rId4"/>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4F68-8793-4059-9934-C61CA354F69C}">
  <sheetPr>
    <tabColor rgb="FF92D050"/>
    <pageSetUpPr fitToPage="1"/>
  </sheetPr>
  <dimension ref="A2:M76"/>
  <sheetViews>
    <sheetView showGridLines="0" topLeftCell="A25" zoomScale="75" zoomScaleNormal="75" workbookViewId="0">
      <selection activeCell="I41" sqref="I41"/>
    </sheetView>
  </sheetViews>
  <sheetFormatPr defaultColWidth="9.28515625" defaultRowHeight="20.25"/>
  <cols>
    <col min="1" max="1" width="5.140625" style="306" customWidth="1"/>
    <col min="2" max="2" width="14.140625" style="347" customWidth="1"/>
    <col min="3" max="3" width="45.85546875" style="306" customWidth="1"/>
    <col min="4" max="4" width="16.7109375" style="306" customWidth="1"/>
    <col min="5" max="5" width="17.7109375" style="306" customWidth="1"/>
    <col min="6" max="6" width="15.140625" style="306" customWidth="1"/>
    <col min="7" max="7" width="34.42578125" style="306" customWidth="1"/>
    <col min="8" max="8" width="67.28515625" style="306" customWidth="1"/>
    <col min="9" max="10" width="19" style="306" bestFit="1" customWidth="1"/>
    <col min="11" max="11" width="19.28515625" style="306" customWidth="1"/>
    <col min="12" max="12" width="9.28515625" style="306"/>
    <col min="13" max="13" width="10.28515625" style="306" customWidth="1"/>
    <col min="14" max="16384" width="9.28515625" style="306"/>
  </cols>
  <sheetData>
    <row r="2" spans="2:12">
      <c r="B2" s="647" t="str">
        <f>+'Appendix A'!A3</f>
        <v>Dayton Power and Light</v>
      </c>
      <c r="C2" s="647"/>
      <c r="D2" s="647"/>
      <c r="E2" s="647"/>
      <c r="F2" s="647"/>
      <c r="G2" s="647"/>
      <c r="H2" s="647"/>
      <c r="I2" s="647"/>
      <c r="J2" s="647"/>
      <c r="K2" s="647"/>
      <c r="L2" s="647"/>
    </row>
    <row r="3" spans="2:12">
      <c r="B3" s="647" t="str">
        <f>+'Appendix A'!A4</f>
        <v xml:space="preserve">ATTACHMENT H-15A </v>
      </c>
      <c r="C3" s="647"/>
      <c r="D3" s="647"/>
      <c r="E3" s="647"/>
      <c r="F3" s="647"/>
      <c r="G3" s="647"/>
      <c r="H3" s="647"/>
      <c r="I3" s="647"/>
      <c r="J3" s="647"/>
      <c r="K3" s="342"/>
      <c r="L3" s="345"/>
    </row>
    <row r="4" spans="2:12">
      <c r="B4" s="648" t="s">
        <v>1002</v>
      </c>
      <c r="C4" s="648"/>
      <c r="D4" s="648"/>
      <c r="E4" s="648"/>
      <c r="F4" s="648"/>
      <c r="G4" s="648"/>
      <c r="H4" s="648"/>
      <c r="I4" s="648"/>
      <c r="J4" s="648"/>
      <c r="K4" s="647"/>
      <c r="L4" s="647"/>
    </row>
    <row r="5" spans="2:12">
      <c r="B5" s="345"/>
      <c r="C5" s="345"/>
      <c r="D5" s="345"/>
      <c r="E5" s="345"/>
      <c r="F5" s="345"/>
      <c r="G5" s="345"/>
      <c r="H5" s="345"/>
      <c r="I5" s="345"/>
      <c r="J5" s="345"/>
      <c r="K5" s="345"/>
      <c r="L5" s="345"/>
    </row>
    <row r="6" spans="2:12">
      <c r="B6" s="306" t="s">
        <v>397</v>
      </c>
    </row>
    <row r="7" spans="2:12">
      <c r="B7" s="32" t="s">
        <v>714</v>
      </c>
    </row>
    <row r="9" spans="2:12">
      <c r="B9" s="347" t="s">
        <v>341</v>
      </c>
      <c r="C9" s="306" t="s">
        <v>677</v>
      </c>
    </row>
    <row r="10" spans="2:12">
      <c r="C10" s="306" t="s">
        <v>678</v>
      </c>
    </row>
    <row r="11" spans="2:12">
      <c r="C11" s="306" t="s">
        <v>679</v>
      </c>
      <c r="H11" s="89"/>
    </row>
    <row r="12" spans="2:12">
      <c r="H12" s="89"/>
    </row>
    <row r="13" spans="2:12">
      <c r="B13" s="347" t="s">
        <v>680</v>
      </c>
      <c r="C13" s="306" t="s">
        <v>681</v>
      </c>
      <c r="H13" s="89"/>
    </row>
    <row r="14" spans="2:12">
      <c r="C14" s="306" t="s">
        <v>682</v>
      </c>
    </row>
    <row r="16" spans="2:12">
      <c r="B16" s="347" t="s">
        <v>683</v>
      </c>
      <c r="C16" s="306" t="s">
        <v>684</v>
      </c>
    </row>
    <row r="17" spans="2:13">
      <c r="C17" s="306" t="s">
        <v>685</v>
      </c>
    </row>
    <row r="19" spans="2:13">
      <c r="B19" s="347" t="s">
        <v>686</v>
      </c>
      <c r="C19" s="306" t="s">
        <v>687</v>
      </c>
    </row>
    <row r="20" spans="2:13">
      <c r="K20" s="65"/>
    </row>
    <row r="21" spans="2:13">
      <c r="C21" s="306" t="s">
        <v>688</v>
      </c>
      <c r="D21" s="347" t="s">
        <v>689</v>
      </c>
      <c r="E21" s="306" t="s">
        <v>690</v>
      </c>
    </row>
    <row r="22" spans="2:13">
      <c r="E22" s="306" t="s">
        <v>691</v>
      </c>
    </row>
    <row r="23" spans="2:13">
      <c r="E23" s="306" t="s">
        <v>692</v>
      </c>
      <c r="K23" s="115"/>
    </row>
    <row r="26" spans="2:13" ht="23.25">
      <c r="B26" s="64"/>
      <c r="C26" s="306" t="s">
        <v>693</v>
      </c>
    </row>
    <row r="27" spans="2:13" ht="23.25">
      <c r="B27" s="63"/>
      <c r="C27" s="306" t="s">
        <v>694</v>
      </c>
    </row>
    <row r="28" spans="2:13">
      <c r="C28" s="306" t="s">
        <v>695</v>
      </c>
    </row>
    <row r="29" spans="2:13">
      <c r="C29" s="306" t="s">
        <v>696</v>
      </c>
      <c r="M29" s="231"/>
    </row>
    <row r="30" spans="2:13">
      <c r="C30" s="306" t="s">
        <v>697</v>
      </c>
    </row>
    <row r="31" spans="2:13">
      <c r="C31" s="306" t="s">
        <v>698</v>
      </c>
    </row>
    <row r="34" spans="1:13">
      <c r="D34" s="347"/>
      <c r="I34" s="347" t="s">
        <v>700</v>
      </c>
      <c r="J34" s="347" t="s">
        <v>701</v>
      </c>
    </row>
    <row r="35" spans="1:13">
      <c r="A35" s="234" t="s">
        <v>715</v>
      </c>
      <c r="D35" s="347"/>
      <c r="I35" s="233" t="s">
        <v>702</v>
      </c>
      <c r="J35" s="233" t="s">
        <v>702</v>
      </c>
      <c r="K35" s="234" t="s">
        <v>703</v>
      </c>
    </row>
    <row r="36" spans="1:13">
      <c r="A36" s="306">
        <v>1</v>
      </c>
      <c r="B36" s="347" t="s">
        <v>206</v>
      </c>
      <c r="C36" s="306" t="s">
        <v>716</v>
      </c>
      <c r="D36" s="347"/>
      <c r="I36" s="283">
        <f>+'7B - Schedule 12 Projects'!G19</f>
        <v>3681481.3215163136</v>
      </c>
      <c r="J36" s="351"/>
      <c r="M36" s="62"/>
    </row>
    <row r="37" spans="1:13">
      <c r="A37" s="306">
        <f>+A36+1</f>
        <v>2</v>
      </c>
      <c r="B37" s="347" t="s">
        <v>208</v>
      </c>
      <c r="C37" s="306" t="s">
        <v>717</v>
      </c>
      <c r="D37" s="347"/>
      <c r="I37" s="61">
        <f>+'[1]Appendix A'!$H$281</f>
        <v>4444772.9889506204</v>
      </c>
      <c r="J37" s="201"/>
      <c r="M37" s="231"/>
    </row>
    <row r="38" spans="1:13">
      <c r="A38" s="306">
        <f t="shared" ref="A38:A40" si="0">+A37+1</f>
        <v>3</v>
      </c>
      <c r="B38" s="347" t="s">
        <v>210</v>
      </c>
      <c r="C38" s="306" t="s">
        <v>706</v>
      </c>
      <c r="D38" s="347"/>
      <c r="I38" s="351">
        <f>I36-I37</f>
        <v>-763291.66743430682</v>
      </c>
      <c r="J38" s="351">
        <f>+I38</f>
        <v>-763291.66743430682</v>
      </c>
    </row>
    <row r="39" spans="1:13">
      <c r="A39" s="306">
        <f t="shared" si="0"/>
        <v>4</v>
      </c>
      <c r="B39" s="347" t="s">
        <v>212</v>
      </c>
      <c r="C39" s="306" t="s">
        <v>707</v>
      </c>
      <c r="D39" s="347"/>
      <c r="I39" s="60">
        <f>(1+E74)^24</f>
        <v>1.1818923179010559</v>
      </c>
      <c r="J39" s="645">
        <f>(1+F74)^24</f>
        <v>1.1788444933322932</v>
      </c>
    </row>
    <row r="40" spans="1:13">
      <c r="A40" s="306">
        <f t="shared" si="0"/>
        <v>5</v>
      </c>
      <c r="B40" s="347" t="s">
        <v>214</v>
      </c>
      <c r="C40" s="306" t="s">
        <v>708</v>
      </c>
      <c r="D40" s="347"/>
      <c r="I40" s="351">
        <f>+I38*I39</f>
        <v>-902128.55805849482</v>
      </c>
      <c r="J40" s="351">
        <f>+J38*J39</f>
        <v>-899802.17896135664</v>
      </c>
      <c r="K40" s="351">
        <f>J40-I40</f>
        <v>2326.3790971381823</v>
      </c>
    </row>
    <row r="41" spans="1:13">
      <c r="A41" s="306">
        <f>+A40+1</f>
        <v>6</v>
      </c>
      <c r="B41" s="347" t="s">
        <v>216</v>
      </c>
      <c r="C41" s="306" t="s">
        <v>971</v>
      </c>
      <c r="D41" s="347"/>
      <c r="H41" s="351"/>
      <c r="I41" s="351">
        <f>K40</f>
        <v>2326.3790971381823</v>
      </c>
    </row>
    <row r="42" spans="1:13">
      <c r="D42" s="347"/>
    </row>
    <row r="43" spans="1:13">
      <c r="C43" s="306" t="s">
        <v>709</v>
      </c>
      <c r="H43" s="458"/>
    </row>
    <row r="44" spans="1:13">
      <c r="C44" s="306" t="s">
        <v>710</v>
      </c>
      <c r="H44" s="448"/>
      <c r="I44" s="448"/>
      <c r="J44" s="303"/>
    </row>
    <row r="45" spans="1:13">
      <c r="H45" s="303"/>
      <c r="I45" s="347"/>
      <c r="J45" s="347"/>
      <c r="K45" s="347"/>
    </row>
    <row r="46" spans="1:13">
      <c r="B46" s="32" t="s">
        <v>711</v>
      </c>
      <c r="E46" s="347" t="s">
        <v>700</v>
      </c>
      <c r="F46" s="347" t="s">
        <v>712</v>
      </c>
      <c r="H46" s="303"/>
      <c r="I46" s="347"/>
      <c r="J46" s="347"/>
      <c r="K46" s="347"/>
    </row>
    <row r="47" spans="1:13">
      <c r="B47" s="306"/>
      <c r="C47" s="347"/>
      <c r="E47" s="347" t="s">
        <v>713</v>
      </c>
      <c r="F47" s="347" t="s">
        <v>713</v>
      </c>
      <c r="H47" s="348"/>
      <c r="I47" s="303"/>
      <c r="J47" s="458"/>
    </row>
    <row r="48" spans="1:13" ht="24.75">
      <c r="B48" s="59" t="s">
        <v>402</v>
      </c>
      <c r="C48" s="233" t="s">
        <v>352</v>
      </c>
      <c r="E48" s="233" t="s">
        <v>702</v>
      </c>
      <c r="F48" s="233" t="s">
        <v>702</v>
      </c>
      <c r="H48" s="191"/>
      <c r="I48" s="303"/>
      <c r="J48" s="458"/>
    </row>
    <row r="49" spans="1:10">
      <c r="A49" s="306">
        <f>+A41+1</f>
        <v>7</v>
      </c>
      <c r="B49" s="32" t="s">
        <v>373</v>
      </c>
      <c r="C49" s="347">
        <v>2023</v>
      </c>
      <c r="E49" s="58">
        <v>6.7999999999999996E-3</v>
      </c>
      <c r="F49" s="58">
        <v>6.7999999999999996E-3</v>
      </c>
      <c r="G49" s="32"/>
      <c r="H49" s="355"/>
      <c r="I49" s="57"/>
      <c r="J49" s="56"/>
    </row>
    <row r="50" spans="1:10">
      <c r="A50" s="306">
        <f>+A49+1</f>
        <v>8</v>
      </c>
      <c r="B50" s="32" t="s">
        <v>374</v>
      </c>
      <c r="C50" s="347">
        <v>2023</v>
      </c>
      <c r="E50" s="58">
        <v>6.7999999999999996E-3</v>
      </c>
      <c r="F50" s="58">
        <v>6.7999999999999996E-3</v>
      </c>
      <c r="G50" s="55"/>
      <c r="H50" s="347"/>
      <c r="J50" s="355"/>
    </row>
    <row r="51" spans="1:10">
      <c r="A51" s="306">
        <f t="shared" ref="A51:A72" si="1">+A50+1</f>
        <v>9</v>
      </c>
      <c r="B51" s="32" t="s">
        <v>375</v>
      </c>
      <c r="C51" s="347">
        <v>2023</v>
      </c>
      <c r="E51" s="58">
        <v>6.6E-3</v>
      </c>
      <c r="F51" s="58">
        <v>6.6E-3</v>
      </c>
      <c r="H51" s="347"/>
      <c r="J51" s="347"/>
    </row>
    <row r="52" spans="1:10">
      <c r="A52" s="306">
        <f t="shared" si="1"/>
        <v>10</v>
      </c>
      <c r="B52" s="32" t="s">
        <v>376</v>
      </c>
      <c r="C52" s="347">
        <v>2023</v>
      </c>
      <c r="E52" s="58">
        <v>7.1000000000000004E-3</v>
      </c>
      <c r="F52" s="58">
        <v>7.1000000000000004E-3</v>
      </c>
      <c r="H52" s="347"/>
      <c r="J52" s="347"/>
    </row>
    <row r="53" spans="1:10">
      <c r="A53" s="306">
        <f t="shared" si="1"/>
        <v>11</v>
      </c>
      <c r="B53" s="32" t="s">
        <v>377</v>
      </c>
      <c r="C53" s="347">
        <v>2023</v>
      </c>
      <c r="E53" s="58">
        <v>6.8999999999999999E-3</v>
      </c>
      <c r="F53" s="58">
        <v>6.8999999999999999E-3</v>
      </c>
      <c r="H53" s="355"/>
      <c r="J53" s="347"/>
    </row>
    <row r="54" spans="1:10">
      <c r="A54" s="306">
        <f t="shared" si="1"/>
        <v>12</v>
      </c>
      <c r="B54" s="32" t="s">
        <v>378</v>
      </c>
      <c r="C54" s="347">
        <v>2023</v>
      </c>
      <c r="E54" s="58">
        <v>7.1000000000000004E-3</v>
      </c>
      <c r="F54" s="58">
        <v>7.1000000000000004E-3</v>
      </c>
      <c r="H54" s="347"/>
      <c r="J54" s="347"/>
    </row>
    <row r="55" spans="1:10">
      <c r="A55" s="306">
        <f t="shared" si="1"/>
        <v>13</v>
      </c>
      <c r="B55" s="32" t="s">
        <v>367</v>
      </c>
      <c r="C55" s="347">
        <v>2024</v>
      </c>
      <c r="E55" s="58">
        <v>7.1999999999999998E-3</v>
      </c>
      <c r="F55" s="58">
        <v>7.1999999999999998E-3</v>
      </c>
      <c r="H55" s="347"/>
      <c r="J55" s="347"/>
    </row>
    <row r="56" spans="1:10">
      <c r="A56" s="306">
        <f t="shared" si="1"/>
        <v>14</v>
      </c>
      <c r="B56" s="32" t="s">
        <v>368</v>
      </c>
      <c r="C56" s="347">
        <v>2024</v>
      </c>
      <c r="E56" s="58">
        <v>6.7999999999999996E-3</v>
      </c>
      <c r="F56" s="58">
        <v>6.7999999999999996E-3</v>
      </c>
      <c r="H56" s="347"/>
      <c r="J56" s="347"/>
    </row>
    <row r="57" spans="1:10">
      <c r="A57" s="306">
        <f t="shared" si="1"/>
        <v>15</v>
      </c>
      <c r="B57" s="32" t="s">
        <v>369</v>
      </c>
      <c r="C57" s="347">
        <v>2024</v>
      </c>
      <c r="E57" s="58">
        <v>7.1999999999999998E-3</v>
      </c>
      <c r="F57" s="58">
        <v>7.1999999999999998E-3</v>
      </c>
      <c r="H57" s="347"/>
      <c r="J57" s="347"/>
    </row>
    <row r="58" spans="1:10">
      <c r="A58" s="306">
        <f t="shared" si="1"/>
        <v>16</v>
      </c>
      <c r="B58" s="32" t="s">
        <v>370</v>
      </c>
      <c r="C58" s="347">
        <v>2024</v>
      </c>
      <c r="E58" s="58">
        <v>7.0000000000000001E-3</v>
      </c>
      <c r="F58" s="58">
        <v>7.0000000000000001E-3</v>
      </c>
      <c r="H58" s="347"/>
      <c r="J58" s="347"/>
    </row>
    <row r="59" spans="1:10">
      <c r="A59" s="306">
        <f t="shared" si="1"/>
        <v>17</v>
      </c>
      <c r="B59" s="32" t="s">
        <v>371</v>
      </c>
      <c r="C59" s="347">
        <v>2024</v>
      </c>
      <c r="E59" s="58">
        <v>7.1999999999999998E-3</v>
      </c>
      <c r="F59" s="58">
        <v>7.1999999999999998E-3</v>
      </c>
      <c r="H59" s="347"/>
      <c r="J59" s="347"/>
    </row>
    <row r="60" spans="1:10">
      <c r="A60" s="306">
        <f t="shared" si="1"/>
        <v>18</v>
      </c>
      <c r="B60" s="32" t="s">
        <v>372</v>
      </c>
      <c r="C60" s="347">
        <v>2024</v>
      </c>
      <c r="E60" s="58">
        <v>7.0000000000000001E-3</v>
      </c>
      <c r="F60" s="58">
        <v>7.0000000000000001E-3</v>
      </c>
      <c r="H60" s="347"/>
      <c r="J60" s="347"/>
    </row>
    <row r="61" spans="1:10">
      <c r="A61" s="306">
        <f t="shared" si="1"/>
        <v>19</v>
      </c>
      <c r="B61" s="32" t="s">
        <v>373</v>
      </c>
      <c r="C61" s="347">
        <v>2024</v>
      </c>
      <c r="E61" s="58">
        <v>7.0000000000000001E-3</v>
      </c>
      <c r="F61" s="58">
        <v>7.1999999999999998E-3</v>
      </c>
      <c r="H61" s="347"/>
      <c r="J61" s="347"/>
    </row>
    <row r="62" spans="1:10">
      <c r="A62" s="306">
        <f t="shared" si="1"/>
        <v>20</v>
      </c>
      <c r="B62" s="32" t="s">
        <v>374</v>
      </c>
      <c r="C62" s="347">
        <v>2024</v>
      </c>
      <c r="E62" s="58">
        <v>7.0000000000000001E-3</v>
      </c>
      <c r="F62" s="58">
        <v>7.1999999999999998E-3</v>
      </c>
      <c r="H62" s="347"/>
      <c r="J62" s="347"/>
    </row>
    <row r="63" spans="1:10">
      <c r="A63" s="306">
        <f t="shared" si="1"/>
        <v>21</v>
      </c>
      <c r="B63" s="32" t="s">
        <v>375</v>
      </c>
      <c r="C63" s="347">
        <v>2024</v>
      </c>
      <c r="E63" s="58">
        <v>7.0000000000000001E-3</v>
      </c>
      <c r="F63" s="58">
        <v>7.0000000000000001E-3</v>
      </c>
      <c r="H63" s="347"/>
      <c r="J63" s="347"/>
    </row>
    <row r="64" spans="1:10">
      <c r="A64" s="306">
        <f t="shared" si="1"/>
        <v>22</v>
      </c>
      <c r="B64" s="32" t="s">
        <v>376</v>
      </c>
      <c r="C64" s="347">
        <v>2024</v>
      </c>
      <c r="E64" s="58">
        <v>7.0000000000000001E-3</v>
      </c>
      <c r="F64" s="58">
        <v>7.1999999999999998E-3</v>
      </c>
      <c r="H64" s="347"/>
      <c r="J64" s="347"/>
    </row>
    <row r="65" spans="1:10">
      <c r="A65" s="306">
        <f t="shared" si="1"/>
        <v>23</v>
      </c>
      <c r="B65" s="32" t="s">
        <v>377</v>
      </c>
      <c r="C65" s="347">
        <v>2024</v>
      </c>
      <c r="E65" s="58">
        <v>7.0000000000000001E-3</v>
      </c>
      <c r="F65" s="58">
        <v>7.0000000000000001E-3</v>
      </c>
      <c r="H65" s="347"/>
      <c r="J65" s="347"/>
    </row>
    <row r="66" spans="1:10">
      <c r="A66" s="306">
        <f t="shared" si="1"/>
        <v>24</v>
      </c>
      <c r="B66" s="32" t="s">
        <v>378</v>
      </c>
      <c r="C66" s="347">
        <v>2024</v>
      </c>
      <c r="E66" s="58">
        <v>7.0000000000000001E-3</v>
      </c>
      <c r="F66" s="58">
        <v>7.1999999999999998E-3</v>
      </c>
      <c r="H66" s="347"/>
      <c r="J66" s="347"/>
    </row>
    <row r="67" spans="1:10">
      <c r="A67" s="306">
        <f t="shared" si="1"/>
        <v>25</v>
      </c>
      <c r="B67" s="32" t="s">
        <v>367</v>
      </c>
      <c r="C67" s="347">
        <v>2025</v>
      </c>
      <c r="E67" s="58">
        <v>7.0000000000000001E-3</v>
      </c>
      <c r="F67" s="58">
        <v>6.7999999999999996E-3</v>
      </c>
      <c r="H67" s="347"/>
      <c r="J67" s="347"/>
    </row>
    <row r="68" spans="1:10">
      <c r="A68" s="306">
        <f t="shared" si="1"/>
        <v>26</v>
      </c>
      <c r="B68" s="32" t="s">
        <v>368</v>
      </c>
      <c r="C68" s="347">
        <v>2025</v>
      </c>
      <c r="E68" s="58">
        <v>7.0000000000000001E-3</v>
      </c>
      <c r="F68" s="58">
        <v>6.1999999999999998E-3</v>
      </c>
      <c r="H68" s="347"/>
      <c r="J68" s="347"/>
    </row>
    <row r="69" spans="1:10">
      <c r="A69" s="306">
        <f t="shared" si="1"/>
        <v>27</v>
      </c>
      <c r="B69" s="32" t="s">
        <v>369</v>
      </c>
      <c r="C69" s="347">
        <v>2025</v>
      </c>
      <c r="E69" s="58">
        <v>7.0000000000000001E-3</v>
      </c>
      <c r="F69" s="58">
        <v>6.7999999999999996E-3</v>
      </c>
      <c r="H69" s="347"/>
      <c r="J69" s="347"/>
    </row>
    <row r="70" spans="1:10">
      <c r="A70" s="306">
        <f t="shared" si="1"/>
        <v>28</v>
      </c>
      <c r="B70" s="32" t="s">
        <v>370</v>
      </c>
      <c r="C70" s="347">
        <v>2025</v>
      </c>
      <c r="E70" s="58">
        <v>7.0000000000000001E-3</v>
      </c>
      <c r="F70" s="58">
        <v>6.1999999999999998E-3</v>
      </c>
      <c r="H70" s="347"/>
      <c r="J70" s="347"/>
    </row>
    <row r="71" spans="1:10">
      <c r="A71" s="306">
        <f t="shared" si="1"/>
        <v>29</v>
      </c>
      <c r="B71" s="32" t="s">
        <v>371</v>
      </c>
      <c r="C71" s="347">
        <v>2025</v>
      </c>
      <c r="E71" s="58">
        <v>7.0000000000000001E-3</v>
      </c>
      <c r="F71" s="58">
        <v>6.4000000000000003E-3</v>
      </c>
      <c r="H71" s="347"/>
      <c r="J71" s="347"/>
    </row>
    <row r="72" spans="1:10">
      <c r="A72" s="306">
        <f t="shared" si="1"/>
        <v>30</v>
      </c>
      <c r="B72" s="32" t="s">
        <v>372</v>
      </c>
      <c r="C72" s="347">
        <v>2025</v>
      </c>
      <c r="E72" s="58">
        <v>7.0000000000000001E-3</v>
      </c>
      <c r="F72" s="58">
        <v>6.1999999999999998E-3</v>
      </c>
      <c r="J72" s="458"/>
    </row>
    <row r="73" spans="1:10">
      <c r="B73" s="32"/>
    </row>
    <row r="74" spans="1:10">
      <c r="A74" s="306">
        <f>+A72+1</f>
        <v>31</v>
      </c>
      <c r="B74" s="32" t="s">
        <v>491</v>
      </c>
      <c r="E74" s="54">
        <f>+SUM(E49:E72)/24</f>
        <v>6.9875000000000033E-3</v>
      </c>
      <c r="F74" s="54">
        <f>+SUM(F49:F72)/24</f>
        <v>6.879166666666668E-3</v>
      </c>
    </row>
    <row r="76" spans="1:10">
      <c r="B76" s="306" t="s">
        <v>973</v>
      </c>
    </row>
  </sheetData>
  <mergeCells count="5">
    <mergeCell ref="B2:J2"/>
    <mergeCell ref="K2:L2"/>
    <mergeCell ref="B3:J3"/>
    <mergeCell ref="B4:J4"/>
    <mergeCell ref="K4:L4"/>
  </mergeCells>
  <printOptions horizontalCentered="1"/>
  <pageMargins left="0.75" right="0.75" top="1" bottom="1" header="0.5" footer="0.5"/>
  <pageSetup scale="40" orientation="portrait" r:id="rId1"/>
  <headerFooter alignWithMargins="0">
    <oddFooter>&amp;L&amp;P</oddFooter>
  </headerFooter>
  <customProperties>
    <customPr name="_pios_id" r:id="rId2"/>
    <customPr name="EpmWorksheetKeyString_GUID"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A6F99-AD83-4F1F-8DAD-9B19D349BDBC}">
  <sheetPr>
    <tabColor rgb="FF92D050"/>
    <pageSetUpPr fitToPage="1"/>
  </sheetPr>
  <dimension ref="A1:Y20"/>
  <sheetViews>
    <sheetView topLeftCell="B1" zoomScaleNormal="100" zoomScaleSheetLayoutView="90" workbookViewId="0">
      <selection activeCell="K10" sqref="K10"/>
    </sheetView>
  </sheetViews>
  <sheetFormatPr defaultRowHeight="20.25"/>
  <cols>
    <col min="1" max="1" width="5.28515625" style="306" customWidth="1"/>
    <col min="2" max="2" width="31.140625" style="306" customWidth="1"/>
    <col min="3" max="3" width="24.7109375" style="306" customWidth="1"/>
    <col min="4" max="4" width="5.5703125" style="306" customWidth="1"/>
    <col min="5" max="5" width="13.28515625" style="306" customWidth="1"/>
    <col min="6" max="6" width="6" style="306" customWidth="1"/>
    <col min="7" max="7" width="13.28515625" style="306" customWidth="1"/>
    <col min="8" max="8" width="4.7109375" style="306" customWidth="1"/>
    <col min="9" max="9" width="13.5703125" style="306" bestFit="1" customWidth="1"/>
    <col min="10" max="10" width="4.85546875" style="306" customWidth="1"/>
    <col min="11" max="11" width="13.5703125" style="306" bestFit="1" customWidth="1"/>
    <col min="12" max="12" width="4.85546875" style="306" customWidth="1"/>
    <col min="13" max="13" width="13.5703125" style="306" bestFit="1" customWidth="1"/>
    <col min="14" max="14" width="4.5703125" style="306" customWidth="1"/>
    <col min="15" max="15" width="13.5703125" style="306" bestFit="1" customWidth="1"/>
    <col min="16" max="16" width="4.28515625" style="306" customWidth="1"/>
    <col min="17" max="17" width="13.5703125" style="306" bestFit="1" customWidth="1"/>
    <col min="18" max="18" width="3.7109375" style="306" customWidth="1"/>
    <col min="19" max="19" width="13.5703125" style="306" bestFit="1" customWidth="1"/>
    <col min="20" max="20" width="4.7109375" style="306" customWidth="1"/>
    <col min="21" max="21" width="13.5703125" style="306" bestFit="1" customWidth="1"/>
    <col min="22" max="22" width="4.7109375" style="306" customWidth="1"/>
    <col min="23" max="23" width="13.5703125" style="306" bestFit="1" customWidth="1"/>
    <col min="24" max="24" width="4.5703125" style="306" customWidth="1"/>
    <col min="25" max="25" width="15.140625" style="306" bestFit="1" customWidth="1"/>
    <col min="26" max="26" width="5.42578125" style="306" customWidth="1"/>
    <col min="27" max="16384" width="9.140625" style="306"/>
  </cols>
  <sheetData>
    <row r="1" spans="1:25">
      <c r="A1" s="345"/>
      <c r="B1" s="345"/>
      <c r="C1" s="345"/>
      <c r="D1" s="345"/>
      <c r="E1" s="345"/>
      <c r="F1" s="345"/>
      <c r="G1" s="345"/>
      <c r="J1" s="345" t="str">
        <f>+'Appendix A'!A3</f>
        <v>Dayton Power and Light</v>
      </c>
      <c r="K1" s="345"/>
      <c r="L1" s="345"/>
      <c r="M1" s="345"/>
      <c r="N1" s="345"/>
      <c r="O1" s="303"/>
      <c r="P1" s="303"/>
    </row>
    <row r="2" spans="1:25">
      <c r="A2" s="347"/>
      <c r="B2" s="345"/>
      <c r="C2" s="345"/>
      <c r="D2" s="345"/>
      <c r="E2" s="345"/>
      <c r="F2" s="345"/>
      <c r="G2" s="345"/>
      <c r="J2" s="345" t="str">
        <f>+'Appendix A'!A4</f>
        <v xml:space="preserve">ATTACHMENT H-15A </v>
      </c>
      <c r="K2" s="345"/>
      <c r="L2" s="345"/>
      <c r="M2" s="345"/>
      <c r="N2" s="345"/>
      <c r="O2" s="303"/>
      <c r="P2" s="303"/>
    </row>
    <row r="3" spans="1:25">
      <c r="A3" s="347"/>
      <c r="B3" s="345"/>
      <c r="C3" s="345"/>
      <c r="D3" s="345"/>
      <c r="E3" s="344"/>
      <c r="F3" s="344"/>
      <c r="G3" s="344"/>
      <c r="H3" s="263"/>
      <c r="I3" s="263"/>
      <c r="J3" s="344" t="s">
        <v>1003</v>
      </c>
      <c r="K3" s="344"/>
      <c r="L3" s="344"/>
      <c r="M3" s="344"/>
      <c r="N3" s="344"/>
      <c r="O3" s="232"/>
      <c r="P3" s="303"/>
      <c r="Y3" s="342"/>
    </row>
    <row r="4" spans="1:25">
      <c r="A4" s="347"/>
      <c r="B4" s="306" t="s">
        <v>397</v>
      </c>
      <c r="C4" s="231"/>
      <c r="D4" s="345"/>
      <c r="E4" s="345"/>
      <c r="F4" s="345"/>
      <c r="G4" s="345"/>
      <c r="H4" s="345"/>
      <c r="I4" s="345"/>
      <c r="J4" s="345"/>
      <c r="K4" s="345"/>
      <c r="L4" s="345"/>
      <c r="M4" s="345"/>
      <c r="N4" s="345"/>
      <c r="O4" s="345"/>
      <c r="P4" s="345"/>
    </row>
    <row r="5" spans="1:25">
      <c r="A5" s="347"/>
      <c r="B5" s="32"/>
      <c r="C5" s="231"/>
      <c r="D5" s="347"/>
      <c r="E5" s="347"/>
      <c r="J5" s="303"/>
      <c r="K5" s="303"/>
      <c r="L5" s="303"/>
      <c r="M5" s="303"/>
      <c r="N5" s="303"/>
      <c r="O5" s="303"/>
      <c r="P5" s="303"/>
    </row>
    <row r="6" spans="1:25">
      <c r="A6" s="347"/>
      <c r="B6" s="387" t="s">
        <v>718</v>
      </c>
      <c r="D6" s="347"/>
      <c r="J6" s="303"/>
      <c r="K6" s="277"/>
      <c r="N6" s="303"/>
      <c r="O6" s="303"/>
      <c r="P6" s="303"/>
    </row>
    <row r="7" spans="1:25">
      <c r="G7" s="347" t="s">
        <v>719</v>
      </c>
      <c r="I7" s="347" t="s">
        <v>720</v>
      </c>
      <c r="K7" s="347" t="s">
        <v>721</v>
      </c>
      <c r="M7" s="347" t="s">
        <v>722</v>
      </c>
      <c r="O7" s="347" t="s">
        <v>723</v>
      </c>
      <c r="Q7" s="347" t="s">
        <v>724</v>
      </c>
      <c r="S7" s="347" t="s">
        <v>725</v>
      </c>
      <c r="U7" s="347" t="s">
        <v>726</v>
      </c>
      <c r="W7" s="347" t="s">
        <v>727</v>
      </c>
      <c r="Y7" s="347" t="s">
        <v>728</v>
      </c>
    </row>
    <row r="8" spans="1:25">
      <c r="A8" s="234" t="s">
        <v>715</v>
      </c>
      <c r="E8" s="233" t="s">
        <v>67</v>
      </c>
      <c r="G8" s="53" t="s">
        <v>729</v>
      </c>
      <c r="I8" s="53" t="s">
        <v>729</v>
      </c>
      <c r="K8" s="53" t="s">
        <v>729</v>
      </c>
      <c r="M8" s="53" t="s">
        <v>729</v>
      </c>
      <c r="O8" s="53" t="s">
        <v>729</v>
      </c>
      <c r="Q8" s="53" t="s">
        <v>729</v>
      </c>
      <c r="S8" s="53" t="s">
        <v>729</v>
      </c>
      <c r="U8" s="53" t="s">
        <v>729</v>
      </c>
      <c r="W8" s="53" t="s">
        <v>729</v>
      </c>
      <c r="Y8" s="53" t="s">
        <v>729</v>
      </c>
    </row>
    <row r="10" spans="1:25">
      <c r="A10" s="306">
        <v>1</v>
      </c>
      <c r="B10" s="306" t="s">
        <v>22</v>
      </c>
      <c r="C10" s="351" t="str">
        <f>"(Attachment 4, Line "&amp;'4 - Cost Support'!A243&amp;" etc.)"</f>
        <v>(Attachment 4, Line 88 etc.)</v>
      </c>
      <c r="E10" s="121"/>
      <c r="F10" s="121"/>
      <c r="G10" s="351">
        <f>+'4 - Cost Support'!T243</f>
        <v>0</v>
      </c>
      <c r="H10" s="351"/>
      <c r="I10" s="351">
        <f>+'4 - Cost Support'!T248</f>
        <v>0</v>
      </c>
      <c r="J10" s="351"/>
      <c r="K10" s="351">
        <f>+'4 - Cost Support'!T253</f>
        <v>0</v>
      </c>
      <c r="L10" s="351"/>
      <c r="M10" s="351">
        <f>+'4 - Cost Support'!T258</f>
        <v>0</v>
      </c>
      <c r="N10" s="351"/>
      <c r="O10" s="351">
        <f>+'4 - Cost Support'!T263</f>
        <v>0</v>
      </c>
      <c r="P10" s="351"/>
      <c r="Q10" s="351">
        <f>+'4 - Cost Support'!T268</f>
        <v>0</v>
      </c>
      <c r="R10" s="351"/>
      <c r="S10" s="351">
        <f>+'4 - Cost Support'!T273</f>
        <v>0</v>
      </c>
      <c r="T10" s="351"/>
      <c r="U10" s="351">
        <f>+'4 - Cost Support'!T278</f>
        <v>0</v>
      </c>
      <c r="V10" s="351"/>
      <c r="W10" s="351">
        <f>+'4 - Cost Support'!T283</f>
        <v>0</v>
      </c>
      <c r="X10" s="351"/>
      <c r="Y10" s="351">
        <f>+'4 - Cost Support'!T288</f>
        <v>0</v>
      </c>
    </row>
    <row r="11" spans="1:25">
      <c r="A11" s="306">
        <f>+A10+1</f>
        <v>2</v>
      </c>
      <c r="B11" s="306" t="s">
        <v>31</v>
      </c>
      <c r="C11" s="351" t="str">
        <f>"(Attachment 4, Line "&amp;'4 - Cost Support'!A244&amp;" etc.)"</f>
        <v>(Attachment 4, Line 89 etc.)</v>
      </c>
      <c r="E11" s="121"/>
      <c r="F11" s="121"/>
      <c r="G11" s="354">
        <f>+'4 - Cost Support'!T244</f>
        <v>0</v>
      </c>
      <c r="H11" s="354"/>
      <c r="I11" s="354">
        <f>+'4 - Cost Support'!T249</f>
        <v>0</v>
      </c>
      <c r="J11" s="354"/>
      <c r="K11" s="354">
        <f>+'4 - Cost Support'!T254</f>
        <v>0</v>
      </c>
      <c r="L11" s="354"/>
      <c r="M11" s="354">
        <f>+'4 - Cost Support'!T259</f>
        <v>0</v>
      </c>
      <c r="N11" s="354"/>
      <c r="O11" s="354">
        <f>+'4 - Cost Support'!T264</f>
        <v>0</v>
      </c>
      <c r="P11" s="354"/>
      <c r="Q11" s="354">
        <f>+'4 - Cost Support'!T269</f>
        <v>0</v>
      </c>
      <c r="R11" s="354"/>
      <c r="S11" s="354">
        <f>+'4 - Cost Support'!T274</f>
        <v>0</v>
      </c>
      <c r="T11" s="354"/>
      <c r="U11" s="354">
        <f>+'4 - Cost Support'!T279</f>
        <v>0</v>
      </c>
      <c r="V11" s="354"/>
      <c r="W11" s="354">
        <f>+'4 - Cost Support'!T284</f>
        <v>0</v>
      </c>
      <c r="X11" s="354"/>
      <c r="Y11" s="354">
        <f>+'4 - Cost Support'!T289</f>
        <v>0</v>
      </c>
    </row>
    <row r="12" spans="1:25">
      <c r="A12" s="306">
        <f>+A11+1</f>
        <v>3</v>
      </c>
      <c r="B12" s="306" t="s">
        <v>16</v>
      </c>
      <c r="C12" s="306" t="str">
        <f>"(Line "&amp;A10&amp;" + Line "&amp;A11&amp;")"</f>
        <v>(Line 1 + Line 2)</v>
      </c>
      <c r="E12" s="121"/>
      <c r="F12" s="121"/>
      <c r="G12" s="351">
        <f>+G10-G11</f>
        <v>0</v>
      </c>
      <c r="H12" s="351"/>
      <c r="I12" s="351">
        <f>+I10-I11</f>
        <v>0</v>
      </c>
      <c r="J12" s="351"/>
      <c r="K12" s="351">
        <f>+K10-K11</f>
        <v>0</v>
      </c>
      <c r="L12" s="351"/>
      <c r="M12" s="351">
        <f>+M10-M11</f>
        <v>0</v>
      </c>
      <c r="N12" s="351"/>
      <c r="O12" s="351">
        <f>+O10-O11</f>
        <v>0</v>
      </c>
      <c r="P12" s="351"/>
      <c r="Q12" s="351">
        <f>+Q10-Q11</f>
        <v>0</v>
      </c>
      <c r="R12" s="351"/>
      <c r="S12" s="351">
        <f>+S10-S11</f>
        <v>0</v>
      </c>
      <c r="T12" s="351"/>
      <c r="U12" s="351">
        <f>+U10-U11</f>
        <v>0</v>
      </c>
      <c r="V12" s="351"/>
      <c r="W12" s="351">
        <f>+W10-W11</f>
        <v>0</v>
      </c>
      <c r="X12" s="351"/>
      <c r="Y12" s="351">
        <f>+Y10-Y11</f>
        <v>0</v>
      </c>
    </row>
    <row r="13" spans="1:25">
      <c r="A13" s="306">
        <f t="shared" ref="A13:A18" si="0">+A12+1</f>
        <v>4</v>
      </c>
      <c r="B13" s="306" t="s">
        <v>41</v>
      </c>
      <c r="C13" s="351" t="str">
        <f>"(Attachment 4, Line "&amp;'4 - Cost Support'!A245&amp;" etc.)"</f>
        <v>(Attachment 4, Line 90 etc.)</v>
      </c>
      <c r="E13" s="121"/>
      <c r="F13" s="121"/>
      <c r="G13" s="354">
        <f>+'4 - Cost Support'!T245</f>
        <v>0</v>
      </c>
      <c r="H13" s="354"/>
      <c r="I13" s="354">
        <f>+'4 - Cost Support'!T250</f>
        <v>0</v>
      </c>
      <c r="J13" s="354"/>
      <c r="K13" s="354">
        <f>+'4 - Cost Support'!T255</f>
        <v>0</v>
      </c>
      <c r="L13" s="354"/>
      <c r="M13" s="354">
        <f>+'4 - Cost Support'!T260</f>
        <v>0</v>
      </c>
      <c r="N13" s="354"/>
      <c r="O13" s="354">
        <f>+'4 - Cost Support'!T265</f>
        <v>0</v>
      </c>
      <c r="P13" s="354"/>
      <c r="Q13" s="354">
        <f>+'4 - Cost Support'!T270</f>
        <v>0</v>
      </c>
      <c r="R13" s="354"/>
      <c r="S13" s="354">
        <f>+'4 - Cost Support'!T275</f>
        <v>0</v>
      </c>
      <c r="T13" s="354"/>
      <c r="U13" s="354">
        <f>+'4 - Cost Support'!T280</f>
        <v>0</v>
      </c>
      <c r="V13" s="354"/>
      <c r="W13" s="354">
        <f>+'4 - Cost Support'!T285</f>
        <v>0</v>
      </c>
      <c r="X13" s="354"/>
      <c r="Y13" s="354">
        <f>+'4 - Cost Support'!T290</f>
        <v>0</v>
      </c>
    </row>
    <row r="14" spans="1:25">
      <c r="A14" s="306">
        <f t="shared" si="0"/>
        <v>5</v>
      </c>
      <c r="B14" s="306" t="s">
        <v>75</v>
      </c>
      <c r="C14" s="306" t="str">
        <f>"(Line "&amp;A12&amp;" + Line "&amp;A13&amp;")"</f>
        <v>(Line 3 + Line 4)</v>
      </c>
      <c r="E14" s="121"/>
      <c r="F14" s="121"/>
      <c r="G14" s="351">
        <f>+G12-G13</f>
        <v>0</v>
      </c>
      <c r="H14" s="351"/>
      <c r="I14" s="351">
        <f>+I12-I13</f>
        <v>0</v>
      </c>
      <c r="J14" s="351"/>
      <c r="K14" s="351">
        <f>+K12-K13</f>
        <v>0</v>
      </c>
      <c r="L14" s="351"/>
      <c r="M14" s="351">
        <f>+M12-M13</f>
        <v>0</v>
      </c>
      <c r="N14" s="351"/>
      <c r="O14" s="351">
        <f>+O12-O13</f>
        <v>0</v>
      </c>
      <c r="P14" s="351"/>
      <c r="Q14" s="351">
        <f>+Q12-Q13</f>
        <v>0</v>
      </c>
      <c r="R14" s="351"/>
      <c r="S14" s="351">
        <f>+S12-S13</f>
        <v>0</v>
      </c>
      <c r="T14" s="351"/>
      <c r="U14" s="351">
        <f>+U12-U13</f>
        <v>0</v>
      </c>
      <c r="V14" s="351"/>
      <c r="W14" s="351">
        <f>+W12-W13</f>
        <v>0</v>
      </c>
      <c r="X14" s="351"/>
      <c r="Y14" s="351">
        <f>+Y12-Y13</f>
        <v>0</v>
      </c>
    </row>
    <row r="15" spans="1:25">
      <c r="A15" s="306">
        <f t="shared" si="0"/>
        <v>6</v>
      </c>
      <c r="B15" s="306" t="s">
        <v>718</v>
      </c>
      <c r="C15" s="306" t="s">
        <v>730</v>
      </c>
      <c r="G15" s="106">
        <v>0</v>
      </c>
      <c r="H15" s="372"/>
      <c r="I15" s="106">
        <v>0</v>
      </c>
      <c r="J15" s="372"/>
      <c r="K15" s="106">
        <v>0</v>
      </c>
      <c r="L15" s="372"/>
      <c r="M15" s="106">
        <v>0</v>
      </c>
      <c r="N15" s="372"/>
      <c r="O15" s="106">
        <v>0</v>
      </c>
      <c r="P15" s="372"/>
      <c r="Q15" s="106">
        <v>0</v>
      </c>
      <c r="R15" s="372"/>
      <c r="S15" s="106">
        <v>0</v>
      </c>
      <c r="T15" s="372"/>
      <c r="U15" s="106">
        <v>0</v>
      </c>
      <c r="V15" s="372"/>
      <c r="W15" s="106">
        <v>0</v>
      </c>
      <c r="X15" s="372"/>
      <c r="Y15" s="106">
        <v>0</v>
      </c>
    </row>
    <row r="16" spans="1:25">
      <c r="A16" s="306">
        <f t="shared" si="0"/>
        <v>7</v>
      </c>
      <c r="B16" s="306" t="s">
        <v>731</v>
      </c>
      <c r="C16" s="351" t="str">
        <f>"(Appendix A, Line "&amp;'Appendix A'!A197&amp;")"</f>
        <v>(Appendix A, Line 111)</v>
      </c>
      <c r="G16" s="372">
        <f>+'Appendix A'!$H$197</f>
        <v>0.50522761267098282</v>
      </c>
      <c r="H16" s="372"/>
      <c r="I16" s="372">
        <f>+'Appendix A'!$H$197</f>
        <v>0.50522761267098282</v>
      </c>
      <c r="J16" s="372"/>
      <c r="K16" s="372">
        <f>+'Appendix A'!$H$197</f>
        <v>0.50522761267098282</v>
      </c>
      <c r="L16" s="372"/>
      <c r="M16" s="372">
        <f>+'Appendix A'!$H$197</f>
        <v>0.50522761267098282</v>
      </c>
      <c r="N16" s="372"/>
      <c r="O16" s="372">
        <f>+'Appendix A'!$H$197</f>
        <v>0.50522761267098282</v>
      </c>
      <c r="P16" s="372"/>
      <c r="Q16" s="372">
        <f>+'Appendix A'!$H$197</f>
        <v>0.50522761267098282</v>
      </c>
      <c r="R16" s="372"/>
      <c r="S16" s="372">
        <f>+'Appendix A'!$H$197</f>
        <v>0.50522761267098282</v>
      </c>
      <c r="T16" s="372"/>
      <c r="U16" s="372">
        <f>+'Appendix A'!$H$197</f>
        <v>0.50522761267098282</v>
      </c>
      <c r="V16" s="372"/>
      <c r="W16" s="372">
        <f>+'Appendix A'!$H$197</f>
        <v>0.50522761267098282</v>
      </c>
      <c r="X16" s="372"/>
      <c r="Y16" s="372">
        <f>+'Appendix A'!$H$197</f>
        <v>0.50522761267098282</v>
      </c>
    </row>
    <row r="17" spans="1:25">
      <c r="A17" s="306">
        <f t="shared" si="0"/>
        <v>8</v>
      </c>
      <c r="B17" s="306" t="s">
        <v>154</v>
      </c>
      <c r="C17" s="351" t="str">
        <f>"(Appendix A, Line "&amp;'Appendix A'!A217&amp;")"</f>
        <v>(Appendix A, Line 126)</v>
      </c>
      <c r="E17" s="399"/>
      <c r="F17" s="399"/>
      <c r="G17" s="459">
        <f>+'Appendix A'!$H$217</f>
        <v>1.2886315634837897</v>
      </c>
      <c r="H17" s="459"/>
      <c r="I17" s="459">
        <f>+'Appendix A'!$H$217</f>
        <v>1.2886315634837897</v>
      </c>
      <c r="J17" s="459"/>
      <c r="K17" s="459">
        <f>+'Appendix A'!$H$217</f>
        <v>1.2886315634837897</v>
      </c>
      <c r="L17" s="459"/>
      <c r="M17" s="459">
        <f>+'Appendix A'!$H$217</f>
        <v>1.2886315634837897</v>
      </c>
      <c r="N17" s="459"/>
      <c r="O17" s="459">
        <f>+'Appendix A'!$H$217</f>
        <v>1.2886315634837897</v>
      </c>
      <c r="P17" s="459"/>
      <c r="Q17" s="459">
        <f>+'Appendix A'!$H$217</f>
        <v>1.2886315634837897</v>
      </c>
      <c r="R17" s="459"/>
      <c r="S17" s="459">
        <f>+'Appendix A'!$H$217</f>
        <v>1.2886315634837897</v>
      </c>
      <c r="T17" s="459"/>
      <c r="U17" s="459">
        <f>+'Appendix A'!$H$217</f>
        <v>1.2886315634837897</v>
      </c>
      <c r="V17" s="459"/>
      <c r="W17" s="459">
        <f>+'Appendix A'!$H$217</f>
        <v>1.2886315634837897</v>
      </c>
      <c r="X17" s="459"/>
      <c r="Y17" s="459">
        <f>+'Appendix A'!$H$217</f>
        <v>1.2886315634837897</v>
      </c>
    </row>
    <row r="18" spans="1:25" ht="40.5">
      <c r="A18" s="306">
        <f t="shared" si="0"/>
        <v>9</v>
      </c>
      <c r="B18" s="306" t="s">
        <v>732</v>
      </c>
      <c r="C18" s="308" t="str">
        <f>"(Line "&amp;A14&amp;" * Line "&amp;A15&amp;" * Line "&amp;A16&amp;" * Line "&amp;A17&amp;" )"</f>
        <v>(Line 5 * Line 6 * Line 7 * Line 8 )</v>
      </c>
      <c r="E18" s="351">
        <f>+SUM(G18:Y18)</f>
        <v>0</v>
      </c>
      <c r="F18" s="351"/>
      <c r="G18" s="351">
        <f>+G14*G15*G16*G17</f>
        <v>0</v>
      </c>
      <c r="H18" s="351"/>
      <c r="I18" s="351">
        <f>+I14*I15*I16*I17</f>
        <v>0</v>
      </c>
      <c r="J18" s="351"/>
      <c r="K18" s="351">
        <f>+K14*K15*K16*K17</f>
        <v>0</v>
      </c>
      <c r="L18" s="351"/>
      <c r="M18" s="351">
        <f>+M14*M15*M16*M17</f>
        <v>0</v>
      </c>
      <c r="N18" s="351"/>
      <c r="O18" s="351">
        <f>+O14*O15*O16*O17</f>
        <v>0</v>
      </c>
      <c r="P18" s="351"/>
      <c r="Q18" s="351">
        <f>+Q14*Q15*Q16*Q17</f>
        <v>0</v>
      </c>
      <c r="R18" s="351"/>
      <c r="S18" s="351">
        <f>+S14*S15*S16*S17</f>
        <v>0</v>
      </c>
      <c r="T18" s="351"/>
      <c r="U18" s="351">
        <f>+U14*U15*U16*U17</f>
        <v>0</v>
      </c>
      <c r="V18" s="351"/>
      <c r="W18" s="351">
        <f>+W14*W15*W16*W17</f>
        <v>0</v>
      </c>
      <c r="X18" s="351"/>
      <c r="Y18" s="351">
        <f>+Y14*Y15*Y16*Y17</f>
        <v>0</v>
      </c>
    </row>
    <row r="19" spans="1:25">
      <c r="G19" s="372"/>
      <c r="H19" s="372"/>
      <c r="I19" s="372"/>
      <c r="J19" s="372"/>
      <c r="K19" s="372"/>
      <c r="L19" s="372"/>
      <c r="M19" s="372"/>
      <c r="N19" s="372"/>
      <c r="O19" s="372"/>
      <c r="P19" s="372"/>
      <c r="Q19" s="372"/>
      <c r="R19" s="372"/>
      <c r="S19" s="372"/>
      <c r="T19" s="372"/>
      <c r="U19" s="372"/>
      <c r="V19" s="372"/>
      <c r="W19" s="372"/>
      <c r="X19" s="372"/>
      <c r="Y19" s="372"/>
    </row>
    <row r="20" spans="1:25" ht="60.75">
      <c r="B20" s="44" t="s">
        <v>733</v>
      </c>
    </row>
  </sheetData>
  <pageMargins left="0.7" right="0.7" top="0.75" bottom="0.75" header="0.3" footer="0.3"/>
  <pageSetup scale="46" orientation="landscape" r:id="rId1"/>
  <customProperties>
    <customPr name="_pios_id" r:id="rId2"/>
    <customPr name="EpmWorksheetKeyString_GUID" r:id="rId3"/>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36D31-2537-4A9D-8BD6-F2B5E0389026}">
  <sheetPr>
    <tabColor rgb="FF92D050"/>
    <pageSetUpPr fitToPage="1"/>
  </sheetPr>
  <dimension ref="A1:Y101"/>
  <sheetViews>
    <sheetView zoomScale="90" zoomScaleNormal="90" zoomScaleSheetLayoutView="80" workbookViewId="0">
      <selection activeCell="G15" sqref="G15"/>
    </sheetView>
  </sheetViews>
  <sheetFormatPr defaultRowHeight="20.25"/>
  <cols>
    <col min="1" max="1" width="5.5703125" style="306" customWidth="1"/>
    <col min="2" max="2" width="35.5703125" style="306" customWidth="1"/>
    <col min="3" max="3" width="17.140625" style="306" customWidth="1"/>
    <col min="4" max="4" width="11.7109375" style="306" customWidth="1"/>
    <col min="5" max="5" width="15.42578125" style="306" bestFit="1" customWidth="1"/>
    <col min="6" max="6" width="6" style="306" customWidth="1"/>
    <col min="7" max="7" width="23.42578125" style="306" customWidth="1"/>
    <col min="8" max="8" width="4.7109375" style="306" customWidth="1"/>
    <col min="9" max="9" width="22.140625" style="306" bestFit="1" customWidth="1"/>
    <col min="10" max="10" width="4.85546875" style="306" customWidth="1"/>
    <col min="11" max="11" width="14.85546875" style="306" customWidth="1"/>
    <col min="12" max="12" width="4.85546875" style="306" customWidth="1"/>
    <col min="13" max="13" width="13.42578125" style="306" bestFit="1" customWidth="1"/>
    <col min="14" max="14" width="4.5703125" style="306" customWidth="1"/>
    <col min="15" max="15" width="14" style="306" customWidth="1"/>
    <col min="16" max="16" width="4.28515625" style="306" customWidth="1"/>
    <col min="17" max="17" width="14" style="306" customWidth="1"/>
    <col min="18" max="18" width="3.7109375" style="306" customWidth="1"/>
    <col min="19" max="19" width="13.42578125" style="306" customWidth="1"/>
    <col min="20" max="20" width="4.7109375" style="306" customWidth="1"/>
    <col min="21" max="21" width="13.28515625" style="306" customWidth="1"/>
    <col min="22" max="22" width="4.7109375" style="306" customWidth="1"/>
    <col min="23" max="23" width="14" style="306" customWidth="1"/>
    <col min="24" max="24" width="4.5703125" style="306" customWidth="1"/>
    <col min="25" max="25" width="14.28515625" style="306" customWidth="1"/>
    <col min="26" max="16384" width="9.140625" style="306"/>
  </cols>
  <sheetData>
    <row r="1" spans="1:25">
      <c r="K1" s="345" t="str">
        <f>+'7A - Project ROE Adder'!J1</f>
        <v>Dayton Power and Light</v>
      </c>
    </row>
    <row r="2" spans="1:25">
      <c r="K2" s="345" t="str">
        <f>+'7A - Project ROE Adder'!J2</f>
        <v xml:space="preserve">ATTACHMENT H-15A </v>
      </c>
    </row>
    <row r="3" spans="1:25">
      <c r="E3" s="263"/>
      <c r="F3" s="263"/>
      <c r="G3" s="263"/>
      <c r="H3" s="263"/>
      <c r="I3" s="263"/>
      <c r="J3" s="263"/>
      <c r="K3" s="344" t="s">
        <v>1004</v>
      </c>
      <c r="L3" s="263"/>
      <c r="M3" s="263"/>
      <c r="N3" s="263"/>
      <c r="O3" s="263"/>
      <c r="P3" s="263"/>
      <c r="Q3" s="263"/>
      <c r="R3" s="263"/>
      <c r="S3" s="263"/>
      <c r="Y3" s="342"/>
    </row>
    <row r="5" spans="1:25">
      <c r="B5" s="306" t="s">
        <v>397</v>
      </c>
    </row>
    <row r="6" spans="1:25">
      <c r="A6" s="347"/>
      <c r="B6" s="387" t="s">
        <v>734</v>
      </c>
      <c r="D6" s="347"/>
      <c r="J6" s="303"/>
      <c r="K6" s="277"/>
      <c r="N6" s="303"/>
      <c r="O6" s="303"/>
      <c r="P6" s="303"/>
    </row>
    <row r="7" spans="1:25">
      <c r="G7" s="347" t="s">
        <v>719</v>
      </c>
      <c r="I7" s="347" t="s">
        <v>720</v>
      </c>
      <c r="K7" s="347" t="s">
        <v>721</v>
      </c>
      <c r="M7" s="347" t="s">
        <v>722</v>
      </c>
      <c r="O7" s="347" t="s">
        <v>723</v>
      </c>
      <c r="Q7" s="347" t="s">
        <v>724</v>
      </c>
      <c r="S7" s="347" t="s">
        <v>725</v>
      </c>
      <c r="U7" s="347" t="s">
        <v>726</v>
      </c>
      <c r="W7" s="347" t="s">
        <v>727</v>
      </c>
      <c r="Y7" s="347" t="s">
        <v>728</v>
      </c>
    </row>
    <row r="8" spans="1:25" ht="83.25" customHeight="1">
      <c r="A8" s="234" t="s">
        <v>715</v>
      </c>
      <c r="E8" s="233" t="s">
        <v>67</v>
      </c>
      <c r="G8" s="52" t="s">
        <v>735</v>
      </c>
      <c r="I8" s="53" t="s">
        <v>729</v>
      </c>
      <c r="K8" s="53" t="s">
        <v>729</v>
      </c>
      <c r="M8" s="53" t="s">
        <v>729</v>
      </c>
      <c r="O8" s="53" t="s">
        <v>729</v>
      </c>
      <c r="Q8" s="53" t="s">
        <v>729</v>
      </c>
      <c r="S8" s="53" t="s">
        <v>729</v>
      </c>
      <c r="U8" s="53" t="s">
        <v>729</v>
      </c>
      <c r="W8" s="53" t="s">
        <v>729</v>
      </c>
      <c r="Y8" s="53" t="s">
        <v>729</v>
      </c>
    </row>
    <row r="9" spans="1:25">
      <c r="B9" s="306" t="s">
        <v>736</v>
      </c>
      <c r="G9" s="287" t="s">
        <v>737</v>
      </c>
      <c r="I9" s="263"/>
      <c r="K9" s="263"/>
      <c r="M9" s="263"/>
      <c r="O9" s="263"/>
      <c r="Q9" s="263"/>
      <c r="S9" s="263"/>
      <c r="U9" s="263"/>
      <c r="W9" s="263"/>
      <c r="Y9" s="263"/>
    </row>
    <row r="10" spans="1:25">
      <c r="A10" s="306">
        <v>1</v>
      </c>
      <c r="B10" s="306" t="s">
        <v>22</v>
      </c>
      <c r="C10" s="351" t="str">
        <f>"(Attachment 4, Line "&amp;'4 - Cost Support'!A296&amp;" etc.)"</f>
        <v>(Attachment 4, Line 118 etc.)</v>
      </c>
      <c r="E10" s="121"/>
      <c r="F10" s="121"/>
      <c r="G10" s="283">
        <f>+'4 - Cost Support'!T296</f>
        <v>20627031.582307689</v>
      </c>
      <c r="H10" s="351"/>
      <c r="I10" s="351">
        <f>+'4 - Cost Support'!T301</f>
        <v>0</v>
      </c>
      <c r="J10" s="351"/>
      <c r="K10" s="351">
        <f>+'4 - Cost Support'!T306</f>
        <v>0</v>
      </c>
      <c r="L10" s="351"/>
      <c r="M10" s="351">
        <f>+'4 - Cost Support'!T311</f>
        <v>0</v>
      </c>
      <c r="N10" s="351"/>
      <c r="O10" s="351">
        <f>+'4 - Cost Support'!T316</f>
        <v>0</v>
      </c>
      <c r="P10" s="351"/>
      <c r="Q10" s="351">
        <f>+'4 - Cost Support'!T321</f>
        <v>0</v>
      </c>
      <c r="R10" s="351"/>
      <c r="S10" s="351">
        <f>+'4 - Cost Support'!T326</f>
        <v>0</v>
      </c>
      <c r="T10" s="351"/>
      <c r="U10" s="351">
        <f>+'4 - Cost Support'!T331</f>
        <v>0</v>
      </c>
      <c r="V10" s="351"/>
      <c r="W10" s="351">
        <f>+'4 - Cost Support'!T336</f>
        <v>0</v>
      </c>
      <c r="X10" s="351"/>
      <c r="Y10" s="351">
        <f>+'4 - Cost Support'!T341</f>
        <v>0</v>
      </c>
    </row>
    <row r="11" spans="1:25">
      <c r="A11" s="306">
        <f>+A10+1</f>
        <v>2</v>
      </c>
      <c r="B11" s="399" t="s">
        <v>31</v>
      </c>
      <c r="C11" s="354" t="str">
        <f>"(Attachment 4, Line "&amp;'4 - Cost Support'!A297&amp;" etc.)"</f>
        <v>(Attachment 4, Line 119 etc.)</v>
      </c>
      <c r="D11" s="399"/>
      <c r="E11" s="51"/>
      <c r="F11" s="51"/>
      <c r="G11" s="195">
        <f>+'4 - Cost Support'!T297</f>
        <v>306437.61753041664</v>
      </c>
      <c r="H11" s="354"/>
      <c r="I11" s="354">
        <f>+'4 - Cost Support'!T302</f>
        <v>0</v>
      </c>
      <c r="J11" s="354"/>
      <c r="K11" s="354">
        <f>+'4 - Cost Support'!T307</f>
        <v>0</v>
      </c>
      <c r="L11" s="354"/>
      <c r="M11" s="354">
        <f>+'4 - Cost Support'!T312</f>
        <v>0</v>
      </c>
      <c r="N11" s="354"/>
      <c r="O11" s="354">
        <f>+'4 - Cost Support'!T317</f>
        <v>0</v>
      </c>
      <c r="P11" s="354"/>
      <c r="Q11" s="354">
        <f>+'4 - Cost Support'!T322</f>
        <v>0</v>
      </c>
      <c r="R11" s="354"/>
      <c r="S11" s="354">
        <f>+'4 - Cost Support'!T327</f>
        <v>0</v>
      </c>
      <c r="T11" s="354"/>
      <c r="U11" s="354">
        <f>+'4 - Cost Support'!T332</f>
        <v>0</v>
      </c>
      <c r="V11" s="354"/>
      <c r="W11" s="354">
        <f>+'4 - Cost Support'!T337</f>
        <v>0</v>
      </c>
      <c r="X11" s="354"/>
      <c r="Y11" s="354">
        <f>+'4 - Cost Support'!T342</f>
        <v>0</v>
      </c>
    </row>
    <row r="12" spans="1:25">
      <c r="A12" s="306">
        <f>+A11+1</f>
        <v>3</v>
      </c>
      <c r="B12" s="306" t="s">
        <v>16</v>
      </c>
      <c r="C12" s="306" t="str">
        <f>"(Line "&amp;A10&amp;" + "&amp;A11&amp;")"</f>
        <v>(Line 1 + 2)</v>
      </c>
      <c r="E12" s="121"/>
      <c r="F12" s="121"/>
      <c r="G12" s="351">
        <f>+G10-G11</f>
        <v>20320593.964777272</v>
      </c>
      <c r="H12" s="351"/>
      <c r="I12" s="351">
        <f>+I10-I11</f>
        <v>0</v>
      </c>
      <c r="J12" s="351"/>
      <c r="K12" s="351">
        <f>+K10-K11</f>
        <v>0</v>
      </c>
      <c r="L12" s="351"/>
      <c r="M12" s="351">
        <f>+M10-M11</f>
        <v>0</v>
      </c>
      <c r="N12" s="351"/>
      <c r="O12" s="351">
        <f>+O10-O11</f>
        <v>0</v>
      </c>
      <c r="P12" s="351"/>
      <c r="Q12" s="351">
        <f>+Q10-Q11</f>
        <v>0</v>
      </c>
      <c r="R12" s="351"/>
      <c r="S12" s="351">
        <f>+S10-S11</f>
        <v>0</v>
      </c>
      <c r="T12" s="351"/>
      <c r="U12" s="351">
        <f>+U10-U11</f>
        <v>0</v>
      </c>
      <c r="V12" s="351"/>
      <c r="W12" s="351">
        <f>+W10-W11</f>
        <v>0</v>
      </c>
      <c r="X12" s="351"/>
      <c r="Y12" s="351">
        <f>+Y10-Y11</f>
        <v>0</v>
      </c>
    </row>
    <row r="14" spans="1:25" ht="40.5">
      <c r="A14" s="306">
        <f>+A12+1</f>
        <v>4</v>
      </c>
      <c r="B14" s="50" t="s">
        <v>738</v>
      </c>
      <c r="C14" s="354" t="str">
        <f>"(Appendix A, Line "&amp;'Appendix A'!A275&amp;")"</f>
        <v>(Appendix A, Line 163)</v>
      </c>
      <c r="D14" s="399"/>
      <c r="E14" s="399"/>
      <c r="F14" s="399"/>
      <c r="G14" s="49">
        <f>+'Appendix A'!$H$275</f>
        <v>0.16296452923433596</v>
      </c>
      <c r="H14" s="49"/>
      <c r="I14" s="49">
        <f>+'Appendix A'!$H$275</f>
        <v>0.16296452923433596</v>
      </c>
      <c r="J14" s="49"/>
      <c r="K14" s="49">
        <f>+'Appendix A'!$H$275</f>
        <v>0.16296452923433596</v>
      </c>
      <c r="L14" s="49"/>
      <c r="M14" s="49">
        <f>+'Appendix A'!$H$275</f>
        <v>0.16296452923433596</v>
      </c>
      <c r="N14" s="49"/>
      <c r="O14" s="49">
        <f>+'Appendix A'!$H$275</f>
        <v>0.16296452923433596</v>
      </c>
      <c r="P14" s="49"/>
      <c r="Q14" s="49">
        <f>+'Appendix A'!$H$275</f>
        <v>0.16296452923433596</v>
      </c>
      <c r="R14" s="49"/>
      <c r="S14" s="49">
        <f>+'Appendix A'!$H$275</f>
        <v>0.16296452923433596</v>
      </c>
      <c r="T14" s="49"/>
      <c r="U14" s="49">
        <f>+'Appendix A'!$H$275</f>
        <v>0.16296452923433596</v>
      </c>
      <c r="V14" s="49"/>
      <c r="W14" s="49">
        <f>+'Appendix A'!$H$275</f>
        <v>0.16296452923433596</v>
      </c>
      <c r="X14" s="49"/>
      <c r="Y14" s="49">
        <f>+'Appendix A'!$H$275</f>
        <v>0.16296452923433596</v>
      </c>
    </row>
    <row r="15" spans="1:25" ht="60.75">
      <c r="A15" s="306">
        <f>+A14+1</f>
        <v>5</v>
      </c>
      <c r="B15" s="308" t="s">
        <v>739</v>
      </c>
      <c r="C15" s="306" t="str">
        <f>"(Line "&amp;A12&amp;" * Line "&amp;A14&amp;")"</f>
        <v>(Line 3 * Line 4)</v>
      </c>
      <c r="E15" s="351"/>
      <c r="F15" s="351"/>
      <c r="G15" s="351">
        <f>+G12*G14</f>
        <v>3311536.0292320168</v>
      </c>
      <c r="H15" s="351"/>
      <c r="I15" s="351">
        <f>+I12*I14</f>
        <v>0</v>
      </c>
      <c r="J15" s="351"/>
      <c r="K15" s="351">
        <f>+K12*K14</f>
        <v>0</v>
      </c>
      <c r="L15" s="351"/>
      <c r="M15" s="351">
        <f>+M12*M14</f>
        <v>0</v>
      </c>
      <c r="N15" s="351"/>
      <c r="O15" s="351">
        <f>+O12*O14</f>
        <v>0</v>
      </c>
      <c r="P15" s="351"/>
      <c r="Q15" s="351">
        <f>+Q12*Q14</f>
        <v>0</v>
      </c>
      <c r="R15" s="351"/>
      <c r="S15" s="351">
        <f>+S12*S14</f>
        <v>0</v>
      </c>
      <c r="T15" s="351"/>
      <c r="U15" s="351">
        <f>+U12*U14</f>
        <v>0</v>
      </c>
      <c r="V15" s="351"/>
      <c r="W15" s="351">
        <f>+W12*W14</f>
        <v>0</v>
      </c>
      <c r="X15" s="351"/>
      <c r="Y15" s="351">
        <f>+Y12*Y14</f>
        <v>0</v>
      </c>
    </row>
    <row r="16" spans="1:25">
      <c r="A16" s="306">
        <f>+A15+1</f>
        <v>6</v>
      </c>
      <c r="B16" s="306" t="s">
        <v>671</v>
      </c>
      <c r="C16" s="351" t="str">
        <f>"(Attachment 4, Line "&amp;'4 - Cost Support'!A298&amp;" etc.)"</f>
        <v>(Attachment 4, Line 120 etc.)</v>
      </c>
      <c r="E16" s="351"/>
      <c r="F16" s="351"/>
      <c r="G16" s="283">
        <f>+'4 - Cost Support'!T298</f>
        <v>369945.29228429659</v>
      </c>
      <c r="H16" s="351"/>
      <c r="I16" s="351">
        <f>+'4 - Cost Support'!T303</f>
        <v>0</v>
      </c>
      <c r="J16" s="351"/>
      <c r="K16" s="351">
        <f>+'4 - Cost Support'!T308</f>
        <v>0</v>
      </c>
      <c r="L16" s="351"/>
      <c r="M16" s="351">
        <f>+'4 - Cost Support'!T313</f>
        <v>0</v>
      </c>
      <c r="N16" s="351"/>
      <c r="O16" s="351">
        <f>+'4 - Cost Support'!T318</f>
        <v>0</v>
      </c>
      <c r="P16" s="351"/>
      <c r="Q16" s="351">
        <f>+'4 - Cost Support'!T323</f>
        <v>0</v>
      </c>
      <c r="R16" s="351"/>
      <c r="S16" s="351">
        <f>+'4 - Cost Support'!T328</f>
        <v>0</v>
      </c>
      <c r="T16" s="351"/>
      <c r="U16" s="351">
        <f>+'4 - Cost Support'!T333</f>
        <v>0</v>
      </c>
      <c r="V16" s="351"/>
      <c r="W16" s="351">
        <f>+'4 - Cost Support'!T338</f>
        <v>0</v>
      </c>
      <c r="X16" s="351"/>
      <c r="Y16" s="351">
        <f>+'4 - Cost Support'!T343</f>
        <v>0</v>
      </c>
    </row>
    <row r="17" spans="1:25">
      <c r="A17" s="306">
        <f>+A16+1</f>
        <v>7</v>
      </c>
      <c r="B17" s="399" t="s">
        <v>740</v>
      </c>
      <c r="C17" s="399" t="s">
        <v>741</v>
      </c>
      <c r="D17" s="399"/>
      <c r="E17" s="354"/>
      <c r="F17" s="354"/>
      <c r="G17" s="195">
        <v>0</v>
      </c>
      <c r="H17" s="354"/>
      <c r="I17" s="195">
        <v>0</v>
      </c>
      <c r="J17" s="354"/>
      <c r="K17" s="195">
        <v>0</v>
      </c>
      <c r="L17" s="354"/>
      <c r="M17" s="195">
        <v>0</v>
      </c>
      <c r="N17" s="354"/>
      <c r="O17" s="195">
        <v>0</v>
      </c>
      <c r="P17" s="354"/>
      <c r="Q17" s="195">
        <v>0</v>
      </c>
      <c r="R17" s="354"/>
      <c r="S17" s="195">
        <v>0</v>
      </c>
      <c r="T17" s="354"/>
      <c r="U17" s="195">
        <v>0</v>
      </c>
      <c r="V17" s="354"/>
      <c r="W17" s="195">
        <v>0</v>
      </c>
      <c r="X17" s="354"/>
      <c r="Y17" s="195">
        <v>0</v>
      </c>
    </row>
    <row r="18" spans="1:25">
      <c r="E18" s="351"/>
      <c r="F18" s="351"/>
      <c r="G18" s="351"/>
      <c r="H18" s="351"/>
      <c r="I18" s="351"/>
      <c r="J18" s="351"/>
      <c r="K18" s="351"/>
      <c r="L18" s="351"/>
      <c r="M18" s="351"/>
      <c r="N18" s="351"/>
      <c r="O18" s="351"/>
      <c r="P18" s="351"/>
      <c r="Q18" s="351"/>
      <c r="R18" s="351"/>
      <c r="S18" s="351"/>
      <c r="T18" s="351"/>
      <c r="U18" s="351"/>
      <c r="V18" s="351"/>
      <c r="W18" s="351"/>
      <c r="X18" s="351"/>
      <c r="Y18" s="351"/>
    </row>
    <row r="19" spans="1:25">
      <c r="A19" s="306">
        <f>+A17+1</f>
        <v>8</v>
      </c>
      <c r="B19" s="306" t="s">
        <v>742</v>
      </c>
      <c r="C19" s="306" t="str">
        <f>"(Line "&amp;A15&amp;" + Line "&amp;A16&amp;" + Line "&amp;A17&amp;")"</f>
        <v>(Line 5 + Line 6 + Line 7)</v>
      </c>
      <c r="E19" s="430">
        <f>+SUM(G19:Y19)</f>
        <v>3681481.3215163136</v>
      </c>
      <c r="F19" s="351"/>
      <c r="G19" s="351">
        <f>+G15+G16+ G17</f>
        <v>3681481.3215163136</v>
      </c>
      <c r="H19" s="351"/>
      <c r="I19" s="351">
        <f>+I15+I16+ I17</f>
        <v>0</v>
      </c>
      <c r="J19" s="351"/>
      <c r="K19" s="351">
        <f>+K15+K16+ K17</f>
        <v>0</v>
      </c>
      <c r="L19" s="351"/>
      <c r="M19" s="351">
        <f>+M15+M16+ M17</f>
        <v>0</v>
      </c>
      <c r="N19" s="351"/>
      <c r="O19" s="351">
        <f>+O15+O16+ O17</f>
        <v>0</v>
      </c>
      <c r="P19" s="351"/>
      <c r="Q19" s="351">
        <f>+Q15+Q16+ Q17</f>
        <v>0</v>
      </c>
      <c r="R19" s="351"/>
      <c r="S19" s="351">
        <f>+S15+S16+ S17</f>
        <v>0</v>
      </c>
      <c r="T19" s="351"/>
      <c r="U19" s="351">
        <f>+U15+U16+ U17</f>
        <v>0</v>
      </c>
      <c r="V19" s="351"/>
      <c r="W19" s="351">
        <f>+W15+W16+ W17</f>
        <v>0</v>
      </c>
      <c r="X19" s="351"/>
      <c r="Y19" s="351">
        <f>+Y15+Y16+ Y17</f>
        <v>0</v>
      </c>
    </row>
    <row r="20" spans="1:25">
      <c r="E20" s="351"/>
      <c r="F20" s="351"/>
      <c r="G20" s="351"/>
      <c r="H20" s="351"/>
      <c r="I20" s="351"/>
      <c r="J20" s="351"/>
      <c r="K20" s="351"/>
      <c r="L20" s="351"/>
      <c r="M20" s="351"/>
      <c r="N20" s="351"/>
      <c r="O20" s="351"/>
      <c r="P20" s="351"/>
      <c r="Q20" s="351"/>
      <c r="R20" s="351"/>
      <c r="S20" s="351"/>
      <c r="T20" s="351"/>
      <c r="U20" s="351"/>
      <c r="V20" s="351"/>
      <c r="W20" s="351"/>
      <c r="X20" s="351"/>
      <c r="Y20" s="351"/>
    </row>
    <row r="21" spans="1:25" ht="81">
      <c r="A21" s="306">
        <f>+A19+1</f>
        <v>9</v>
      </c>
      <c r="B21" s="638" t="s">
        <v>960</v>
      </c>
      <c r="C21" s="631" t="str">
        <f>"(Attachment 6B, Line "&amp;'6B - Schedule 12 True-Up'!B40&amp;") and below"</f>
        <v>(Attachment 6B, Line E) and below</v>
      </c>
      <c r="E21" s="640">
        <f>+G21+I21</f>
        <v>0</v>
      </c>
      <c r="F21" s="351"/>
      <c r="G21" s="640">
        <v>0</v>
      </c>
      <c r="H21" s="351"/>
      <c r="I21" s="640">
        <f>+I39</f>
        <v>0</v>
      </c>
      <c r="J21" s="351"/>
      <c r="K21" s="354">
        <f>+K19/$E$19*$E$21</f>
        <v>0</v>
      </c>
      <c r="L21" s="351"/>
      <c r="M21" s="354">
        <f>+M19/$E$19*$E$21</f>
        <v>0</v>
      </c>
      <c r="N21" s="351"/>
      <c r="O21" s="354">
        <f>+O19/$E$19*$E$21</f>
        <v>0</v>
      </c>
      <c r="P21" s="351"/>
      <c r="Q21" s="354">
        <f>+Q19/$E$19*$E$21</f>
        <v>0</v>
      </c>
      <c r="R21" s="351"/>
      <c r="S21" s="354">
        <f>+S19/$E$19*$E$21</f>
        <v>0</v>
      </c>
      <c r="T21" s="351"/>
      <c r="U21" s="354">
        <f>+U19/$E$19*$E$21</f>
        <v>0</v>
      </c>
      <c r="V21" s="351"/>
      <c r="W21" s="354">
        <f>+W19/$E$19*$E$21</f>
        <v>0</v>
      </c>
      <c r="X21" s="351"/>
      <c r="Y21" s="354">
        <f>+Y19/$E$19*$E$21</f>
        <v>0</v>
      </c>
    </row>
    <row r="22" spans="1:25" ht="21" thickBot="1">
      <c r="B22" s="306" t="s">
        <v>743</v>
      </c>
      <c r="E22" s="351"/>
      <c r="F22" s="351"/>
      <c r="G22" s="351"/>
      <c r="H22" s="351"/>
      <c r="I22" s="351"/>
      <c r="J22" s="351"/>
      <c r="K22" s="351"/>
      <c r="L22" s="351"/>
      <c r="M22" s="351"/>
      <c r="N22" s="351"/>
      <c r="O22" s="351"/>
      <c r="P22" s="351"/>
      <c r="Q22" s="351"/>
      <c r="R22" s="351"/>
      <c r="S22" s="351"/>
      <c r="T22" s="351"/>
      <c r="U22" s="351"/>
      <c r="V22" s="351"/>
      <c r="W22" s="351"/>
      <c r="X22" s="351"/>
      <c r="Y22" s="351"/>
    </row>
    <row r="23" spans="1:25" ht="21" thickBot="1">
      <c r="A23" s="306">
        <f>+A21+1</f>
        <v>10</v>
      </c>
      <c r="B23" s="306" t="s">
        <v>744</v>
      </c>
      <c r="C23" s="306" t="str">
        <f>"(Line "&amp;A19&amp;" + Line "&amp;A21&amp;")"</f>
        <v>(Line 8 + Line 9)</v>
      </c>
      <c r="E23" s="430">
        <f>+E19+E21</f>
        <v>3681481.3215163136</v>
      </c>
      <c r="F23" s="351"/>
      <c r="G23" s="48">
        <f>+G19+G21</f>
        <v>3681481.3215163136</v>
      </c>
      <c r="H23" s="47"/>
      <c r="I23" s="46">
        <f>+I19+I21</f>
        <v>0</v>
      </c>
      <c r="J23" s="351"/>
      <c r="K23" s="351">
        <f>+K19+K21</f>
        <v>0</v>
      </c>
      <c r="L23" s="351"/>
      <c r="M23" s="351">
        <f>+M19+M21</f>
        <v>0</v>
      </c>
      <c r="N23" s="351"/>
      <c r="O23" s="351">
        <f>+O19+O21</f>
        <v>0</v>
      </c>
      <c r="P23" s="351"/>
      <c r="Q23" s="351">
        <f>+Q19+Q21</f>
        <v>0</v>
      </c>
      <c r="R23" s="351"/>
      <c r="S23" s="351">
        <f>+S19+S21</f>
        <v>0</v>
      </c>
      <c r="T23" s="351"/>
      <c r="U23" s="351">
        <f>+U19+U21</f>
        <v>0</v>
      </c>
      <c r="V23" s="351"/>
      <c r="W23" s="351">
        <f>+W19+W21</f>
        <v>0</v>
      </c>
      <c r="X23" s="351"/>
      <c r="Y23" s="351">
        <f>+Y19+Y21</f>
        <v>0</v>
      </c>
    </row>
    <row r="24" spans="1:25">
      <c r="B24" s="306" t="s">
        <v>745</v>
      </c>
    </row>
    <row r="26" spans="1:25">
      <c r="A26" s="306">
        <f>+A23+1</f>
        <v>11</v>
      </c>
      <c r="B26" s="306" t="s">
        <v>746</v>
      </c>
      <c r="G26" s="45">
        <v>9.9299999999999999E-2</v>
      </c>
      <c r="H26" s="372"/>
      <c r="I26" s="45">
        <v>1</v>
      </c>
      <c r="J26" s="372"/>
      <c r="K26" s="45">
        <v>0</v>
      </c>
      <c r="L26" s="372"/>
      <c r="M26" s="45">
        <v>0</v>
      </c>
      <c r="N26" s="372"/>
      <c r="O26" s="45">
        <v>0</v>
      </c>
      <c r="P26" s="372"/>
      <c r="Q26" s="45">
        <v>0</v>
      </c>
      <c r="R26" s="372"/>
      <c r="S26" s="45">
        <v>0</v>
      </c>
      <c r="T26" s="372"/>
      <c r="U26" s="45">
        <v>0</v>
      </c>
      <c r="V26" s="372"/>
      <c r="W26" s="45">
        <v>0</v>
      </c>
      <c r="X26" s="372"/>
      <c r="Y26" s="45">
        <v>0</v>
      </c>
    </row>
    <row r="28" spans="1:25">
      <c r="A28" s="306">
        <f>+A26+1</f>
        <v>12</v>
      </c>
      <c r="B28" s="306" t="s">
        <v>747</v>
      </c>
      <c r="C28" s="306" t="str">
        <f>"(Line "&amp;A23&amp;" * Line "&amp;A26&amp;")"</f>
        <v>(Line 10 * Line 11)</v>
      </c>
      <c r="E28" s="430">
        <f>+SUM(G28:Y28)</f>
        <v>365571.09522656992</v>
      </c>
      <c r="G28" s="303">
        <f>+G23*G26</f>
        <v>365571.09522656992</v>
      </c>
      <c r="H28" s="303"/>
      <c r="I28" s="303">
        <f>+I23*I26</f>
        <v>0</v>
      </c>
      <c r="J28" s="303"/>
      <c r="K28" s="303">
        <f>+K23*K26</f>
        <v>0</v>
      </c>
      <c r="L28" s="303"/>
      <c r="M28" s="303">
        <f>+M23*M26</f>
        <v>0</v>
      </c>
      <c r="N28" s="303"/>
      <c r="O28" s="303">
        <f>+O23*O26</f>
        <v>0</v>
      </c>
      <c r="P28" s="303"/>
      <c r="Q28" s="303">
        <f>+Q23*Q26</f>
        <v>0</v>
      </c>
      <c r="R28" s="303"/>
      <c r="S28" s="303">
        <f>+S23*S26</f>
        <v>0</v>
      </c>
      <c r="T28" s="303"/>
      <c r="U28" s="303">
        <f>+U23*U26</f>
        <v>0</v>
      </c>
      <c r="V28" s="303"/>
      <c r="W28" s="303">
        <f>+W23*W26</f>
        <v>0</v>
      </c>
      <c r="X28" s="303"/>
      <c r="Y28" s="303">
        <f>+Y23*Y26</f>
        <v>0</v>
      </c>
    </row>
    <row r="29" spans="1:25" ht="60.75">
      <c r="G29" s="308" t="s">
        <v>962</v>
      </c>
      <c r="I29" s="308" t="s">
        <v>961</v>
      </c>
    </row>
    <row r="32" spans="1:25">
      <c r="B32" s="306" t="s">
        <v>748</v>
      </c>
    </row>
    <row r="33" spans="1:15">
      <c r="G33" s="534"/>
      <c r="H33" s="534"/>
      <c r="I33" s="635">
        <v>2020</v>
      </c>
      <c r="J33" s="635"/>
      <c r="K33" s="635">
        <v>2021</v>
      </c>
      <c r="L33" s="534"/>
      <c r="M33" s="635" t="s">
        <v>67</v>
      </c>
      <c r="N33" s="534"/>
      <c r="O33" s="534"/>
    </row>
    <row r="34" spans="1:15">
      <c r="A34" s="534">
        <f>+A28+1</f>
        <v>13</v>
      </c>
      <c r="G34" s="534" t="s">
        <v>193</v>
      </c>
      <c r="H34" s="534"/>
      <c r="I34" s="627">
        <v>0</v>
      </c>
      <c r="J34" s="534"/>
      <c r="K34" s="627">
        <v>0</v>
      </c>
      <c r="L34" s="534"/>
      <c r="M34" s="627">
        <f>+I34+K34</f>
        <v>0</v>
      </c>
      <c r="N34" s="534"/>
      <c r="O34" s="534"/>
    </row>
    <row r="35" spans="1:15">
      <c r="A35" s="534">
        <f>+A34+1</f>
        <v>14</v>
      </c>
      <c r="G35" s="534"/>
      <c r="H35" s="534"/>
      <c r="I35" s="534" t="s">
        <v>956</v>
      </c>
      <c r="J35" s="534"/>
      <c r="K35" s="636">
        <v>1</v>
      </c>
      <c r="L35" s="534"/>
      <c r="M35" s="636"/>
      <c r="N35" s="534"/>
      <c r="O35" s="534"/>
    </row>
    <row r="36" spans="1:15">
      <c r="A36" s="534">
        <f t="shared" ref="A36:A39" si="0">+A35+1</f>
        <v>15</v>
      </c>
      <c r="G36" s="534" t="s">
        <v>702</v>
      </c>
      <c r="H36" s="534"/>
      <c r="I36" s="637">
        <f>+I99</f>
        <v>0</v>
      </c>
      <c r="J36" s="534"/>
      <c r="K36" s="637">
        <f>+I100</f>
        <v>0</v>
      </c>
      <c r="L36" s="534"/>
      <c r="M36" s="534"/>
      <c r="N36" s="534"/>
      <c r="O36" s="534"/>
    </row>
    <row r="37" spans="1:15" ht="60.75">
      <c r="A37" s="534">
        <f t="shared" si="0"/>
        <v>16</v>
      </c>
      <c r="G37" s="638" t="s">
        <v>957</v>
      </c>
      <c r="H37" s="534"/>
      <c r="I37" s="630">
        <f>+'11 - Corrections'!F26</f>
        <v>46</v>
      </c>
      <c r="J37" s="534"/>
      <c r="K37" s="630">
        <f>+'11 - Corrections'!H26</f>
        <v>36</v>
      </c>
      <c r="L37" s="534"/>
      <c r="M37" s="534"/>
      <c r="N37" s="534"/>
      <c r="O37" s="534"/>
    </row>
    <row r="38" spans="1:15">
      <c r="A38" s="534">
        <f t="shared" si="0"/>
        <v>17</v>
      </c>
      <c r="G38" s="534" t="s">
        <v>958</v>
      </c>
      <c r="H38" s="534"/>
      <c r="I38" s="639">
        <f>+I34*I36*I37</f>
        <v>0</v>
      </c>
      <c r="J38" s="534"/>
      <c r="K38" s="639">
        <f>+K34*K36*K37</f>
        <v>0</v>
      </c>
      <c r="L38" s="534"/>
      <c r="M38" s="639">
        <f>+I38+K38</f>
        <v>0</v>
      </c>
      <c r="N38" s="534"/>
      <c r="O38" s="534"/>
    </row>
    <row r="39" spans="1:15" ht="40.5">
      <c r="A39" s="534">
        <f t="shared" si="0"/>
        <v>18</v>
      </c>
      <c r="G39" s="638" t="s">
        <v>959</v>
      </c>
      <c r="H39" s="534"/>
      <c r="I39" s="627">
        <f>+I34+I38</f>
        <v>0</v>
      </c>
      <c r="J39" s="534"/>
      <c r="K39" s="627">
        <f>+K34+K38</f>
        <v>0</v>
      </c>
      <c r="L39" s="534"/>
      <c r="M39" s="627">
        <f>+I39+K39</f>
        <v>0</v>
      </c>
      <c r="N39" s="534"/>
      <c r="O39" s="534"/>
    </row>
    <row r="42" spans="1:15">
      <c r="G42" s="534" t="s">
        <v>953</v>
      </c>
      <c r="H42" s="263"/>
      <c r="I42" s="263"/>
    </row>
    <row r="43" spans="1:15">
      <c r="G43" s="42">
        <v>43952</v>
      </c>
      <c r="H43" s="263"/>
      <c r="I43" s="106">
        <v>0</v>
      </c>
    </row>
    <row r="44" spans="1:15">
      <c r="G44" s="42">
        <f>+G43+31</f>
        <v>43983</v>
      </c>
      <c r="H44" s="263"/>
      <c r="I44" s="106">
        <v>0</v>
      </c>
    </row>
    <row r="45" spans="1:15">
      <c r="G45" s="42">
        <f t="shared" ref="G45:G98" si="1">+G44+31</f>
        <v>44014</v>
      </c>
      <c r="H45" s="263"/>
      <c r="I45" s="106">
        <v>0</v>
      </c>
    </row>
    <row r="46" spans="1:15">
      <c r="G46" s="42">
        <f t="shared" si="1"/>
        <v>44045</v>
      </c>
      <c r="H46" s="263"/>
      <c r="I46" s="106">
        <v>0</v>
      </c>
    </row>
    <row r="47" spans="1:15">
      <c r="G47" s="42">
        <f t="shared" si="1"/>
        <v>44076</v>
      </c>
      <c r="H47" s="263"/>
      <c r="I47" s="106">
        <v>0</v>
      </c>
    </row>
    <row r="48" spans="1:15">
      <c r="G48" s="42">
        <f t="shared" si="1"/>
        <v>44107</v>
      </c>
      <c r="H48" s="263"/>
      <c r="I48" s="106">
        <v>0</v>
      </c>
    </row>
    <row r="49" spans="7:9">
      <c r="G49" s="42">
        <f t="shared" si="1"/>
        <v>44138</v>
      </c>
      <c r="H49" s="263"/>
      <c r="I49" s="106">
        <v>0</v>
      </c>
    </row>
    <row r="50" spans="7:9">
      <c r="G50" s="42">
        <f t="shared" si="1"/>
        <v>44169</v>
      </c>
      <c r="H50" s="263"/>
      <c r="I50" s="106">
        <v>0</v>
      </c>
    </row>
    <row r="51" spans="7:9">
      <c r="G51" s="42">
        <f t="shared" si="1"/>
        <v>44200</v>
      </c>
      <c r="H51" s="263"/>
      <c r="I51" s="106">
        <v>0</v>
      </c>
    </row>
    <row r="52" spans="7:9">
      <c r="G52" s="42">
        <f t="shared" si="1"/>
        <v>44231</v>
      </c>
      <c r="H52" s="263"/>
      <c r="I52" s="106">
        <v>0</v>
      </c>
    </row>
    <row r="53" spans="7:9">
      <c r="G53" s="42">
        <f t="shared" si="1"/>
        <v>44262</v>
      </c>
      <c r="H53" s="263"/>
      <c r="I53" s="106">
        <v>0</v>
      </c>
    </row>
    <row r="54" spans="7:9">
      <c r="G54" s="42">
        <f t="shared" si="1"/>
        <v>44293</v>
      </c>
      <c r="H54" s="263"/>
      <c r="I54" s="106">
        <v>0</v>
      </c>
    </row>
    <row r="55" spans="7:9">
      <c r="G55" s="42">
        <f t="shared" si="1"/>
        <v>44324</v>
      </c>
      <c r="H55" s="263"/>
      <c r="I55" s="106">
        <v>0</v>
      </c>
    </row>
    <row r="56" spans="7:9">
      <c r="G56" s="42">
        <f t="shared" si="1"/>
        <v>44355</v>
      </c>
      <c r="H56" s="263"/>
      <c r="I56" s="106">
        <v>0</v>
      </c>
    </row>
    <row r="57" spans="7:9">
      <c r="G57" s="42">
        <f t="shared" si="1"/>
        <v>44386</v>
      </c>
      <c r="H57" s="263"/>
      <c r="I57" s="106">
        <v>0</v>
      </c>
    </row>
    <row r="58" spans="7:9">
      <c r="G58" s="42">
        <f t="shared" si="1"/>
        <v>44417</v>
      </c>
      <c r="H58" s="263"/>
      <c r="I58" s="106">
        <v>0</v>
      </c>
    </row>
    <row r="59" spans="7:9">
      <c r="G59" s="42">
        <f t="shared" si="1"/>
        <v>44448</v>
      </c>
      <c r="H59" s="263"/>
      <c r="I59" s="106">
        <v>0</v>
      </c>
    </row>
    <row r="60" spans="7:9">
      <c r="G60" s="42">
        <f t="shared" si="1"/>
        <v>44479</v>
      </c>
      <c r="H60" s="263"/>
      <c r="I60" s="106">
        <v>0</v>
      </c>
    </row>
    <row r="61" spans="7:9">
      <c r="G61" s="42">
        <f t="shared" si="1"/>
        <v>44510</v>
      </c>
      <c r="H61" s="263"/>
      <c r="I61" s="106">
        <v>0</v>
      </c>
    </row>
    <row r="62" spans="7:9">
      <c r="G62" s="42">
        <f t="shared" si="1"/>
        <v>44541</v>
      </c>
      <c r="H62" s="263"/>
      <c r="I62" s="106">
        <v>0</v>
      </c>
    </row>
    <row r="63" spans="7:9">
      <c r="G63" s="42">
        <f t="shared" si="1"/>
        <v>44572</v>
      </c>
      <c r="H63" s="263"/>
      <c r="I63" s="106">
        <v>0</v>
      </c>
    </row>
    <row r="64" spans="7:9">
      <c r="G64" s="42">
        <f t="shared" si="1"/>
        <v>44603</v>
      </c>
      <c r="H64" s="263"/>
      <c r="I64" s="106">
        <v>0</v>
      </c>
    </row>
    <row r="65" spans="7:9">
      <c r="G65" s="42">
        <f t="shared" si="1"/>
        <v>44634</v>
      </c>
      <c r="H65" s="263"/>
      <c r="I65" s="106">
        <v>0</v>
      </c>
    </row>
    <row r="66" spans="7:9">
      <c r="G66" s="42">
        <f t="shared" si="1"/>
        <v>44665</v>
      </c>
      <c r="H66" s="263"/>
      <c r="I66" s="106">
        <v>0</v>
      </c>
    </row>
    <row r="67" spans="7:9">
      <c r="G67" s="42">
        <f t="shared" si="1"/>
        <v>44696</v>
      </c>
      <c r="H67" s="263"/>
      <c r="I67" s="106">
        <v>0</v>
      </c>
    </row>
    <row r="68" spans="7:9">
      <c r="G68" s="42">
        <f t="shared" si="1"/>
        <v>44727</v>
      </c>
      <c r="H68" s="263"/>
      <c r="I68" s="106">
        <v>0</v>
      </c>
    </row>
    <row r="69" spans="7:9">
      <c r="G69" s="42">
        <f t="shared" si="1"/>
        <v>44758</v>
      </c>
      <c r="H69" s="263"/>
      <c r="I69" s="106">
        <v>0</v>
      </c>
    </row>
    <row r="70" spans="7:9">
      <c r="G70" s="42">
        <f>+G69+31</f>
        <v>44789</v>
      </c>
      <c r="H70" s="263"/>
      <c r="I70" s="106">
        <v>0</v>
      </c>
    </row>
    <row r="71" spans="7:9">
      <c r="G71" s="42">
        <f t="shared" si="1"/>
        <v>44820</v>
      </c>
      <c r="H71" s="263"/>
      <c r="I71" s="106">
        <v>0</v>
      </c>
    </row>
    <row r="72" spans="7:9">
      <c r="G72" s="42">
        <f t="shared" si="1"/>
        <v>44851</v>
      </c>
      <c r="H72" s="263"/>
      <c r="I72" s="106">
        <v>0</v>
      </c>
    </row>
    <row r="73" spans="7:9">
      <c r="G73" s="42">
        <f t="shared" si="1"/>
        <v>44882</v>
      </c>
      <c r="H73" s="263"/>
      <c r="I73" s="106">
        <v>0</v>
      </c>
    </row>
    <row r="74" spans="7:9">
      <c r="G74" s="42">
        <f t="shared" si="1"/>
        <v>44913</v>
      </c>
      <c r="H74" s="263"/>
      <c r="I74" s="106">
        <v>0</v>
      </c>
    </row>
    <row r="75" spans="7:9">
      <c r="G75" s="42">
        <f t="shared" si="1"/>
        <v>44944</v>
      </c>
      <c r="H75" s="263"/>
      <c r="I75" s="106">
        <v>0</v>
      </c>
    </row>
    <row r="76" spans="7:9">
      <c r="G76" s="42">
        <f t="shared" si="1"/>
        <v>44975</v>
      </c>
      <c r="H76" s="263"/>
      <c r="I76" s="106">
        <v>0</v>
      </c>
    </row>
    <row r="77" spans="7:9">
      <c r="G77" s="42">
        <f t="shared" si="1"/>
        <v>45006</v>
      </c>
      <c r="H77" s="263"/>
      <c r="I77" s="106">
        <v>0</v>
      </c>
    </row>
    <row r="78" spans="7:9">
      <c r="G78" s="42">
        <f t="shared" si="1"/>
        <v>45037</v>
      </c>
      <c r="H78" s="263"/>
      <c r="I78" s="106">
        <v>0</v>
      </c>
    </row>
    <row r="79" spans="7:9">
      <c r="G79" s="42">
        <f t="shared" si="1"/>
        <v>45068</v>
      </c>
      <c r="H79" s="263"/>
      <c r="I79" s="106">
        <v>0</v>
      </c>
    </row>
    <row r="80" spans="7:9">
      <c r="G80" s="42">
        <f>+G79+31</f>
        <v>45099</v>
      </c>
      <c r="H80" s="263"/>
      <c r="I80" s="106">
        <v>0</v>
      </c>
    </row>
    <row r="81" spans="7:9">
      <c r="G81" s="42">
        <f t="shared" si="1"/>
        <v>45130</v>
      </c>
      <c r="H81" s="263"/>
      <c r="I81" s="106">
        <v>0</v>
      </c>
    </row>
    <row r="82" spans="7:9">
      <c r="G82" s="42">
        <f t="shared" si="1"/>
        <v>45161</v>
      </c>
      <c r="H82" s="263"/>
      <c r="I82" s="106">
        <v>0</v>
      </c>
    </row>
    <row r="83" spans="7:9">
      <c r="G83" s="42">
        <f t="shared" si="1"/>
        <v>45192</v>
      </c>
      <c r="H83" s="263"/>
      <c r="I83" s="106">
        <v>0</v>
      </c>
    </row>
    <row r="84" spans="7:9">
      <c r="G84" s="42">
        <f t="shared" si="1"/>
        <v>45223</v>
      </c>
      <c r="H84" s="263"/>
      <c r="I84" s="106">
        <v>0</v>
      </c>
    </row>
    <row r="85" spans="7:9">
      <c r="G85" s="42">
        <f t="shared" si="1"/>
        <v>45254</v>
      </c>
      <c r="H85" s="263"/>
      <c r="I85" s="106">
        <v>0</v>
      </c>
    </row>
    <row r="86" spans="7:9">
      <c r="G86" s="42">
        <f t="shared" si="1"/>
        <v>45285</v>
      </c>
      <c r="H86" s="263"/>
      <c r="I86" s="106">
        <v>0</v>
      </c>
    </row>
    <row r="87" spans="7:9">
      <c r="G87" s="42">
        <f t="shared" si="1"/>
        <v>45316</v>
      </c>
      <c r="H87" s="263"/>
      <c r="I87" s="106">
        <v>0</v>
      </c>
    </row>
    <row r="88" spans="7:9">
      <c r="G88" s="42">
        <f t="shared" si="1"/>
        <v>45347</v>
      </c>
      <c r="H88" s="263"/>
      <c r="I88" s="106">
        <f>+I85</f>
        <v>0</v>
      </c>
    </row>
    <row r="89" spans="7:9">
      <c r="G89" s="42">
        <f>+G88+31</f>
        <v>45378</v>
      </c>
      <c r="H89" s="263"/>
      <c r="I89" s="106">
        <f>+I87</f>
        <v>0</v>
      </c>
    </row>
    <row r="90" spans="7:9">
      <c r="G90" s="42">
        <f t="shared" si="1"/>
        <v>45409</v>
      </c>
      <c r="H90" s="263"/>
      <c r="I90" s="106">
        <f>+I85</f>
        <v>0</v>
      </c>
    </row>
    <row r="91" spans="7:9">
      <c r="G91" s="42">
        <f t="shared" si="1"/>
        <v>45440</v>
      </c>
      <c r="H91" s="263"/>
      <c r="I91" s="106">
        <f>+I89</f>
        <v>0</v>
      </c>
    </row>
    <row r="92" spans="7:9">
      <c r="G92" s="42">
        <f t="shared" si="1"/>
        <v>45471</v>
      </c>
      <c r="H92" s="263"/>
      <c r="I92" s="106">
        <f>+I90</f>
        <v>0</v>
      </c>
    </row>
    <row r="93" spans="7:9">
      <c r="G93" s="42">
        <f t="shared" si="1"/>
        <v>45502</v>
      </c>
      <c r="H93" s="263"/>
      <c r="I93" s="106">
        <f>+I91</f>
        <v>0</v>
      </c>
    </row>
    <row r="94" spans="7:9">
      <c r="G94" s="42">
        <f t="shared" si="1"/>
        <v>45533</v>
      </c>
      <c r="H94" s="263"/>
      <c r="I94" s="106">
        <f>+I93</f>
        <v>0</v>
      </c>
    </row>
    <row r="95" spans="7:9">
      <c r="G95" s="42">
        <f t="shared" si="1"/>
        <v>45564</v>
      </c>
      <c r="H95" s="263"/>
      <c r="I95" s="106">
        <f>+I92</f>
        <v>0</v>
      </c>
    </row>
    <row r="96" spans="7:9">
      <c r="G96" s="42">
        <f t="shared" si="1"/>
        <v>45595</v>
      </c>
      <c r="H96" s="263"/>
      <c r="I96" s="106">
        <f>+I94</f>
        <v>0</v>
      </c>
    </row>
    <row r="97" spans="1:23">
      <c r="G97" s="42">
        <f t="shared" si="1"/>
        <v>45626</v>
      </c>
      <c r="H97" s="263"/>
      <c r="I97" s="106">
        <f>+I95</f>
        <v>0</v>
      </c>
    </row>
    <row r="98" spans="1:23">
      <c r="G98" s="42">
        <f t="shared" si="1"/>
        <v>45657</v>
      </c>
      <c r="H98" s="263"/>
      <c r="I98" s="106">
        <f>+I96</f>
        <v>0</v>
      </c>
    </row>
    <row r="99" spans="1:23">
      <c r="G99" s="263" t="s">
        <v>954</v>
      </c>
      <c r="H99" s="263"/>
      <c r="I99" s="106">
        <f>+AVERAGE(I43:I98)</f>
        <v>0</v>
      </c>
    </row>
    <row r="100" spans="1:23">
      <c r="G100" s="263" t="s">
        <v>955</v>
      </c>
      <c r="H100" s="263"/>
      <c r="I100" s="106">
        <f>+AVERAGE(I51:I98)</f>
        <v>0</v>
      </c>
    </row>
    <row r="101" spans="1:23">
      <c r="A101" s="263"/>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row>
  </sheetData>
  <pageMargins left="0.7" right="0.7" top="0.75" bottom="0.75" header="0.3" footer="0.3"/>
  <pageSetup scale="44" orientation="landscape" r:id="rId1"/>
  <customProperties>
    <customPr name="_pios_id" r:id="rId2"/>
    <customPr name="EpmWorksheetKeyString_GUID" r:id="rId3"/>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34E2-DCB8-4083-8F35-C17D78AE1F4B}">
  <sheetPr>
    <tabColor rgb="FF92D050"/>
    <pageSetUpPr fitToPage="1"/>
  </sheetPr>
  <dimension ref="A1:G46"/>
  <sheetViews>
    <sheetView topLeftCell="A21" zoomScaleNormal="100" zoomScaleSheetLayoutView="80" workbookViewId="0">
      <selection activeCell="A7" sqref="A7:G7"/>
    </sheetView>
  </sheetViews>
  <sheetFormatPr defaultRowHeight="20.25"/>
  <cols>
    <col min="1" max="1" width="40.140625" style="306" customWidth="1"/>
    <col min="2" max="2" width="57.42578125" style="306" customWidth="1"/>
    <col min="3" max="3" width="21.5703125" style="306" customWidth="1"/>
    <col min="4" max="4" width="9" style="372" bestFit="1" customWidth="1"/>
    <col min="5" max="5" width="7.140625" style="306" bestFit="1" customWidth="1"/>
    <col min="6" max="6" width="19.42578125" style="306" customWidth="1"/>
    <col min="7" max="16384" width="9.140625" style="306"/>
  </cols>
  <sheetData>
    <row r="1" spans="1:7">
      <c r="B1" s="345" t="s">
        <v>0</v>
      </c>
    </row>
    <row r="2" spans="1:7">
      <c r="B2" s="345" t="str">
        <f>+'Appendix A'!A4</f>
        <v xml:space="preserve">ATTACHMENT H-15A </v>
      </c>
    </row>
    <row r="3" spans="1:7">
      <c r="B3" s="345" t="s">
        <v>749</v>
      </c>
    </row>
    <row r="4" spans="1:7" ht="21.75" customHeight="1">
      <c r="B4" s="41">
        <v>45291</v>
      </c>
      <c r="F4" s="342"/>
    </row>
    <row r="6" spans="1:7">
      <c r="A6" s="650"/>
      <c r="B6" s="650"/>
      <c r="C6" s="650"/>
      <c r="D6" s="650"/>
      <c r="E6" s="650"/>
      <c r="F6" s="650"/>
      <c r="G6" s="650"/>
    </row>
    <row r="7" spans="1:7">
      <c r="A7" s="692"/>
      <c r="B7" s="692"/>
      <c r="C7" s="692"/>
      <c r="D7" s="692"/>
      <c r="E7" s="692"/>
      <c r="F7" s="692"/>
      <c r="G7" s="692"/>
    </row>
    <row r="8" spans="1:7">
      <c r="C8" s="372"/>
    </row>
    <row r="9" spans="1:7">
      <c r="A9" s="234" t="s">
        <v>478</v>
      </c>
      <c r="B9" s="233" t="s">
        <v>750</v>
      </c>
      <c r="C9" s="233" t="s">
        <v>751</v>
      </c>
    </row>
    <row r="10" spans="1:7">
      <c r="A10" s="347"/>
      <c r="B10" s="347"/>
      <c r="C10" s="347"/>
    </row>
    <row r="11" spans="1:7">
      <c r="A11" s="234" t="s">
        <v>752</v>
      </c>
      <c r="C11" s="40"/>
    </row>
    <row r="12" spans="1:7">
      <c r="A12" s="39">
        <v>350</v>
      </c>
      <c r="B12" s="306" t="s">
        <v>753</v>
      </c>
      <c r="C12" s="38" t="s">
        <v>754</v>
      </c>
    </row>
    <row r="13" spans="1:7">
      <c r="A13" s="39">
        <v>352</v>
      </c>
      <c r="B13" s="306" t="s">
        <v>755</v>
      </c>
      <c r="C13" s="37">
        <v>1.9199999999999998E-2</v>
      </c>
    </row>
    <row r="14" spans="1:7">
      <c r="A14" s="39">
        <v>353</v>
      </c>
      <c r="B14" s="306" t="s">
        <v>756</v>
      </c>
      <c r="C14" s="37">
        <v>2.0899999999999998E-2</v>
      </c>
      <c r="E14" s="36"/>
    </row>
    <row r="15" spans="1:7">
      <c r="A15" s="39">
        <v>354</v>
      </c>
      <c r="B15" s="306" t="s">
        <v>757</v>
      </c>
      <c r="C15" s="37">
        <v>1.9199999999999998E-2</v>
      </c>
      <c r="E15" s="36"/>
    </row>
    <row r="16" spans="1:7">
      <c r="A16" s="39">
        <v>355</v>
      </c>
      <c r="B16" s="306" t="s">
        <v>758</v>
      </c>
      <c r="C16" s="37">
        <v>2.4500000000000001E-2</v>
      </c>
      <c r="E16" s="36"/>
    </row>
    <row r="17" spans="1:5">
      <c r="A17" s="39">
        <v>356</v>
      </c>
      <c r="B17" s="306" t="s">
        <v>759</v>
      </c>
      <c r="C17" s="37">
        <v>2.4500000000000001E-2</v>
      </c>
      <c r="E17" s="36"/>
    </row>
    <row r="18" spans="1:5">
      <c r="A18" s="39">
        <v>357</v>
      </c>
      <c r="B18" s="306" t="s">
        <v>760</v>
      </c>
      <c r="C18" s="37">
        <v>1.3299999999999999E-2</v>
      </c>
      <c r="E18" s="36"/>
    </row>
    <row r="19" spans="1:5">
      <c r="A19" s="39">
        <v>358</v>
      </c>
      <c r="B19" s="306" t="s">
        <v>761</v>
      </c>
      <c r="C19" s="37">
        <v>1.8200000000000001E-2</v>
      </c>
      <c r="E19" s="36"/>
    </row>
    <row r="20" spans="1:5">
      <c r="A20" s="39">
        <v>359</v>
      </c>
      <c r="B20" s="306" t="s">
        <v>762</v>
      </c>
      <c r="C20" s="37">
        <v>1.2500000000000001E-2</v>
      </c>
      <c r="E20" s="36"/>
    </row>
    <row r="21" spans="1:5">
      <c r="A21" s="39"/>
      <c r="C21" s="38"/>
      <c r="E21" s="36"/>
    </row>
    <row r="22" spans="1:5">
      <c r="A22" s="35" t="s">
        <v>763</v>
      </c>
      <c r="C22" s="458"/>
      <c r="E22" s="36"/>
    </row>
    <row r="23" spans="1:5">
      <c r="A23" s="39">
        <v>302</v>
      </c>
      <c r="B23" s="306" t="s">
        <v>764</v>
      </c>
      <c r="C23" s="38" t="s">
        <v>754</v>
      </c>
      <c r="E23" s="36"/>
    </row>
    <row r="24" spans="1:5">
      <c r="A24" s="39">
        <v>303</v>
      </c>
      <c r="B24" s="306" t="s">
        <v>765</v>
      </c>
      <c r="C24" s="37">
        <v>0.1429</v>
      </c>
      <c r="E24" s="36"/>
    </row>
    <row r="25" spans="1:5" ht="21.75" customHeight="1">
      <c r="A25" s="34">
        <v>390.1</v>
      </c>
      <c r="B25" s="522" t="s">
        <v>979</v>
      </c>
      <c r="C25" s="37">
        <v>2.2200000000000001E-2</v>
      </c>
      <c r="E25" s="36"/>
    </row>
    <row r="26" spans="1:5" ht="22.5" customHeight="1">
      <c r="A26" s="34">
        <v>390.1</v>
      </c>
      <c r="B26" s="522" t="s">
        <v>980</v>
      </c>
      <c r="C26" s="37">
        <v>2.4400000000000002E-2</v>
      </c>
      <c r="E26" s="36"/>
    </row>
    <row r="27" spans="1:5">
      <c r="A27" s="34" t="s">
        <v>981</v>
      </c>
      <c r="B27" s="372" t="s">
        <v>766</v>
      </c>
      <c r="C27" s="37">
        <v>6.25E-2</v>
      </c>
      <c r="E27" s="36"/>
    </row>
    <row r="28" spans="1:5">
      <c r="A28" s="34" t="s">
        <v>981</v>
      </c>
      <c r="B28" s="372" t="s">
        <v>767</v>
      </c>
      <c r="C28" s="37">
        <v>0.1</v>
      </c>
      <c r="E28" s="36"/>
    </row>
    <row r="29" spans="1:5">
      <c r="A29" s="34" t="s">
        <v>982</v>
      </c>
      <c r="B29" s="372" t="s">
        <v>768</v>
      </c>
      <c r="C29" s="37">
        <v>7.4999999999999997E-2</v>
      </c>
      <c r="E29" s="36"/>
    </row>
    <row r="30" spans="1:5">
      <c r="A30" s="34" t="s">
        <v>982</v>
      </c>
      <c r="B30" s="372" t="s">
        <v>769</v>
      </c>
      <c r="C30" s="37">
        <v>7.4999999999999997E-2</v>
      </c>
      <c r="E30" s="36"/>
    </row>
    <row r="31" spans="1:5">
      <c r="A31" s="34" t="s">
        <v>982</v>
      </c>
      <c r="B31" s="372" t="s">
        <v>770</v>
      </c>
      <c r="C31" s="37">
        <v>7.4999999999999997E-2</v>
      </c>
      <c r="E31" s="36"/>
    </row>
    <row r="32" spans="1:5">
      <c r="A32" s="34" t="s">
        <v>982</v>
      </c>
      <c r="B32" s="372" t="s">
        <v>771</v>
      </c>
      <c r="C32" s="37">
        <v>7.4999999999999997E-2</v>
      </c>
      <c r="E32" s="36"/>
    </row>
    <row r="33" spans="1:5">
      <c r="A33" s="39">
        <v>393</v>
      </c>
      <c r="B33" s="372" t="s">
        <v>772</v>
      </c>
      <c r="C33" s="37">
        <v>0.04</v>
      </c>
    </row>
    <row r="34" spans="1:5">
      <c r="A34" s="39">
        <v>394</v>
      </c>
      <c r="B34" s="372" t="s">
        <v>773</v>
      </c>
      <c r="C34" s="37">
        <v>0.04</v>
      </c>
    </row>
    <row r="35" spans="1:5">
      <c r="A35" s="39">
        <v>395</v>
      </c>
      <c r="B35" s="372" t="s">
        <v>774</v>
      </c>
      <c r="C35" s="37">
        <v>0.05</v>
      </c>
    </row>
    <row r="36" spans="1:5">
      <c r="A36" s="39">
        <v>396</v>
      </c>
      <c r="B36" s="372" t="s">
        <v>775</v>
      </c>
      <c r="C36" s="37">
        <v>5.8799999999999998E-2</v>
      </c>
    </row>
    <row r="37" spans="1:5">
      <c r="A37" s="34" t="s">
        <v>983</v>
      </c>
      <c r="B37" s="306" t="s">
        <v>776</v>
      </c>
      <c r="C37" s="37">
        <v>0.05</v>
      </c>
    </row>
    <row r="38" spans="1:5">
      <c r="A38" s="39">
        <v>398</v>
      </c>
      <c r="B38" s="372" t="s">
        <v>777</v>
      </c>
      <c r="C38" s="37">
        <v>0.05</v>
      </c>
    </row>
    <row r="39" spans="1:5">
      <c r="A39" s="39">
        <v>399</v>
      </c>
      <c r="B39" s="372" t="s">
        <v>984</v>
      </c>
      <c r="C39" s="37">
        <v>0</v>
      </c>
    </row>
    <row r="40" spans="1:5">
      <c r="E40" s="33"/>
    </row>
    <row r="41" spans="1:5">
      <c r="A41" s="32" t="s">
        <v>778</v>
      </c>
    </row>
    <row r="42" spans="1:5">
      <c r="A42" s="306" t="s">
        <v>779</v>
      </c>
    </row>
    <row r="43" spans="1:5">
      <c r="A43" s="32"/>
      <c r="C43" s="372"/>
      <c r="D43" s="37"/>
    </row>
    <row r="44" spans="1:5">
      <c r="A44" s="32"/>
    </row>
    <row r="45" spans="1:5">
      <c r="A45" s="693"/>
      <c r="B45" s="694"/>
      <c r="C45" s="694"/>
    </row>
    <row r="46" spans="1:5">
      <c r="A46" s="31"/>
      <c r="B46" s="32"/>
      <c r="C46" s="37"/>
    </row>
  </sheetData>
  <mergeCells count="3">
    <mergeCell ref="A6:G6"/>
    <mergeCell ref="A7:G7"/>
    <mergeCell ref="A45:C45"/>
  </mergeCells>
  <phoneticPr fontId="14" type="noConversion"/>
  <pageMargins left="0.7" right="0.7" top="0.75" bottom="0.75" header="0.3" footer="0.3"/>
  <pageSetup scale="76" orientation="landscape" r:id="rId1"/>
  <customProperties>
    <customPr name="_pios_id" r:id="rId2"/>
    <customPr name="EpmWorksheetKeyString_GUID" r:id="rId3"/>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3E14-3E44-41E9-96CF-49514EA42A9D}">
  <sheetPr>
    <tabColor rgb="FF92D050"/>
    <pageSetUpPr fitToPage="1"/>
  </sheetPr>
  <dimension ref="A2:AA80"/>
  <sheetViews>
    <sheetView zoomScale="70" zoomScaleNormal="70" zoomScaleSheetLayoutView="80" workbookViewId="0">
      <pane xSplit="2" ySplit="10" topLeftCell="C11" activePane="bottomRight" state="frozen"/>
      <selection pane="topRight" activeCell="C1" sqref="C1"/>
      <selection pane="bottomLeft" activeCell="A11" sqref="A11"/>
      <selection pane="bottomRight" activeCell="T64" sqref="T64"/>
    </sheetView>
  </sheetViews>
  <sheetFormatPr defaultRowHeight="20.25"/>
  <cols>
    <col min="1" max="1" width="7.140625" style="347" customWidth="1"/>
    <col min="2" max="2" width="46" style="306" customWidth="1"/>
    <col min="3" max="4" width="29" style="306" customWidth="1"/>
    <col min="5" max="5" width="34.28515625" style="306" bestFit="1" customWidth="1"/>
    <col min="6" max="6" width="25.28515625" style="306" customWidth="1"/>
    <col min="7" max="7" width="19.7109375" style="306" bestFit="1" customWidth="1"/>
    <col min="8" max="8" width="14.140625" style="306" customWidth="1"/>
    <col min="9" max="9" width="24.5703125" style="306" customWidth="1"/>
    <col min="10" max="10" width="18.7109375" style="306" customWidth="1"/>
    <col min="11" max="11" width="15.7109375" style="306" customWidth="1"/>
    <col min="12" max="12" width="18" style="306" bestFit="1" customWidth="1"/>
    <col min="13" max="13" width="18.5703125" style="306" customWidth="1"/>
    <col min="14" max="14" width="16.7109375" style="306" customWidth="1"/>
    <col min="15" max="15" width="19.85546875" style="306" customWidth="1"/>
    <col min="16" max="16" width="17.140625" style="306" customWidth="1"/>
    <col min="17" max="17" width="17.5703125" style="306" customWidth="1"/>
    <col min="18" max="18" width="18" style="306" bestFit="1" customWidth="1"/>
    <col min="19" max="19" width="18" style="306" customWidth="1"/>
    <col min="20" max="20" width="18" style="306" bestFit="1" customWidth="1"/>
    <col min="21" max="21" width="19.28515625" style="306" customWidth="1"/>
    <col min="22" max="22" width="18" style="306" customWidth="1"/>
    <col min="23" max="23" width="16.85546875" style="306" customWidth="1"/>
    <col min="24" max="24" width="18" style="306" bestFit="1" customWidth="1"/>
    <col min="25" max="25" width="19.5703125" style="306" customWidth="1"/>
    <col min="26" max="26" width="17.5703125" style="306" customWidth="1"/>
    <col min="27" max="16384" width="9.140625" style="306"/>
  </cols>
  <sheetData>
    <row r="2" spans="1:26">
      <c r="I2" s="345" t="str">
        <f>+'Appendix A'!A3</f>
        <v>Dayton Power and Light</v>
      </c>
    </row>
    <row r="3" spans="1:26">
      <c r="I3" s="345" t="str">
        <f>+'Appendix A'!A4</f>
        <v xml:space="preserve">ATTACHMENT H-15A </v>
      </c>
      <c r="P3" s="342"/>
    </row>
    <row r="4" spans="1:26" ht="30" customHeight="1">
      <c r="B4" s="685"/>
      <c r="C4" s="685"/>
      <c r="F4" s="263"/>
      <c r="G4" s="263"/>
      <c r="H4" s="263"/>
      <c r="I4" s="344" t="s">
        <v>1005</v>
      </c>
      <c r="J4" s="263"/>
      <c r="K4" s="263"/>
      <c r="L4" s="263"/>
      <c r="M4" s="263"/>
    </row>
    <row r="5" spans="1:26">
      <c r="I5" s="345" t="s">
        <v>989</v>
      </c>
    </row>
    <row r="6" spans="1:26">
      <c r="A6" s="347" t="s">
        <v>397</v>
      </c>
      <c r="I6" s="345"/>
    </row>
    <row r="7" spans="1:26">
      <c r="B7" s="347" t="s">
        <v>780</v>
      </c>
      <c r="C7" s="347" t="s">
        <v>781</v>
      </c>
      <c r="D7" s="347" t="s">
        <v>782</v>
      </c>
      <c r="E7" s="347" t="s">
        <v>783</v>
      </c>
      <c r="F7" s="347" t="s">
        <v>784</v>
      </c>
      <c r="G7" s="347" t="s">
        <v>785</v>
      </c>
      <c r="H7" s="347" t="s">
        <v>786</v>
      </c>
      <c r="I7" s="347" t="s">
        <v>787</v>
      </c>
      <c r="J7" s="347" t="s">
        <v>788</v>
      </c>
      <c r="K7" s="347" t="s">
        <v>789</v>
      </c>
      <c r="L7" s="347" t="s">
        <v>790</v>
      </c>
      <c r="M7" s="347" t="s">
        <v>791</v>
      </c>
      <c r="N7" s="347" t="s">
        <v>792</v>
      </c>
      <c r="O7" s="347" t="s">
        <v>793</v>
      </c>
      <c r="P7" s="347" t="s">
        <v>794</v>
      </c>
      <c r="Q7" s="347" t="s">
        <v>795</v>
      </c>
      <c r="R7" s="347" t="s">
        <v>796</v>
      </c>
      <c r="S7" s="347" t="s">
        <v>797</v>
      </c>
      <c r="T7" s="347" t="s">
        <v>798</v>
      </c>
      <c r="U7" s="347" t="s">
        <v>799</v>
      </c>
      <c r="V7" s="347" t="s">
        <v>800</v>
      </c>
      <c r="W7" s="347" t="s">
        <v>801</v>
      </c>
      <c r="X7" s="347" t="s">
        <v>802</v>
      </c>
      <c r="Y7" s="347" t="s">
        <v>803</v>
      </c>
      <c r="Z7" s="347" t="s">
        <v>804</v>
      </c>
    </row>
    <row r="8" spans="1:26" ht="162">
      <c r="A8" s="233" t="s">
        <v>805</v>
      </c>
      <c r="B8" s="234" t="s">
        <v>750</v>
      </c>
      <c r="C8" s="30" t="s">
        <v>806</v>
      </c>
      <c r="D8" s="30" t="s">
        <v>807</v>
      </c>
      <c r="E8" s="30" t="s">
        <v>808</v>
      </c>
      <c r="F8" s="30" t="s">
        <v>809</v>
      </c>
      <c r="G8" s="30" t="s">
        <v>810</v>
      </c>
      <c r="H8" s="30" t="s">
        <v>811</v>
      </c>
      <c r="I8" s="30" t="s">
        <v>812</v>
      </c>
      <c r="J8" s="30" t="s">
        <v>813</v>
      </c>
      <c r="K8" s="30" t="s">
        <v>814</v>
      </c>
      <c r="L8" s="30" t="s">
        <v>815</v>
      </c>
      <c r="M8" s="30" t="s">
        <v>816</v>
      </c>
      <c r="N8" s="30" t="s">
        <v>817</v>
      </c>
      <c r="O8" s="30" t="s">
        <v>818</v>
      </c>
      <c r="P8" s="30" t="s">
        <v>819</v>
      </c>
      <c r="Q8" s="30" t="s">
        <v>820</v>
      </c>
      <c r="R8" s="30" t="s">
        <v>821</v>
      </c>
      <c r="S8" s="30" t="s">
        <v>822</v>
      </c>
      <c r="T8" s="30" t="s">
        <v>823</v>
      </c>
      <c r="U8" s="30" t="s">
        <v>824</v>
      </c>
      <c r="V8" s="30" t="s">
        <v>825</v>
      </c>
      <c r="W8" s="30" t="s">
        <v>826</v>
      </c>
      <c r="X8" s="30" t="s">
        <v>827</v>
      </c>
      <c r="Y8" s="30" t="s">
        <v>828</v>
      </c>
      <c r="Z8" s="30" t="s">
        <v>829</v>
      </c>
    </row>
    <row r="9" spans="1:26" ht="40.5">
      <c r="B9" s="268" t="s">
        <v>830</v>
      </c>
      <c r="C9" s="231"/>
      <c r="D9" s="231"/>
      <c r="E9" s="350"/>
      <c r="F9" s="350"/>
      <c r="G9" s="350"/>
      <c r="H9" s="350"/>
      <c r="I9" s="350"/>
      <c r="J9" s="350"/>
      <c r="K9" s="350"/>
      <c r="L9" s="350"/>
      <c r="M9" s="350"/>
      <c r="N9" s="350"/>
      <c r="O9" s="350"/>
      <c r="P9" s="350"/>
      <c r="Q9" s="350"/>
      <c r="R9" s="350"/>
      <c r="S9" s="350"/>
      <c r="T9" s="350"/>
      <c r="U9" s="350"/>
      <c r="V9" s="350"/>
      <c r="W9" s="350"/>
      <c r="X9" s="350"/>
      <c r="Y9" s="350"/>
      <c r="Z9" s="350"/>
    </row>
    <row r="10" spans="1:26">
      <c r="E10" s="350"/>
      <c r="F10" s="350"/>
      <c r="G10" s="350"/>
      <c r="H10" s="350"/>
      <c r="I10" s="350"/>
      <c r="J10" s="350"/>
      <c r="K10" s="350"/>
      <c r="L10" s="350"/>
      <c r="M10" s="350"/>
      <c r="N10" s="350"/>
      <c r="O10" s="350"/>
      <c r="P10" s="350"/>
      <c r="Q10" s="350"/>
      <c r="R10" s="350"/>
      <c r="S10" s="350"/>
      <c r="T10" s="350"/>
      <c r="U10" s="350"/>
      <c r="V10" s="350"/>
      <c r="W10" s="350"/>
      <c r="X10" s="350"/>
      <c r="Y10" s="350"/>
      <c r="Z10" s="350"/>
    </row>
    <row r="11" spans="1:26">
      <c r="B11" s="306" t="s">
        <v>831</v>
      </c>
      <c r="E11" s="350"/>
      <c r="F11" s="350"/>
      <c r="G11" s="350"/>
      <c r="H11" s="350"/>
      <c r="I11" s="350"/>
      <c r="J11" s="350"/>
      <c r="K11" s="350"/>
      <c r="L11" s="350"/>
      <c r="M11" s="350"/>
      <c r="N11" s="350"/>
      <c r="O11" s="350"/>
      <c r="P11" s="350"/>
      <c r="Q11" s="350"/>
      <c r="R11" s="350"/>
      <c r="S11" s="350"/>
      <c r="T11" s="350"/>
      <c r="U11" s="350"/>
      <c r="V11" s="350"/>
      <c r="W11" s="350"/>
      <c r="X11" s="350"/>
      <c r="Y11" s="350"/>
      <c r="Z11" s="350"/>
    </row>
    <row r="12" spans="1:26">
      <c r="A12" s="347">
        <v>1</v>
      </c>
      <c r="B12" s="29" t="s">
        <v>832</v>
      </c>
      <c r="C12" s="283">
        <v>639062.5</v>
      </c>
      <c r="D12" s="351">
        <f>+C12*$I$80</f>
        <v>383437.5</v>
      </c>
      <c r="E12" s="351">
        <f>+C12-D12</f>
        <v>255625</v>
      </c>
      <c r="F12" s="283">
        <v>0</v>
      </c>
      <c r="G12" s="351">
        <f>+E12-F12</f>
        <v>255625</v>
      </c>
      <c r="H12" s="28">
        <v>0.14549999999999999</v>
      </c>
      <c r="I12" s="351">
        <f>+G12*H12</f>
        <v>37193.4375</v>
      </c>
      <c r="J12" s="355" t="s">
        <v>833</v>
      </c>
      <c r="K12" s="351">
        <v>0</v>
      </c>
      <c r="L12" s="351">
        <f>+I12-K12</f>
        <v>37193.4375</v>
      </c>
      <c r="M12" s="351">
        <f>+I12/10</f>
        <v>3719.34375</v>
      </c>
      <c r="N12" s="351">
        <f>+L12-M12</f>
        <v>33474.09375</v>
      </c>
      <c r="O12" s="351">
        <f>+I12/10</f>
        <v>3719.34375</v>
      </c>
      <c r="P12" s="351">
        <f>+N12-O12</f>
        <v>29754.75</v>
      </c>
      <c r="Q12" s="351">
        <f>+P12/5</f>
        <v>5950.95</v>
      </c>
      <c r="R12" s="351">
        <f>+P12-Q12</f>
        <v>23803.8</v>
      </c>
      <c r="S12" s="351">
        <f>+$P12/5</f>
        <v>5950.95</v>
      </c>
      <c r="T12" s="351">
        <f>+R12-S12</f>
        <v>17852.849999999999</v>
      </c>
      <c r="U12" s="351">
        <f>+$P12/5</f>
        <v>5950.95</v>
      </c>
      <c r="V12" s="351">
        <f>+T12-U12</f>
        <v>11901.899999999998</v>
      </c>
      <c r="W12" s="351">
        <f>+$P12/5</f>
        <v>5950.95</v>
      </c>
      <c r="X12" s="351">
        <f>+V12-W12</f>
        <v>5950.949999999998</v>
      </c>
      <c r="Y12" s="351">
        <f>+$P12/5</f>
        <v>5950.95</v>
      </c>
      <c r="Z12" s="351">
        <f>+X12-Y12</f>
        <v>0</v>
      </c>
    </row>
    <row r="13" spans="1:26">
      <c r="A13" s="347">
        <f>+A12+1</f>
        <v>2</v>
      </c>
      <c r="B13" s="29" t="s">
        <v>834</v>
      </c>
      <c r="C13" s="283">
        <v>4709475</v>
      </c>
      <c r="D13" s="351">
        <f t="shared" ref="D13:D23" si="0">+C13*$I$80</f>
        <v>2825685</v>
      </c>
      <c r="E13" s="351">
        <f t="shared" ref="E13:E23" si="1">+C13-D13</f>
        <v>1883790</v>
      </c>
      <c r="F13" s="283">
        <v>0</v>
      </c>
      <c r="G13" s="351">
        <f t="shared" ref="G13:G23" si="2">+E13-F13</f>
        <v>1883790</v>
      </c>
      <c r="H13" s="28">
        <v>0.14549999999999999</v>
      </c>
      <c r="I13" s="351">
        <f t="shared" ref="I13:I22" si="3">+G13*H13</f>
        <v>274091.44500000001</v>
      </c>
      <c r="J13" s="355" t="s">
        <v>833</v>
      </c>
      <c r="K13" s="351">
        <v>0</v>
      </c>
      <c r="L13" s="351">
        <f t="shared" ref="L13:L23" si="4">+I13-K13</f>
        <v>274091.44500000001</v>
      </c>
      <c r="M13" s="351">
        <f t="shared" ref="M13:M23" si="5">+I13/10</f>
        <v>27409.144500000002</v>
      </c>
      <c r="N13" s="351">
        <f t="shared" ref="N13:N23" si="6">+L13-M13</f>
        <v>246682.30050000001</v>
      </c>
      <c r="O13" s="351">
        <f t="shared" ref="O13:O23" si="7">+I13/10</f>
        <v>27409.144500000002</v>
      </c>
      <c r="P13" s="351">
        <f t="shared" ref="P13:P23" si="8">+N13-O13</f>
        <v>219273.15600000002</v>
      </c>
      <c r="Q13" s="351">
        <f>+P13/5</f>
        <v>43854.631200000003</v>
      </c>
      <c r="R13" s="351">
        <f t="shared" ref="R13:R23" si="9">+P13-Q13</f>
        <v>175418.52480000001</v>
      </c>
      <c r="S13" s="351">
        <f t="shared" ref="S13:Y23" si="10">+$P13/5</f>
        <v>43854.631200000003</v>
      </c>
      <c r="T13" s="351">
        <f t="shared" ref="T13:T23" si="11">+R13-S13</f>
        <v>131563.89360000001</v>
      </c>
      <c r="U13" s="351">
        <f t="shared" si="10"/>
        <v>43854.631200000003</v>
      </c>
      <c r="V13" s="351">
        <f t="shared" ref="V13:V23" si="12">+T13-U13</f>
        <v>87709.262400000007</v>
      </c>
      <c r="W13" s="351">
        <f t="shared" si="10"/>
        <v>43854.631200000003</v>
      </c>
      <c r="X13" s="351">
        <f t="shared" ref="X13:X23" si="13">+V13-W13</f>
        <v>43854.631200000003</v>
      </c>
      <c r="Y13" s="351">
        <f t="shared" si="10"/>
        <v>43854.631200000003</v>
      </c>
      <c r="Z13" s="351">
        <f t="shared" ref="Z13:Z23" si="14">+X13-Y13</f>
        <v>0</v>
      </c>
    </row>
    <row r="14" spans="1:26">
      <c r="A14" s="347">
        <f t="shared" ref="A14:A23" si="15">+A13+1</f>
        <v>3</v>
      </c>
      <c r="B14" s="29" t="s">
        <v>835</v>
      </c>
      <c r="C14" s="283">
        <v>936285</v>
      </c>
      <c r="D14" s="351">
        <f t="shared" si="0"/>
        <v>561771</v>
      </c>
      <c r="E14" s="351">
        <f t="shared" si="1"/>
        <v>374514</v>
      </c>
      <c r="F14" s="283">
        <v>0</v>
      </c>
      <c r="G14" s="351">
        <f t="shared" si="2"/>
        <v>374514</v>
      </c>
      <c r="H14" s="28">
        <v>0.14549999999999999</v>
      </c>
      <c r="I14" s="351">
        <f t="shared" si="3"/>
        <v>54491.786999999997</v>
      </c>
      <c r="J14" s="355" t="s">
        <v>833</v>
      </c>
      <c r="K14" s="351">
        <v>0</v>
      </c>
      <c r="L14" s="351">
        <f t="shared" si="4"/>
        <v>54491.786999999997</v>
      </c>
      <c r="M14" s="351">
        <f t="shared" si="5"/>
        <v>5449.1786999999995</v>
      </c>
      <c r="N14" s="351">
        <f t="shared" si="6"/>
        <v>49042.6083</v>
      </c>
      <c r="O14" s="351">
        <f t="shared" si="7"/>
        <v>5449.1786999999995</v>
      </c>
      <c r="P14" s="351">
        <f t="shared" si="8"/>
        <v>43593.429600000003</v>
      </c>
      <c r="Q14" s="351">
        <f t="shared" ref="Q14:Q23" si="16">+P14/5</f>
        <v>8718.6859199999999</v>
      </c>
      <c r="R14" s="351">
        <f t="shared" si="9"/>
        <v>34874.74368</v>
      </c>
      <c r="S14" s="351">
        <f t="shared" si="10"/>
        <v>8718.6859199999999</v>
      </c>
      <c r="T14" s="351">
        <f t="shared" si="11"/>
        <v>26156.05776</v>
      </c>
      <c r="U14" s="351">
        <f t="shared" si="10"/>
        <v>8718.6859199999999</v>
      </c>
      <c r="V14" s="351">
        <f t="shared" si="12"/>
        <v>17437.37184</v>
      </c>
      <c r="W14" s="351">
        <f t="shared" si="10"/>
        <v>8718.6859199999999</v>
      </c>
      <c r="X14" s="351">
        <f t="shared" si="13"/>
        <v>8718.6859199999999</v>
      </c>
      <c r="Y14" s="351">
        <f t="shared" si="10"/>
        <v>8718.6859199999999</v>
      </c>
      <c r="Z14" s="351">
        <f t="shared" si="14"/>
        <v>0</v>
      </c>
    </row>
    <row r="15" spans="1:26">
      <c r="A15" s="347">
        <f t="shared" si="15"/>
        <v>4</v>
      </c>
      <c r="B15" s="29" t="s">
        <v>836</v>
      </c>
      <c r="C15" s="283">
        <v>-1766545</v>
      </c>
      <c r="D15" s="351">
        <f t="shared" si="0"/>
        <v>-1059927</v>
      </c>
      <c r="E15" s="351">
        <f t="shared" si="1"/>
        <v>-706618</v>
      </c>
      <c r="F15" s="283">
        <v>0</v>
      </c>
      <c r="G15" s="351">
        <f t="shared" si="2"/>
        <v>-706618</v>
      </c>
      <c r="H15" s="28">
        <v>0.14549999999999999</v>
      </c>
      <c r="I15" s="351">
        <f t="shared" si="3"/>
        <v>-102812.91899999999</v>
      </c>
      <c r="J15" s="355" t="s">
        <v>833</v>
      </c>
      <c r="K15" s="351">
        <v>0</v>
      </c>
      <c r="L15" s="351">
        <f t="shared" si="4"/>
        <v>-102812.91899999999</v>
      </c>
      <c r="M15" s="351">
        <f t="shared" si="5"/>
        <v>-10281.2919</v>
      </c>
      <c r="N15" s="351">
        <f t="shared" si="6"/>
        <v>-92531.627099999998</v>
      </c>
      <c r="O15" s="351">
        <f t="shared" si="7"/>
        <v>-10281.2919</v>
      </c>
      <c r="P15" s="351">
        <f t="shared" si="8"/>
        <v>-82250.335200000001</v>
      </c>
      <c r="Q15" s="351">
        <f t="shared" si="16"/>
        <v>-16450.067040000002</v>
      </c>
      <c r="R15" s="351">
        <f t="shared" si="9"/>
        <v>-65800.268160000007</v>
      </c>
      <c r="S15" s="351">
        <f t="shared" si="10"/>
        <v>-16450.067040000002</v>
      </c>
      <c r="T15" s="351">
        <f t="shared" si="11"/>
        <v>-49350.201120000005</v>
      </c>
      <c r="U15" s="351">
        <f t="shared" si="10"/>
        <v>-16450.067040000002</v>
      </c>
      <c r="V15" s="351">
        <f t="shared" si="12"/>
        <v>-32900.134080000003</v>
      </c>
      <c r="W15" s="351">
        <f t="shared" si="10"/>
        <v>-16450.067040000002</v>
      </c>
      <c r="X15" s="351">
        <f t="shared" si="13"/>
        <v>-16450.067040000002</v>
      </c>
      <c r="Y15" s="351">
        <f t="shared" si="10"/>
        <v>-16450.067040000002</v>
      </c>
      <c r="Z15" s="351">
        <f t="shared" si="14"/>
        <v>0</v>
      </c>
    </row>
    <row r="16" spans="1:26">
      <c r="A16" s="347">
        <f t="shared" si="15"/>
        <v>5</v>
      </c>
      <c r="B16" s="29" t="s">
        <v>837</v>
      </c>
      <c r="C16" s="283">
        <v>1458445</v>
      </c>
      <c r="D16" s="351">
        <f t="shared" si="0"/>
        <v>875067</v>
      </c>
      <c r="E16" s="351">
        <f t="shared" si="1"/>
        <v>583378</v>
      </c>
      <c r="F16" s="283">
        <v>0</v>
      </c>
      <c r="G16" s="351">
        <f t="shared" si="2"/>
        <v>583378</v>
      </c>
      <c r="H16" s="28">
        <v>0.14549999999999999</v>
      </c>
      <c r="I16" s="351">
        <f t="shared" si="3"/>
        <v>84881.498999999996</v>
      </c>
      <c r="J16" s="355" t="s">
        <v>833</v>
      </c>
      <c r="K16" s="351">
        <v>0</v>
      </c>
      <c r="L16" s="351">
        <f t="shared" si="4"/>
        <v>84881.498999999996</v>
      </c>
      <c r="M16" s="351">
        <f t="shared" si="5"/>
        <v>8488.1499000000003</v>
      </c>
      <c r="N16" s="351">
        <f t="shared" si="6"/>
        <v>76393.349099999992</v>
      </c>
      <c r="O16" s="351">
        <f t="shared" si="7"/>
        <v>8488.1499000000003</v>
      </c>
      <c r="P16" s="351">
        <f t="shared" si="8"/>
        <v>67905.199199999988</v>
      </c>
      <c r="Q16" s="351">
        <f t="shared" si="16"/>
        <v>13581.039839999998</v>
      </c>
      <c r="R16" s="351">
        <f t="shared" si="9"/>
        <v>54324.159359999991</v>
      </c>
      <c r="S16" s="351">
        <f t="shared" si="10"/>
        <v>13581.039839999998</v>
      </c>
      <c r="T16" s="351">
        <f t="shared" si="11"/>
        <v>40743.119519999993</v>
      </c>
      <c r="U16" s="351">
        <f t="shared" si="10"/>
        <v>13581.039839999998</v>
      </c>
      <c r="V16" s="351">
        <f t="shared" si="12"/>
        <v>27162.079679999995</v>
      </c>
      <c r="W16" s="351">
        <f t="shared" si="10"/>
        <v>13581.039839999998</v>
      </c>
      <c r="X16" s="351">
        <f t="shared" si="13"/>
        <v>13581.039839999998</v>
      </c>
      <c r="Y16" s="351">
        <f t="shared" si="10"/>
        <v>13581.039839999998</v>
      </c>
      <c r="Z16" s="351">
        <f t="shared" si="14"/>
        <v>0</v>
      </c>
    </row>
    <row r="17" spans="1:26">
      <c r="A17" s="347">
        <f t="shared" si="15"/>
        <v>6</v>
      </c>
      <c r="B17" s="29" t="s">
        <v>838</v>
      </c>
      <c r="C17" s="283">
        <v>937980</v>
      </c>
      <c r="D17" s="351">
        <f t="shared" si="0"/>
        <v>562788</v>
      </c>
      <c r="E17" s="351">
        <f t="shared" si="1"/>
        <v>375192</v>
      </c>
      <c r="F17" s="283">
        <v>0</v>
      </c>
      <c r="G17" s="351">
        <f t="shared" si="2"/>
        <v>375192</v>
      </c>
      <c r="H17" s="28">
        <v>0.14549999999999999</v>
      </c>
      <c r="I17" s="351">
        <f t="shared" si="3"/>
        <v>54590.435999999994</v>
      </c>
      <c r="J17" s="355" t="s">
        <v>833</v>
      </c>
      <c r="K17" s="351">
        <v>0</v>
      </c>
      <c r="L17" s="351">
        <f t="shared" si="4"/>
        <v>54590.435999999994</v>
      </c>
      <c r="M17" s="351">
        <f t="shared" si="5"/>
        <v>5459.0435999999991</v>
      </c>
      <c r="N17" s="351">
        <f t="shared" si="6"/>
        <v>49131.392399999997</v>
      </c>
      <c r="O17" s="351">
        <f t="shared" si="7"/>
        <v>5459.0435999999991</v>
      </c>
      <c r="P17" s="351">
        <f t="shared" si="8"/>
        <v>43672.3488</v>
      </c>
      <c r="Q17" s="351">
        <f t="shared" si="16"/>
        <v>8734.46976</v>
      </c>
      <c r="R17" s="351">
        <f t="shared" si="9"/>
        <v>34937.87904</v>
      </c>
      <c r="S17" s="351">
        <f t="shared" si="10"/>
        <v>8734.46976</v>
      </c>
      <c r="T17" s="351">
        <f t="shared" si="11"/>
        <v>26203.40928</v>
      </c>
      <c r="U17" s="351">
        <f t="shared" si="10"/>
        <v>8734.46976</v>
      </c>
      <c r="V17" s="351">
        <f t="shared" si="12"/>
        <v>17468.93952</v>
      </c>
      <c r="W17" s="351">
        <f t="shared" si="10"/>
        <v>8734.46976</v>
      </c>
      <c r="X17" s="351">
        <f t="shared" si="13"/>
        <v>8734.46976</v>
      </c>
      <c r="Y17" s="351">
        <f t="shared" si="10"/>
        <v>8734.46976</v>
      </c>
      <c r="Z17" s="351">
        <f t="shared" si="14"/>
        <v>0</v>
      </c>
    </row>
    <row r="18" spans="1:26">
      <c r="A18" s="347">
        <f t="shared" si="15"/>
        <v>7</v>
      </c>
      <c r="B18" s="29" t="s">
        <v>839</v>
      </c>
      <c r="C18" s="283">
        <v>1166550</v>
      </c>
      <c r="D18" s="351">
        <f t="shared" si="0"/>
        <v>699930</v>
      </c>
      <c r="E18" s="351">
        <f t="shared" si="1"/>
        <v>466620</v>
      </c>
      <c r="F18" s="283">
        <v>0</v>
      </c>
      <c r="G18" s="351">
        <f t="shared" si="2"/>
        <v>466620</v>
      </c>
      <c r="H18" s="28">
        <v>0.14549999999999999</v>
      </c>
      <c r="I18" s="351">
        <f t="shared" si="3"/>
        <v>67893.209999999992</v>
      </c>
      <c r="J18" s="355" t="s">
        <v>833</v>
      </c>
      <c r="K18" s="351">
        <v>0</v>
      </c>
      <c r="L18" s="351">
        <f t="shared" si="4"/>
        <v>67893.209999999992</v>
      </c>
      <c r="M18" s="351">
        <f t="shared" si="5"/>
        <v>6789.320999999999</v>
      </c>
      <c r="N18" s="351">
        <f t="shared" si="6"/>
        <v>61103.888999999996</v>
      </c>
      <c r="O18" s="351">
        <f t="shared" si="7"/>
        <v>6789.320999999999</v>
      </c>
      <c r="P18" s="351">
        <f t="shared" si="8"/>
        <v>54314.567999999999</v>
      </c>
      <c r="Q18" s="351">
        <f t="shared" si="16"/>
        <v>10862.9136</v>
      </c>
      <c r="R18" s="351">
        <f t="shared" si="9"/>
        <v>43451.654399999999</v>
      </c>
      <c r="S18" s="351">
        <f t="shared" si="10"/>
        <v>10862.9136</v>
      </c>
      <c r="T18" s="351">
        <f t="shared" si="11"/>
        <v>32588.7408</v>
      </c>
      <c r="U18" s="351">
        <f t="shared" si="10"/>
        <v>10862.9136</v>
      </c>
      <c r="V18" s="351">
        <f t="shared" si="12"/>
        <v>21725.8272</v>
      </c>
      <c r="W18" s="351">
        <f t="shared" si="10"/>
        <v>10862.9136</v>
      </c>
      <c r="X18" s="351">
        <f t="shared" si="13"/>
        <v>10862.9136</v>
      </c>
      <c r="Y18" s="351">
        <f t="shared" si="10"/>
        <v>10862.9136</v>
      </c>
      <c r="Z18" s="351">
        <f t="shared" si="14"/>
        <v>0</v>
      </c>
    </row>
    <row r="19" spans="1:26">
      <c r="A19" s="347">
        <f t="shared" si="15"/>
        <v>8</v>
      </c>
      <c r="B19" s="29" t="s">
        <v>840</v>
      </c>
      <c r="C19" s="283">
        <v>369007.5</v>
      </c>
      <c r="D19" s="351">
        <f t="shared" si="0"/>
        <v>221404.5</v>
      </c>
      <c r="E19" s="351">
        <f t="shared" si="1"/>
        <v>147603</v>
      </c>
      <c r="F19" s="283">
        <v>0</v>
      </c>
      <c r="G19" s="351">
        <f t="shared" si="2"/>
        <v>147603</v>
      </c>
      <c r="H19" s="28">
        <v>0.14180000000000001</v>
      </c>
      <c r="I19" s="351">
        <f t="shared" si="3"/>
        <v>20930.1054</v>
      </c>
      <c r="J19" s="355" t="s">
        <v>833</v>
      </c>
      <c r="K19" s="351">
        <v>0</v>
      </c>
      <c r="L19" s="351">
        <f t="shared" si="4"/>
        <v>20930.1054</v>
      </c>
      <c r="M19" s="351">
        <f t="shared" si="5"/>
        <v>2093.0105400000002</v>
      </c>
      <c r="N19" s="351">
        <f t="shared" si="6"/>
        <v>18837.094860000001</v>
      </c>
      <c r="O19" s="351">
        <f t="shared" si="7"/>
        <v>2093.0105400000002</v>
      </c>
      <c r="P19" s="351">
        <f t="shared" si="8"/>
        <v>16744.084320000002</v>
      </c>
      <c r="Q19" s="351">
        <f t="shared" si="16"/>
        <v>3348.8168640000004</v>
      </c>
      <c r="R19" s="351">
        <f t="shared" si="9"/>
        <v>13395.267456000001</v>
      </c>
      <c r="S19" s="351">
        <f t="shared" si="10"/>
        <v>3348.8168640000004</v>
      </c>
      <c r="T19" s="351">
        <f t="shared" si="11"/>
        <v>10046.450592000001</v>
      </c>
      <c r="U19" s="351">
        <f t="shared" si="10"/>
        <v>3348.8168640000004</v>
      </c>
      <c r="V19" s="351">
        <f t="shared" si="12"/>
        <v>6697.6337280000007</v>
      </c>
      <c r="W19" s="351">
        <f t="shared" si="10"/>
        <v>3348.8168640000004</v>
      </c>
      <c r="X19" s="351">
        <f t="shared" si="13"/>
        <v>3348.8168640000004</v>
      </c>
      <c r="Y19" s="351">
        <f t="shared" si="10"/>
        <v>3348.8168640000004</v>
      </c>
      <c r="Z19" s="351">
        <f t="shared" si="14"/>
        <v>0</v>
      </c>
    </row>
    <row r="20" spans="1:26">
      <c r="A20" s="347">
        <f t="shared" si="15"/>
        <v>9</v>
      </c>
      <c r="B20" s="29" t="s">
        <v>841</v>
      </c>
      <c r="C20" s="283">
        <v>0</v>
      </c>
      <c r="D20" s="351">
        <f t="shared" si="0"/>
        <v>0</v>
      </c>
      <c r="E20" s="351">
        <f t="shared" si="1"/>
        <v>0</v>
      </c>
      <c r="F20" s="283">
        <v>0</v>
      </c>
      <c r="G20" s="351">
        <f t="shared" si="2"/>
        <v>0</v>
      </c>
      <c r="H20" s="28">
        <v>0</v>
      </c>
      <c r="I20" s="351">
        <f t="shared" si="3"/>
        <v>0</v>
      </c>
      <c r="J20" s="355" t="s">
        <v>833</v>
      </c>
      <c r="K20" s="351">
        <v>0</v>
      </c>
      <c r="L20" s="351">
        <f t="shared" si="4"/>
        <v>0</v>
      </c>
      <c r="M20" s="351">
        <f t="shared" si="5"/>
        <v>0</v>
      </c>
      <c r="N20" s="351">
        <f t="shared" si="6"/>
        <v>0</v>
      </c>
      <c r="O20" s="351">
        <f t="shared" si="7"/>
        <v>0</v>
      </c>
      <c r="P20" s="351">
        <f t="shared" si="8"/>
        <v>0</v>
      </c>
      <c r="Q20" s="351">
        <f t="shared" si="16"/>
        <v>0</v>
      </c>
      <c r="R20" s="351">
        <f t="shared" si="9"/>
        <v>0</v>
      </c>
      <c r="S20" s="351">
        <f t="shared" si="10"/>
        <v>0</v>
      </c>
      <c r="T20" s="351">
        <f t="shared" si="11"/>
        <v>0</v>
      </c>
      <c r="U20" s="351">
        <f t="shared" si="10"/>
        <v>0</v>
      </c>
      <c r="V20" s="351">
        <f t="shared" si="12"/>
        <v>0</v>
      </c>
      <c r="W20" s="351">
        <f t="shared" si="10"/>
        <v>0</v>
      </c>
      <c r="X20" s="351">
        <f t="shared" si="13"/>
        <v>0</v>
      </c>
      <c r="Y20" s="351">
        <f t="shared" si="10"/>
        <v>0</v>
      </c>
      <c r="Z20" s="351">
        <f t="shared" si="14"/>
        <v>0</v>
      </c>
    </row>
    <row r="21" spans="1:26" ht="17.45" customHeight="1">
      <c r="A21" s="347">
        <f t="shared" si="15"/>
        <v>10</v>
      </c>
      <c r="B21" s="29" t="s">
        <v>842</v>
      </c>
      <c r="C21" s="283">
        <v>1288335</v>
      </c>
      <c r="D21" s="351">
        <f t="shared" si="0"/>
        <v>773001</v>
      </c>
      <c r="E21" s="351">
        <f t="shared" si="1"/>
        <v>515334</v>
      </c>
      <c r="F21" s="283">
        <v>0</v>
      </c>
      <c r="G21" s="351">
        <f t="shared" si="2"/>
        <v>515334</v>
      </c>
      <c r="H21" s="28">
        <v>0</v>
      </c>
      <c r="I21" s="351">
        <f t="shared" si="3"/>
        <v>0</v>
      </c>
      <c r="J21" s="355" t="s">
        <v>833</v>
      </c>
      <c r="K21" s="351">
        <v>0</v>
      </c>
      <c r="L21" s="351">
        <f t="shared" si="4"/>
        <v>0</v>
      </c>
      <c r="M21" s="351">
        <f t="shared" si="5"/>
        <v>0</v>
      </c>
      <c r="N21" s="351">
        <f t="shared" si="6"/>
        <v>0</v>
      </c>
      <c r="O21" s="351">
        <f t="shared" si="7"/>
        <v>0</v>
      </c>
      <c r="P21" s="351">
        <f t="shared" si="8"/>
        <v>0</v>
      </c>
      <c r="Q21" s="351">
        <f t="shared" si="16"/>
        <v>0</v>
      </c>
      <c r="R21" s="351">
        <f t="shared" si="9"/>
        <v>0</v>
      </c>
      <c r="S21" s="351">
        <f t="shared" si="10"/>
        <v>0</v>
      </c>
      <c r="T21" s="351">
        <f t="shared" si="11"/>
        <v>0</v>
      </c>
      <c r="U21" s="351">
        <f t="shared" si="10"/>
        <v>0</v>
      </c>
      <c r="V21" s="351">
        <f t="shared" si="12"/>
        <v>0</v>
      </c>
      <c r="W21" s="351">
        <f t="shared" si="10"/>
        <v>0</v>
      </c>
      <c r="X21" s="351">
        <f t="shared" si="13"/>
        <v>0</v>
      </c>
      <c r="Y21" s="351">
        <f t="shared" si="10"/>
        <v>0</v>
      </c>
      <c r="Z21" s="351">
        <f t="shared" si="14"/>
        <v>0</v>
      </c>
    </row>
    <row r="22" spans="1:26">
      <c r="A22" s="347">
        <f t="shared" si="15"/>
        <v>11</v>
      </c>
      <c r="B22" s="29" t="s">
        <v>843</v>
      </c>
      <c r="C22" s="283">
        <v>-224000</v>
      </c>
      <c r="D22" s="351">
        <f t="shared" si="0"/>
        <v>-134400</v>
      </c>
      <c r="E22" s="351">
        <f t="shared" si="1"/>
        <v>-89600</v>
      </c>
      <c r="F22" s="283">
        <v>0</v>
      </c>
      <c r="G22" s="351">
        <f t="shared" si="2"/>
        <v>-89600</v>
      </c>
      <c r="H22" s="28">
        <v>0.14549999999999999</v>
      </c>
      <c r="I22" s="351">
        <f t="shared" si="3"/>
        <v>-13036.8</v>
      </c>
      <c r="J22" s="355" t="s">
        <v>833</v>
      </c>
      <c r="K22" s="351">
        <v>0</v>
      </c>
      <c r="L22" s="351">
        <f t="shared" si="4"/>
        <v>-13036.8</v>
      </c>
      <c r="M22" s="351">
        <f t="shared" si="5"/>
        <v>-1303.6799999999998</v>
      </c>
      <c r="N22" s="351">
        <f t="shared" si="6"/>
        <v>-11733.119999999999</v>
      </c>
      <c r="O22" s="351">
        <f t="shared" si="7"/>
        <v>-1303.6799999999998</v>
      </c>
      <c r="P22" s="351">
        <f t="shared" si="8"/>
        <v>-10429.439999999999</v>
      </c>
      <c r="Q22" s="351">
        <f t="shared" si="16"/>
        <v>-2085.8879999999999</v>
      </c>
      <c r="R22" s="351">
        <f t="shared" si="9"/>
        <v>-8343.5519999999997</v>
      </c>
      <c r="S22" s="351">
        <f t="shared" si="10"/>
        <v>-2085.8879999999999</v>
      </c>
      <c r="T22" s="351">
        <f t="shared" si="11"/>
        <v>-6257.6639999999998</v>
      </c>
      <c r="U22" s="351">
        <f t="shared" si="10"/>
        <v>-2085.8879999999999</v>
      </c>
      <c r="V22" s="351">
        <f t="shared" si="12"/>
        <v>-4171.7759999999998</v>
      </c>
      <c r="W22" s="351">
        <f t="shared" si="10"/>
        <v>-2085.8879999999999</v>
      </c>
      <c r="X22" s="351">
        <f t="shared" si="13"/>
        <v>-2085.8879999999999</v>
      </c>
      <c r="Y22" s="351">
        <f t="shared" si="10"/>
        <v>-2085.8879999999999</v>
      </c>
      <c r="Z22" s="351">
        <f t="shared" si="14"/>
        <v>0</v>
      </c>
    </row>
    <row r="23" spans="1:26">
      <c r="A23" s="347">
        <f t="shared" si="15"/>
        <v>12</v>
      </c>
      <c r="B23" s="29" t="s">
        <v>844</v>
      </c>
      <c r="C23" s="198">
        <v>245590</v>
      </c>
      <c r="D23" s="279">
        <f t="shared" si="0"/>
        <v>147354</v>
      </c>
      <c r="E23" s="279">
        <f t="shared" si="1"/>
        <v>98236</v>
      </c>
      <c r="F23" s="198">
        <v>0</v>
      </c>
      <c r="G23" s="279">
        <f t="shared" si="2"/>
        <v>98236</v>
      </c>
      <c r="H23" s="529" t="s">
        <v>845</v>
      </c>
      <c r="I23" s="198">
        <v>15523</v>
      </c>
      <c r="J23" s="355" t="s">
        <v>833</v>
      </c>
      <c r="K23" s="279">
        <v>0</v>
      </c>
      <c r="L23" s="279">
        <f t="shared" si="4"/>
        <v>15523</v>
      </c>
      <c r="M23" s="279">
        <f t="shared" si="5"/>
        <v>1552.3</v>
      </c>
      <c r="N23" s="279">
        <f t="shared" si="6"/>
        <v>13970.7</v>
      </c>
      <c r="O23" s="279">
        <f t="shared" si="7"/>
        <v>1552.3</v>
      </c>
      <c r="P23" s="279">
        <f t="shared" si="8"/>
        <v>12418.400000000001</v>
      </c>
      <c r="Q23" s="279">
        <f t="shared" si="16"/>
        <v>2483.6800000000003</v>
      </c>
      <c r="R23" s="279">
        <f t="shared" si="9"/>
        <v>9934.7200000000012</v>
      </c>
      <c r="S23" s="279">
        <f t="shared" si="10"/>
        <v>2483.6800000000003</v>
      </c>
      <c r="T23" s="279">
        <f t="shared" si="11"/>
        <v>7451.0400000000009</v>
      </c>
      <c r="U23" s="279">
        <f t="shared" si="10"/>
        <v>2483.6800000000003</v>
      </c>
      <c r="V23" s="279">
        <f t="shared" si="12"/>
        <v>4967.3600000000006</v>
      </c>
      <c r="W23" s="279">
        <f t="shared" si="10"/>
        <v>2483.6800000000003</v>
      </c>
      <c r="X23" s="279">
        <f t="shared" si="13"/>
        <v>2483.6800000000003</v>
      </c>
      <c r="Y23" s="279">
        <f t="shared" si="10"/>
        <v>2483.6800000000003</v>
      </c>
      <c r="Z23" s="279">
        <f t="shared" si="14"/>
        <v>0</v>
      </c>
    </row>
    <row r="24" spans="1:26">
      <c r="A24" s="347">
        <f>+A23+1</f>
        <v>13</v>
      </c>
      <c r="B24" s="27" t="s">
        <v>846</v>
      </c>
      <c r="C24" s="351">
        <f>+SUM(C12:C23)</f>
        <v>9760185</v>
      </c>
      <c r="D24" s="351">
        <f>+SUM(D12:D23)</f>
        <v>5856111</v>
      </c>
      <c r="E24" s="351">
        <f>+SUM(E12:E23)</f>
        <v>3904074</v>
      </c>
      <c r="F24" s="351">
        <f>+SUM(F12:F23)</f>
        <v>0</v>
      </c>
      <c r="G24" s="351">
        <f>+SUM(G12:G23)</f>
        <v>3904074</v>
      </c>
      <c r="H24" s="328"/>
      <c r="I24" s="351">
        <f t="shared" ref="I24:Z24" si="17">+SUM(I12:I23)</f>
        <v>493745.2009</v>
      </c>
      <c r="J24" s="351"/>
      <c r="K24" s="351">
        <f t="shared" si="17"/>
        <v>0</v>
      </c>
      <c r="L24" s="351">
        <f t="shared" si="17"/>
        <v>493745.2009</v>
      </c>
      <c r="M24" s="351">
        <f t="shared" si="17"/>
        <v>49374.520089999998</v>
      </c>
      <c r="N24" s="351">
        <f t="shared" si="17"/>
        <v>444370.68081000005</v>
      </c>
      <c r="O24" s="351">
        <f t="shared" si="17"/>
        <v>49374.520089999998</v>
      </c>
      <c r="P24" s="351">
        <f t="shared" si="17"/>
        <v>394996.16071999999</v>
      </c>
      <c r="Q24" s="351">
        <f t="shared" si="17"/>
        <v>78999.23214399998</v>
      </c>
      <c r="R24" s="351">
        <f t="shared" si="17"/>
        <v>315996.92857599992</v>
      </c>
      <c r="S24" s="351">
        <f t="shared" si="17"/>
        <v>78999.23214399998</v>
      </c>
      <c r="T24" s="351">
        <f t="shared" si="17"/>
        <v>236997.69643200003</v>
      </c>
      <c r="U24" s="351">
        <f t="shared" si="17"/>
        <v>78999.23214399998</v>
      </c>
      <c r="V24" s="351">
        <f t="shared" si="17"/>
        <v>157998.46428799996</v>
      </c>
      <c r="W24" s="351">
        <f t="shared" si="17"/>
        <v>78999.23214399998</v>
      </c>
      <c r="X24" s="351">
        <f t="shared" si="17"/>
        <v>78999.23214399998</v>
      </c>
      <c r="Y24" s="351">
        <f t="shared" si="17"/>
        <v>78999.23214399998</v>
      </c>
      <c r="Z24" s="351">
        <f t="shared" si="17"/>
        <v>0</v>
      </c>
    </row>
    <row r="25" spans="1:26" ht="24.75">
      <c r="B25" s="26"/>
      <c r="C25" s="25"/>
      <c r="D25" s="25"/>
      <c r="E25" s="25"/>
      <c r="F25" s="25"/>
      <c r="G25" s="25"/>
      <c r="H25" s="328"/>
      <c r="I25" s="279"/>
      <c r="J25" s="279"/>
      <c r="K25" s="279"/>
      <c r="L25" s="279"/>
      <c r="M25" s="279"/>
      <c r="N25" s="279"/>
      <c r="O25" s="279"/>
      <c r="P25" s="279"/>
      <c r="Q25" s="279"/>
      <c r="R25" s="279"/>
      <c r="S25" s="279"/>
      <c r="T25" s="279"/>
      <c r="U25" s="279"/>
      <c r="V25" s="279"/>
      <c r="W25" s="279"/>
      <c r="X25" s="279"/>
      <c r="Y25" s="279"/>
      <c r="Z25" s="279"/>
    </row>
    <row r="26" spans="1:26" ht="24.75">
      <c r="B26" s="27" t="s">
        <v>847</v>
      </c>
      <c r="C26" s="25"/>
      <c r="D26" s="25"/>
      <c r="E26" s="25"/>
      <c r="F26" s="25"/>
      <c r="G26" s="25"/>
      <c r="H26" s="328"/>
      <c r="I26" s="279"/>
      <c r="J26" s="279"/>
      <c r="K26" s="279"/>
      <c r="L26" s="279"/>
      <c r="M26" s="279"/>
      <c r="N26" s="279"/>
      <c r="O26" s="279"/>
      <c r="P26" s="279"/>
      <c r="Q26" s="279"/>
      <c r="R26" s="279"/>
      <c r="S26" s="279"/>
      <c r="T26" s="279"/>
      <c r="U26" s="279"/>
      <c r="V26" s="279"/>
      <c r="W26" s="279"/>
      <c r="X26" s="279"/>
      <c r="Y26" s="279"/>
      <c r="Z26" s="279"/>
    </row>
    <row r="27" spans="1:26">
      <c r="A27" s="347">
        <f>+A24+1</f>
        <v>14</v>
      </c>
      <c r="B27" s="44" t="s">
        <v>848</v>
      </c>
      <c r="C27" s="283">
        <v>0</v>
      </c>
      <c r="D27" s="351">
        <f t="shared" ref="D27:D28" si="18">+C27*$I$80</f>
        <v>0</v>
      </c>
      <c r="E27" s="351">
        <f t="shared" ref="E27:E28" si="19">+C27-D27</f>
        <v>0</v>
      </c>
      <c r="F27" s="283">
        <v>0</v>
      </c>
      <c r="G27" s="351">
        <f>+E27-F27</f>
        <v>0</v>
      </c>
      <c r="H27" s="28">
        <v>0</v>
      </c>
      <c r="I27" s="351">
        <f t="shared" ref="I27" si="20">+G27*H27</f>
        <v>0</v>
      </c>
      <c r="J27" s="283"/>
      <c r="K27" s="351">
        <v>0</v>
      </c>
      <c r="L27" s="351">
        <f>+I27-K27</f>
        <v>0</v>
      </c>
      <c r="M27" s="283">
        <v>0</v>
      </c>
      <c r="N27" s="351">
        <f>+K27-M27</f>
        <v>0</v>
      </c>
      <c r="O27" s="283">
        <v>0</v>
      </c>
      <c r="P27" s="351">
        <f>+M27-O27</f>
        <v>0</v>
      </c>
      <c r="Q27" s="283">
        <v>0</v>
      </c>
      <c r="R27" s="351">
        <f>+O27-Q27</f>
        <v>0</v>
      </c>
      <c r="S27" s="283">
        <v>0</v>
      </c>
      <c r="T27" s="351">
        <f>+Q27-S27</f>
        <v>0</v>
      </c>
      <c r="U27" s="283">
        <v>0</v>
      </c>
      <c r="V27" s="351">
        <f t="shared" ref="V27:V28" si="21">+T27-U27</f>
        <v>0</v>
      </c>
      <c r="W27" s="283">
        <v>0</v>
      </c>
      <c r="X27" s="351">
        <f>+U27-W27</f>
        <v>0</v>
      </c>
      <c r="Y27" s="351">
        <f t="shared" ref="Y27:Y28" si="22">+$P27/5</f>
        <v>0</v>
      </c>
      <c r="Z27" s="351">
        <f>+W27-Y27</f>
        <v>0</v>
      </c>
    </row>
    <row r="28" spans="1:26">
      <c r="A28" s="347">
        <f>+A27+1</f>
        <v>15</v>
      </c>
      <c r="B28" s="44" t="s">
        <v>848</v>
      </c>
      <c r="C28" s="198">
        <v>0</v>
      </c>
      <c r="D28" s="279">
        <f t="shared" si="18"/>
        <v>0</v>
      </c>
      <c r="E28" s="279">
        <f t="shared" si="19"/>
        <v>0</v>
      </c>
      <c r="F28" s="198">
        <v>0</v>
      </c>
      <c r="G28" s="279">
        <f>+E28-F28</f>
        <v>0</v>
      </c>
      <c r="H28" s="115" t="s">
        <v>845</v>
      </c>
      <c r="I28" s="279">
        <v>0</v>
      </c>
      <c r="J28" s="283"/>
      <c r="K28" s="279">
        <v>0</v>
      </c>
      <c r="L28" s="279">
        <f>+I28-K28</f>
        <v>0</v>
      </c>
      <c r="M28" s="198">
        <v>0</v>
      </c>
      <c r="N28" s="279">
        <f>+K28-M28</f>
        <v>0</v>
      </c>
      <c r="O28" s="198">
        <v>0</v>
      </c>
      <c r="P28" s="279">
        <f>+M28-O28</f>
        <v>0</v>
      </c>
      <c r="Q28" s="198">
        <v>0</v>
      </c>
      <c r="R28" s="279">
        <f>+O28-Q28</f>
        <v>0</v>
      </c>
      <c r="S28" s="198">
        <v>0</v>
      </c>
      <c r="T28" s="279">
        <f>+Q28-S28</f>
        <v>0</v>
      </c>
      <c r="U28" s="198">
        <v>0</v>
      </c>
      <c r="V28" s="279">
        <f t="shared" si="21"/>
        <v>0</v>
      </c>
      <c r="W28" s="198">
        <v>0</v>
      </c>
      <c r="X28" s="279">
        <f>+U28-W28</f>
        <v>0</v>
      </c>
      <c r="Y28" s="279">
        <f t="shared" si="22"/>
        <v>0</v>
      </c>
      <c r="Z28" s="279">
        <f>+W28-Y28</f>
        <v>0</v>
      </c>
    </row>
    <row r="29" spans="1:26">
      <c r="A29" s="347">
        <f>+A28+1</f>
        <v>16</v>
      </c>
      <c r="B29" s="308" t="s">
        <v>849</v>
      </c>
      <c r="C29" s="351">
        <f>+C27+C28</f>
        <v>0</v>
      </c>
      <c r="D29" s="351">
        <f>+D27+D28</f>
        <v>0</v>
      </c>
      <c r="E29" s="351">
        <f>+E27+E28</f>
        <v>0</v>
      </c>
      <c r="F29" s="351">
        <f>+F27+F28</f>
        <v>0</v>
      </c>
      <c r="G29" s="351">
        <f>+G27+G28</f>
        <v>0</v>
      </c>
      <c r="H29" s="115"/>
      <c r="I29" s="351">
        <f>+I27+I28</f>
        <v>0</v>
      </c>
      <c r="J29" s="351"/>
      <c r="K29" s="351">
        <f t="shared" ref="K29:V29" si="23">+K27+K28</f>
        <v>0</v>
      </c>
      <c r="L29" s="351">
        <f t="shared" si="23"/>
        <v>0</v>
      </c>
      <c r="M29" s="351">
        <f t="shared" si="23"/>
        <v>0</v>
      </c>
      <c r="N29" s="351">
        <f t="shared" si="23"/>
        <v>0</v>
      </c>
      <c r="O29" s="351">
        <f t="shared" si="23"/>
        <v>0</v>
      </c>
      <c r="P29" s="351">
        <f t="shared" si="23"/>
        <v>0</v>
      </c>
      <c r="Q29" s="351">
        <f t="shared" si="23"/>
        <v>0</v>
      </c>
      <c r="R29" s="351">
        <f t="shared" si="23"/>
        <v>0</v>
      </c>
      <c r="S29" s="351">
        <f t="shared" si="23"/>
        <v>0</v>
      </c>
      <c r="T29" s="351">
        <f t="shared" si="23"/>
        <v>0</v>
      </c>
      <c r="U29" s="351">
        <f t="shared" si="23"/>
        <v>0</v>
      </c>
      <c r="V29" s="351">
        <f t="shared" si="23"/>
        <v>0</v>
      </c>
      <c r="W29" s="351">
        <f>+W27+W28</f>
        <v>0</v>
      </c>
      <c r="X29" s="351">
        <f>+X27+X28</f>
        <v>0</v>
      </c>
      <c r="Y29" s="351">
        <f>+Y27+Y28</f>
        <v>0</v>
      </c>
      <c r="Z29" s="351">
        <f>+Z27+Z28</f>
        <v>0</v>
      </c>
    </row>
    <row r="30" spans="1:26">
      <c r="B30" s="308"/>
      <c r="C30" s="351"/>
      <c r="D30" s="351"/>
      <c r="E30" s="351"/>
      <c r="F30" s="351"/>
      <c r="G30" s="351"/>
      <c r="H30" s="115"/>
      <c r="I30" s="351"/>
      <c r="J30" s="351"/>
      <c r="K30" s="351"/>
      <c r="L30" s="351"/>
      <c r="M30" s="351"/>
      <c r="N30" s="351"/>
      <c r="O30" s="351"/>
      <c r="P30" s="351"/>
      <c r="Q30" s="351"/>
      <c r="R30" s="351"/>
      <c r="S30" s="351"/>
      <c r="T30" s="351"/>
      <c r="U30" s="351"/>
      <c r="V30" s="351"/>
      <c r="W30" s="351"/>
      <c r="X30" s="351"/>
      <c r="Y30" s="351"/>
      <c r="Z30" s="351"/>
    </row>
    <row r="31" spans="1:26">
      <c r="B31" s="308" t="s">
        <v>850</v>
      </c>
      <c r="C31" s="351"/>
      <c r="D31" s="351"/>
      <c r="E31" s="351"/>
      <c r="F31" s="351"/>
      <c r="G31" s="351"/>
      <c r="H31" s="115"/>
      <c r="I31" s="351"/>
      <c r="J31" s="351"/>
      <c r="K31" s="351"/>
      <c r="L31" s="351"/>
      <c r="M31" s="351"/>
      <c r="N31" s="351"/>
      <c r="O31" s="351"/>
      <c r="P31" s="351"/>
      <c r="Q31" s="351"/>
      <c r="R31" s="351"/>
      <c r="S31" s="351"/>
      <c r="T31" s="351"/>
      <c r="U31" s="351"/>
      <c r="V31" s="351"/>
      <c r="W31" s="351"/>
      <c r="X31" s="351"/>
      <c r="Y31" s="351"/>
      <c r="Z31" s="351"/>
    </row>
    <row r="32" spans="1:26">
      <c r="A32" s="347">
        <f>+A29+1</f>
        <v>17</v>
      </c>
      <c r="B32" s="44" t="s">
        <v>848</v>
      </c>
      <c r="C32" s="351">
        <v>0</v>
      </c>
      <c r="D32" s="351">
        <f t="shared" ref="D32:D35" si="24">+C32*$I$80</f>
        <v>0</v>
      </c>
      <c r="E32" s="351">
        <f t="shared" ref="E32:E35" si="25">+C32-D32</f>
        <v>0</v>
      </c>
      <c r="F32" s="283">
        <v>0</v>
      </c>
      <c r="G32" s="351">
        <f>+E32-F32</f>
        <v>0</v>
      </c>
      <c r="H32" s="28">
        <v>0</v>
      </c>
      <c r="I32" s="351">
        <f t="shared" ref="I32:I34" si="26">+G32*H32</f>
        <v>0</v>
      </c>
      <c r="J32" s="283"/>
      <c r="K32" s="351">
        <v>0</v>
      </c>
      <c r="L32" s="351">
        <f t="shared" ref="L32:L35" si="27">+I32-K32</f>
        <v>0</v>
      </c>
      <c r="M32" s="283">
        <v>0</v>
      </c>
      <c r="N32" s="351">
        <f t="shared" ref="N32:N35" si="28">+L32-M32</f>
        <v>0</v>
      </c>
      <c r="O32" s="283">
        <v>0</v>
      </c>
      <c r="P32" s="351">
        <f t="shared" ref="P32:P35" si="29">+N32-O32</f>
        <v>0</v>
      </c>
      <c r="Q32" s="283">
        <v>0</v>
      </c>
      <c r="R32" s="351">
        <f t="shared" ref="R32:R35" si="30">+P32-Q32</f>
        <v>0</v>
      </c>
      <c r="S32" s="283">
        <v>0</v>
      </c>
      <c r="T32" s="351">
        <f t="shared" ref="T32:T35" si="31">+R32-S32</f>
        <v>0</v>
      </c>
      <c r="U32" s="283">
        <v>0</v>
      </c>
      <c r="V32" s="351">
        <f t="shared" ref="V32:V35" si="32">+T32-U32</f>
        <v>0</v>
      </c>
      <c r="W32" s="283">
        <v>0</v>
      </c>
      <c r="X32" s="351">
        <f t="shared" ref="X32:X35" si="33">+V32-W32</f>
        <v>0</v>
      </c>
      <c r="Y32" s="351">
        <f>+$P32/5</f>
        <v>0</v>
      </c>
      <c r="Z32" s="351">
        <f t="shared" ref="Z32:Z35" si="34">+X32-Y32</f>
        <v>0</v>
      </c>
    </row>
    <row r="33" spans="1:26">
      <c r="A33" s="347">
        <f>+A32+1</f>
        <v>18</v>
      </c>
      <c r="B33" s="44" t="s">
        <v>848</v>
      </c>
      <c r="C33" s="351">
        <v>0</v>
      </c>
      <c r="D33" s="351">
        <f t="shared" si="24"/>
        <v>0</v>
      </c>
      <c r="E33" s="351">
        <f t="shared" si="25"/>
        <v>0</v>
      </c>
      <c r="F33" s="283">
        <v>0</v>
      </c>
      <c r="G33" s="351">
        <f t="shared" ref="G33:G35" si="35">+E33-F33</f>
        <v>0</v>
      </c>
      <c r="H33" s="28">
        <v>0</v>
      </c>
      <c r="I33" s="351">
        <f t="shared" si="26"/>
        <v>0</v>
      </c>
      <c r="J33" s="283"/>
      <c r="K33" s="351">
        <v>0</v>
      </c>
      <c r="L33" s="351">
        <f t="shared" si="27"/>
        <v>0</v>
      </c>
      <c r="M33" s="283">
        <v>0</v>
      </c>
      <c r="N33" s="351">
        <f t="shared" si="28"/>
        <v>0</v>
      </c>
      <c r="O33" s="283">
        <v>0</v>
      </c>
      <c r="P33" s="351">
        <f t="shared" si="29"/>
        <v>0</v>
      </c>
      <c r="Q33" s="283">
        <v>0</v>
      </c>
      <c r="R33" s="351">
        <f t="shared" si="30"/>
        <v>0</v>
      </c>
      <c r="S33" s="283">
        <v>0</v>
      </c>
      <c r="T33" s="351">
        <f t="shared" si="31"/>
        <v>0</v>
      </c>
      <c r="U33" s="283">
        <v>0</v>
      </c>
      <c r="V33" s="351">
        <f t="shared" si="32"/>
        <v>0</v>
      </c>
      <c r="W33" s="283">
        <v>0</v>
      </c>
      <c r="X33" s="351">
        <f t="shared" si="33"/>
        <v>0</v>
      </c>
      <c r="Y33" s="351">
        <f t="shared" ref="Y33:Y35" si="36">+$P33/5</f>
        <v>0</v>
      </c>
      <c r="Z33" s="351">
        <f t="shared" si="34"/>
        <v>0</v>
      </c>
    </row>
    <row r="34" spans="1:26">
      <c r="A34" s="347">
        <f>+A33+1</f>
        <v>19</v>
      </c>
      <c r="B34" s="44" t="s">
        <v>848</v>
      </c>
      <c r="C34" s="351">
        <v>0</v>
      </c>
      <c r="D34" s="351">
        <f t="shared" si="24"/>
        <v>0</v>
      </c>
      <c r="E34" s="351">
        <f t="shared" si="25"/>
        <v>0</v>
      </c>
      <c r="F34" s="283">
        <v>0</v>
      </c>
      <c r="G34" s="351">
        <f t="shared" si="35"/>
        <v>0</v>
      </c>
      <c r="H34" s="28">
        <v>0</v>
      </c>
      <c r="I34" s="351">
        <f t="shared" si="26"/>
        <v>0</v>
      </c>
      <c r="J34" s="283"/>
      <c r="K34" s="351">
        <v>0</v>
      </c>
      <c r="L34" s="351">
        <f t="shared" si="27"/>
        <v>0</v>
      </c>
      <c r="M34" s="283">
        <v>0</v>
      </c>
      <c r="N34" s="351">
        <f t="shared" si="28"/>
        <v>0</v>
      </c>
      <c r="O34" s="283">
        <v>0</v>
      </c>
      <c r="P34" s="351">
        <f t="shared" si="29"/>
        <v>0</v>
      </c>
      <c r="Q34" s="283">
        <v>0</v>
      </c>
      <c r="R34" s="351">
        <f t="shared" si="30"/>
        <v>0</v>
      </c>
      <c r="S34" s="283">
        <v>0</v>
      </c>
      <c r="T34" s="351">
        <f t="shared" si="31"/>
        <v>0</v>
      </c>
      <c r="U34" s="283">
        <v>0</v>
      </c>
      <c r="V34" s="351">
        <f t="shared" si="32"/>
        <v>0</v>
      </c>
      <c r="W34" s="283">
        <v>0</v>
      </c>
      <c r="X34" s="351">
        <f t="shared" si="33"/>
        <v>0</v>
      </c>
      <c r="Y34" s="351">
        <f t="shared" si="36"/>
        <v>0</v>
      </c>
      <c r="Z34" s="351">
        <f t="shared" si="34"/>
        <v>0</v>
      </c>
    </row>
    <row r="35" spans="1:26">
      <c r="A35" s="347">
        <f>+A34+1</f>
        <v>20</v>
      </c>
      <c r="B35" s="44" t="s">
        <v>848</v>
      </c>
      <c r="C35" s="279">
        <v>0</v>
      </c>
      <c r="D35" s="279">
        <f t="shared" si="24"/>
        <v>0</v>
      </c>
      <c r="E35" s="279">
        <f t="shared" si="25"/>
        <v>0</v>
      </c>
      <c r="F35" s="198">
        <v>0</v>
      </c>
      <c r="G35" s="279">
        <f t="shared" si="35"/>
        <v>0</v>
      </c>
      <c r="H35" s="28" t="s">
        <v>845</v>
      </c>
      <c r="I35" s="279">
        <v>0</v>
      </c>
      <c r="J35" s="283"/>
      <c r="K35" s="279">
        <v>0</v>
      </c>
      <c r="L35" s="279">
        <f t="shared" si="27"/>
        <v>0</v>
      </c>
      <c r="M35" s="198">
        <v>0</v>
      </c>
      <c r="N35" s="279">
        <f t="shared" si="28"/>
        <v>0</v>
      </c>
      <c r="O35" s="198">
        <v>0</v>
      </c>
      <c r="P35" s="279">
        <f t="shared" si="29"/>
        <v>0</v>
      </c>
      <c r="Q35" s="198">
        <v>0</v>
      </c>
      <c r="R35" s="279">
        <f t="shared" si="30"/>
        <v>0</v>
      </c>
      <c r="S35" s="198">
        <v>0</v>
      </c>
      <c r="T35" s="279">
        <f t="shared" si="31"/>
        <v>0</v>
      </c>
      <c r="U35" s="198">
        <v>0</v>
      </c>
      <c r="V35" s="279">
        <f t="shared" si="32"/>
        <v>0</v>
      </c>
      <c r="W35" s="198">
        <v>0</v>
      </c>
      <c r="X35" s="279">
        <f t="shared" si="33"/>
        <v>0</v>
      </c>
      <c r="Y35" s="279">
        <f t="shared" si="36"/>
        <v>0</v>
      </c>
      <c r="Z35" s="279">
        <f t="shared" si="34"/>
        <v>0</v>
      </c>
    </row>
    <row r="36" spans="1:26">
      <c r="A36" s="347">
        <f>+A35+1</f>
        <v>21</v>
      </c>
      <c r="B36" s="308" t="s">
        <v>851</v>
      </c>
      <c r="C36" s="351">
        <f>+C34+C35</f>
        <v>0</v>
      </c>
      <c r="D36" s="351">
        <f>+D34+D35</f>
        <v>0</v>
      </c>
      <c r="E36" s="351">
        <f>+SUM(E32:E35)</f>
        <v>0</v>
      </c>
      <c r="F36" s="351">
        <f>+SUM(F32:F35)</f>
        <v>0</v>
      </c>
      <c r="G36" s="351">
        <f>+SUM(G32:G35)</f>
        <v>0</v>
      </c>
      <c r="H36" s="328"/>
      <c r="I36" s="351">
        <f>+SUM(I32:I35)</f>
        <v>0</v>
      </c>
      <c r="J36" s="351"/>
      <c r="K36" s="351">
        <f t="shared" ref="K36:Z36" si="37">+SUM(K32:K35)</f>
        <v>0</v>
      </c>
      <c r="L36" s="351">
        <f t="shared" si="37"/>
        <v>0</v>
      </c>
      <c r="M36" s="351">
        <f t="shared" si="37"/>
        <v>0</v>
      </c>
      <c r="N36" s="351">
        <f t="shared" si="37"/>
        <v>0</v>
      </c>
      <c r="O36" s="351">
        <f t="shared" si="37"/>
        <v>0</v>
      </c>
      <c r="P36" s="351">
        <f t="shared" si="37"/>
        <v>0</v>
      </c>
      <c r="Q36" s="351">
        <f t="shared" si="37"/>
        <v>0</v>
      </c>
      <c r="R36" s="351">
        <f t="shared" si="37"/>
        <v>0</v>
      </c>
      <c r="S36" s="351">
        <f t="shared" si="37"/>
        <v>0</v>
      </c>
      <c r="T36" s="351">
        <f t="shared" si="37"/>
        <v>0</v>
      </c>
      <c r="U36" s="351">
        <f t="shared" si="37"/>
        <v>0</v>
      </c>
      <c r="V36" s="351">
        <f t="shared" si="37"/>
        <v>0</v>
      </c>
      <c r="W36" s="351">
        <f t="shared" si="37"/>
        <v>0</v>
      </c>
      <c r="X36" s="351">
        <f t="shared" si="37"/>
        <v>0</v>
      </c>
      <c r="Y36" s="351">
        <f t="shared" si="37"/>
        <v>0</v>
      </c>
      <c r="Z36" s="351">
        <f t="shared" si="37"/>
        <v>0</v>
      </c>
    </row>
    <row r="37" spans="1:26">
      <c r="B37" s="308"/>
      <c r="C37" s="308"/>
      <c r="D37" s="308"/>
      <c r="E37" s="351"/>
      <c r="F37" s="351"/>
      <c r="G37" s="351"/>
      <c r="H37" s="328"/>
      <c r="I37" s="351"/>
      <c r="J37" s="351"/>
      <c r="K37" s="351"/>
      <c r="L37" s="351"/>
      <c r="M37" s="351"/>
      <c r="N37" s="351"/>
      <c r="O37" s="351"/>
      <c r="P37" s="351"/>
      <c r="Q37" s="351"/>
      <c r="R37" s="351"/>
      <c r="S37" s="351"/>
      <c r="T37" s="351"/>
      <c r="U37" s="351"/>
      <c r="V37" s="351"/>
      <c r="W37" s="351"/>
      <c r="X37" s="351"/>
      <c r="Y37" s="351"/>
      <c r="Z37" s="351"/>
    </row>
    <row r="38" spans="1:26" ht="40.5">
      <c r="A38" s="347">
        <f>+A36+1</f>
        <v>22</v>
      </c>
      <c r="B38" s="308" t="s">
        <v>852</v>
      </c>
      <c r="C38" s="308"/>
      <c r="D38" s="308"/>
      <c r="E38" s="351">
        <f>+E24+E29+E36</f>
        <v>3904074</v>
      </c>
      <c r="F38" s="351"/>
      <c r="G38" s="351">
        <f>+G24+G29+G36</f>
        <v>3904074</v>
      </c>
      <c r="H38" s="328"/>
      <c r="I38" s="351">
        <f>+I24+I29+I36</f>
        <v>493745.2009</v>
      </c>
      <c r="J38" s="351"/>
      <c r="K38" s="351">
        <f>+K24+K29+K36</f>
        <v>0</v>
      </c>
      <c r="L38" s="351">
        <f t="shared" ref="L38:Z38" si="38">+L24+L29+L36</f>
        <v>493745.2009</v>
      </c>
      <c r="M38" s="351">
        <f t="shared" si="38"/>
        <v>49374.520089999998</v>
      </c>
      <c r="N38" s="351">
        <f t="shared" si="38"/>
        <v>444370.68081000005</v>
      </c>
      <c r="O38" s="351">
        <f t="shared" si="38"/>
        <v>49374.520089999998</v>
      </c>
      <c r="P38" s="351">
        <f t="shared" si="38"/>
        <v>394996.16071999999</v>
      </c>
      <c r="Q38" s="351">
        <f t="shared" si="38"/>
        <v>78999.23214399998</v>
      </c>
      <c r="R38" s="351">
        <f t="shared" si="38"/>
        <v>315996.92857599992</v>
      </c>
      <c r="S38" s="351">
        <f t="shared" si="38"/>
        <v>78999.23214399998</v>
      </c>
      <c r="T38" s="351">
        <f t="shared" si="38"/>
        <v>236997.69643200003</v>
      </c>
      <c r="U38" s="351">
        <f t="shared" si="38"/>
        <v>78999.23214399998</v>
      </c>
      <c r="V38" s="351">
        <f t="shared" si="38"/>
        <v>157998.46428799996</v>
      </c>
      <c r="W38" s="351">
        <f t="shared" si="38"/>
        <v>78999.23214399998</v>
      </c>
      <c r="X38" s="351">
        <f t="shared" si="38"/>
        <v>78999.23214399998</v>
      </c>
      <c r="Y38" s="351">
        <f t="shared" si="38"/>
        <v>78999.23214399998</v>
      </c>
      <c r="Z38" s="351">
        <f t="shared" si="38"/>
        <v>0</v>
      </c>
    </row>
    <row r="39" spans="1:26">
      <c r="A39" s="347">
        <f>+A38+1</f>
        <v>23</v>
      </c>
      <c r="B39" s="308" t="s">
        <v>853</v>
      </c>
      <c r="C39" s="308"/>
      <c r="D39" s="308"/>
      <c r="E39" s="524">
        <v>0</v>
      </c>
      <c r="F39" s="279"/>
      <c r="G39" s="198">
        <v>1037791.82278481</v>
      </c>
      <c r="H39" s="328"/>
      <c r="I39" s="198">
        <v>131248.72428987341</v>
      </c>
      <c r="J39" s="351"/>
      <c r="K39" s="279"/>
      <c r="L39" s="198">
        <v>131248.72428987341</v>
      </c>
      <c r="M39" s="351"/>
      <c r="N39" s="198">
        <v>118123.85186088608</v>
      </c>
      <c r="O39" s="351"/>
      <c r="P39" s="198">
        <v>104998.97943189873</v>
      </c>
      <c r="Q39" s="351"/>
      <c r="R39" s="198">
        <v>83999.183545518958</v>
      </c>
      <c r="S39" s="351"/>
      <c r="T39" s="198">
        <v>62999.38765913924</v>
      </c>
      <c r="U39" s="351"/>
      <c r="V39" s="198">
        <v>96409.913588658193</v>
      </c>
      <c r="W39" s="351"/>
      <c r="X39" s="198">
        <v>20999.795886379739</v>
      </c>
      <c r="Y39" s="351"/>
      <c r="Z39" s="198">
        <v>0</v>
      </c>
    </row>
    <row r="40" spans="1:26" ht="60.75">
      <c r="A40" s="347">
        <f>+A39+1</f>
        <v>24</v>
      </c>
      <c r="B40" s="308" t="s">
        <v>854</v>
      </c>
      <c r="C40" s="308"/>
      <c r="D40" s="308"/>
      <c r="E40" s="351">
        <f>+E38+E39</f>
        <v>3904074</v>
      </c>
      <c r="F40" s="279"/>
      <c r="G40" s="351">
        <f>+G38+G39</f>
        <v>4941865.8227848103</v>
      </c>
      <c r="H40" s="328"/>
      <c r="I40" s="351">
        <f>+I38+I39</f>
        <v>624993.92518987344</v>
      </c>
      <c r="J40" s="351"/>
      <c r="K40" s="351"/>
      <c r="L40" s="351">
        <f>+L38+L39</f>
        <v>624993.92518987344</v>
      </c>
      <c r="M40" s="351"/>
      <c r="N40" s="351">
        <f>+N38+N39</f>
        <v>562494.53267088614</v>
      </c>
      <c r="O40" s="351"/>
      <c r="P40" s="351">
        <f>+P38+P39</f>
        <v>499995.14015189873</v>
      </c>
      <c r="Q40" s="351"/>
      <c r="R40" s="351">
        <f>+R38+R39</f>
        <v>399996.11212151888</v>
      </c>
      <c r="S40" s="351"/>
      <c r="T40" s="351">
        <f>+T38+T39</f>
        <v>299997.08409113926</v>
      </c>
      <c r="U40" s="351"/>
      <c r="V40" s="351">
        <f>+V38+V39</f>
        <v>254408.37787665817</v>
      </c>
      <c r="W40" s="351"/>
      <c r="X40" s="351">
        <f>+X38+X39</f>
        <v>99999.028030379719</v>
      </c>
      <c r="Y40" s="351"/>
      <c r="Z40" s="351">
        <f>+Z38+Z39</f>
        <v>0</v>
      </c>
    </row>
    <row r="41" spans="1:26">
      <c r="B41" s="308"/>
      <c r="C41" s="308"/>
      <c r="D41" s="308"/>
      <c r="E41" s="351"/>
      <c r="F41" s="351"/>
      <c r="G41" s="351"/>
      <c r="H41" s="328"/>
      <c r="I41" s="351"/>
      <c r="J41" s="351"/>
      <c r="K41" s="351"/>
      <c r="L41" s="351"/>
      <c r="M41" s="351"/>
      <c r="N41" s="351"/>
      <c r="O41" s="351"/>
      <c r="P41" s="351"/>
      <c r="Q41" s="351"/>
      <c r="R41" s="351"/>
      <c r="S41" s="351"/>
      <c r="T41" s="351"/>
      <c r="U41" s="351"/>
      <c r="V41" s="351"/>
      <c r="W41" s="351"/>
      <c r="X41" s="351"/>
      <c r="Y41" s="351"/>
      <c r="Z41" s="351"/>
    </row>
    <row r="42" spans="1:26">
      <c r="B42" s="308"/>
      <c r="C42" s="308"/>
      <c r="D42" s="308"/>
      <c r="E42" s="351"/>
      <c r="F42" s="351"/>
      <c r="G42" s="351"/>
      <c r="H42" s="328"/>
      <c r="I42" s="351"/>
      <c r="J42" s="351"/>
      <c r="K42" s="351"/>
      <c r="L42" s="351"/>
      <c r="M42" s="351"/>
      <c r="N42" s="351"/>
      <c r="O42" s="351"/>
      <c r="P42" s="351"/>
      <c r="Q42" s="351"/>
      <c r="R42" s="351"/>
      <c r="S42" s="351"/>
      <c r="T42" s="351"/>
      <c r="U42" s="351"/>
      <c r="V42" s="351"/>
      <c r="W42" s="351"/>
      <c r="X42" s="351"/>
      <c r="Y42" s="351"/>
      <c r="Z42" s="351"/>
    </row>
    <row r="43" spans="1:26" ht="60.75">
      <c r="B43" s="268" t="s">
        <v>855</v>
      </c>
      <c r="C43" s="268"/>
      <c r="D43" s="268"/>
      <c r="E43" s="351"/>
      <c r="F43" s="351"/>
      <c r="G43" s="351"/>
      <c r="H43" s="328"/>
      <c r="I43" s="351"/>
      <c r="J43" s="351"/>
      <c r="K43" s="351"/>
      <c r="L43" s="351"/>
      <c r="M43" s="351"/>
      <c r="N43" s="351"/>
      <c r="O43" s="351"/>
      <c r="P43" s="351"/>
      <c r="Q43" s="351"/>
      <c r="R43" s="351"/>
      <c r="S43" s="351"/>
      <c r="T43" s="351"/>
      <c r="U43" s="351"/>
      <c r="V43" s="351"/>
      <c r="W43" s="351"/>
      <c r="X43" s="351"/>
      <c r="Y43" s="351"/>
      <c r="Z43" s="351"/>
    </row>
    <row r="44" spans="1:26">
      <c r="B44" s="308"/>
      <c r="C44" s="308"/>
      <c r="D44" s="308"/>
      <c r="E44" s="351"/>
      <c r="F44" s="351"/>
      <c r="G44" s="351"/>
      <c r="H44" s="328"/>
      <c r="I44" s="351"/>
      <c r="J44" s="351"/>
      <c r="K44" s="351"/>
      <c r="L44" s="351"/>
      <c r="M44" s="351"/>
      <c r="N44" s="351"/>
      <c r="O44" s="351"/>
      <c r="P44" s="351"/>
      <c r="Q44" s="351"/>
      <c r="R44" s="351"/>
      <c r="S44" s="351"/>
      <c r="T44" s="351"/>
      <c r="U44" s="351"/>
      <c r="V44" s="351"/>
      <c r="W44" s="351"/>
      <c r="X44" s="351"/>
      <c r="Y44" s="351"/>
      <c r="Z44" s="351"/>
    </row>
    <row r="45" spans="1:26" ht="24.75">
      <c r="B45" s="27" t="s">
        <v>831</v>
      </c>
      <c r="C45" s="27"/>
      <c r="D45" s="27"/>
      <c r="E45" s="25"/>
      <c r="F45" s="25"/>
      <c r="G45" s="25"/>
      <c r="H45" s="328"/>
      <c r="I45" s="351"/>
      <c r="J45" s="351"/>
      <c r="K45" s="351"/>
      <c r="L45" s="351"/>
      <c r="M45" s="351"/>
      <c r="N45" s="351"/>
      <c r="O45" s="351"/>
      <c r="P45" s="351"/>
      <c r="Q45" s="351"/>
      <c r="R45" s="351"/>
      <c r="S45" s="351"/>
      <c r="T45" s="351"/>
      <c r="U45" s="351"/>
      <c r="V45" s="351"/>
      <c r="W45" s="351"/>
      <c r="X45" s="351"/>
      <c r="Y45" s="351"/>
      <c r="Z45" s="351"/>
    </row>
    <row r="46" spans="1:26">
      <c r="A46" s="347">
        <f>+A40+1</f>
        <v>25</v>
      </c>
      <c r="B46" s="44" t="s">
        <v>848</v>
      </c>
      <c r="C46" s="283">
        <v>0</v>
      </c>
      <c r="D46" s="351">
        <f t="shared" ref="D46:D47" si="39">+C46*$I$80</f>
        <v>0</v>
      </c>
      <c r="E46" s="351">
        <f t="shared" ref="E46:E47" si="40">+C46-D46</f>
        <v>0</v>
      </c>
      <c r="F46" s="283">
        <v>0</v>
      </c>
      <c r="G46" s="351">
        <f>+E46-F46</f>
        <v>0</v>
      </c>
      <c r="H46" s="28">
        <v>0</v>
      </c>
      <c r="I46" s="351">
        <f t="shared" ref="I46" si="41">+G46*H46</f>
        <v>0</v>
      </c>
      <c r="J46" s="283"/>
      <c r="K46" s="351">
        <v>0</v>
      </c>
      <c r="L46" s="351">
        <f>+I46-K46</f>
        <v>0</v>
      </c>
      <c r="M46" s="283">
        <v>0</v>
      </c>
      <c r="N46" s="351">
        <f>+L46-M46</f>
        <v>0</v>
      </c>
      <c r="O46" s="283">
        <v>0</v>
      </c>
      <c r="P46" s="351">
        <f>+N46-O46</f>
        <v>0</v>
      </c>
      <c r="Q46" s="283">
        <v>0</v>
      </c>
      <c r="R46" s="351">
        <f>+P46-Q46</f>
        <v>0</v>
      </c>
      <c r="S46" s="283">
        <v>0</v>
      </c>
      <c r="T46" s="351">
        <f>+R46-S46</f>
        <v>0</v>
      </c>
      <c r="U46" s="283">
        <v>0</v>
      </c>
      <c r="V46" s="351">
        <f>+T46-U46</f>
        <v>0</v>
      </c>
      <c r="W46" s="283">
        <v>0</v>
      </c>
      <c r="X46" s="351">
        <f>+V46-W46</f>
        <v>0</v>
      </c>
      <c r="Y46" s="283">
        <v>0</v>
      </c>
      <c r="Z46" s="351">
        <f>+X46-Y46</f>
        <v>0</v>
      </c>
    </row>
    <row r="47" spans="1:26">
      <c r="A47" s="347">
        <f>+A46+1</f>
        <v>26</v>
      </c>
      <c r="B47" s="44" t="s">
        <v>848</v>
      </c>
      <c r="C47" s="198">
        <v>0</v>
      </c>
      <c r="D47" s="279">
        <f t="shared" si="39"/>
        <v>0</v>
      </c>
      <c r="E47" s="279">
        <f t="shared" si="40"/>
        <v>0</v>
      </c>
      <c r="F47" s="198">
        <v>0</v>
      </c>
      <c r="G47" s="279">
        <f>+E47-F47</f>
        <v>0</v>
      </c>
      <c r="H47" s="28" t="s">
        <v>845</v>
      </c>
      <c r="I47" s="279">
        <v>0</v>
      </c>
      <c r="J47" s="283"/>
      <c r="K47" s="279">
        <v>0</v>
      </c>
      <c r="L47" s="279">
        <f>+I47-K47</f>
        <v>0</v>
      </c>
      <c r="M47" s="198">
        <v>0</v>
      </c>
      <c r="N47" s="279">
        <f>+L47-M47</f>
        <v>0</v>
      </c>
      <c r="O47" s="198">
        <v>0</v>
      </c>
      <c r="P47" s="279">
        <f>+N47-O47</f>
        <v>0</v>
      </c>
      <c r="Q47" s="198">
        <v>0</v>
      </c>
      <c r="R47" s="279">
        <f>+P47-Q47</f>
        <v>0</v>
      </c>
      <c r="S47" s="198">
        <v>0</v>
      </c>
      <c r="T47" s="279">
        <f>+R47-S47</f>
        <v>0</v>
      </c>
      <c r="U47" s="198">
        <v>0</v>
      </c>
      <c r="V47" s="279">
        <f>+T47-U47</f>
        <v>0</v>
      </c>
      <c r="W47" s="198">
        <v>0</v>
      </c>
      <c r="X47" s="279">
        <f>+V47-W47</f>
        <v>0</v>
      </c>
      <c r="Y47" s="198">
        <v>0</v>
      </c>
      <c r="Z47" s="279">
        <f>+X47-Y47</f>
        <v>0</v>
      </c>
    </row>
    <row r="48" spans="1:26">
      <c r="A48" s="347">
        <f>+A47+1</f>
        <v>27</v>
      </c>
      <c r="B48" s="308" t="s">
        <v>856</v>
      </c>
      <c r="C48" s="351">
        <f>+C46+C47</f>
        <v>0</v>
      </c>
      <c r="D48" s="351">
        <f>+D46+D47</f>
        <v>0</v>
      </c>
      <c r="E48" s="351">
        <f>+E46+E47</f>
        <v>0</v>
      </c>
      <c r="F48" s="351">
        <f>+F46+F47</f>
        <v>0</v>
      </c>
      <c r="G48" s="351">
        <f>+G46+G47</f>
        <v>0</v>
      </c>
      <c r="H48" s="328"/>
      <c r="I48" s="351">
        <v>0</v>
      </c>
      <c r="J48" s="351"/>
      <c r="K48" s="351">
        <v>0</v>
      </c>
      <c r="L48" s="351">
        <v>0</v>
      </c>
      <c r="M48" s="351">
        <v>0</v>
      </c>
      <c r="N48" s="351">
        <v>0</v>
      </c>
      <c r="O48" s="351">
        <v>0</v>
      </c>
      <c r="P48" s="351">
        <v>0</v>
      </c>
      <c r="Q48" s="351">
        <v>0</v>
      </c>
      <c r="R48" s="351">
        <v>0</v>
      </c>
      <c r="S48" s="351">
        <v>0</v>
      </c>
      <c r="T48" s="351">
        <v>0</v>
      </c>
      <c r="U48" s="351">
        <v>0</v>
      </c>
      <c r="V48" s="351">
        <v>0</v>
      </c>
      <c r="W48" s="351">
        <v>0</v>
      </c>
      <c r="X48" s="351">
        <v>0</v>
      </c>
      <c r="Y48" s="351">
        <v>0</v>
      </c>
      <c r="Z48" s="351">
        <v>0</v>
      </c>
    </row>
    <row r="49" spans="1:26">
      <c r="B49" s="308"/>
      <c r="C49" s="351"/>
      <c r="D49" s="351"/>
      <c r="E49" s="351"/>
      <c r="F49" s="351"/>
      <c r="G49" s="351"/>
      <c r="H49" s="328"/>
      <c r="I49" s="351"/>
      <c r="J49" s="351"/>
      <c r="K49" s="351"/>
      <c r="L49" s="351"/>
      <c r="M49" s="351"/>
      <c r="N49" s="351"/>
      <c r="O49" s="351"/>
      <c r="P49" s="351"/>
      <c r="Q49" s="351"/>
      <c r="R49" s="351"/>
      <c r="S49" s="351"/>
      <c r="T49" s="351"/>
      <c r="U49" s="351"/>
      <c r="V49" s="351"/>
      <c r="W49" s="351"/>
      <c r="X49" s="351"/>
      <c r="Y49" s="351"/>
      <c r="Z49" s="351"/>
    </row>
    <row r="50" spans="1:26">
      <c r="B50" s="27" t="s">
        <v>847</v>
      </c>
      <c r="C50" s="351"/>
      <c r="D50" s="351"/>
      <c r="E50" s="351"/>
      <c r="F50" s="351"/>
      <c r="G50" s="351"/>
      <c r="H50" s="328"/>
      <c r="I50" s="351"/>
      <c r="J50" s="351"/>
      <c r="K50" s="351"/>
      <c r="L50" s="351"/>
      <c r="M50" s="351"/>
      <c r="N50" s="351"/>
      <c r="O50" s="351"/>
      <c r="P50" s="351"/>
      <c r="Q50" s="351"/>
      <c r="R50" s="351"/>
      <c r="S50" s="351"/>
      <c r="T50" s="351"/>
      <c r="U50" s="351"/>
      <c r="V50" s="351"/>
      <c r="W50" s="351"/>
      <c r="X50" s="351"/>
      <c r="Y50" s="351"/>
      <c r="Z50" s="351"/>
    </row>
    <row r="51" spans="1:26" ht="40.5">
      <c r="A51" s="347">
        <f>+A48+1</f>
        <v>28</v>
      </c>
      <c r="B51" s="24" t="s">
        <v>857</v>
      </c>
      <c r="C51" s="283">
        <v>-174316942.5</v>
      </c>
      <c r="D51" s="351">
        <f t="shared" ref="D51:D52" si="42">+C51*$I$80</f>
        <v>-104590165.5</v>
      </c>
      <c r="E51" s="351">
        <f t="shared" ref="E51:E52" si="43">+C51-D51</f>
        <v>-69726777</v>
      </c>
      <c r="F51" s="283">
        <v>0</v>
      </c>
      <c r="G51" s="351">
        <f>+E51+F51</f>
        <v>-69726777</v>
      </c>
      <c r="H51" s="28">
        <v>0.30148496415831438</v>
      </c>
      <c r="I51" s="351">
        <f t="shared" ref="I51" si="44">+G51*H51</f>
        <v>-21021574.864719778</v>
      </c>
      <c r="J51" s="355" t="s">
        <v>236</v>
      </c>
      <c r="K51" s="351">
        <v>0</v>
      </c>
      <c r="L51" s="351">
        <f t="shared" ref="L51:L52" si="45">+I51-K51</f>
        <v>-21021574.864719778</v>
      </c>
      <c r="M51" s="283">
        <v>-1589075</v>
      </c>
      <c r="N51" s="351">
        <f t="shared" ref="N51:N52" si="46">+L51-M51</f>
        <v>-19432499.864719778</v>
      </c>
      <c r="O51" s="283">
        <v>-842411</v>
      </c>
      <c r="P51" s="351">
        <f t="shared" ref="P51:P52" si="47">+N51-O51</f>
        <v>-18590088.864719778</v>
      </c>
      <c r="Q51" s="283">
        <v>-725756</v>
      </c>
      <c r="R51" s="351">
        <f t="shared" ref="R51:R52" si="48">+P51-Q51</f>
        <v>-17864332.864719778</v>
      </c>
      <c r="S51" s="283">
        <v>-489049.80991488299</v>
      </c>
      <c r="T51" s="351">
        <f t="shared" ref="T51:T52" si="49">+R51-S51</f>
        <v>-17375283.054804895</v>
      </c>
      <c r="U51" s="283">
        <v>0</v>
      </c>
      <c r="V51" s="351">
        <f t="shared" ref="V51:V52" si="50">+T51-U51</f>
        <v>-17375283.054804895</v>
      </c>
      <c r="W51" s="283">
        <v>0</v>
      </c>
      <c r="X51" s="351">
        <f t="shared" ref="X51:X52" si="51">+V51-W51</f>
        <v>-17375283.054804895</v>
      </c>
      <c r="Y51" s="283">
        <v>0</v>
      </c>
      <c r="Z51" s="351">
        <f t="shared" ref="Z51:Z52" si="52">+X51-Y51</f>
        <v>-17375283.054804895</v>
      </c>
    </row>
    <row r="52" spans="1:26">
      <c r="A52" s="347">
        <f>+A51+1</f>
        <v>29</v>
      </c>
      <c r="B52" s="24" t="s">
        <v>858</v>
      </c>
      <c r="C52" s="198">
        <v>-84074115.473193392</v>
      </c>
      <c r="D52" s="279">
        <f t="shared" si="42"/>
        <v>-50444469.283916034</v>
      </c>
      <c r="E52" s="279">
        <f t="shared" si="43"/>
        <v>-33629646.189277358</v>
      </c>
      <c r="F52" s="198">
        <v>0</v>
      </c>
      <c r="G52" s="279">
        <f>+E52+F52</f>
        <v>-33629646.189277358</v>
      </c>
      <c r="H52" s="28" t="s">
        <v>845</v>
      </c>
      <c r="I52" s="198">
        <v>-10130697</v>
      </c>
      <c r="J52" s="355" t="s">
        <v>859</v>
      </c>
      <c r="K52" s="279">
        <v>0</v>
      </c>
      <c r="L52" s="279">
        <f t="shared" si="45"/>
        <v>-10130697</v>
      </c>
      <c r="M52" s="279">
        <f>+I52/10</f>
        <v>-1013069.7</v>
      </c>
      <c r="N52" s="279">
        <f t="shared" si="46"/>
        <v>-9117627.3000000007</v>
      </c>
      <c r="O52" s="279">
        <f>+I52/10</f>
        <v>-1013069.7</v>
      </c>
      <c r="P52" s="279">
        <f t="shared" si="47"/>
        <v>-8104557.6000000006</v>
      </c>
      <c r="Q52" s="279">
        <f>+P52/5</f>
        <v>-1620911.52</v>
      </c>
      <c r="R52" s="279">
        <f t="shared" si="48"/>
        <v>-6483646.0800000001</v>
      </c>
      <c r="S52" s="279">
        <f t="shared" ref="S52:Y52" si="53">+$P52/5</f>
        <v>-1620911.52</v>
      </c>
      <c r="T52" s="279">
        <f t="shared" si="49"/>
        <v>-4862734.5600000005</v>
      </c>
      <c r="U52" s="279">
        <f t="shared" si="53"/>
        <v>-1620911.52</v>
      </c>
      <c r="V52" s="279">
        <f t="shared" si="50"/>
        <v>-3241823.0400000005</v>
      </c>
      <c r="W52" s="279">
        <f t="shared" si="53"/>
        <v>-1620911.52</v>
      </c>
      <c r="X52" s="279">
        <f t="shared" si="51"/>
        <v>-1620911.5200000005</v>
      </c>
      <c r="Y52" s="279">
        <f t="shared" si="53"/>
        <v>-1620911.52</v>
      </c>
      <c r="Z52" s="279">
        <f t="shared" si="52"/>
        <v>0</v>
      </c>
    </row>
    <row r="53" spans="1:26" ht="24.75">
      <c r="A53" s="347">
        <f>+A52+1</f>
        <v>30</v>
      </c>
      <c r="B53" s="308" t="s">
        <v>849</v>
      </c>
      <c r="C53" s="25">
        <f>+SUM(C51:C52)</f>
        <v>-258391057.97319341</v>
      </c>
      <c r="D53" s="351">
        <f>+D51+D52</f>
        <v>-155034634.78391603</v>
      </c>
      <c r="E53" s="351">
        <f>+SUM(E51:E52)</f>
        <v>-103356423.18927735</v>
      </c>
      <c r="F53" s="351">
        <f>+SUM(F51:F52)</f>
        <v>0</v>
      </c>
      <c r="G53" s="351">
        <f>+SUM(G51:G52)</f>
        <v>-103356423.18927735</v>
      </c>
      <c r="H53" s="328"/>
      <c r="I53" s="351">
        <f t="shared" ref="I53:Z53" si="54">+SUM(I51:I52)</f>
        <v>-31152271.864719778</v>
      </c>
      <c r="J53" s="351"/>
      <c r="K53" s="351">
        <f t="shared" si="54"/>
        <v>0</v>
      </c>
      <c r="L53" s="351">
        <f t="shared" si="54"/>
        <v>-31152271.864719778</v>
      </c>
      <c r="M53" s="351">
        <f t="shared" si="54"/>
        <v>-2602144.7000000002</v>
      </c>
      <c r="N53" s="351">
        <f t="shared" si="54"/>
        <v>-28550127.164719779</v>
      </c>
      <c r="O53" s="351">
        <f t="shared" si="54"/>
        <v>-1855480.7</v>
      </c>
      <c r="P53" s="351">
        <f t="shared" si="54"/>
        <v>-26694646.46471978</v>
      </c>
      <c r="Q53" s="351">
        <f t="shared" si="54"/>
        <v>-2346667.52</v>
      </c>
      <c r="R53" s="351">
        <f t="shared" si="54"/>
        <v>-24347978.944719777</v>
      </c>
      <c r="S53" s="351">
        <f t="shared" si="54"/>
        <v>-2109961.3299148828</v>
      </c>
      <c r="T53" s="351">
        <f t="shared" si="54"/>
        <v>-22238017.614804894</v>
      </c>
      <c r="U53" s="351">
        <f t="shared" si="54"/>
        <v>-1620911.52</v>
      </c>
      <c r="V53" s="351">
        <f t="shared" si="54"/>
        <v>-20617106.094804894</v>
      </c>
      <c r="W53" s="351">
        <f t="shared" si="54"/>
        <v>-1620911.52</v>
      </c>
      <c r="X53" s="351">
        <f t="shared" si="54"/>
        <v>-18996194.574804895</v>
      </c>
      <c r="Y53" s="351">
        <f t="shared" si="54"/>
        <v>-1620911.52</v>
      </c>
      <c r="Z53" s="351">
        <f t="shared" si="54"/>
        <v>-17375283.054804895</v>
      </c>
    </row>
    <row r="54" spans="1:26">
      <c r="B54" s="308"/>
      <c r="C54" s="351"/>
      <c r="D54" s="351"/>
      <c r="E54" s="351"/>
      <c r="F54" s="351"/>
      <c r="G54" s="351"/>
      <c r="H54" s="328"/>
      <c r="I54" s="351"/>
      <c r="J54" s="351"/>
      <c r="K54" s="351"/>
      <c r="L54" s="351"/>
      <c r="M54" s="351"/>
      <c r="N54" s="351"/>
      <c r="O54" s="351"/>
      <c r="P54" s="351"/>
      <c r="Q54" s="351"/>
      <c r="R54" s="351"/>
      <c r="S54" s="351"/>
      <c r="T54" s="351"/>
      <c r="U54" s="351"/>
      <c r="V54" s="351"/>
      <c r="W54" s="351"/>
      <c r="X54" s="351"/>
      <c r="Y54" s="351"/>
      <c r="Z54" s="351"/>
    </row>
    <row r="55" spans="1:26">
      <c r="B55" s="308" t="s">
        <v>850</v>
      </c>
      <c r="C55" s="351"/>
      <c r="D55" s="351"/>
      <c r="E55" s="351"/>
      <c r="F55" s="351"/>
      <c r="G55" s="351"/>
      <c r="H55" s="328"/>
      <c r="I55" s="351"/>
      <c r="J55" s="351"/>
      <c r="K55" s="351"/>
      <c r="L55" s="351"/>
      <c r="M55" s="351"/>
      <c r="N55" s="351"/>
      <c r="O55" s="351"/>
      <c r="P55" s="351"/>
      <c r="Q55" s="351"/>
      <c r="R55" s="351"/>
      <c r="S55" s="351"/>
      <c r="T55" s="351"/>
      <c r="U55" s="351"/>
      <c r="V55" s="351"/>
      <c r="W55" s="351"/>
      <c r="X55" s="351"/>
      <c r="Y55" s="351"/>
      <c r="Z55" s="351"/>
    </row>
    <row r="56" spans="1:26">
      <c r="A56" s="347">
        <f>+A53+1</f>
        <v>31</v>
      </c>
      <c r="B56" s="24" t="s">
        <v>313</v>
      </c>
      <c r="C56" s="283">
        <v>-5722360</v>
      </c>
      <c r="D56" s="351">
        <f t="shared" ref="D56:D61" si="55">+C56*$I$80</f>
        <v>-3433416</v>
      </c>
      <c r="E56" s="351">
        <f t="shared" ref="E56:E61" si="56">+C56-D56</f>
        <v>-2288944</v>
      </c>
      <c r="F56" s="283">
        <v>0</v>
      </c>
      <c r="G56" s="351">
        <f>+E56-F56</f>
        <v>-2288944</v>
      </c>
      <c r="H56" s="28">
        <v>0.30148000000000003</v>
      </c>
      <c r="I56" s="351">
        <f t="shared" ref="I56:I60" si="57">+G56*H56</f>
        <v>-690070.83712000004</v>
      </c>
      <c r="J56" s="355" t="s">
        <v>833</v>
      </c>
      <c r="K56" s="351">
        <v>0</v>
      </c>
      <c r="L56" s="351">
        <f t="shared" ref="L56:L61" si="58">+I56-K56</f>
        <v>-690070.83712000004</v>
      </c>
      <c r="M56" s="351">
        <f>+I56/10</f>
        <v>-69007.083712000007</v>
      </c>
      <c r="N56" s="351">
        <f t="shared" ref="N56:N61" si="59">+L56-M56</f>
        <v>-621063.75340799999</v>
      </c>
      <c r="O56" s="351">
        <f>+I56/10</f>
        <v>-69007.083712000007</v>
      </c>
      <c r="P56" s="351">
        <f t="shared" ref="P56:P61" si="60">+N56-O56</f>
        <v>-552056.66969599994</v>
      </c>
      <c r="Q56" s="351">
        <f>+P56/5</f>
        <v>-110411.33393919999</v>
      </c>
      <c r="R56" s="351">
        <f t="shared" ref="R56:R61" si="61">+P56-Q56</f>
        <v>-441645.33575679996</v>
      </c>
      <c r="S56" s="351">
        <f t="shared" ref="S56:Y61" si="62">+$P56/5</f>
        <v>-110411.33393919999</v>
      </c>
      <c r="T56" s="351">
        <f t="shared" ref="T56:T61" si="63">+R56-S56</f>
        <v>-331234.00181759999</v>
      </c>
      <c r="U56" s="351">
        <f t="shared" si="62"/>
        <v>-110411.33393919999</v>
      </c>
      <c r="V56" s="351">
        <f t="shared" ref="V56:V61" si="64">+T56-U56</f>
        <v>-220822.66787840001</v>
      </c>
      <c r="W56" s="351">
        <f t="shared" si="62"/>
        <v>-110411.33393919999</v>
      </c>
      <c r="X56" s="351">
        <f t="shared" ref="X56:X61" si="65">+V56-W56</f>
        <v>-110411.33393920002</v>
      </c>
      <c r="Y56" s="351">
        <f t="shared" si="62"/>
        <v>-110411.33393919999</v>
      </c>
      <c r="Z56" s="351">
        <f t="shared" ref="Z56:Z61" si="66">+X56-Y56</f>
        <v>0</v>
      </c>
    </row>
    <row r="57" spans="1:26">
      <c r="A57" s="347">
        <f>+A56+1</f>
        <v>32</v>
      </c>
      <c r="B57" s="24" t="s">
        <v>860</v>
      </c>
      <c r="C57" s="283">
        <v>-2442970</v>
      </c>
      <c r="D57" s="351">
        <f t="shared" si="55"/>
        <v>-1465782</v>
      </c>
      <c r="E57" s="351">
        <f t="shared" si="56"/>
        <v>-977188</v>
      </c>
      <c r="F57" s="283">
        <v>0</v>
      </c>
      <c r="G57" s="351">
        <f t="shared" ref="G57:G61" si="67">+E57-F57</f>
        <v>-977188</v>
      </c>
      <c r="H57" s="28">
        <v>0.14549999999999999</v>
      </c>
      <c r="I57" s="351">
        <f t="shared" si="57"/>
        <v>-142180.85399999999</v>
      </c>
      <c r="J57" s="355" t="s">
        <v>833</v>
      </c>
      <c r="K57" s="351">
        <v>0</v>
      </c>
      <c r="L57" s="351">
        <f t="shared" si="58"/>
        <v>-142180.85399999999</v>
      </c>
      <c r="M57" s="351">
        <f t="shared" ref="M57:M61" si="68">+I57/10</f>
        <v>-14218.0854</v>
      </c>
      <c r="N57" s="351">
        <f t="shared" si="59"/>
        <v>-127962.7686</v>
      </c>
      <c r="O57" s="351">
        <f t="shared" ref="O57:O61" si="69">+I57/10</f>
        <v>-14218.0854</v>
      </c>
      <c r="P57" s="351">
        <f t="shared" si="60"/>
        <v>-113744.6832</v>
      </c>
      <c r="Q57" s="351">
        <f t="shared" ref="Q57:Q61" si="70">+P57/5</f>
        <v>-22748.93664</v>
      </c>
      <c r="R57" s="351">
        <f t="shared" si="61"/>
        <v>-90995.74656</v>
      </c>
      <c r="S57" s="351">
        <f t="shared" si="62"/>
        <v>-22748.93664</v>
      </c>
      <c r="T57" s="351">
        <f t="shared" si="63"/>
        <v>-68246.80992</v>
      </c>
      <c r="U57" s="351">
        <f t="shared" si="62"/>
        <v>-22748.93664</v>
      </c>
      <c r="V57" s="351">
        <f t="shared" si="64"/>
        <v>-45497.87328</v>
      </c>
      <c r="W57" s="351">
        <f t="shared" si="62"/>
        <v>-22748.93664</v>
      </c>
      <c r="X57" s="351">
        <f t="shared" si="65"/>
        <v>-22748.93664</v>
      </c>
      <c r="Y57" s="351">
        <f t="shared" si="62"/>
        <v>-22748.93664</v>
      </c>
      <c r="Z57" s="351">
        <f t="shared" si="66"/>
        <v>0</v>
      </c>
    </row>
    <row r="58" spans="1:26">
      <c r="A58" s="347">
        <f t="shared" ref="A58:A61" si="71">+A57+1</f>
        <v>33</v>
      </c>
      <c r="B58" s="24" t="s">
        <v>861</v>
      </c>
      <c r="C58" s="283">
        <v>-26686865</v>
      </c>
      <c r="D58" s="351">
        <f t="shared" si="55"/>
        <v>-16012119</v>
      </c>
      <c r="E58" s="351">
        <f t="shared" si="56"/>
        <v>-10674746</v>
      </c>
      <c r="F58" s="283">
        <v>0</v>
      </c>
      <c r="G58" s="351">
        <f t="shared" si="67"/>
        <v>-10674746</v>
      </c>
      <c r="H58" s="28">
        <v>0.14549999999999999</v>
      </c>
      <c r="I58" s="351">
        <f t="shared" si="57"/>
        <v>-1553175.5429999998</v>
      </c>
      <c r="J58" s="355" t="s">
        <v>833</v>
      </c>
      <c r="K58" s="351">
        <v>0</v>
      </c>
      <c r="L58" s="351">
        <f t="shared" si="58"/>
        <v>-1553175.5429999998</v>
      </c>
      <c r="M58" s="351">
        <f t="shared" si="68"/>
        <v>-155317.55429999999</v>
      </c>
      <c r="N58" s="351">
        <f t="shared" si="59"/>
        <v>-1397857.9886999999</v>
      </c>
      <c r="O58" s="351">
        <f t="shared" si="69"/>
        <v>-155317.55429999999</v>
      </c>
      <c r="P58" s="351">
        <f t="shared" si="60"/>
        <v>-1242540.4343999999</v>
      </c>
      <c r="Q58" s="351">
        <f t="shared" si="70"/>
        <v>-248508.08687999999</v>
      </c>
      <c r="R58" s="351">
        <f t="shared" si="61"/>
        <v>-994032.34751999995</v>
      </c>
      <c r="S58" s="351">
        <f t="shared" si="62"/>
        <v>-248508.08687999999</v>
      </c>
      <c r="T58" s="351">
        <f t="shared" si="63"/>
        <v>-745524.26063999999</v>
      </c>
      <c r="U58" s="351">
        <f t="shared" si="62"/>
        <v>-248508.08687999999</v>
      </c>
      <c r="V58" s="351">
        <f t="shared" si="64"/>
        <v>-497016.17376000003</v>
      </c>
      <c r="W58" s="351">
        <f t="shared" si="62"/>
        <v>-248508.08687999999</v>
      </c>
      <c r="X58" s="351">
        <f t="shared" si="65"/>
        <v>-248508.08688000005</v>
      </c>
      <c r="Y58" s="351">
        <f t="shared" si="62"/>
        <v>-248508.08687999999</v>
      </c>
      <c r="Z58" s="351">
        <f t="shared" si="66"/>
        <v>0</v>
      </c>
    </row>
    <row r="59" spans="1:26">
      <c r="A59" s="347">
        <f t="shared" si="71"/>
        <v>34</v>
      </c>
      <c r="B59" s="24" t="s">
        <v>321</v>
      </c>
      <c r="C59" s="283">
        <v>-17226040</v>
      </c>
      <c r="D59" s="351">
        <f t="shared" si="55"/>
        <v>-10335624</v>
      </c>
      <c r="E59" s="351">
        <f t="shared" si="56"/>
        <v>-6890416</v>
      </c>
      <c r="F59" s="283">
        <v>0</v>
      </c>
      <c r="G59" s="351">
        <f t="shared" si="67"/>
        <v>-6890416</v>
      </c>
      <c r="H59" s="28">
        <v>0.14549999999999999</v>
      </c>
      <c r="I59" s="351">
        <f t="shared" si="57"/>
        <v>-1002555.5279999999</v>
      </c>
      <c r="J59" s="355" t="s">
        <v>833</v>
      </c>
      <c r="K59" s="351">
        <v>0</v>
      </c>
      <c r="L59" s="351">
        <f t="shared" si="58"/>
        <v>-1002555.5279999999</v>
      </c>
      <c r="M59" s="351">
        <f t="shared" si="68"/>
        <v>-100255.55279999999</v>
      </c>
      <c r="N59" s="351">
        <f t="shared" si="59"/>
        <v>-902299.97519999999</v>
      </c>
      <c r="O59" s="351">
        <f t="shared" si="69"/>
        <v>-100255.55279999999</v>
      </c>
      <c r="P59" s="351">
        <f t="shared" si="60"/>
        <v>-802044.42240000004</v>
      </c>
      <c r="Q59" s="351">
        <f t="shared" si="70"/>
        <v>-160408.88448000001</v>
      </c>
      <c r="R59" s="351">
        <f t="shared" si="61"/>
        <v>-641635.53792000003</v>
      </c>
      <c r="S59" s="351">
        <f t="shared" si="62"/>
        <v>-160408.88448000001</v>
      </c>
      <c r="T59" s="351">
        <f t="shared" si="63"/>
        <v>-481226.65344000002</v>
      </c>
      <c r="U59" s="351">
        <f t="shared" si="62"/>
        <v>-160408.88448000001</v>
      </c>
      <c r="V59" s="351">
        <f t="shared" si="64"/>
        <v>-320817.76896000002</v>
      </c>
      <c r="W59" s="351">
        <f t="shared" si="62"/>
        <v>-160408.88448000001</v>
      </c>
      <c r="X59" s="351">
        <f t="shared" si="65"/>
        <v>-160408.88448000001</v>
      </c>
      <c r="Y59" s="351">
        <f t="shared" si="62"/>
        <v>-160408.88448000001</v>
      </c>
      <c r="Z59" s="351">
        <f t="shared" si="66"/>
        <v>0</v>
      </c>
    </row>
    <row r="60" spans="1:26">
      <c r="A60" s="347">
        <f t="shared" si="71"/>
        <v>35</v>
      </c>
      <c r="B60" s="24" t="s">
        <v>322</v>
      </c>
      <c r="C60" s="283">
        <v>681172.5</v>
      </c>
      <c r="D60" s="351">
        <f t="shared" si="55"/>
        <v>408703.5</v>
      </c>
      <c r="E60" s="351">
        <f t="shared" si="56"/>
        <v>272469</v>
      </c>
      <c r="F60" s="283">
        <v>0</v>
      </c>
      <c r="G60" s="351">
        <f t="shared" si="67"/>
        <v>272469</v>
      </c>
      <c r="H60" s="28">
        <v>0.14549999999999999</v>
      </c>
      <c r="I60" s="351">
        <f t="shared" si="57"/>
        <v>39644.239499999996</v>
      </c>
      <c r="J60" s="355" t="s">
        <v>833</v>
      </c>
      <c r="K60" s="351">
        <v>0</v>
      </c>
      <c r="L60" s="351">
        <f t="shared" si="58"/>
        <v>39644.239499999996</v>
      </c>
      <c r="M60" s="351">
        <f t="shared" si="68"/>
        <v>3964.4239499999994</v>
      </c>
      <c r="N60" s="351">
        <f t="shared" si="59"/>
        <v>35679.815549999999</v>
      </c>
      <c r="O60" s="351">
        <f t="shared" si="69"/>
        <v>3964.4239499999994</v>
      </c>
      <c r="P60" s="351">
        <f t="shared" si="60"/>
        <v>31715.391599999999</v>
      </c>
      <c r="Q60" s="351">
        <f t="shared" si="70"/>
        <v>6343.0783199999996</v>
      </c>
      <c r="R60" s="351">
        <f t="shared" si="61"/>
        <v>25372.313279999998</v>
      </c>
      <c r="S60" s="351">
        <f t="shared" si="62"/>
        <v>6343.0783199999996</v>
      </c>
      <c r="T60" s="351">
        <f t="shared" si="63"/>
        <v>19029.234959999998</v>
      </c>
      <c r="U60" s="351">
        <f t="shared" si="62"/>
        <v>6343.0783199999996</v>
      </c>
      <c r="V60" s="351">
        <f t="shared" si="64"/>
        <v>12686.156639999997</v>
      </c>
      <c r="W60" s="351">
        <f t="shared" si="62"/>
        <v>6343.0783199999996</v>
      </c>
      <c r="X60" s="351">
        <f t="shared" si="65"/>
        <v>6343.0783199999978</v>
      </c>
      <c r="Y60" s="351">
        <f t="shared" si="62"/>
        <v>6343.0783199999996</v>
      </c>
      <c r="Z60" s="351">
        <f t="shared" si="66"/>
        <v>0</v>
      </c>
    </row>
    <row r="61" spans="1:26">
      <c r="A61" s="347">
        <f t="shared" si="71"/>
        <v>36</v>
      </c>
      <c r="B61" s="24" t="s">
        <v>291</v>
      </c>
      <c r="C61" s="198">
        <v>1347942.5</v>
      </c>
      <c r="D61" s="279">
        <f t="shared" si="55"/>
        <v>808765.5</v>
      </c>
      <c r="E61" s="279">
        <f t="shared" si="56"/>
        <v>539177</v>
      </c>
      <c r="F61" s="198">
        <v>0</v>
      </c>
      <c r="G61" s="279">
        <f t="shared" si="67"/>
        <v>539177</v>
      </c>
      <c r="H61" s="28" t="s">
        <v>845</v>
      </c>
      <c r="I61" s="198">
        <v>-1055740</v>
      </c>
      <c r="J61" s="355" t="s">
        <v>833</v>
      </c>
      <c r="K61" s="279">
        <v>0</v>
      </c>
      <c r="L61" s="279">
        <f t="shared" si="58"/>
        <v>-1055740</v>
      </c>
      <c r="M61" s="279">
        <f t="shared" si="68"/>
        <v>-105574</v>
      </c>
      <c r="N61" s="279">
        <f t="shared" si="59"/>
        <v>-950166</v>
      </c>
      <c r="O61" s="279">
        <f t="shared" si="69"/>
        <v>-105574</v>
      </c>
      <c r="P61" s="279">
        <f t="shared" si="60"/>
        <v>-844592</v>
      </c>
      <c r="Q61" s="279">
        <f t="shared" si="70"/>
        <v>-168918.39999999999</v>
      </c>
      <c r="R61" s="279">
        <f t="shared" si="61"/>
        <v>-675673.59999999998</v>
      </c>
      <c r="S61" s="279">
        <f t="shared" si="62"/>
        <v>-168918.39999999999</v>
      </c>
      <c r="T61" s="279">
        <f t="shared" si="63"/>
        <v>-506755.19999999995</v>
      </c>
      <c r="U61" s="279">
        <f t="shared" si="62"/>
        <v>-168918.39999999999</v>
      </c>
      <c r="V61" s="279">
        <f t="shared" si="64"/>
        <v>-337836.79999999993</v>
      </c>
      <c r="W61" s="279">
        <f t="shared" si="62"/>
        <v>-168918.39999999999</v>
      </c>
      <c r="X61" s="279">
        <f t="shared" si="65"/>
        <v>-168918.39999999994</v>
      </c>
      <c r="Y61" s="279">
        <f t="shared" si="62"/>
        <v>-168918.39999999999</v>
      </c>
      <c r="Z61" s="279">
        <f t="shared" si="66"/>
        <v>0</v>
      </c>
    </row>
    <row r="62" spans="1:26" ht="24.75">
      <c r="A62" s="347">
        <f>+A61+1</f>
        <v>37</v>
      </c>
      <c r="B62" s="306" t="s">
        <v>862</v>
      </c>
      <c r="C62" s="25">
        <f>+SUM(C56:C61)</f>
        <v>-50049120</v>
      </c>
      <c r="D62" s="351">
        <f>+SUM(D50:D61)</f>
        <v>-340098741.56783205</v>
      </c>
      <c r="E62" s="351">
        <f>+SUM(E56:E61)</f>
        <v>-20019648</v>
      </c>
      <c r="F62" s="351">
        <f>+SUM(F56:F61)</f>
        <v>0</v>
      </c>
      <c r="G62" s="351">
        <f>+SUM(G56:G61)</f>
        <v>-20019648</v>
      </c>
      <c r="H62" s="328"/>
      <c r="I62" s="351">
        <f t="shared" ref="I62:Z62" si="72">+SUM(I56:I61)</f>
        <v>-4404078.5226199999</v>
      </c>
      <c r="J62" s="351"/>
      <c r="K62" s="351">
        <f t="shared" si="72"/>
        <v>0</v>
      </c>
      <c r="L62" s="351">
        <f t="shared" si="72"/>
        <v>-4404078.5226199999</v>
      </c>
      <c r="M62" s="351">
        <f t="shared" si="72"/>
        <v>-440407.85226199997</v>
      </c>
      <c r="N62" s="351">
        <f t="shared" si="72"/>
        <v>-3963670.6703579999</v>
      </c>
      <c r="O62" s="351">
        <f t="shared" si="72"/>
        <v>-440407.85226199997</v>
      </c>
      <c r="P62" s="351">
        <f t="shared" si="72"/>
        <v>-3523262.8180959998</v>
      </c>
      <c r="Q62" s="351">
        <f t="shared" si="72"/>
        <v>-704652.56361920002</v>
      </c>
      <c r="R62" s="351">
        <f t="shared" si="72"/>
        <v>-2818610.2544768001</v>
      </c>
      <c r="S62" s="351">
        <f t="shared" si="72"/>
        <v>-704652.56361920002</v>
      </c>
      <c r="T62" s="351">
        <f t="shared" si="72"/>
        <v>-2113957.6908576</v>
      </c>
      <c r="U62" s="351">
        <f t="shared" si="72"/>
        <v>-704652.56361920002</v>
      </c>
      <c r="V62" s="351">
        <f t="shared" si="72"/>
        <v>-1409305.1272384003</v>
      </c>
      <c r="W62" s="351">
        <f t="shared" si="72"/>
        <v>-704652.56361920002</v>
      </c>
      <c r="X62" s="351">
        <f t="shared" si="72"/>
        <v>-704652.56361920002</v>
      </c>
      <c r="Y62" s="351">
        <f t="shared" si="72"/>
        <v>-704652.56361920002</v>
      </c>
      <c r="Z62" s="351">
        <f t="shared" si="72"/>
        <v>0</v>
      </c>
    </row>
    <row r="63" spans="1:26" ht="24.75">
      <c r="E63" s="25"/>
      <c r="F63" s="25"/>
      <c r="G63" s="25"/>
      <c r="H63" s="328"/>
      <c r="I63" s="25"/>
      <c r="J63" s="25"/>
      <c r="K63" s="25"/>
      <c r="L63" s="25"/>
      <c r="M63" s="25"/>
      <c r="N63" s="25"/>
      <c r="O63" s="25"/>
      <c r="P63" s="25"/>
      <c r="Q63" s="25"/>
      <c r="R63" s="25"/>
      <c r="S63" s="25"/>
      <c r="T63" s="25"/>
      <c r="U63" s="25"/>
      <c r="V63" s="25"/>
      <c r="W63" s="25"/>
      <c r="X63" s="25"/>
      <c r="Y63" s="25"/>
      <c r="Z63" s="25"/>
    </row>
    <row r="64" spans="1:26" ht="45">
      <c r="A64" s="347">
        <f>+A62+1</f>
        <v>38</v>
      </c>
      <c r="B64" s="308" t="s">
        <v>852</v>
      </c>
      <c r="C64" s="308"/>
      <c r="D64" s="308"/>
      <c r="E64" s="351">
        <f>+E48+E53+E62</f>
        <v>-123376071.18927735</v>
      </c>
      <c r="F64" s="351"/>
      <c r="G64" s="351">
        <f>+G48+G53+G62</f>
        <v>-123376071.18927735</v>
      </c>
      <c r="H64" s="328"/>
      <c r="I64" s="351">
        <f>+I48+I53+I62</f>
        <v>-35556350.387339778</v>
      </c>
      <c r="J64" s="25"/>
      <c r="K64" s="351">
        <f>+K48+K53+K62</f>
        <v>0</v>
      </c>
      <c r="L64" s="351">
        <f>+L48+L53+L62</f>
        <v>-35556350.387339778</v>
      </c>
      <c r="M64" s="351">
        <f>+M48+M53+M62</f>
        <v>-3042552.5522620003</v>
      </c>
      <c r="N64" s="351">
        <f t="shared" ref="N64:Z64" si="73">+N48+N53+N62</f>
        <v>-32513797.835077778</v>
      </c>
      <c r="O64" s="351">
        <f t="shared" si="73"/>
        <v>-2295888.5522619998</v>
      </c>
      <c r="P64" s="351">
        <f t="shared" si="73"/>
        <v>-30217909.28281578</v>
      </c>
      <c r="Q64" s="351">
        <f t="shared" si="73"/>
        <v>-3051320.0836192002</v>
      </c>
      <c r="R64" s="351">
        <f t="shared" si="73"/>
        <v>-27166589.199196577</v>
      </c>
      <c r="S64" s="351">
        <f t="shared" si="73"/>
        <v>-2814613.8935340829</v>
      </c>
      <c r="T64" s="351">
        <f t="shared" si="73"/>
        <v>-24351975.305662494</v>
      </c>
      <c r="U64" s="351">
        <f t="shared" si="73"/>
        <v>-2325564.0836192002</v>
      </c>
      <c r="V64" s="351">
        <f t="shared" si="73"/>
        <v>-22026411.222043294</v>
      </c>
      <c r="W64" s="351">
        <f t="shared" si="73"/>
        <v>-2325564.0836192002</v>
      </c>
      <c r="X64" s="351">
        <f t="shared" si="73"/>
        <v>-19700847.138424095</v>
      </c>
      <c r="Y64" s="351">
        <f t="shared" si="73"/>
        <v>-2325564.0836192002</v>
      </c>
      <c r="Z64" s="351">
        <f t="shared" si="73"/>
        <v>-17375283.054804895</v>
      </c>
    </row>
    <row r="65" spans="1:27">
      <c r="A65" s="347">
        <f>+A64+1</f>
        <v>39</v>
      </c>
      <c r="B65" s="308" t="s">
        <v>853</v>
      </c>
      <c r="C65" s="308"/>
      <c r="D65" s="308"/>
      <c r="E65" s="279">
        <v>0.26582278481012656</v>
      </c>
      <c r="F65" s="279"/>
      <c r="G65" s="198">
        <v>-31917281.164556958</v>
      </c>
      <c r="H65" s="328"/>
      <c r="I65" s="198">
        <v>-9186715.9257485475</v>
      </c>
      <c r="J65" s="351"/>
      <c r="K65" s="351"/>
      <c r="L65" s="198">
        <v>-9186715.9257485475</v>
      </c>
      <c r="M65" s="351"/>
      <c r="N65" s="198">
        <v>-8404433.3485649787</v>
      </c>
      <c r="O65" s="351"/>
      <c r="P65" s="198">
        <v>-7651869.4066739334</v>
      </c>
      <c r="Q65" s="351"/>
      <c r="R65" s="198">
        <v>-7076077.0300156642</v>
      </c>
      <c r="S65" s="351"/>
      <c r="T65" s="198">
        <v>-6500284.6533573978</v>
      </c>
      <c r="U65" s="351"/>
      <c r="V65" s="198">
        <v>-5924492.2766991286</v>
      </c>
      <c r="W65" s="351"/>
      <c r="X65" s="198">
        <v>-5348699.9000408603</v>
      </c>
      <c r="Y65" s="351"/>
      <c r="Z65" s="198">
        <v>-4772907.523382592</v>
      </c>
    </row>
    <row r="66" spans="1:27" ht="60.75">
      <c r="A66" s="347">
        <f>+A65+1</f>
        <v>40</v>
      </c>
      <c r="B66" s="308" t="s">
        <v>863</v>
      </c>
      <c r="C66" s="308"/>
      <c r="D66" s="308"/>
      <c r="E66" s="279">
        <f>+E64+E65</f>
        <v>-123376070.92345457</v>
      </c>
      <c r="F66" s="351"/>
      <c r="G66" s="279">
        <f>+G64+G65</f>
        <v>-155293352.3538343</v>
      </c>
      <c r="H66" s="328"/>
      <c r="I66" s="279">
        <f>+I64+I65</f>
        <v>-44743066.313088328</v>
      </c>
      <c r="J66" s="351"/>
      <c r="K66" s="351"/>
      <c r="L66" s="279">
        <f>+L64+L65</f>
        <v>-44743066.313088328</v>
      </c>
      <c r="M66" s="351"/>
      <c r="N66" s="279">
        <f>+N64+N65</f>
        <v>-40918231.18364276</v>
      </c>
      <c r="O66" s="351"/>
      <c r="P66" s="279">
        <f>+P64+P65</f>
        <v>-37869778.689489715</v>
      </c>
      <c r="Q66" s="351"/>
      <c r="R66" s="279">
        <f>+R64+R65</f>
        <v>-34242666.229212239</v>
      </c>
      <c r="S66" s="351"/>
      <c r="T66" s="279">
        <f>+T64+T65</f>
        <v>-30852259.959019892</v>
      </c>
      <c r="U66" s="351"/>
      <c r="V66" s="279">
        <f>+V64+V65</f>
        <v>-27950903.498742424</v>
      </c>
      <c r="W66" s="351"/>
      <c r="X66" s="279">
        <f>+X64+X65</f>
        <v>-25049547.038464956</v>
      </c>
      <c r="Y66" s="351"/>
      <c r="Z66" s="279">
        <f>+Z64+Z65</f>
        <v>-22148190.578187488</v>
      </c>
    </row>
    <row r="67" spans="1:27">
      <c r="B67" s="308"/>
      <c r="C67" s="308"/>
      <c r="D67" s="308"/>
      <c r="E67" s="351"/>
      <c r="F67" s="351"/>
      <c r="G67" s="351"/>
      <c r="H67" s="328"/>
      <c r="I67" s="351"/>
      <c r="J67" s="351"/>
      <c r="K67" s="351"/>
      <c r="L67" s="351"/>
      <c r="M67" s="351"/>
      <c r="N67" s="351"/>
      <c r="O67" s="351"/>
      <c r="P67" s="351"/>
      <c r="Q67" s="351"/>
      <c r="R67" s="351"/>
      <c r="S67" s="351"/>
      <c r="T67" s="351"/>
      <c r="U67" s="351"/>
      <c r="V67" s="351"/>
      <c r="W67" s="351"/>
      <c r="X67" s="351"/>
      <c r="Y67" s="351"/>
      <c r="Z67" s="351"/>
    </row>
    <row r="68" spans="1:27">
      <c r="A68" s="347">
        <f>+A66+1</f>
        <v>41</v>
      </c>
      <c r="B68" s="308" t="s">
        <v>418</v>
      </c>
      <c r="C68" s="308"/>
      <c r="D68" s="308"/>
      <c r="E68" s="351">
        <f>+E40+E66</f>
        <v>-119471996.92345457</v>
      </c>
      <c r="F68" s="351"/>
      <c r="G68" s="351">
        <f>+G40+G66</f>
        <v>-150351486.53104949</v>
      </c>
      <c r="H68" s="328"/>
      <c r="I68" s="351">
        <f>+I40+I66</f>
        <v>-44118072.387898453</v>
      </c>
      <c r="J68" s="351"/>
      <c r="K68" s="351"/>
      <c r="L68" s="351">
        <f>+L40+L66</f>
        <v>-44118072.387898453</v>
      </c>
      <c r="M68" s="351"/>
      <c r="N68" s="351">
        <f>+N40+N66</f>
        <v>-40355736.650971875</v>
      </c>
      <c r="O68" s="351"/>
      <c r="P68" s="351">
        <f>+P40+P66</f>
        <v>-37369783.549337819</v>
      </c>
      <c r="Q68" s="351"/>
      <c r="R68" s="351">
        <f>+R40+R66</f>
        <v>-33842670.117090717</v>
      </c>
      <c r="S68" s="351"/>
      <c r="T68" s="351">
        <f>+T40+T66</f>
        <v>-30552262.874928754</v>
      </c>
      <c r="U68" s="351"/>
      <c r="V68" s="351">
        <f>+V40+V66</f>
        <v>-27696495.120865766</v>
      </c>
      <c r="W68" s="351"/>
      <c r="X68" s="351">
        <f>+X40+X66</f>
        <v>-24949548.010434575</v>
      </c>
      <c r="Y68" s="351"/>
      <c r="Z68" s="351">
        <f>+Z40+Z66</f>
        <v>-22148190.578187488</v>
      </c>
    </row>
    <row r="69" spans="1:27">
      <c r="B69" s="308"/>
      <c r="C69" s="308"/>
      <c r="D69" s="308"/>
      <c r="E69" s="351"/>
      <c r="F69" s="351"/>
      <c r="G69" s="351"/>
      <c r="H69" s="328"/>
      <c r="I69" s="351"/>
      <c r="J69" s="351"/>
      <c r="K69" s="351"/>
      <c r="L69" s="351"/>
      <c r="M69" s="351"/>
      <c r="N69" s="351"/>
      <c r="O69" s="351"/>
      <c r="P69" s="351"/>
      <c r="Q69" s="351"/>
      <c r="R69" s="351"/>
      <c r="S69" s="351"/>
      <c r="T69" s="351"/>
      <c r="U69" s="351"/>
      <c r="V69" s="351"/>
      <c r="W69" s="351"/>
      <c r="X69" s="351"/>
    </row>
    <row r="70" spans="1:27">
      <c r="A70" s="347">
        <f>+A68+1</f>
        <v>42</v>
      </c>
      <c r="B70" s="306" t="s">
        <v>864</v>
      </c>
      <c r="M70" s="351">
        <f>+M38+M64</f>
        <v>-2993178.0321720005</v>
      </c>
      <c r="O70" s="351">
        <f>+O38+O64</f>
        <v>-2246514.032172</v>
      </c>
      <c r="Q70" s="351">
        <f>+Q38+Q64</f>
        <v>-2972320.8514752002</v>
      </c>
      <c r="S70" s="351">
        <f>+S38+S64</f>
        <v>-2735614.6613900829</v>
      </c>
      <c r="U70" s="351">
        <f>+U38+U64</f>
        <v>-2246564.8514752002</v>
      </c>
      <c r="W70" s="351">
        <f>+W38+W64</f>
        <v>-2246564.8514752002</v>
      </c>
      <c r="Y70" s="351">
        <f>+Y38+Y64</f>
        <v>-2246564.8514752002</v>
      </c>
      <c r="AA70" s="351"/>
    </row>
    <row r="71" spans="1:27">
      <c r="P71" s="351"/>
    </row>
    <row r="72" spans="1:27">
      <c r="B72" s="649" t="s">
        <v>865</v>
      </c>
      <c r="C72" s="649"/>
      <c r="D72" s="649"/>
      <c r="E72" s="649"/>
      <c r="F72" s="649"/>
      <c r="G72" s="649"/>
      <c r="H72" s="649"/>
      <c r="I72" s="649"/>
      <c r="J72" s="649"/>
      <c r="K72" s="649"/>
      <c r="L72" s="649"/>
    </row>
    <row r="73" spans="1:27">
      <c r="B73" s="306" t="s">
        <v>866</v>
      </c>
    </row>
    <row r="74" spans="1:27">
      <c r="B74" s="649" t="s">
        <v>867</v>
      </c>
      <c r="C74" s="649"/>
      <c r="D74" s="649"/>
      <c r="E74" s="649"/>
      <c r="F74" s="649"/>
      <c r="G74" s="649"/>
      <c r="H74" s="649"/>
      <c r="I74" s="649"/>
      <c r="J74" s="649"/>
      <c r="K74" s="649"/>
      <c r="L74" s="649"/>
    </row>
    <row r="75" spans="1:27">
      <c r="B75" s="306" t="s">
        <v>868</v>
      </c>
    </row>
    <row r="76" spans="1:27">
      <c r="B76" s="306" t="s">
        <v>869</v>
      </c>
    </row>
    <row r="77" spans="1:27">
      <c r="B77" s="306" t="s">
        <v>870</v>
      </c>
    </row>
    <row r="78" spans="1:27">
      <c r="E78" s="306" t="s">
        <v>871</v>
      </c>
      <c r="I78" s="338">
        <v>0.21</v>
      </c>
      <c r="J78" s="338"/>
    </row>
    <row r="79" spans="1:27">
      <c r="E79" s="306" t="s">
        <v>872</v>
      </c>
      <c r="I79" s="338">
        <v>0.35</v>
      </c>
      <c r="J79" s="338"/>
    </row>
    <row r="80" spans="1:27">
      <c r="E80" s="306" t="s">
        <v>873</v>
      </c>
      <c r="I80" s="338">
        <f>+I78/I79</f>
        <v>0.6</v>
      </c>
      <c r="J80" s="338"/>
    </row>
  </sheetData>
  <mergeCells count="3">
    <mergeCell ref="B72:L72"/>
    <mergeCell ref="B74:L74"/>
    <mergeCell ref="B4:C4"/>
  </mergeCells>
  <pageMargins left="0.7" right="0.7" top="0.75" bottom="0.75" header="0.3" footer="0.3"/>
  <pageSetup scale="40" orientation="landscape" r:id="rId1"/>
  <customProperties>
    <customPr name="_pios_id" r:id="rId2"/>
    <customPr name="EpmWorksheetKeyString_GUID" r:id="rId3"/>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FFCD-343B-4CC2-9533-7BBB267B413F}">
  <sheetPr>
    <tabColor rgb="FF92D050"/>
    <pageSetUpPr fitToPage="1"/>
  </sheetPr>
  <dimension ref="A1:W26"/>
  <sheetViews>
    <sheetView zoomScale="70" zoomScaleNormal="70" zoomScaleSheetLayoutView="90" workbookViewId="0">
      <selection activeCell="F29" sqref="F29"/>
    </sheetView>
  </sheetViews>
  <sheetFormatPr defaultRowHeight="20.25"/>
  <cols>
    <col min="1" max="1" width="3.28515625" style="306" customWidth="1"/>
    <col min="2" max="5" width="9.140625" style="306"/>
    <col min="6" max="6" width="19" style="306" bestFit="1" customWidth="1"/>
    <col min="7" max="16" width="18" style="306" bestFit="1" customWidth="1"/>
    <col min="17" max="17" width="18.140625" style="306" bestFit="1" customWidth="1"/>
    <col min="18" max="18" width="18.42578125" style="306" bestFit="1" customWidth="1"/>
    <col min="19" max="19" width="18.140625" style="306" bestFit="1" customWidth="1"/>
    <col min="20" max="20" width="5" style="306" customWidth="1"/>
    <col min="21" max="21" width="18" style="306" bestFit="1" customWidth="1"/>
    <col min="22" max="22" width="18" style="306" customWidth="1"/>
    <col min="23" max="23" width="18.5703125" style="306" customWidth="1"/>
    <col min="24" max="16384" width="9.140625" style="306"/>
  </cols>
  <sheetData>
    <row r="1" spans="1:23" ht="21.75" customHeight="1">
      <c r="B1" s="647" t="str">
        <f>+'9 - Excess ADIT'!I2</f>
        <v>Dayton Power and Light</v>
      </c>
      <c r="C1" s="647"/>
      <c r="D1" s="647"/>
      <c r="E1" s="647"/>
      <c r="F1" s="647"/>
      <c r="G1" s="647"/>
      <c r="H1" s="647"/>
      <c r="I1" s="647"/>
      <c r="J1" s="647"/>
      <c r="K1" s="647"/>
      <c r="L1" s="647"/>
      <c r="M1" s="647"/>
    </row>
    <row r="2" spans="1:23" ht="18" customHeight="1">
      <c r="B2" s="647" t="str">
        <f>+'9 - Excess ADIT'!I3</f>
        <v xml:space="preserve">ATTACHMENT H-15A </v>
      </c>
      <c r="C2" s="647"/>
      <c r="D2" s="647"/>
      <c r="E2" s="647"/>
      <c r="F2" s="647"/>
      <c r="G2" s="647"/>
      <c r="H2" s="647"/>
      <c r="I2" s="647"/>
      <c r="J2" s="647"/>
      <c r="K2" s="647"/>
      <c r="L2" s="647"/>
      <c r="M2" s="647"/>
      <c r="Q2" s="342"/>
    </row>
    <row r="3" spans="1:23">
      <c r="B3" s="647" t="s">
        <v>987</v>
      </c>
      <c r="C3" s="647"/>
      <c r="D3" s="647"/>
      <c r="E3" s="647"/>
      <c r="F3" s="647"/>
      <c r="G3" s="647"/>
      <c r="H3" s="647"/>
      <c r="I3" s="647"/>
      <c r="J3" s="647"/>
      <c r="K3" s="647"/>
      <c r="L3" s="647"/>
      <c r="M3" s="647"/>
      <c r="N3" s="345"/>
      <c r="O3" s="345"/>
    </row>
    <row r="4" spans="1:23">
      <c r="B4" s="695">
        <v>45291</v>
      </c>
      <c r="C4" s="695"/>
      <c r="D4" s="695"/>
      <c r="E4" s="695"/>
      <c r="F4" s="695"/>
      <c r="G4" s="695"/>
      <c r="H4" s="695"/>
      <c r="I4" s="695"/>
      <c r="J4" s="695"/>
      <c r="K4" s="695"/>
      <c r="L4" s="695"/>
      <c r="M4" s="695"/>
      <c r="N4" s="345"/>
      <c r="O4" s="345"/>
    </row>
    <row r="5" spans="1:23">
      <c r="H5" s="231"/>
      <c r="I5" s="345"/>
      <c r="J5" s="345"/>
      <c r="K5" s="345"/>
      <c r="L5" s="345"/>
      <c r="M5" s="345"/>
      <c r="N5" s="345"/>
      <c r="O5" s="345"/>
    </row>
    <row r="6" spans="1:23">
      <c r="B6" s="306" t="s">
        <v>397</v>
      </c>
      <c r="I6" s="345"/>
      <c r="J6" s="345"/>
      <c r="K6" s="345"/>
      <c r="L6" s="345"/>
      <c r="M6" s="345"/>
      <c r="N6" s="345"/>
      <c r="O6" s="345"/>
    </row>
    <row r="7" spans="1:23" ht="21" thickBot="1"/>
    <row r="8" spans="1:23" ht="21" thickBot="1">
      <c r="B8" s="306" t="s">
        <v>874</v>
      </c>
      <c r="U8" s="23"/>
      <c r="V8" s="22" t="s">
        <v>875</v>
      </c>
      <c r="W8" s="21" t="s">
        <v>876</v>
      </c>
    </row>
    <row r="9" spans="1:23" ht="21" thickBot="1">
      <c r="F9" s="20" t="s">
        <v>942</v>
      </c>
      <c r="G9" s="186" t="s">
        <v>480</v>
      </c>
      <c r="H9" s="186" t="s">
        <v>481</v>
      </c>
      <c r="I9" s="186" t="s">
        <v>482</v>
      </c>
      <c r="J9" s="186" t="s">
        <v>483</v>
      </c>
      <c r="K9" s="186" t="s">
        <v>371</v>
      </c>
      <c r="L9" s="186" t="s">
        <v>484</v>
      </c>
      <c r="M9" s="186" t="s">
        <v>485</v>
      </c>
      <c r="N9" s="186" t="s">
        <v>486</v>
      </c>
      <c r="O9" s="186" t="s">
        <v>487</v>
      </c>
      <c r="P9" s="186" t="s">
        <v>488</v>
      </c>
      <c r="Q9" s="186" t="s">
        <v>489</v>
      </c>
      <c r="R9" s="186" t="s">
        <v>490</v>
      </c>
      <c r="S9" s="136" t="s">
        <v>491</v>
      </c>
      <c r="T9" s="103"/>
      <c r="U9" s="19" t="s">
        <v>269</v>
      </c>
      <c r="V9" s="18" t="s">
        <v>417</v>
      </c>
      <c r="W9" s="17" t="s">
        <v>417</v>
      </c>
    </row>
    <row r="10" spans="1:23">
      <c r="B10" s="234" t="s">
        <v>877</v>
      </c>
      <c r="V10" s="338">
        <f>+'Appendix A'!H16</f>
        <v>0.11010683301047983</v>
      </c>
      <c r="W10" s="338">
        <f>+'Appendix A'!H24</f>
        <v>0.22710147105234452</v>
      </c>
    </row>
    <row r="12" spans="1:23">
      <c r="A12" s="306">
        <v>1</v>
      </c>
      <c r="B12" s="306" t="s">
        <v>878</v>
      </c>
      <c r="F12" s="283">
        <v>-1374187</v>
      </c>
      <c r="G12" s="283">
        <v>-1934908</v>
      </c>
      <c r="H12" s="283">
        <v>-1987974</v>
      </c>
      <c r="I12" s="283">
        <v>-2527488</v>
      </c>
      <c r="J12" s="283">
        <v>-2826767</v>
      </c>
      <c r="K12" s="283">
        <v>-1932968</v>
      </c>
      <c r="L12" s="283">
        <v>-1344337</v>
      </c>
      <c r="M12" s="283">
        <v>-1808277</v>
      </c>
      <c r="N12" s="283">
        <v>-2440249</v>
      </c>
      <c r="O12" s="263">
        <v>-2789705</v>
      </c>
      <c r="P12" s="283">
        <v>-2979654</v>
      </c>
      <c r="Q12" s="283">
        <v>-1436730</v>
      </c>
      <c r="R12" s="283">
        <v>-1833531</v>
      </c>
      <c r="S12" s="351">
        <f>+AVERAGE(F12:R12)</f>
        <v>-2093598.076923077</v>
      </c>
      <c r="T12" s="351"/>
      <c r="U12" s="351">
        <f>+S12</f>
        <v>-2093598.076923077</v>
      </c>
      <c r="V12" s="351"/>
      <c r="W12" s="351"/>
    </row>
    <row r="13" spans="1:23">
      <c r="F13" s="351"/>
      <c r="G13" s="351"/>
      <c r="S13" s="351"/>
      <c r="T13" s="351"/>
      <c r="U13" s="351"/>
      <c r="V13" s="351"/>
      <c r="W13" s="351"/>
    </row>
    <row r="14" spans="1:23">
      <c r="A14" s="306">
        <f>+A12+1</f>
        <v>2</v>
      </c>
      <c r="B14" s="306" t="s">
        <v>879</v>
      </c>
      <c r="F14" s="283">
        <v>-10248787</v>
      </c>
      <c r="G14" s="283">
        <v>-9346883</v>
      </c>
      <c r="H14" s="283">
        <v>-10196550</v>
      </c>
      <c r="I14" s="283">
        <v>-8170337</v>
      </c>
      <c r="J14" s="283">
        <v>-8679986</v>
      </c>
      <c r="K14" s="283">
        <v>-9222437</v>
      </c>
      <c r="L14" s="283">
        <v>-10331359</v>
      </c>
      <c r="M14" s="283">
        <v>-10735743</v>
      </c>
      <c r="N14" s="283">
        <v>-10490516</v>
      </c>
      <c r="O14" s="283">
        <v>-11053389</v>
      </c>
      <c r="P14" s="283">
        <v>-11577728</v>
      </c>
      <c r="Q14" s="283">
        <v>-11280284</v>
      </c>
      <c r="R14" s="283">
        <v>-12092235</v>
      </c>
      <c r="S14" s="351">
        <f>+AVERAGE(F14:R14)</f>
        <v>-10263556.461538462</v>
      </c>
      <c r="T14" s="351"/>
      <c r="U14" s="351"/>
      <c r="V14" s="351">
        <f>+S14*V10</f>
        <v>-1130087.6974042465</v>
      </c>
      <c r="W14" s="351"/>
    </row>
    <row r="15" spans="1:23">
      <c r="F15" s="351"/>
      <c r="G15" s="351"/>
      <c r="H15" s="351"/>
      <c r="I15" s="351"/>
      <c r="J15" s="351"/>
      <c r="K15" s="351"/>
      <c r="L15" s="351"/>
      <c r="M15" s="351"/>
      <c r="S15" s="351"/>
      <c r="T15" s="351"/>
      <c r="U15" s="351"/>
      <c r="V15" s="351"/>
      <c r="W15" s="351"/>
    </row>
    <row r="16" spans="1:23">
      <c r="A16" s="306">
        <f>+A14+1</f>
        <v>3</v>
      </c>
      <c r="B16" s="306" t="s">
        <v>880</v>
      </c>
      <c r="F16" s="263">
        <v>0</v>
      </c>
      <c r="G16" s="283">
        <v>-1021916</v>
      </c>
      <c r="H16" s="283">
        <v>-1103610</v>
      </c>
      <c r="I16" s="283">
        <v>-1099232</v>
      </c>
      <c r="J16" s="283">
        <v>36851</v>
      </c>
      <c r="K16" s="283">
        <v>-809231</v>
      </c>
      <c r="L16" s="283">
        <v>-954637</v>
      </c>
      <c r="M16" s="283">
        <v>-1718938</v>
      </c>
      <c r="N16" s="283">
        <v>-879032</v>
      </c>
      <c r="O16" s="283">
        <v>0</v>
      </c>
      <c r="P16" s="283">
        <v>-1005616</v>
      </c>
      <c r="Q16" s="283">
        <v>-971037</v>
      </c>
      <c r="R16" s="283">
        <v>229037</v>
      </c>
      <c r="S16" s="351">
        <f>+AVERAGE(F16:R16)</f>
        <v>-715181.61538461538</v>
      </c>
      <c r="T16" s="351"/>
      <c r="U16" s="351">
        <f>+S16</f>
        <v>-715181.61538461538</v>
      </c>
      <c r="V16" s="351"/>
      <c r="W16" s="351"/>
    </row>
    <row r="17" spans="1:23">
      <c r="F17" s="351"/>
      <c r="G17" s="351"/>
      <c r="H17" s="351"/>
      <c r="I17" s="351"/>
      <c r="J17" s="351"/>
      <c r="K17" s="351"/>
      <c r="L17" s="351"/>
      <c r="M17" s="351"/>
      <c r="S17" s="351"/>
      <c r="T17" s="351"/>
      <c r="U17" s="351"/>
      <c r="V17" s="351"/>
      <c r="W17" s="351"/>
    </row>
    <row r="18" spans="1:23">
      <c r="A18" s="306">
        <f>+A16+1</f>
        <v>4</v>
      </c>
      <c r="B18" s="306" t="s">
        <v>291</v>
      </c>
      <c r="F18" s="198">
        <v>-5913794</v>
      </c>
      <c r="G18" s="198">
        <v>-12063062</v>
      </c>
      <c r="H18" s="198">
        <v>-8005598</v>
      </c>
      <c r="I18" s="198">
        <v>-8504436</v>
      </c>
      <c r="J18" s="198">
        <v>-6683404</v>
      </c>
      <c r="K18" s="198">
        <v>-6915623</v>
      </c>
      <c r="L18" s="198">
        <v>-7049875</v>
      </c>
      <c r="M18" s="198">
        <v>-7647505</v>
      </c>
      <c r="N18" s="198">
        <v>-9225084</v>
      </c>
      <c r="O18" s="198">
        <v>-8078413</v>
      </c>
      <c r="P18" s="198">
        <v>-6792533</v>
      </c>
      <c r="Q18" s="198">
        <v>-6137946</v>
      </c>
      <c r="R18" s="198">
        <v>-5600847</v>
      </c>
      <c r="S18" s="351">
        <f>+AVERAGE(F18:R18)</f>
        <v>-7586009.230769231</v>
      </c>
      <c r="T18" s="351"/>
      <c r="U18" s="351">
        <f>+S18</f>
        <v>-7586009.230769231</v>
      </c>
      <c r="V18" s="351"/>
      <c r="W18" s="351"/>
    </row>
    <row r="19" spans="1:23">
      <c r="F19" s="351"/>
      <c r="G19" s="351"/>
      <c r="H19" s="351"/>
      <c r="I19" s="351"/>
      <c r="J19" s="351"/>
      <c r="K19" s="351"/>
      <c r="L19" s="351"/>
      <c r="M19" s="351"/>
      <c r="S19" s="351"/>
      <c r="T19" s="351"/>
      <c r="U19" s="351"/>
      <c r="V19" s="351"/>
      <c r="W19" s="351"/>
    </row>
    <row r="20" spans="1:23">
      <c r="A20" s="306">
        <f>+A18+1</f>
        <v>5</v>
      </c>
      <c r="B20" s="306" t="s">
        <v>67</v>
      </c>
      <c r="F20" s="351">
        <f>+SUM(F12:F18)</f>
        <v>-17536768</v>
      </c>
      <c r="G20" s="351">
        <f t="shared" ref="G20:R20" si="0">+SUM(G12:G18)</f>
        <v>-24366769</v>
      </c>
      <c r="H20" s="351">
        <f t="shared" si="0"/>
        <v>-21293732</v>
      </c>
      <c r="I20" s="351">
        <f t="shared" ref="I20:O20" si="1">+SUM(I12:I18)</f>
        <v>-20301493</v>
      </c>
      <c r="J20" s="351">
        <f t="shared" si="1"/>
        <v>-18153306</v>
      </c>
      <c r="K20" s="351">
        <f t="shared" si="1"/>
        <v>-18880259</v>
      </c>
      <c r="L20" s="351">
        <f t="shared" si="1"/>
        <v>-19680208</v>
      </c>
      <c r="M20" s="351">
        <f t="shared" si="1"/>
        <v>-21910463</v>
      </c>
      <c r="N20" s="351">
        <f t="shared" si="1"/>
        <v>-23034881</v>
      </c>
      <c r="O20" s="351">
        <f t="shared" si="1"/>
        <v>-21921507</v>
      </c>
      <c r="P20" s="351">
        <f t="shared" si="0"/>
        <v>-22355531</v>
      </c>
      <c r="Q20" s="351">
        <f t="shared" si="0"/>
        <v>-19825997</v>
      </c>
      <c r="R20" s="351">
        <f t="shared" si="0"/>
        <v>-19297576</v>
      </c>
      <c r="S20" s="279">
        <f>+SUM(F20:R20)/13</f>
        <v>-20658345.384615384</v>
      </c>
      <c r="T20" s="351"/>
      <c r="U20" s="351">
        <f t="shared" ref="U20:W20" si="2">+SUM(U12:U18)</f>
        <v>-10394788.923076924</v>
      </c>
      <c r="V20" s="351">
        <f t="shared" si="2"/>
        <v>-1130087.6974042465</v>
      </c>
      <c r="W20" s="351">
        <f t="shared" si="2"/>
        <v>0</v>
      </c>
    </row>
    <row r="21" spans="1:23">
      <c r="S21" s="351"/>
      <c r="T21" s="351"/>
      <c r="U21" s="351"/>
      <c r="V21" s="351"/>
      <c r="W21" s="351"/>
    </row>
    <row r="22" spans="1:23">
      <c r="A22" s="306">
        <f>+A20+1</f>
        <v>6</v>
      </c>
      <c r="B22" s="306" t="s">
        <v>881</v>
      </c>
      <c r="F22" s="16"/>
      <c r="G22" s="16"/>
      <c r="H22" s="16"/>
      <c r="I22" s="16"/>
      <c r="J22" s="16"/>
      <c r="K22" s="16"/>
      <c r="S22" s="351"/>
      <c r="T22" s="351"/>
      <c r="U22" s="351"/>
      <c r="V22" s="351"/>
      <c r="W22" s="351">
        <f>+W20+V20</f>
        <v>-1130087.6974042465</v>
      </c>
    </row>
    <row r="23" spans="1:23">
      <c r="F23" s="476"/>
      <c r="G23" s="308"/>
      <c r="H23" s="476"/>
      <c r="I23" s="308"/>
    </row>
    <row r="24" spans="1:23">
      <c r="F24" s="351"/>
      <c r="G24" s="351"/>
      <c r="H24" s="351"/>
      <c r="I24" s="351"/>
      <c r="J24" s="351"/>
      <c r="K24" s="351"/>
      <c r="L24" s="351"/>
      <c r="M24" s="430"/>
    </row>
    <row r="26" spans="1:23">
      <c r="F26" s="306" t="s">
        <v>143</v>
      </c>
    </row>
  </sheetData>
  <mergeCells count="4">
    <mergeCell ref="B1:M1"/>
    <mergeCell ref="B2:M2"/>
    <mergeCell ref="B3:M3"/>
    <mergeCell ref="B4:M4"/>
  </mergeCells>
  <pageMargins left="0.7" right="0.7" top="0.75" bottom="0.75" header="0.3" footer="0.3"/>
  <pageSetup scale="45" orientation="landscape" r:id="rId1"/>
  <customProperties>
    <customPr name="_pios_id" r:id="rId2"/>
    <customPr name="EpmWorksheetKeyString_GUID" r:id="rId3"/>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536-E8BF-46E5-8B69-6527F22951C8}">
  <sheetPr>
    <tabColor rgb="FF92D050"/>
    <pageSetUpPr fitToPage="1"/>
  </sheetPr>
  <dimension ref="A1:J127"/>
  <sheetViews>
    <sheetView topLeftCell="A4" zoomScale="90" zoomScaleNormal="90" zoomScaleSheetLayoutView="90" workbookViewId="0">
      <selection activeCell="I7" sqref="I7"/>
    </sheetView>
  </sheetViews>
  <sheetFormatPr defaultRowHeight="20.25"/>
  <cols>
    <col min="1" max="1" width="6.5703125" style="306" customWidth="1"/>
    <col min="2" max="2" width="63.28515625" style="306" customWidth="1"/>
    <col min="3" max="3" width="19.140625" style="306" customWidth="1"/>
    <col min="4" max="4" width="18.140625" style="306" bestFit="1" customWidth="1"/>
    <col min="5" max="5" width="2" style="306" customWidth="1"/>
    <col min="6" max="6" width="27.85546875" style="306" customWidth="1"/>
    <col min="7" max="7" width="1.7109375" style="306" customWidth="1"/>
    <col min="8" max="8" width="19" style="306" customWidth="1"/>
    <col min="9" max="9" width="19.7109375" style="306" customWidth="1"/>
    <col min="10" max="10" width="11.42578125" style="306" bestFit="1" customWidth="1"/>
    <col min="11" max="16384" width="9.140625" style="306"/>
  </cols>
  <sheetData>
    <row r="1" spans="1:10">
      <c r="A1" s="697" t="str">
        <f>+'9 - Excess ADIT'!I2</f>
        <v>Dayton Power and Light</v>
      </c>
      <c r="B1" s="697"/>
      <c r="C1" s="697"/>
      <c r="D1" s="697"/>
      <c r="E1" s="697"/>
      <c r="F1" s="697"/>
      <c r="G1" s="697"/>
    </row>
    <row r="2" spans="1:10">
      <c r="A2" s="647" t="str">
        <f>+'9 - Excess ADIT'!I3</f>
        <v xml:space="preserve">ATTACHMENT H-15A </v>
      </c>
      <c r="B2" s="647"/>
      <c r="C2" s="647"/>
      <c r="D2" s="647"/>
      <c r="E2" s="647"/>
      <c r="F2" s="647"/>
      <c r="G2" s="647"/>
    </row>
    <row r="3" spans="1:10">
      <c r="A3" s="698" t="s">
        <v>1006</v>
      </c>
      <c r="B3" s="698"/>
      <c r="C3" s="698"/>
      <c r="D3" s="698"/>
      <c r="E3" s="698"/>
      <c r="F3" s="698"/>
      <c r="G3" s="698"/>
    </row>
    <row r="4" spans="1:10" ht="59.45" customHeight="1">
      <c r="A4" s="32"/>
      <c r="F4" s="411"/>
      <c r="G4" s="15"/>
      <c r="I4" s="342"/>
    </row>
    <row r="5" spans="1:10">
      <c r="A5" s="32"/>
      <c r="G5" s="15"/>
    </row>
    <row r="6" spans="1:10">
      <c r="A6" s="32"/>
      <c r="B6" s="306" t="s">
        <v>397</v>
      </c>
      <c r="G6" s="15"/>
    </row>
    <row r="7" spans="1:10">
      <c r="A7" s="301"/>
      <c r="B7" s="300"/>
      <c r="C7" s="301"/>
      <c r="D7" s="345" t="s">
        <v>333</v>
      </c>
      <c r="E7" s="301"/>
      <c r="F7" s="345" t="s">
        <v>334</v>
      </c>
      <c r="G7" s="14"/>
      <c r="H7" s="536" t="s">
        <v>335</v>
      </c>
      <c r="I7" s="534"/>
      <c r="J7" s="635" t="s">
        <v>336</v>
      </c>
    </row>
    <row r="8" spans="1:10">
      <c r="F8" s="347" t="s">
        <v>882</v>
      </c>
      <c r="G8" s="13"/>
      <c r="H8" s="347" t="s">
        <v>882</v>
      </c>
      <c r="I8" s="263"/>
    </row>
    <row r="9" spans="1:10">
      <c r="D9" s="347" t="s">
        <v>883</v>
      </c>
      <c r="F9" s="12">
        <v>2020</v>
      </c>
      <c r="G9" s="15"/>
      <c r="H9" s="12">
        <v>2021</v>
      </c>
      <c r="I9" s="263"/>
    </row>
    <row r="10" spans="1:10">
      <c r="A10" s="347" t="s">
        <v>805</v>
      </c>
      <c r="D10" s="347" t="s">
        <v>884</v>
      </c>
      <c r="F10" s="347" t="s">
        <v>883</v>
      </c>
      <c r="G10" s="15"/>
      <c r="H10" s="347" t="s">
        <v>883</v>
      </c>
      <c r="I10" s="263"/>
    </row>
    <row r="11" spans="1:10">
      <c r="A11" s="233" t="s">
        <v>885</v>
      </c>
      <c r="B11" s="234" t="s">
        <v>750</v>
      </c>
      <c r="C11" s="233" t="s">
        <v>886</v>
      </c>
      <c r="D11" s="233" t="s">
        <v>887</v>
      </c>
      <c r="F11" s="233" t="s">
        <v>888</v>
      </c>
      <c r="G11" s="15"/>
      <c r="H11" s="233" t="s">
        <v>888</v>
      </c>
      <c r="I11" s="263"/>
      <c r="J11" s="399" t="s">
        <v>67</v>
      </c>
    </row>
    <row r="12" spans="1:10">
      <c r="F12" s="233"/>
      <c r="G12" s="15"/>
      <c r="H12" s="233"/>
      <c r="I12" s="263"/>
    </row>
    <row r="13" spans="1:10">
      <c r="A13" s="11">
        <v>1</v>
      </c>
      <c r="B13" s="33" t="s">
        <v>889</v>
      </c>
      <c r="C13" s="263"/>
      <c r="D13" s="303"/>
      <c r="E13" s="303"/>
      <c r="F13" s="10"/>
      <c r="G13" s="15"/>
      <c r="H13" s="10"/>
      <c r="I13" s="263"/>
    </row>
    <row r="14" spans="1:10">
      <c r="A14" s="11">
        <f>+A13+1</f>
        <v>2</v>
      </c>
      <c r="B14" s="306" t="s">
        <v>890</v>
      </c>
      <c r="C14" s="263"/>
      <c r="D14" s="303"/>
      <c r="E14" s="303"/>
      <c r="F14" s="9">
        <v>0</v>
      </c>
      <c r="G14" s="15"/>
      <c r="H14" s="9">
        <v>0</v>
      </c>
      <c r="I14" s="263"/>
    </row>
    <row r="15" spans="1:10">
      <c r="A15" s="11"/>
      <c r="D15" s="303"/>
      <c r="E15" s="303"/>
      <c r="F15" s="351"/>
      <c r="G15" s="15"/>
      <c r="H15" s="351"/>
      <c r="I15" s="263"/>
    </row>
    <row r="16" spans="1:10">
      <c r="A16" s="11">
        <f>+A14+1</f>
        <v>3</v>
      </c>
      <c r="B16" s="8" t="s">
        <v>891</v>
      </c>
      <c r="C16" s="263"/>
      <c r="D16" s="263"/>
      <c r="E16" s="303"/>
      <c r="F16" s="283">
        <v>0</v>
      </c>
      <c r="G16" s="15"/>
      <c r="H16" s="283">
        <v>0</v>
      </c>
      <c r="I16" s="263"/>
    </row>
    <row r="17" spans="1:10">
      <c r="A17" s="11">
        <f t="shared" ref="A17:A27" si="0">+A16+1</f>
        <v>4</v>
      </c>
      <c r="B17" s="8" t="s">
        <v>892</v>
      </c>
      <c r="C17" s="263"/>
      <c r="D17" s="263"/>
      <c r="E17" s="303"/>
      <c r="F17" s="9">
        <v>0</v>
      </c>
      <c r="G17" s="15"/>
      <c r="H17" s="9">
        <v>0</v>
      </c>
      <c r="I17" s="263"/>
    </row>
    <row r="18" spans="1:10">
      <c r="A18" s="11"/>
      <c r="E18" s="303"/>
      <c r="F18" s="351"/>
      <c r="G18" s="15"/>
      <c r="H18" s="351"/>
      <c r="I18" s="263"/>
    </row>
    <row r="19" spans="1:10">
      <c r="A19" s="11">
        <f>+A17+1</f>
        <v>5</v>
      </c>
      <c r="B19" s="306" t="s">
        <v>893</v>
      </c>
      <c r="C19" s="306" t="str">
        <f>"(Line "&amp;A16&amp;" + Line "&amp;A17&amp;")"</f>
        <v>(Line 3 + Line 4)</v>
      </c>
      <c r="E19" s="303"/>
      <c r="F19" s="352">
        <f>+F16+F17</f>
        <v>0</v>
      </c>
      <c r="G19" s="15"/>
      <c r="H19" s="352">
        <f>+H16+H17</f>
        <v>0</v>
      </c>
      <c r="I19" s="263"/>
    </row>
    <row r="20" spans="1:10">
      <c r="A20" s="11"/>
      <c r="D20" s="303"/>
      <c r="E20" s="303"/>
      <c r="F20" s="351"/>
      <c r="G20" s="15"/>
      <c r="H20" s="351"/>
      <c r="I20" s="263"/>
    </row>
    <row r="21" spans="1:10">
      <c r="A21" s="11">
        <f>+A19+1</f>
        <v>6</v>
      </c>
      <c r="B21" s="306" t="s">
        <v>894</v>
      </c>
      <c r="C21" s="306" t="str">
        <f>"(Line "&amp;A14&amp;" + Line "&amp;A19&amp;")"</f>
        <v>(Line 2 + Line 5)</v>
      </c>
      <c r="D21" s="303"/>
      <c r="E21" s="303"/>
      <c r="F21" s="351">
        <f>+F14+F19</f>
        <v>0</v>
      </c>
      <c r="G21" s="15"/>
      <c r="H21" s="351">
        <f>+H14+H19</f>
        <v>0</v>
      </c>
      <c r="I21" s="263"/>
    </row>
    <row r="22" spans="1:10">
      <c r="A22" s="11"/>
      <c r="D22" s="303"/>
      <c r="E22" s="303"/>
      <c r="F22" s="351"/>
      <c r="G22" s="15"/>
      <c r="H22" s="351"/>
      <c r="I22" s="263"/>
    </row>
    <row r="23" spans="1:10">
      <c r="A23" s="11">
        <f>+A21+1</f>
        <v>7</v>
      </c>
      <c r="B23" s="306" t="s">
        <v>893</v>
      </c>
      <c r="C23" s="306" t="str">
        <f>"(Line "&amp;A19&amp;")"</f>
        <v>(Line 5)</v>
      </c>
      <c r="D23" s="303"/>
      <c r="E23" s="303"/>
      <c r="F23" s="283">
        <f>+F19*0.6658</f>
        <v>0</v>
      </c>
      <c r="G23" s="15"/>
      <c r="H23" s="283">
        <f>+H19</f>
        <v>0</v>
      </c>
      <c r="I23" s="263"/>
      <c r="J23" s="283">
        <f>+F23+H23</f>
        <v>0</v>
      </c>
    </row>
    <row r="24" spans="1:10">
      <c r="A24" s="11"/>
      <c r="G24" s="15"/>
      <c r="I24" s="263"/>
    </row>
    <row r="25" spans="1:10">
      <c r="A25" s="11">
        <f>+A23+1</f>
        <v>8</v>
      </c>
      <c r="B25" s="306" t="s">
        <v>895</v>
      </c>
      <c r="C25" s="306" t="s">
        <v>730</v>
      </c>
      <c r="F25" s="106">
        <f>+C93</f>
        <v>4.562499999999998E-3</v>
      </c>
      <c r="G25" s="15"/>
      <c r="H25" s="106">
        <f>+C94</f>
        <v>4.806249999999998E-3</v>
      </c>
      <c r="I25" s="263"/>
    </row>
    <row r="26" spans="1:10">
      <c r="A26" s="11">
        <f t="shared" si="0"/>
        <v>9</v>
      </c>
      <c r="B26" s="306" t="s">
        <v>896</v>
      </c>
      <c r="C26" s="306" t="s">
        <v>897</v>
      </c>
      <c r="F26" s="283">
        <v>46</v>
      </c>
      <c r="G26" s="15"/>
      <c r="H26" s="283">
        <v>36</v>
      </c>
      <c r="I26" s="263"/>
    </row>
    <row r="27" spans="1:10">
      <c r="A27" s="11">
        <f t="shared" si="0"/>
        <v>10</v>
      </c>
      <c r="B27" s="306" t="s">
        <v>898</v>
      </c>
      <c r="C27" s="306" t="s">
        <v>899</v>
      </c>
      <c r="F27" s="352">
        <f>+F23*F25*F26</f>
        <v>0</v>
      </c>
      <c r="G27" s="15"/>
      <c r="H27" s="352">
        <f>+H23*H25*H26</f>
        <v>0</v>
      </c>
      <c r="I27" s="263"/>
      <c r="J27" s="195">
        <f>+F27+H27</f>
        <v>0</v>
      </c>
    </row>
    <row r="28" spans="1:10">
      <c r="A28" s="11"/>
      <c r="F28" s="351"/>
      <c r="G28" s="15"/>
      <c r="H28" s="351"/>
      <c r="I28" s="263"/>
    </row>
    <row r="29" spans="1:10">
      <c r="A29" s="11">
        <f>+A27+1</f>
        <v>11</v>
      </c>
      <c r="B29" s="306" t="s">
        <v>900</v>
      </c>
      <c r="C29" s="306" t="s">
        <v>901</v>
      </c>
      <c r="F29" s="351">
        <f>+F23+F27</f>
        <v>0</v>
      </c>
      <c r="G29" s="15"/>
      <c r="H29" s="351">
        <f>+H23+H27</f>
        <v>0</v>
      </c>
      <c r="I29" s="263"/>
      <c r="J29" s="351">
        <f>+F29+H29</f>
        <v>0</v>
      </c>
    </row>
    <row r="30" spans="1:10">
      <c r="A30" s="11"/>
      <c r="G30" s="15"/>
    </row>
    <row r="31" spans="1:10">
      <c r="F31" s="263" t="s">
        <v>952</v>
      </c>
      <c r="G31" s="15"/>
    </row>
    <row r="32" spans="1:10">
      <c r="A32" s="200" t="s">
        <v>902</v>
      </c>
      <c r="G32" s="15"/>
    </row>
    <row r="33" spans="1:7" ht="43.9" customHeight="1">
      <c r="A33" s="196" t="s">
        <v>206</v>
      </c>
      <c r="B33" s="696" t="s">
        <v>903</v>
      </c>
      <c r="C33" s="696"/>
      <c r="D33" s="696"/>
      <c r="E33" s="696"/>
      <c r="F33" s="696"/>
      <c r="G33" s="7"/>
    </row>
    <row r="34" spans="1:7" ht="54" customHeight="1">
      <c r="A34" s="196" t="s">
        <v>208</v>
      </c>
      <c r="B34" s="696" t="s">
        <v>904</v>
      </c>
      <c r="C34" s="696"/>
      <c r="D34" s="696"/>
      <c r="E34" s="696"/>
      <c r="F34" s="696"/>
      <c r="G34" s="7"/>
    </row>
    <row r="36" spans="1:7">
      <c r="B36" s="534" t="s">
        <v>953</v>
      </c>
    </row>
    <row r="37" spans="1:7">
      <c r="B37" s="42">
        <v>43952</v>
      </c>
      <c r="C37" s="106">
        <v>4.0000000000000001E-3</v>
      </c>
    </row>
    <row r="38" spans="1:7">
      <c r="B38" s="42">
        <f>+B37+31</f>
        <v>43983</v>
      </c>
      <c r="C38" s="106">
        <v>3.8999999999999998E-3</v>
      </c>
    </row>
    <row r="39" spans="1:7">
      <c r="B39" s="42">
        <f t="shared" ref="B39:B92" si="1">+B38+31</f>
        <v>44014</v>
      </c>
      <c r="C39" s="106">
        <v>2.8999999999999998E-3</v>
      </c>
    </row>
    <row r="40" spans="1:7">
      <c r="B40" s="42">
        <f t="shared" si="1"/>
        <v>44045</v>
      </c>
      <c r="C40" s="106">
        <v>2.8999999999999998E-3</v>
      </c>
    </row>
    <row r="41" spans="1:7">
      <c r="B41" s="42">
        <f t="shared" si="1"/>
        <v>44076</v>
      </c>
      <c r="C41" s="106">
        <v>2.8E-3</v>
      </c>
    </row>
    <row r="42" spans="1:7">
      <c r="B42" s="42">
        <f t="shared" si="1"/>
        <v>44107</v>
      </c>
      <c r="C42" s="106">
        <v>2.8E-3</v>
      </c>
    </row>
    <row r="43" spans="1:7">
      <c r="B43" s="42">
        <f t="shared" si="1"/>
        <v>44138</v>
      </c>
      <c r="C43" s="106">
        <v>2.7000000000000001E-3</v>
      </c>
    </row>
    <row r="44" spans="1:7">
      <c r="B44" s="42">
        <f t="shared" si="1"/>
        <v>44169</v>
      </c>
      <c r="C44" s="106">
        <v>2.8E-3</v>
      </c>
    </row>
    <row r="45" spans="1:7">
      <c r="B45" s="42">
        <f t="shared" si="1"/>
        <v>44200</v>
      </c>
      <c r="C45" s="106">
        <v>2.8E-3</v>
      </c>
    </row>
    <row r="46" spans="1:7">
      <c r="B46" s="42">
        <f t="shared" si="1"/>
        <v>44231</v>
      </c>
      <c r="C46" s="106">
        <v>2.5000000000000001E-3</v>
      </c>
    </row>
    <row r="47" spans="1:7">
      <c r="B47" s="42">
        <f t="shared" si="1"/>
        <v>44262</v>
      </c>
      <c r="C47" s="106">
        <v>2.8E-3</v>
      </c>
    </row>
    <row r="48" spans="1:7">
      <c r="B48" s="42">
        <f t="shared" si="1"/>
        <v>44293</v>
      </c>
      <c r="C48" s="106">
        <v>2.7000000000000001E-3</v>
      </c>
    </row>
    <row r="49" spans="2:3">
      <c r="B49" s="42">
        <f t="shared" si="1"/>
        <v>44324</v>
      </c>
      <c r="C49" s="106">
        <v>2.8E-3</v>
      </c>
    </row>
    <row r="50" spans="2:3">
      <c r="B50" s="42">
        <f t="shared" si="1"/>
        <v>44355</v>
      </c>
      <c r="C50" s="106">
        <v>2.7000000000000001E-3</v>
      </c>
    </row>
    <row r="51" spans="2:3">
      <c r="B51" s="42">
        <f t="shared" si="1"/>
        <v>44386</v>
      </c>
      <c r="C51" s="106">
        <v>2.8E-3</v>
      </c>
    </row>
    <row r="52" spans="2:3">
      <c r="B52" s="42">
        <f t="shared" si="1"/>
        <v>44417</v>
      </c>
      <c r="C52" s="106">
        <v>2.8E-3</v>
      </c>
    </row>
    <row r="53" spans="2:3">
      <c r="B53" s="42">
        <f t="shared" si="1"/>
        <v>44448</v>
      </c>
      <c r="C53" s="106">
        <v>2.7000000000000001E-3</v>
      </c>
    </row>
    <row r="54" spans="2:3">
      <c r="B54" s="42">
        <f t="shared" si="1"/>
        <v>44479</v>
      </c>
      <c r="C54" s="106">
        <v>2.8E-3</v>
      </c>
    </row>
    <row r="55" spans="2:3">
      <c r="B55" s="42">
        <f t="shared" si="1"/>
        <v>44510</v>
      </c>
      <c r="C55" s="106">
        <v>2.7000000000000001E-3</v>
      </c>
    </row>
    <row r="56" spans="2:3">
      <c r="B56" s="42">
        <f t="shared" si="1"/>
        <v>44541</v>
      </c>
      <c r="C56" s="106">
        <v>2.8E-3</v>
      </c>
    </row>
    <row r="57" spans="2:3">
      <c r="B57" s="42">
        <f t="shared" si="1"/>
        <v>44572</v>
      </c>
      <c r="C57" s="106">
        <v>2.8E-3</v>
      </c>
    </row>
    <row r="58" spans="2:3">
      <c r="B58" s="42">
        <f t="shared" si="1"/>
        <v>44603</v>
      </c>
      <c r="C58" s="106">
        <v>2.5000000000000001E-3</v>
      </c>
    </row>
    <row r="59" spans="2:3">
      <c r="B59" s="42">
        <f t="shared" si="1"/>
        <v>44634</v>
      </c>
      <c r="C59" s="106">
        <v>2.8E-3</v>
      </c>
    </row>
    <row r="60" spans="2:3">
      <c r="B60" s="42">
        <f t="shared" si="1"/>
        <v>44665</v>
      </c>
      <c r="C60" s="106">
        <v>2.7000000000000001E-3</v>
      </c>
    </row>
    <row r="61" spans="2:3">
      <c r="B61" s="42">
        <f t="shared" si="1"/>
        <v>44696</v>
      </c>
      <c r="C61" s="106">
        <v>2.8E-3</v>
      </c>
    </row>
    <row r="62" spans="2:3">
      <c r="B62" s="42">
        <f t="shared" si="1"/>
        <v>44727</v>
      </c>
      <c r="C62" s="106">
        <v>2.7000000000000001E-3</v>
      </c>
    </row>
    <row r="63" spans="2:3">
      <c r="B63" s="42">
        <f t="shared" si="1"/>
        <v>44758</v>
      </c>
      <c r="C63" s="106">
        <v>3.0999999999999999E-3</v>
      </c>
    </row>
    <row r="64" spans="2:3">
      <c r="B64" s="42">
        <f>+B63+31</f>
        <v>44789</v>
      </c>
      <c r="C64" s="106">
        <v>3.0999999999999999E-3</v>
      </c>
    </row>
    <row r="65" spans="2:3">
      <c r="B65" s="42">
        <f t="shared" si="1"/>
        <v>44820</v>
      </c>
      <c r="C65" s="106">
        <v>3.0000000000000001E-3</v>
      </c>
    </row>
    <row r="66" spans="2:3">
      <c r="B66" s="42">
        <f t="shared" si="1"/>
        <v>44851</v>
      </c>
      <c r="C66" s="106">
        <v>4.1999999999999997E-3</v>
      </c>
    </row>
    <row r="67" spans="2:3">
      <c r="B67" s="42">
        <f t="shared" si="1"/>
        <v>44882</v>
      </c>
      <c r="C67" s="106">
        <v>4.0000000000000001E-3</v>
      </c>
    </row>
    <row r="68" spans="2:3">
      <c r="B68" s="42">
        <f t="shared" si="1"/>
        <v>44913</v>
      </c>
      <c r="C68" s="106">
        <v>4.1999999999999997E-3</v>
      </c>
    </row>
    <row r="69" spans="2:3">
      <c r="B69" s="42">
        <f t="shared" si="1"/>
        <v>44944</v>
      </c>
      <c r="C69" s="106">
        <v>5.4000000000000003E-3</v>
      </c>
    </row>
    <row r="70" spans="2:3">
      <c r="B70" s="42">
        <f t="shared" si="1"/>
        <v>44975</v>
      </c>
      <c r="C70" s="106">
        <v>4.7999999999999996E-3</v>
      </c>
    </row>
    <row r="71" spans="2:3">
      <c r="B71" s="42">
        <f t="shared" si="1"/>
        <v>45006</v>
      </c>
      <c r="C71" s="106">
        <v>5.4000000000000003E-3</v>
      </c>
    </row>
    <row r="72" spans="2:3">
      <c r="B72" s="42">
        <f t="shared" si="1"/>
        <v>45037</v>
      </c>
      <c r="C72" s="106">
        <v>6.1999999999999998E-3</v>
      </c>
    </row>
    <row r="73" spans="2:3">
      <c r="B73" s="42">
        <f t="shared" si="1"/>
        <v>45068</v>
      </c>
      <c r="C73" s="106">
        <v>6.4000000000000003E-3</v>
      </c>
    </row>
    <row r="74" spans="2:3">
      <c r="B74" s="42">
        <f>+B73+31</f>
        <v>45099</v>
      </c>
      <c r="C74" s="106">
        <v>6.1999999999999998E-3</v>
      </c>
    </row>
    <row r="75" spans="2:3">
      <c r="B75" s="42">
        <f t="shared" si="1"/>
        <v>45130</v>
      </c>
      <c r="C75" s="106">
        <v>6.7999999999999996E-3</v>
      </c>
    </row>
    <row r="76" spans="2:3">
      <c r="B76" s="42">
        <f t="shared" si="1"/>
        <v>45161</v>
      </c>
      <c r="C76" s="106">
        <v>6.7999999999999996E-3</v>
      </c>
    </row>
    <row r="77" spans="2:3">
      <c r="B77" s="42">
        <f t="shared" si="1"/>
        <v>45192</v>
      </c>
      <c r="C77" s="106">
        <v>6.6E-3</v>
      </c>
    </row>
    <row r="78" spans="2:3">
      <c r="B78" s="42">
        <f t="shared" si="1"/>
        <v>45223</v>
      </c>
      <c r="C78" s="106">
        <v>7.1000000000000004E-3</v>
      </c>
    </row>
    <row r="79" spans="2:3">
      <c r="B79" s="42">
        <f t="shared" si="1"/>
        <v>45254</v>
      </c>
      <c r="C79" s="106">
        <v>6.8999999999999999E-3</v>
      </c>
    </row>
    <row r="80" spans="2:3">
      <c r="B80" s="42">
        <f t="shared" si="1"/>
        <v>45285</v>
      </c>
      <c r="C80" s="106">
        <f>+C78</f>
        <v>7.1000000000000004E-3</v>
      </c>
    </row>
    <row r="81" spans="2:4">
      <c r="B81" s="42">
        <f t="shared" si="1"/>
        <v>45316</v>
      </c>
      <c r="C81" s="106">
        <f>+C80</f>
        <v>7.1000000000000004E-3</v>
      </c>
    </row>
    <row r="82" spans="2:4">
      <c r="B82" s="42">
        <f t="shared" si="1"/>
        <v>45347</v>
      </c>
      <c r="C82" s="106">
        <f>+C79</f>
        <v>6.8999999999999999E-3</v>
      </c>
    </row>
    <row r="83" spans="2:4">
      <c r="B83" s="42">
        <f>+B82+31</f>
        <v>45378</v>
      </c>
      <c r="C83" s="106">
        <f>+C81</f>
        <v>7.1000000000000004E-3</v>
      </c>
    </row>
    <row r="84" spans="2:4">
      <c r="B84" s="42">
        <f t="shared" si="1"/>
        <v>45409</v>
      </c>
      <c r="C84" s="106">
        <f>+C79</f>
        <v>6.8999999999999999E-3</v>
      </c>
    </row>
    <row r="85" spans="2:4">
      <c r="B85" s="42">
        <f t="shared" si="1"/>
        <v>45440</v>
      </c>
      <c r="C85" s="106">
        <f>+C83</f>
        <v>7.1000000000000004E-3</v>
      </c>
    </row>
    <row r="86" spans="2:4">
      <c r="B86" s="42">
        <f t="shared" si="1"/>
        <v>45471</v>
      </c>
      <c r="C86" s="106">
        <f>+C84</f>
        <v>6.8999999999999999E-3</v>
      </c>
    </row>
    <row r="87" spans="2:4">
      <c r="B87" s="42">
        <f t="shared" si="1"/>
        <v>45502</v>
      </c>
      <c r="C87" s="106">
        <f>+C85</f>
        <v>7.1000000000000004E-3</v>
      </c>
    </row>
    <row r="88" spans="2:4">
      <c r="B88" s="42">
        <f t="shared" si="1"/>
        <v>45533</v>
      </c>
      <c r="C88" s="106">
        <f>+C87</f>
        <v>7.1000000000000004E-3</v>
      </c>
    </row>
    <row r="89" spans="2:4">
      <c r="B89" s="42">
        <f t="shared" si="1"/>
        <v>45564</v>
      </c>
      <c r="C89" s="106">
        <f>+C86</f>
        <v>6.8999999999999999E-3</v>
      </c>
    </row>
    <row r="90" spans="2:4">
      <c r="B90" s="42">
        <f t="shared" si="1"/>
        <v>45595</v>
      </c>
      <c r="C90" s="106">
        <f>+C88</f>
        <v>7.1000000000000004E-3</v>
      </c>
    </row>
    <row r="91" spans="2:4">
      <c r="B91" s="42">
        <f t="shared" si="1"/>
        <v>45626</v>
      </c>
      <c r="C91" s="106">
        <f>+C89</f>
        <v>6.8999999999999999E-3</v>
      </c>
    </row>
    <row r="92" spans="2:4">
      <c r="B92" s="42">
        <f t="shared" si="1"/>
        <v>45657</v>
      </c>
      <c r="C92" s="106">
        <f>+C90</f>
        <v>7.1000000000000004E-3</v>
      </c>
      <c r="D92" s="372"/>
    </row>
    <row r="93" spans="2:4">
      <c r="B93" s="263" t="s">
        <v>954</v>
      </c>
      <c r="C93" s="106">
        <f>+AVERAGE(C37:C92)</f>
        <v>4.562499999999998E-3</v>
      </c>
    </row>
    <row r="94" spans="2:4">
      <c r="B94" s="263" t="s">
        <v>955</v>
      </c>
      <c r="C94" s="106">
        <f>+AVERAGE(C45:C92)</f>
        <v>4.806249999999998E-3</v>
      </c>
    </row>
    <row r="95" spans="2:4">
      <c r="B95" s="263"/>
      <c r="C95" s="106"/>
    </row>
    <row r="96" spans="2:4">
      <c r="C96" s="372"/>
    </row>
    <row r="97" spans="3:3">
      <c r="C97" s="372"/>
    </row>
    <row r="98" spans="3:3">
      <c r="C98" s="372"/>
    </row>
    <row r="99" spans="3:3">
      <c r="C99" s="372"/>
    </row>
    <row r="100" spans="3:3">
      <c r="C100" s="372"/>
    </row>
    <row r="101" spans="3:3">
      <c r="C101" s="372"/>
    </row>
    <row r="102" spans="3:3">
      <c r="C102" s="372"/>
    </row>
    <row r="103" spans="3:3">
      <c r="C103" s="372"/>
    </row>
    <row r="104" spans="3:3">
      <c r="C104" s="372"/>
    </row>
    <row r="105" spans="3:3">
      <c r="C105" s="372"/>
    </row>
    <row r="106" spans="3:3">
      <c r="C106" s="372"/>
    </row>
    <row r="107" spans="3:3">
      <c r="C107" s="372"/>
    </row>
    <row r="108" spans="3:3">
      <c r="C108" s="372"/>
    </row>
    <row r="109" spans="3:3">
      <c r="C109" s="372"/>
    </row>
    <row r="110" spans="3:3">
      <c r="C110" s="372"/>
    </row>
    <row r="111" spans="3:3">
      <c r="C111" s="372"/>
    </row>
    <row r="112" spans="3:3">
      <c r="C112" s="372"/>
    </row>
    <row r="113" spans="3:3">
      <c r="C113" s="372"/>
    </row>
    <row r="114" spans="3:3">
      <c r="C114" s="372"/>
    </row>
    <row r="115" spans="3:3">
      <c r="C115" s="372"/>
    </row>
    <row r="116" spans="3:3">
      <c r="C116" s="372"/>
    </row>
    <row r="117" spans="3:3">
      <c r="C117" s="372"/>
    </row>
    <row r="118" spans="3:3">
      <c r="C118" s="372"/>
    </row>
    <row r="119" spans="3:3">
      <c r="C119" s="372"/>
    </row>
    <row r="120" spans="3:3">
      <c r="C120" s="372"/>
    </row>
    <row r="121" spans="3:3">
      <c r="C121" s="372"/>
    </row>
    <row r="122" spans="3:3">
      <c r="C122" s="372"/>
    </row>
    <row r="123" spans="3:3">
      <c r="C123" s="372"/>
    </row>
    <row r="124" spans="3:3">
      <c r="C124" s="372"/>
    </row>
    <row r="125" spans="3:3">
      <c r="C125" s="372"/>
    </row>
    <row r="126" spans="3:3">
      <c r="C126" s="372"/>
    </row>
    <row r="127" spans="3:3">
      <c r="C127" s="372"/>
    </row>
  </sheetData>
  <mergeCells count="5">
    <mergeCell ref="B33:F33"/>
    <mergeCell ref="B34:F34"/>
    <mergeCell ref="A1:G1"/>
    <mergeCell ref="A2:G2"/>
    <mergeCell ref="A3:G3"/>
  </mergeCells>
  <pageMargins left="0.7" right="0.7" top="0.75" bottom="0.75" header="0.3" footer="0.3"/>
  <pageSetup scale="25" orientation="landscape" r:id="rId1"/>
  <customProperties>
    <customPr name="_pios_id" r:id="rId2"/>
    <customPr name="EpmWorksheetKeyString_GUID" r:id="rId3"/>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69B4-9789-4F2A-92F2-CA1100B60061}">
  <sheetPr>
    <tabColor rgb="FF92D050"/>
    <pageSetUpPr fitToPage="1"/>
  </sheetPr>
  <dimension ref="A1:M27"/>
  <sheetViews>
    <sheetView topLeftCell="A8" workbookViewId="0">
      <selection activeCell="P19" sqref="P19"/>
    </sheetView>
  </sheetViews>
  <sheetFormatPr defaultRowHeight="20.25"/>
  <cols>
    <col min="1" max="1" width="3.85546875" style="306" customWidth="1"/>
    <col min="2" max="2" width="4.28515625" style="306" customWidth="1"/>
    <col min="3" max="3" width="30.85546875" style="306" customWidth="1"/>
    <col min="4" max="9" width="9.140625" style="306"/>
    <col min="10" max="10" width="16.85546875" style="306" bestFit="1" customWidth="1"/>
    <col min="11" max="11" width="5.140625" style="306" customWidth="1"/>
    <col min="12" max="12" width="34" style="306" customWidth="1"/>
    <col min="13" max="13" width="16.7109375" style="306" customWidth="1"/>
    <col min="14" max="16384" width="9.140625" style="306"/>
  </cols>
  <sheetData>
    <row r="1" spans="1:13">
      <c r="F1" s="347" t="s">
        <v>0</v>
      </c>
    </row>
    <row r="2" spans="1:13">
      <c r="F2" s="347" t="s">
        <v>991</v>
      </c>
    </row>
    <row r="3" spans="1:13">
      <c r="D3" s="263"/>
      <c r="E3" s="263"/>
      <c r="F3" s="287" t="s">
        <v>1007</v>
      </c>
      <c r="G3" s="263"/>
      <c r="H3" s="263"/>
    </row>
    <row r="6" spans="1:13">
      <c r="A6" s="306" t="s">
        <v>805</v>
      </c>
      <c r="L6" s="347" t="s">
        <v>905</v>
      </c>
      <c r="M6" s="347" t="s">
        <v>906</v>
      </c>
    </row>
    <row r="7" spans="1:13">
      <c r="B7" s="306" t="s">
        <v>734</v>
      </c>
      <c r="L7" s="233" t="s">
        <v>907</v>
      </c>
      <c r="M7" s="233" t="s">
        <v>908</v>
      </c>
    </row>
    <row r="8" spans="1:13">
      <c r="A8" s="347">
        <v>1</v>
      </c>
      <c r="C8" s="306" t="s">
        <v>909</v>
      </c>
      <c r="J8" s="6">
        <v>2992</v>
      </c>
      <c r="L8" s="347" t="s">
        <v>910</v>
      </c>
      <c r="M8" s="306">
        <v>561.1</v>
      </c>
    </row>
    <row r="9" spans="1:13">
      <c r="A9" s="347"/>
      <c r="J9" s="351"/>
      <c r="L9" s="347"/>
    </row>
    <row r="10" spans="1:13">
      <c r="A10" s="347">
        <f>+A8+1</f>
        <v>2</v>
      </c>
      <c r="C10" s="306" t="s">
        <v>911</v>
      </c>
      <c r="J10" s="283">
        <v>557425</v>
      </c>
      <c r="L10" s="347" t="s">
        <v>912</v>
      </c>
      <c r="M10" s="306">
        <v>561.20000000000005</v>
      </c>
    </row>
    <row r="11" spans="1:13">
      <c r="A11" s="347"/>
      <c r="J11" s="351"/>
      <c r="L11" s="347"/>
    </row>
    <row r="12" spans="1:13">
      <c r="A12" s="347">
        <f>+A10+1</f>
        <v>3</v>
      </c>
      <c r="C12" s="306" t="s">
        <v>913</v>
      </c>
      <c r="J12" s="283">
        <v>0</v>
      </c>
      <c r="L12" s="347" t="s">
        <v>914</v>
      </c>
      <c r="M12" s="306">
        <v>561.29999999999995</v>
      </c>
    </row>
    <row r="13" spans="1:13">
      <c r="A13" s="347"/>
      <c r="J13" s="112"/>
      <c r="L13" s="347"/>
    </row>
    <row r="14" spans="1:13">
      <c r="A14" s="347">
        <f>+A12+1</f>
        <v>4</v>
      </c>
      <c r="C14" s="306" t="s">
        <v>976</v>
      </c>
      <c r="J14" s="43">
        <v>112921</v>
      </c>
      <c r="L14" s="347" t="s">
        <v>915</v>
      </c>
    </row>
    <row r="15" spans="1:13">
      <c r="A15" s="347"/>
      <c r="L15" s="347"/>
    </row>
    <row r="16" spans="1:13" ht="40.5" customHeight="1">
      <c r="A16" s="347">
        <f>+A14+1</f>
        <v>5</v>
      </c>
      <c r="C16" s="306" t="s">
        <v>67</v>
      </c>
      <c r="J16" s="351">
        <f>+SUM(J8:J14)</f>
        <v>673338</v>
      </c>
      <c r="L16" s="350" t="str">
        <f>"(Line "&amp;A8&amp;" + Line "&amp;A10&amp;" + Line "&amp;A12&amp;" + Line "&amp;A14&amp;")"</f>
        <v>(Line 1 + Line 2 + Line 3 + Line 4)</v>
      </c>
    </row>
    <row r="17" spans="1:12">
      <c r="A17" s="347"/>
      <c r="J17" s="351"/>
      <c r="L17" s="347"/>
    </row>
    <row r="18" spans="1:12" ht="110.25" customHeight="1">
      <c r="A18" s="347">
        <f>+A16+1</f>
        <v>6</v>
      </c>
      <c r="B18" s="306" t="s">
        <v>916</v>
      </c>
      <c r="J18" s="283">
        <v>13398050</v>
      </c>
      <c r="L18" s="521" t="s">
        <v>1024</v>
      </c>
    </row>
    <row r="19" spans="1:12">
      <c r="A19" s="347"/>
      <c r="L19" s="347"/>
    </row>
    <row r="20" spans="1:12">
      <c r="A20" s="347">
        <f>+A18+1</f>
        <v>7</v>
      </c>
      <c r="B20" s="306" t="s">
        <v>917</v>
      </c>
      <c r="J20" s="5">
        <f>+J16/J18</f>
        <v>5.0256417911561754E-2</v>
      </c>
      <c r="L20" s="347" t="str">
        <f>"(Line "&amp;A16&amp;" / Line "&amp;A18&amp;")"</f>
        <v>(Line 5 / Line 6)</v>
      </c>
    </row>
    <row r="21" spans="1:12">
      <c r="A21" s="347"/>
    </row>
    <row r="22" spans="1:12">
      <c r="A22" s="347"/>
    </row>
    <row r="23" spans="1:12">
      <c r="A23" s="347"/>
    </row>
    <row r="24" spans="1:12">
      <c r="A24" s="347"/>
    </row>
    <row r="25" spans="1:12">
      <c r="A25" s="347"/>
    </row>
    <row r="26" spans="1:12">
      <c r="A26" s="347"/>
    </row>
    <row r="27" spans="1:12">
      <c r="A27" s="347"/>
    </row>
  </sheetData>
  <pageMargins left="0.7" right="0.7" top="0.75" bottom="0.75" header="0.3" footer="0.3"/>
  <pageSetup scale="55" orientation="portrait" r:id="rId1"/>
  <customProperties>
    <customPr name="_pios_id" r:id="rId2"/>
    <customPr name="EpmWorksheetKeyString_GUID" r:id="rId3"/>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5BA13-A417-46C6-9E2B-EAE30E621C98}">
  <sheetPr>
    <tabColor rgb="FF92D050"/>
  </sheetPr>
  <dimension ref="A1:N40"/>
  <sheetViews>
    <sheetView topLeftCell="A16" zoomScale="80" zoomScaleNormal="80" workbookViewId="0">
      <selection activeCell="B40" sqref="B40"/>
    </sheetView>
  </sheetViews>
  <sheetFormatPr defaultRowHeight="20.25"/>
  <cols>
    <col min="1" max="1" width="3.85546875" style="306" customWidth="1"/>
    <col min="2" max="2" width="31" style="306" customWidth="1"/>
    <col min="3" max="3" width="17.85546875" style="306" customWidth="1"/>
    <col min="4" max="4" width="15" style="306" customWidth="1"/>
    <col min="5" max="5" width="9.140625" style="306"/>
    <col min="6" max="6" width="19" style="306" bestFit="1" customWidth="1"/>
    <col min="7" max="7" width="9.140625" style="306"/>
    <col min="8" max="8" width="19.28515625" style="306" customWidth="1"/>
    <col min="9" max="9" width="9.140625" style="306"/>
    <col min="10" max="10" width="19" style="306" bestFit="1" customWidth="1"/>
    <col min="11" max="11" width="9.140625" style="306"/>
    <col min="12" max="12" width="12.7109375" style="306" bestFit="1" customWidth="1"/>
    <col min="13" max="13" width="9.140625" style="306"/>
    <col min="14" max="14" width="22.28515625" style="306" customWidth="1"/>
    <col min="15" max="16384" width="9.140625" style="306"/>
  </cols>
  <sheetData>
    <row r="1" spans="1:14">
      <c r="B1" s="647" t="str">
        <f>+'9 - Excess ADIT'!I2</f>
        <v>Dayton Power and Light</v>
      </c>
      <c r="C1" s="647"/>
      <c r="D1" s="647"/>
      <c r="E1" s="647"/>
      <c r="F1" s="647"/>
      <c r="G1" s="647"/>
      <c r="H1" s="647"/>
      <c r="I1" s="647"/>
      <c r="J1" s="647"/>
      <c r="K1" s="647"/>
      <c r="L1" s="647"/>
      <c r="M1" s="647"/>
    </row>
    <row r="2" spans="1:14">
      <c r="B2" s="647" t="str">
        <f>+'9 - Excess ADIT'!I3</f>
        <v xml:space="preserve">ATTACHMENT H-15A </v>
      </c>
      <c r="C2" s="647"/>
      <c r="D2" s="647"/>
      <c r="E2" s="647"/>
      <c r="F2" s="647"/>
      <c r="G2" s="647"/>
      <c r="H2" s="647"/>
      <c r="I2" s="647"/>
      <c r="J2" s="647"/>
      <c r="K2" s="647"/>
      <c r="L2" s="647"/>
      <c r="M2" s="647"/>
    </row>
    <row r="3" spans="1:14">
      <c r="B3" s="647" t="s">
        <v>992</v>
      </c>
      <c r="C3" s="647"/>
      <c r="D3" s="647"/>
      <c r="E3" s="647"/>
      <c r="F3" s="647"/>
      <c r="G3" s="647"/>
      <c r="H3" s="647"/>
      <c r="I3" s="647"/>
      <c r="J3" s="647"/>
      <c r="K3" s="647"/>
      <c r="L3" s="647"/>
      <c r="M3" s="647"/>
    </row>
    <row r="4" spans="1:14">
      <c r="B4" s="699" t="s">
        <v>1008</v>
      </c>
      <c r="C4" s="699"/>
      <c r="D4" s="699"/>
      <c r="E4" s="699"/>
      <c r="F4" s="699"/>
      <c r="G4" s="699"/>
      <c r="H4" s="699"/>
      <c r="I4" s="699"/>
      <c r="J4" s="699"/>
      <c r="K4" s="699"/>
      <c r="L4" s="699"/>
      <c r="M4" s="699"/>
    </row>
    <row r="5" spans="1:14">
      <c r="B5" s="345"/>
      <c r="C5" s="345"/>
      <c r="D5" s="345"/>
      <c r="E5" s="345"/>
      <c r="F5" s="345"/>
      <c r="G5" s="345"/>
      <c r="H5" s="345"/>
      <c r="I5" s="345"/>
      <c r="J5" s="345"/>
      <c r="K5" s="345"/>
      <c r="L5" s="345"/>
      <c r="M5" s="345"/>
    </row>
    <row r="6" spans="1:14">
      <c r="H6" s="650" t="s">
        <v>918</v>
      </c>
      <c r="I6" s="650"/>
      <c r="J6" s="650"/>
      <c r="K6" s="650"/>
      <c r="L6" s="650"/>
    </row>
    <row r="7" spans="1:14" ht="71.25" customHeight="1">
      <c r="A7" s="306" t="s">
        <v>805</v>
      </c>
      <c r="B7" s="4" t="s">
        <v>750</v>
      </c>
      <c r="C7" s="4"/>
      <c r="D7" s="4" t="s">
        <v>478</v>
      </c>
      <c r="E7" s="4"/>
      <c r="F7" s="4" t="s">
        <v>425</v>
      </c>
      <c r="G7" s="4"/>
      <c r="H7" s="4" t="s">
        <v>56</v>
      </c>
      <c r="I7" s="4"/>
      <c r="J7" s="4" t="s">
        <v>919</v>
      </c>
      <c r="K7" s="4"/>
      <c r="L7" s="4" t="s">
        <v>291</v>
      </c>
      <c r="N7" s="30" t="s">
        <v>920</v>
      </c>
    </row>
    <row r="9" spans="1:14">
      <c r="A9" s="306">
        <v>1</v>
      </c>
      <c r="B9" s="306" t="s">
        <v>921</v>
      </c>
      <c r="D9" s="306">
        <v>920</v>
      </c>
      <c r="F9" s="232">
        <f>+H9+J9+L9</f>
        <v>18480367</v>
      </c>
      <c r="G9" s="121"/>
      <c r="H9" s="232">
        <v>2710426</v>
      </c>
      <c r="I9" s="303"/>
      <c r="J9" s="232">
        <v>15730142</v>
      </c>
      <c r="K9" s="303"/>
      <c r="L9" s="232">
        <v>39799</v>
      </c>
      <c r="N9" s="303">
        <f>+L9</f>
        <v>39799</v>
      </c>
    </row>
    <row r="10" spans="1:14">
      <c r="F10" s="303"/>
      <c r="G10" s="121"/>
      <c r="H10" s="303"/>
      <c r="I10" s="303"/>
      <c r="J10" s="303"/>
      <c r="K10" s="303"/>
      <c r="L10" s="303"/>
      <c r="N10" s="303"/>
    </row>
    <row r="11" spans="1:14">
      <c r="A11" s="306">
        <f>+A9+1</f>
        <v>2</v>
      </c>
      <c r="B11" s="306" t="s">
        <v>922</v>
      </c>
      <c r="D11" s="306">
        <v>921</v>
      </c>
      <c r="F11" s="232">
        <f>+H11+J11+L11</f>
        <v>7970011</v>
      </c>
      <c r="G11" s="121"/>
      <c r="H11" s="232">
        <v>703781</v>
      </c>
      <c r="I11" s="303"/>
      <c r="J11" s="232">
        <v>7266230</v>
      </c>
      <c r="K11" s="303"/>
      <c r="L11" s="232">
        <v>0</v>
      </c>
      <c r="N11" s="303">
        <f>+L11</f>
        <v>0</v>
      </c>
    </row>
    <row r="12" spans="1:14">
      <c r="F12" s="303"/>
      <c r="G12" s="121"/>
      <c r="H12" s="303"/>
      <c r="I12" s="303"/>
      <c r="J12" s="303"/>
      <c r="K12" s="303"/>
      <c r="L12" s="303"/>
      <c r="N12" s="303"/>
    </row>
    <row r="13" spans="1:14">
      <c r="A13" s="306">
        <f>+A11+1</f>
        <v>3</v>
      </c>
      <c r="B13" s="306" t="s">
        <v>923</v>
      </c>
      <c r="D13" s="306">
        <v>922</v>
      </c>
      <c r="F13" s="232">
        <f>+H13+J13+L13</f>
        <v>-1887606</v>
      </c>
      <c r="G13" s="121"/>
      <c r="H13" s="232">
        <v>-224548</v>
      </c>
      <c r="I13" s="303"/>
      <c r="J13" s="232">
        <v>-1663058</v>
      </c>
      <c r="K13" s="303"/>
      <c r="L13" s="232">
        <v>0</v>
      </c>
      <c r="N13" s="303">
        <f>+L13</f>
        <v>0</v>
      </c>
    </row>
    <row r="14" spans="1:14">
      <c r="F14" s="303"/>
      <c r="G14" s="121"/>
      <c r="H14" s="303"/>
      <c r="I14" s="303"/>
      <c r="J14" s="303"/>
      <c r="K14" s="303"/>
      <c r="L14" s="303"/>
      <c r="N14" s="303"/>
    </row>
    <row r="15" spans="1:14">
      <c r="A15" s="306">
        <f>+A13+1</f>
        <v>4</v>
      </c>
      <c r="B15" s="306" t="s">
        <v>924</v>
      </c>
      <c r="D15" s="306">
        <v>923</v>
      </c>
      <c r="F15" s="232">
        <f>+H15+J15+L15</f>
        <v>24134691</v>
      </c>
      <c r="G15" s="121"/>
      <c r="H15" s="232">
        <v>1175755</v>
      </c>
      <c r="I15" s="303"/>
      <c r="J15" s="232">
        <v>22958923</v>
      </c>
      <c r="K15" s="303"/>
      <c r="L15" s="232">
        <v>13</v>
      </c>
      <c r="N15" s="303">
        <f>+L15</f>
        <v>13</v>
      </c>
    </row>
    <row r="16" spans="1:14">
      <c r="F16" s="303"/>
      <c r="G16" s="121"/>
      <c r="H16" s="303"/>
      <c r="I16" s="303"/>
      <c r="J16" s="303"/>
      <c r="K16" s="303"/>
      <c r="L16" s="303"/>
      <c r="N16" s="303"/>
    </row>
    <row r="17" spans="1:14">
      <c r="A17" s="306">
        <f>+A15+1</f>
        <v>5</v>
      </c>
      <c r="B17" s="306" t="s">
        <v>925</v>
      </c>
      <c r="D17" s="306">
        <v>924</v>
      </c>
      <c r="F17" s="232">
        <f>+H17+J17+L17</f>
        <v>5877742</v>
      </c>
      <c r="G17" s="121"/>
      <c r="H17" s="232">
        <v>3834266</v>
      </c>
      <c r="I17" s="303"/>
      <c r="J17" s="232">
        <v>2043476</v>
      </c>
      <c r="K17" s="303"/>
      <c r="L17" s="232">
        <v>0</v>
      </c>
      <c r="N17" s="303">
        <f>+L17</f>
        <v>0</v>
      </c>
    </row>
    <row r="18" spans="1:14">
      <c r="F18" s="303"/>
      <c r="G18" s="121"/>
      <c r="H18" s="303"/>
      <c r="I18" s="303"/>
      <c r="J18" s="303"/>
      <c r="K18" s="303"/>
      <c r="L18" s="303"/>
      <c r="N18" s="303"/>
    </row>
    <row r="19" spans="1:14">
      <c r="A19" s="306">
        <f>+A17+1</f>
        <v>6</v>
      </c>
      <c r="B19" s="306" t="s">
        <v>926</v>
      </c>
      <c r="D19" s="306">
        <v>925</v>
      </c>
      <c r="F19" s="232">
        <f>+H19+J19+L19</f>
        <v>4591462</v>
      </c>
      <c r="G19" s="121"/>
      <c r="H19" s="232">
        <v>657834</v>
      </c>
      <c r="I19" s="303"/>
      <c r="J19" s="232">
        <v>3930270</v>
      </c>
      <c r="K19" s="303"/>
      <c r="L19" s="232">
        <v>3358</v>
      </c>
      <c r="N19" s="303">
        <f>+L19</f>
        <v>3358</v>
      </c>
    </row>
    <row r="20" spans="1:14">
      <c r="F20" s="303"/>
      <c r="G20" s="121"/>
      <c r="H20" s="303"/>
      <c r="I20" s="303"/>
      <c r="J20" s="303"/>
      <c r="K20" s="303"/>
      <c r="L20" s="303"/>
      <c r="N20" s="303"/>
    </row>
    <row r="21" spans="1:14">
      <c r="A21" s="306">
        <f>+A19+1</f>
        <v>7</v>
      </c>
      <c r="B21" s="306" t="s">
        <v>927</v>
      </c>
      <c r="D21" s="306">
        <v>926</v>
      </c>
      <c r="F21" s="232">
        <v>12497117</v>
      </c>
      <c r="G21" s="121"/>
      <c r="H21" s="232">
        <v>1041226</v>
      </c>
      <c r="I21" s="303"/>
      <c r="J21" s="232">
        <v>11449258</v>
      </c>
      <c r="K21" s="303"/>
      <c r="L21" s="232">
        <v>6633</v>
      </c>
      <c r="N21" s="303">
        <v>6633</v>
      </c>
    </row>
    <row r="22" spans="1:14">
      <c r="F22" s="303"/>
      <c r="G22" s="121"/>
      <c r="H22" s="303"/>
      <c r="I22" s="303"/>
      <c r="J22" s="303"/>
      <c r="K22" s="303"/>
      <c r="L22" s="303"/>
      <c r="N22" s="303"/>
    </row>
    <row r="23" spans="1:14">
      <c r="A23" s="306">
        <f>+A21+1</f>
        <v>8</v>
      </c>
      <c r="B23" s="306" t="s">
        <v>928</v>
      </c>
      <c r="D23" s="306">
        <v>927</v>
      </c>
      <c r="F23" s="232" t="s">
        <v>143</v>
      </c>
      <c r="G23" s="121"/>
      <c r="H23" s="232" t="s">
        <v>143</v>
      </c>
      <c r="I23" s="303"/>
      <c r="J23" s="232" t="s">
        <v>143</v>
      </c>
      <c r="K23" s="303"/>
      <c r="L23" s="232">
        <v>0</v>
      </c>
      <c r="N23" s="303">
        <f>+L23</f>
        <v>0</v>
      </c>
    </row>
    <row r="24" spans="1:14">
      <c r="F24" s="303"/>
      <c r="G24" s="121"/>
      <c r="H24" s="303"/>
      <c r="I24" s="303"/>
      <c r="J24" s="303"/>
      <c r="K24" s="303"/>
      <c r="L24" s="303"/>
      <c r="N24" s="303"/>
    </row>
    <row r="25" spans="1:14">
      <c r="A25" s="306">
        <f>+A23+1</f>
        <v>9</v>
      </c>
      <c r="B25" s="306" t="s">
        <v>929</v>
      </c>
      <c r="D25" s="306">
        <v>928</v>
      </c>
      <c r="F25" s="232">
        <f>+H25+J25+L25</f>
        <v>4916422</v>
      </c>
      <c r="G25" s="121"/>
      <c r="H25" s="232">
        <v>159396</v>
      </c>
      <c r="I25" s="303"/>
      <c r="J25" s="232">
        <v>4757026</v>
      </c>
      <c r="K25" s="303"/>
      <c r="L25" s="232">
        <v>0</v>
      </c>
      <c r="N25" s="303">
        <f>+L25</f>
        <v>0</v>
      </c>
    </row>
    <row r="26" spans="1:14">
      <c r="F26" s="303"/>
      <c r="G26" s="121"/>
      <c r="H26" s="303"/>
      <c r="I26" s="303"/>
      <c r="J26" s="303"/>
      <c r="K26" s="303"/>
      <c r="L26" s="303"/>
      <c r="N26" s="303"/>
    </row>
    <row r="27" spans="1:14">
      <c r="A27" s="306">
        <f>+A25+1</f>
        <v>10</v>
      </c>
      <c r="B27" s="306" t="s">
        <v>930</v>
      </c>
      <c r="D27" s="306">
        <v>929</v>
      </c>
      <c r="F27" s="232">
        <f>+H27+J27+L27</f>
        <v>-1408475</v>
      </c>
      <c r="G27" s="121"/>
      <c r="H27" s="232">
        <v>0</v>
      </c>
      <c r="I27" s="303"/>
      <c r="J27" s="232">
        <v>-1408475</v>
      </c>
      <c r="K27" s="303"/>
      <c r="L27" s="232">
        <v>0</v>
      </c>
      <c r="N27" s="303">
        <f>+L27</f>
        <v>0</v>
      </c>
    </row>
    <row r="28" spans="1:14">
      <c r="F28" s="303"/>
      <c r="G28" s="121"/>
      <c r="H28" s="303"/>
      <c r="I28" s="303"/>
      <c r="J28" s="303"/>
      <c r="K28" s="303"/>
      <c r="L28" s="303"/>
      <c r="N28" s="303"/>
    </row>
    <row r="29" spans="1:14">
      <c r="A29" s="306">
        <f>+A27+1</f>
        <v>11</v>
      </c>
      <c r="B29" s="306" t="s">
        <v>931</v>
      </c>
      <c r="D29" s="306">
        <v>930.1</v>
      </c>
      <c r="F29" s="232">
        <f>+H29+J29+L29</f>
        <v>313083</v>
      </c>
      <c r="G29" s="121"/>
      <c r="H29" s="232">
        <v>31899</v>
      </c>
      <c r="I29" s="303"/>
      <c r="J29" s="232">
        <v>281184</v>
      </c>
      <c r="K29" s="303"/>
      <c r="L29" s="232">
        <v>0</v>
      </c>
      <c r="N29" s="303">
        <f>+L29</f>
        <v>0</v>
      </c>
    </row>
    <row r="30" spans="1:14">
      <c r="F30" s="303"/>
      <c r="G30" s="121"/>
      <c r="H30" s="303"/>
      <c r="I30" s="303"/>
      <c r="J30" s="303"/>
      <c r="K30" s="303"/>
      <c r="L30" s="303"/>
      <c r="N30" s="303"/>
    </row>
    <row r="31" spans="1:14">
      <c r="A31" s="306">
        <f>+A29+1</f>
        <v>12</v>
      </c>
      <c r="B31" s="306" t="s">
        <v>932</v>
      </c>
      <c r="D31" s="306">
        <v>930.2</v>
      </c>
      <c r="F31" s="232">
        <f>+H31+J31+L31</f>
        <v>657990</v>
      </c>
      <c r="G31" s="121"/>
      <c r="H31" s="232">
        <v>23010</v>
      </c>
      <c r="I31" s="303"/>
      <c r="J31" s="232">
        <v>634980</v>
      </c>
      <c r="K31" s="303"/>
      <c r="L31" s="232">
        <v>0</v>
      </c>
      <c r="N31" s="303">
        <f>+L31</f>
        <v>0</v>
      </c>
    </row>
    <row r="32" spans="1:14">
      <c r="F32" s="303"/>
      <c r="G32" s="121"/>
      <c r="H32" s="303"/>
      <c r="I32" s="303"/>
      <c r="J32" s="303"/>
      <c r="K32" s="303"/>
      <c r="L32" s="303"/>
      <c r="N32" s="303"/>
    </row>
    <row r="33" spans="1:14">
      <c r="A33" s="306">
        <f>+A31+1</f>
        <v>13</v>
      </c>
      <c r="B33" s="306" t="s">
        <v>933</v>
      </c>
      <c r="D33" s="306">
        <v>931</v>
      </c>
      <c r="F33" s="232">
        <f>+H33+J33+L33</f>
        <v>92967</v>
      </c>
      <c r="G33" s="121"/>
      <c r="H33" s="232">
        <v>2440</v>
      </c>
      <c r="I33" s="303"/>
      <c r="J33" s="232">
        <v>90527</v>
      </c>
      <c r="K33" s="303"/>
      <c r="L33" s="232">
        <v>0</v>
      </c>
      <c r="N33" s="303">
        <f>+L33</f>
        <v>0</v>
      </c>
    </row>
    <row r="34" spans="1:14">
      <c r="F34" s="303"/>
      <c r="G34" s="121"/>
      <c r="H34" s="303"/>
      <c r="I34" s="303"/>
      <c r="J34" s="303"/>
      <c r="K34" s="303"/>
      <c r="L34" s="303"/>
      <c r="N34" s="303"/>
    </row>
    <row r="35" spans="1:14">
      <c r="A35" s="306">
        <f>+A33+1</f>
        <v>14</v>
      </c>
      <c r="B35" s="306" t="s">
        <v>934</v>
      </c>
      <c r="D35" s="306">
        <v>935</v>
      </c>
      <c r="F35" s="232">
        <f>+H35+J35+L35</f>
        <v>4174296</v>
      </c>
      <c r="G35" s="121"/>
      <c r="H35" s="232">
        <v>97460</v>
      </c>
      <c r="I35" s="303"/>
      <c r="J35" s="232">
        <v>4076836</v>
      </c>
      <c r="K35" s="303"/>
      <c r="L35" s="232">
        <v>0</v>
      </c>
      <c r="N35" s="303">
        <f>+L35</f>
        <v>0</v>
      </c>
    </row>
    <row r="36" spans="1:14">
      <c r="F36" s="3"/>
      <c r="G36" s="121"/>
      <c r="H36" s="3"/>
      <c r="I36" s="121"/>
      <c r="J36" s="3"/>
      <c r="K36" s="121"/>
      <c r="L36" s="3"/>
      <c r="N36" s="121"/>
    </row>
    <row r="37" spans="1:14">
      <c r="A37" s="306">
        <f>+A35+1</f>
        <v>15</v>
      </c>
      <c r="B37" s="306" t="s">
        <v>67</v>
      </c>
      <c r="F37" s="303">
        <f>+SUM(F9:F35)</f>
        <v>80410067</v>
      </c>
      <c r="G37" s="303"/>
      <c r="H37" s="303">
        <f>+SUM(H9:H35)</f>
        <v>10212945</v>
      </c>
      <c r="I37" s="303"/>
      <c r="J37" s="303">
        <f>+SUM(J9:J35)</f>
        <v>70147319</v>
      </c>
      <c r="K37" s="303"/>
      <c r="L37" s="303">
        <f>+SUM(L9:L35)</f>
        <v>49803</v>
      </c>
      <c r="M37" s="303"/>
      <c r="N37" s="303">
        <f>+SUM(N9:N35)</f>
        <v>49803</v>
      </c>
    </row>
    <row r="40" spans="1:14">
      <c r="B40" s="534" t="s">
        <v>1056</v>
      </c>
    </row>
  </sheetData>
  <mergeCells count="5">
    <mergeCell ref="B1:M1"/>
    <mergeCell ref="B2:M2"/>
    <mergeCell ref="B3:M3"/>
    <mergeCell ref="B4:M4"/>
    <mergeCell ref="H6:L6"/>
  </mergeCells>
  <pageMargins left="0.7" right="0.7" top="0.75" bottom="0.75" header="0.3" footer="0.3"/>
  <pageSetup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Application xmlns="http://www.sap.com/cof/excel/application">
  <Version>2</Version>
  <Revision>2.7.001.82873</Revision>
</Application>
</file>

<file path=customXml/item4.xml><?xml version="1.0" encoding="utf-8"?>
<ct:contentTypeSchema xmlns:ct="http://schemas.microsoft.com/office/2006/metadata/contentType" xmlns:ma="http://schemas.microsoft.com/office/2006/metadata/properties/metaAttributes" ct:_="" ma:_="" ma:contentTypeName="Document" ma:contentTypeID="0x01010080968F33918A864586453495507E48EC" ma:contentTypeVersion="8" ma:contentTypeDescription="Create a new document." ma:contentTypeScope="" ma:versionID="fdb2bda80ae0fb77e8a456aee882f1bb">
  <xsd:schema xmlns:xsd="http://www.w3.org/2001/XMLSchema" xmlns:xs="http://www.w3.org/2001/XMLSchema" xmlns:p="http://schemas.microsoft.com/office/2006/metadata/properties" xmlns:ns2="105a3813-a66c-4ab3-a28a-39e52728d7ee" xmlns:ns3="2ebaaeb8-4f79-42c6-8194-1050aaa831e5" targetNamespace="http://schemas.microsoft.com/office/2006/metadata/properties" ma:root="true" ma:fieldsID="9a567d20892bb6c12abcbfa3c145fa2b" ns2:_="" ns3:_="">
    <xsd:import namespace="105a3813-a66c-4ab3-a28a-39e52728d7ee"/>
    <xsd:import namespace="2ebaaeb8-4f79-42c6-8194-1050aaa831e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a3813-a66c-4ab3-a28a-39e52728d7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aaeb8-4f79-42c6-8194-1050aaa831e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764223-8ACD-4B9C-80D6-F381497FC622}">
  <ds:schemaRef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105a3813-a66c-4ab3-a28a-39e52728d7ee"/>
    <ds:schemaRef ds:uri="http://schemas.microsoft.com/office/infopath/2007/PartnerControls"/>
    <ds:schemaRef ds:uri="2ebaaeb8-4f79-42c6-8194-1050aaa831e5"/>
  </ds:schemaRefs>
</ds:datastoreItem>
</file>

<file path=customXml/itemProps2.xml><?xml version="1.0" encoding="utf-8"?>
<ds:datastoreItem xmlns:ds="http://schemas.openxmlformats.org/officeDocument/2006/customXml" ds:itemID="{40EA9821-6124-429A-A9C4-EB1264D6A3B7}">
  <ds:schemaRefs>
    <ds:schemaRef ds:uri="http://schemas.microsoft.com/sharepoint/v3/contenttype/forms"/>
  </ds:schemaRefs>
</ds:datastoreItem>
</file>

<file path=customXml/itemProps3.xml><?xml version="1.0" encoding="utf-8"?>
<ds:datastoreItem xmlns:ds="http://schemas.openxmlformats.org/officeDocument/2006/customXml" ds:itemID="{1B0B8641-DBD3-4544-8D96-45B8AD3AF0B1}">
  <ds:schemaRefs>
    <ds:schemaRef ds:uri="http://www.sap.com/cof/excel/application"/>
  </ds:schemaRefs>
</ds:datastoreItem>
</file>

<file path=customXml/itemProps4.xml><?xml version="1.0" encoding="utf-8"?>
<ds:datastoreItem xmlns:ds="http://schemas.openxmlformats.org/officeDocument/2006/customXml" ds:itemID="{D7CB73AE-9089-4802-B001-750555F336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5a3813-a66c-4ab3-a28a-39e52728d7ee"/>
    <ds:schemaRef ds:uri="2ebaaeb8-4f79-42c6-8194-1050aaa83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58</vt:i4>
      </vt:variant>
    </vt:vector>
  </HeadingPairs>
  <TitlesOfParts>
    <vt:vector size="78" baseType="lpstr">
      <vt:lpstr>Appendix A</vt:lpstr>
      <vt:lpstr>1A - ADIT Current Year</vt:lpstr>
      <vt:lpstr>1B - ADIT Proration</vt:lpstr>
      <vt:lpstr>1C - ADIT Prior Year</vt:lpstr>
      <vt:lpstr>1D - ADIT True-up</vt:lpstr>
      <vt:lpstr>1E - ADIT True-Up Proration</vt:lpstr>
      <vt:lpstr>2 - Other Taxes</vt:lpstr>
      <vt:lpstr>3 - Revenue Credits</vt:lpstr>
      <vt:lpstr>4 - Cost Support</vt:lpstr>
      <vt:lpstr>5 - CWIP in Rate Base</vt:lpstr>
      <vt:lpstr>6A - NITS True-Up </vt:lpstr>
      <vt:lpstr>6B - Schedule 12 True-Up</vt:lpstr>
      <vt:lpstr>7A - Project ROE Adder</vt:lpstr>
      <vt:lpstr>7B - Schedule 12 Projects</vt:lpstr>
      <vt:lpstr>8 - Depreciations Rates</vt:lpstr>
      <vt:lpstr>9 - Excess ADIT</vt:lpstr>
      <vt:lpstr>10 - Misc. Liabilities</vt:lpstr>
      <vt:lpstr>11 - Corrections</vt:lpstr>
      <vt:lpstr>12 - Schedule 1A</vt:lpstr>
      <vt:lpstr>13 - A&amp;G Detail</vt:lpstr>
      <vt:lpstr>'10 - Misc. Liabilities'!Print_Area</vt:lpstr>
      <vt:lpstr>'1A - ADIT Current Year'!Print_Area</vt:lpstr>
      <vt:lpstr>'1B - ADIT Proration'!Print_Area</vt:lpstr>
      <vt:lpstr>'1C - ADIT Prior Year'!Print_Area</vt:lpstr>
      <vt:lpstr>'1E - ADIT True-Up Proration'!Print_Area</vt:lpstr>
      <vt:lpstr>'2 - Other Taxes'!Print_Area</vt:lpstr>
      <vt:lpstr>'3 - Revenue Credits'!Print_Area</vt:lpstr>
      <vt:lpstr>'4 - Cost Support'!Print_Area</vt:lpstr>
      <vt:lpstr>'6A - NITS True-Up '!Print_Area</vt:lpstr>
      <vt:lpstr>'6B - Schedule 12 True-Up'!Print_Area</vt:lpstr>
      <vt:lpstr>'7A - Project ROE Adder'!Print_Area</vt:lpstr>
      <vt:lpstr>'7B - Schedule 12 Projects'!Print_Area</vt:lpstr>
      <vt:lpstr>'9 - Excess ADIT'!Print_Area</vt:lpstr>
      <vt:lpstr>'Appendix A'!Print_Area</vt:lpstr>
      <vt:lpstr>'4 - Cost Support'!Print_Titles</vt:lpstr>
      <vt:lpstr>'Appendix A'!Print_Titles</vt:lpstr>
      <vt:lpstr>'1A - ADIT Current Year'!Z_28948E05_8F34_4F1E_96FB_A80A6A844600_.wvu.PrintArea</vt:lpstr>
      <vt:lpstr>'1C - ADIT Prior Year'!Z_28948E05_8F34_4F1E_96FB_A80A6A844600_.wvu.PrintArea</vt:lpstr>
      <vt:lpstr>'3 - Revenue Credits'!Z_28948E05_8F34_4F1E_96FB_A80A6A844600_.wvu.PrintArea</vt:lpstr>
      <vt:lpstr>'Appendix A'!Z_28948E05_8F34_4F1E_96FB_A80A6A844600_.wvu.PrintArea</vt:lpstr>
      <vt:lpstr>'3 - Revenue Credits'!Z_3A38DF7A_C35E_4DD3_9893_26310A3EF836_.wvu.PrintArea</vt:lpstr>
      <vt:lpstr>'Appendix A'!Z_3A38DF7A_C35E_4DD3_9893_26310A3EF836_.wvu.PrintArea</vt:lpstr>
      <vt:lpstr>'1A - ADIT Current Year'!Z_416404B7_8533_4A12_ABD0_58CFDEB49D80_.wvu.PrintArea</vt:lpstr>
      <vt:lpstr>'1C - ADIT Prior Year'!Z_416404B7_8533_4A12_ABD0_58CFDEB49D80_.wvu.PrintArea</vt:lpstr>
      <vt:lpstr>'2 - Other Taxes'!Z_416404B7_8533_4A12_ABD0_58CFDEB49D80_.wvu.PrintArea</vt:lpstr>
      <vt:lpstr>'3 - Revenue Credits'!Z_416404B7_8533_4A12_ABD0_58CFDEB49D80_.wvu.PrintArea</vt:lpstr>
      <vt:lpstr>'4 - Cost Support'!Z_416404B7_8533_4A12_ABD0_58CFDEB49D80_.wvu.PrintArea</vt:lpstr>
      <vt:lpstr>'6A - NITS True-Up '!Z_416404B7_8533_4A12_ABD0_58CFDEB49D80_.wvu.PrintArea</vt:lpstr>
      <vt:lpstr>'6B - Schedule 12 True-Up'!Z_416404B7_8533_4A12_ABD0_58CFDEB49D80_.wvu.PrintArea</vt:lpstr>
      <vt:lpstr>'Appendix A'!Z_416404B7_8533_4A12_ABD0_58CFDEB49D80_.wvu.PrintArea</vt:lpstr>
      <vt:lpstr>'4 - Cost Support'!Z_416404B7_8533_4A12_ABD0_58CFDEB49D80_.wvu.PrintTitles</vt:lpstr>
      <vt:lpstr>'Appendix A'!Z_416404B7_8533_4A12_ABD0_58CFDEB49D80_.wvu.PrintTitles</vt:lpstr>
      <vt:lpstr>'3 - Revenue Credits'!Z_4C7C2344_134C_465A_ADEB_A5E96AAE2308_.wvu.PrintArea</vt:lpstr>
      <vt:lpstr>'Appendix A'!Z_4C7C2344_134C_465A_ADEB_A5E96AAE2308_.wvu.PrintArea</vt:lpstr>
      <vt:lpstr>'1A - ADIT Current Year'!Z_63011E91_4609_4523_98FE_FD252E915668_.wvu.PrintArea</vt:lpstr>
      <vt:lpstr>'1C - ADIT Prior Year'!Z_63011E91_4609_4523_98FE_FD252E915668_.wvu.PrintArea</vt:lpstr>
      <vt:lpstr>'1A - ADIT Current Year'!Z_6928E596_79BD_4CEC_9F0D_07E62D69B2A5_.wvu.PrintArea</vt:lpstr>
      <vt:lpstr>'1C - ADIT Prior Year'!Z_6928E596_79BD_4CEC_9F0D_07E62D69B2A5_.wvu.PrintArea</vt:lpstr>
      <vt:lpstr>'1A - ADIT Current Year'!Z_71B42B22_A376_44B5_B0C1_23FC1AA3DBA2_.wvu.PrintArea</vt:lpstr>
      <vt:lpstr>'1C - ADIT Prior Year'!Z_71B42B22_A376_44B5_B0C1_23FC1AA3DBA2_.wvu.PrintArea</vt:lpstr>
      <vt:lpstr>'3 - Revenue Credits'!Z_71B42B22_A376_44B5_B0C1_23FC1AA3DBA2_.wvu.PrintArea</vt:lpstr>
      <vt:lpstr>'Appendix A'!Z_71B42B22_A376_44B5_B0C1_23FC1AA3DBA2_.wvu.PrintArea</vt:lpstr>
      <vt:lpstr>'1A - ADIT Current Year'!Z_8FBB4DC9_2D51_4AB9_80D8_F8474B404C29_.wvu.PrintArea</vt:lpstr>
      <vt:lpstr>'1C - ADIT Prior Year'!Z_8FBB4DC9_2D51_4AB9_80D8_F8474B404C29_.wvu.PrintArea</vt:lpstr>
      <vt:lpstr>'1A - ADIT Current Year'!Z_B647CB7F_C846_4278_B6B1_1EF7F3C004F5_.wvu.PrintArea</vt:lpstr>
      <vt:lpstr>'1C - ADIT Prior Year'!Z_B647CB7F_C846_4278_B6B1_1EF7F3C004F5_.wvu.PrintArea</vt:lpstr>
      <vt:lpstr>'3 - Revenue Credits'!Z_DA967730_B71F_4038_B1B7_9D4790729C5D_.wvu.PrintArea</vt:lpstr>
      <vt:lpstr>'Appendix A'!Z_DA967730_B71F_4038_B1B7_9D4790729C5D_.wvu.PrintArea</vt:lpstr>
      <vt:lpstr>'1A - ADIT Current Year'!Z_DC91DEF3_837B_4BB9_A81E_3B78C5914E6C_.wvu.PrintArea</vt:lpstr>
      <vt:lpstr>'1C - ADIT Prior Year'!Z_DC91DEF3_837B_4BB9_A81E_3B78C5914E6C_.wvu.PrintArea</vt:lpstr>
      <vt:lpstr>'3 - Revenue Credits'!Z_DC91DEF3_837B_4BB9_A81E_3B78C5914E6C_.wvu.PrintArea</vt:lpstr>
      <vt:lpstr>'Appendix A'!Z_DC91DEF3_837B_4BB9_A81E_3B78C5914E6C_.wvu.PrintArea</vt:lpstr>
      <vt:lpstr>'3 - Revenue Credits'!Z_F96D6087_3330_4A81_95EC_26BA83722A49_.wvu.PrintArea</vt:lpstr>
      <vt:lpstr>'Appendix A'!Z_F96D6087_3330_4A81_95EC_26BA83722A49_.wvu.PrintArea</vt:lpstr>
      <vt:lpstr>'1A - ADIT Current Year'!Z_FAAD9AAC_1337_43AB_BF1F_CCF9DFCF5B78_.wvu.PrintArea</vt:lpstr>
      <vt:lpstr>'1C - ADIT Prior Year'!Z_FAAD9AAC_1337_43AB_BF1F_CCF9DFCF5B78_.wvu.PrintArea</vt:lpstr>
      <vt:lpstr>'3 - Revenue Credits'!Z_FAAD9AAC_1337_43AB_BF1F_CCF9DFCF5B78_.wvu.PrintArea</vt:lpstr>
      <vt:lpstr>'Appendix A'!Z_FAAD9AAC_1337_43AB_BF1F_CCF9DFCF5B78_.wvu.PrintArea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Howdeshelt</dc:creator>
  <cp:lastModifiedBy>Pamela Archer</cp:lastModifiedBy>
  <dcterms:created xsi:type="dcterms:W3CDTF">2022-06-15T04:44:48Z</dcterms:created>
  <dcterms:modified xsi:type="dcterms:W3CDTF">2026-09-09T17:34:09Z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0x01010080968F33918A864586453495507E48EC</vt:lpwstr>
  </property>
  <property fmtid="{D5CDD505-2E9C-101B-9397-08002B2CF9AE}" pid="3" name="{A44787D4-0540-4523-9961-78E4036D8C6D}">
    <vt:lpwstr>{29A31E91-2969-4B87-91D6-CB83CB79ADA2}</vt:lpwstr>
  </property>
</Properties>
</file>