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S:\Transmission Rates\Attachment H\50 Basis Pts Adder - Sixth Circuit Court Case\Compliance Filing Implementation\PJM Package Due July 17, 2026\"/>
    </mc:Choice>
  </mc:AlternateContent>
  <xr:revisionPtr revIDLastSave="0" documentId="13_ncr:1_{CD268EBC-1D3E-43F0-8987-43DB825BA7B7}" xr6:coauthVersionLast="47" xr6:coauthVersionMax="47" xr10:uidLastSave="{00000000-0000-0000-0000-000000000000}"/>
  <bookViews>
    <workbookView xWindow="-120" yWindow="-120" windowWidth="29040" windowHeight="15720" tabRatio="908" firstSheet="1" activeTab="1" xr2:uid="{00000000-000D-0000-FFFF-FFFF00000000}"/>
  </bookViews>
  <sheets>
    <sheet name="Print" sheetId="49" state="hidden" r:id="rId1"/>
    <sheet name="INPUT" sheetId="67" r:id="rId2"/>
    <sheet name="DEOK" sheetId="79" r:id="rId3"/>
    <sheet name="Sch 1A - Appx A" sheetId="50" r:id="rId4"/>
    <sheet name="Appx B - DEOK(RTEP)" sheetId="42" r:id="rId5"/>
    <sheet name="Appx C - DEOK(MTEP)" sheetId="52" r:id="rId6"/>
    <sheet name="Appx D DEO" sheetId="63" r:id="rId7"/>
    <sheet name="Appx D DEK" sheetId="64" r:id="rId8"/>
    <sheet name="DEO DIT Protected" sheetId="85" r:id="rId9"/>
    <sheet name="DEO DIT Unprotected" sheetId="86" r:id="rId10"/>
    <sheet name="DEK DIT Protected" sheetId="87" r:id="rId11"/>
    <sheet name="DEK DIT Unprotected" sheetId="88" r:id="rId12"/>
    <sheet name="DEO" sheetId="2" r:id="rId13"/>
    <sheet name="Appx B - DEO(RTEP)" sheetId="40" r:id="rId14"/>
    <sheet name="Appx B - DEO(RTEP) (2)" sheetId="89" r:id="rId15"/>
    <sheet name="Appx C - DEO(MTEP)" sheetId="53" r:id="rId16"/>
    <sheet name="Appx C - DEO(MTEP) (2)" sheetId="91" r:id="rId17"/>
    <sheet name="DEK" sheetId="1" r:id="rId18"/>
    <sheet name="Appx B - DEK(RTEP)" sheetId="41" r:id="rId19"/>
    <sheet name="Appx B - DEK(RTEP) (2)" sheetId="90" r:id="rId20"/>
    <sheet name="Appx C - DEK(MTEP)" sheetId="54" r:id="rId21"/>
    <sheet name="Appx C - DEK(MTEP) (2)" sheetId="92" r:id="rId22"/>
    <sheet name="P1 ADIT" sheetId="22" r:id="rId23"/>
    <sheet name="P2 Allocate M&amp;S" sheetId="12" r:id="rId24"/>
    <sheet name="P3 Land Held for Future Use" sheetId="32" r:id="rId25"/>
    <sheet name="P4 Advertising - EPRI Adj." sheetId="19" r:id="rId26"/>
    <sheet name="P5 A&amp;G Adjusments" sheetId="9" r:id="rId27"/>
    <sheet name="P6 Statetax" sheetId="5" r:id="rId28"/>
    <sheet name="P7 Trans Plant In OATT" sheetId="37" r:id="rId29"/>
    <sheet name="P8 Rev Cred Support" sheetId="20" r:id="rId30"/>
    <sheet name="P9 Capital Structure" sheetId="26" r:id="rId31"/>
    <sheet name="P10 KW Demand" sheetId="13" r:id="rId32"/>
    <sheet name="P11 PBOP - DEO" sheetId="73" r:id="rId33"/>
    <sheet name="P12 PBOP - DEK" sheetId="74" r:id="rId34"/>
    <sheet name="P13 Sch 1A Denominator" sheetId="75" r:id="rId35"/>
    <sheet name="P14 Sch 1A Rev Cr" sheetId="77" r:id="rId36"/>
    <sheet name="P15 Pole Counts" sheetId="76" r:id="rId37"/>
    <sheet name="P16 Prior Yr Corr" sheetId="71" r:id="rId38"/>
    <sheet name="P17 LSE Expenses" sheetId="81" r:id="rId39"/>
    <sheet name="P18 Trans Adjusments" sheetId="84" r:id="rId40"/>
  </sheets>
  <externalReferences>
    <externalReference r:id="rId41"/>
    <externalReference r:id="rId42"/>
    <externalReference r:id="rId43"/>
  </externalReferences>
  <definedNames>
    <definedName name="______kim1" hidden="1">{#N/A,#N/A,FALSE,"Aging Summary";#N/A,#N/A,FALSE,"Ratio Analysis";#N/A,#N/A,FALSE,"Test 120 Day Accts";#N/A,#N/A,FALSE,"Tickmarks"}</definedName>
    <definedName name="______kim6" hidden="1">{#N/A,#N/A,FALSE,"Aging Summary";#N/A,#N/A,FALSE,"Ratio Analysis";#N/A,#N/A,FALSE,"Test 120 Day Accts";#N/A,#N/A,FALSE,"Tickmarks"}</definedName>
    <definedName name="_____kim1" hidden="1">{#N/A,#N/A,FALSE,"Aging Summary";#N/A,#N/A,FALSE,"Ratio Analysis";#N/A,#N/A,FALSE,"Test 120 Day Accts";#N/A,#N/A,FALSE,"Tickmarks"}</definedName>
    <definedName name="_____kim6" hidden="1">{#N/A,#N/A,FALSE,"Aging Summary";#N/A,#N/A,FALSE,"Ratio Analysis";#N/A,#N/A,FALSE,"Test 120 Day Accts";#N/A,#N/A,FALSE,"Tickmarks"}</definedName>
    <definedName name="____kim1" hidden="1">{#N/A,#N/A,FALSE,"Aging Summary";#N/A,#N/A,FALSE,"Ratio Analysis";#N/A,#N/A,FALSE,"Test 120 Day Accts";#N/A,#N/A,FALSE,"Tickmarks"}</definedName>
    <definedName name="____kim6" hidden="1">{#N/A,#N/A,FALSE,"Aging Summary";#N/A,#N/A,FALSE,"Ratio Analysis";#N/A,#N/A,FALSE,"Test 120 Day Accts";#N/A,#N/A,FALSE,"Tickmarks"}</definedName>
    <definedName name="___kim1" hidden="1">{#N/A,#N/A,FALSE,"Aging Summary";#N/A,#N/A,FALSE,"Ratio Analysis";#N/A,#N/A,FALSE,"Test 120 Day Accts";#N/A,#N/A,FALSE,"Tickmarks"}</definedName>
    <definedName name="___kim6" hidden="1">{#N/A,#N/A,FALSE,"Aging Summary";#N/A,#N/A,FALSE,"Ratio Analysis";#N/A,#N/A,FALSE,"Test 120 Day Accts";#N/A,#N/A,FALSE,"Tickmarks"}</definedName>
    <definedName name="__kim1" hidden="1">{#N/A,#N/A,FALSE,"Aging Summary";#N/A,#N/A,FALSE,"Ratio Analysis";#N/A,#N/A,FALSE,"Test 120 Day Accts";#N/A,#N/A,FALSE,"Tickmarks"}</definedName>
    <definedName name="__kim6" hidden="1">{#N/A,#N/A,FALSE,"Aging Summary";#N/A,#N/A,FALSE,"Ratio Analysis";#N/A,#N/A,FALSE,"Test 120 Day Accts";#N/A,#N/A,FALSE,"Tickmarks"}</definedName>
    <definedName name="_Key1" hidden="1">'[1]TAX_EQUITY_Field Serv'!$A$10</definedName>
    <definedName name="_kim1" hidden="1">{#N/A,#N/A,FALSE,"Aging Summary";#N/A,#N/A,FALSE,"Ratio Analysis";#N/A,#N/A,FALSE,"Test 120 Day Accts";#N/A,#N/A,FALSE,"Tickmarks"}</definedName>
    <definedName name="_kim6" hidden="1">{#N/A,#N/A,FALSE,"Aging Summary";#N/A,#N/A,FALSE,"Ratio Analysis";#N/A,#N/A,FALSE,"Test 120 Day Accts";#N/A,#N/A,FALSE,"Tickmarks"}</definedName>
    <definedName name="_Order1" hidden="1">255</definedName>
    <definedName name="_Sort" hidden="1">'[1]TAX_EQUITY_Field Serv'!$A$10:$E$76</definedName>
    <definedName name="ADIT_DEK_P3">'DEK DIT Protected'!$A$1:$G$46</definedName>
    <definedName name="ADIT_DEK_P4">'DEK DIT Unprotected'!$A$1:$G$46</definedName>
    <definedName name="ADIT_DEO_P1">'DEO DIT Protected'!$A$1:$G$46</definedName>
    <definedName name="ADIT_DEO_P2">'DEO DIT Unprotected'!$A$1:$G$46</definedName>
    <definedName name="anscount" hidden="1">1</definedName>
    <definedName name="Appendix_A">'Sch 1A - Appx A'!$A$1:$H$38</definedName>
    <definedName name="AppxB_DEK_Pg1_RTEP" localSheetId="19">'Appx B - DEK(RTEP) (2)'!$A$1:$I$45</definedName>
    <definedName name="AppxB_DEK_Pg1_RTEP">'Appx B - DEK(RTEP)'!$A$1:$I$45</definedName>
    <definedName name="AppxB_DEK_Pg2_RTEP" localSheetId="19">'Appx B - DEK(RTEP) (2)'!$K$49:$X$100</definedName>
    <definedName name="AppxB_DEK_Pg2_RTEP">'Appx B - DEK(RTEP)'!$K$49:$X$100</definedName>
    <definedName name="AppxB_DEO_Pg1_RTEP" localSheetId="14">'Appx B - DEO(RTEP) (2)'!$A$1:$I$45</definedName>
    <definedName name="AppxB_DEO_Pg1_RTEP">'Appx B - DEO(RTEP)'!$A$1:$I$45</definedName>
    <definedName name="AppxB_DEO_Pg2_RTEP" localSheetId="14">'Appx B - DEO(RTEP) (2)'!$K$49:$X$100</definedName>
    <definedName name="AppxB_DEO_Pg2_RTEP">'Appx B - DEO(RTEP)'!$K$49:$X$100</definedName>
    <definedName name="AppxB_DEOK_Pg1_RTEP">'Appx B - DEOK(RTEP)'!$B$1:$O$52</definedName>
    <definedName name="AppxC_DEK_Pg1_MTEP" localSheetId="21">'Appx C - DEK(MTEP) (2)'!$A$1:$I$45</definedName>
    <definedName name="AppxC_DEK_Pg1_MTEP">'Appx C - DEK(MTEP)'!$A$1:$I$45</definedName>
    <definedName name="AppxC_DEK_Pg2_MTEP" localSheetId="21">'Appx C - DEK(MTEP) (2)'!$K$49:$X$100</definedName>
    <definedName name="AppxC_DEK_Pg2_MTEP">'Appx C - DEK(MTEP)'!$K$49:$X$100</definedName>
    <definedName name="AppxC_DEO_Pg1_MTEP" localSheetId="16">'Appx C - DEO(MTEP) (2)'!$A$1:$I$45</definedName>
    <definedName name="AppxC_DEO_Pg1_MTEP">'Appx C - DEO(MTEP)'!$A$1:$I$45</definedName>
    <definedName name="AppxC_DEO_Pg2_MTEP" localSheetId="16">'Appx C - DEO(MTEP) (2)'!$K$49:$X$100</definedName>
    <definedName name="AppxC_DEO_Pg2_MTEP">'Appx C - DEO(MTEP)'!$K$49:$X$100</definedName>
    <definedName name="AppxC_DEOK_Pg1_MTEP">'Appx C - DEOK(MTEP)'!$B$1:$O$52</definedName>
    <definedName name="AppxD_DEK">'Appx D DEK'!$A$1:$G$50</definedName>
    <definedName name="AppxD_DEO_P1">'Appx D DEO'!$A$1:$G$57</definedName>
    <definedName name="AppxD_DEO_P2">'Appx D DEO'!$A$60:$G$110</definedName>
    <definedName name="AS2DocOpenMode" hidden="1">"AS2DocumentEdit"</definedName>
    <definedName name="AS2NamedRange" hidden="1">7</definedName>
    <definedName name="BNE_MESSAGES_HIDDEN" localSheetId="2" hidden="1">#REF!</definedName>
    <definedName name="BNE_MESSAGES_HIDDEN" localSheetId="32" hidden="1">#REF!</definedName>
    <definedName name="BNE_MESSAGES_HIDDEN" localSheetId="33" hidden="1">#REF!</definedName>
    <definedName name="BNE_MESSAGES_HIDDEN" localSheetId="39" hidden="1">#REF!</definedName>
    <definedName name="BNE_MESSAGES_HIDDEN" hidden="1">#REF!</definedName>
    <definedName name="d" hidden="1">{"edcredit",#N/A,FALSE,"edcredit"}</definedName>
    <definedName name="DEK_1of6">DEK!$A$1:$J$34</definedName>
    <definedName name="DEK_2of6">DEK!$A$35:$J$95</definedName>
    <definedName name="DEK_3of6">DEK!$A$96:$J$167</definedName>
    <definedName name="DEK_4of6">DEK!$A$168:$L$243</definedName>
    <definedName name="DEK_5of6">DEK!$A$245:$L$307</definedName>
    <definedName name="DEK_6of6">DEK!$A$308:$L$333</definedName>
    <definedName name="DEK_CE_Alloc">DEK!$L$211</definedName>
    <definedName name="DEK_GP_Alloc">DEK!$H$58</definedName>
    <definedName name="DEK_NP_Alloc">DEK!$H$74</definedName>
    <definedName name="DEK_TE_Alloc">DEK!$J$198</definedName>
    <definedName name="DEK_TP_Alloc">DEK!$J$188</definedName>
    <definedName name="DEK_WS_Alloc">DEK!$J$206</definedName>
    <definedName name="DEO_1of6">DEO!$A$1:$J$34</definedName>
    <definedName name="DEO_2of6">DEO!$A$35:$J$95</definedName>
    <definedName name="DEO_3of6">DEO!$A$96:$J$167</definedName>
    <definedName name="DEO_4of6">DEO!$A$168:$L$243</definedName>
    <definedName name="DEO_5of6">DEO!$A$245:$L$307</definedName>
    <definedName name="DEO_6of6">DEO!$A$308:$L$333</definedName>
    <definedName name="DEO_CE_Alloc">DEO!$L$211</definedName>
    <definedName name="DEO_GP_Alloc">DEO!$H$58</definedName>
    <definedName name="DEO_NP_Alloc">DEO!$H$74</definedName>
    <definedName name="DEO_TE_Alloc">DEO!$J$198</definedName>
    <definedName name="DEO_TP_Alloc">DEO!$J$188</definedName>
    <definedName name="DEO_WS_Alloc">DEO!$J$206</definedName>
    <definedName name="DEOK_1of1">DEOK!$A$1:$G$56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uh" hidden="1">{"edcredit",#N/A,FALSE,"edcredit"}</definedName>
    <definedName name="ej" hidden="1">{"Page 1",#N/A,FALSE,"Sheet1";"Page 2",#N/A,FALSE,"Sheet1"}</definedName>
    <definedName name="f" hidden="1">{"edcredit",#N/A,FALSE,"edcredit"}</definedName>
    <definedName name="FERCrefund">INPUT!$C$167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T">INPUT!$C$87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40661.3016898148</definedName>
    <definedName name="IQ_NTM" hidden="1">6000</definedName>
    <definedName name="IQ_OPENED55" hidden="1">1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j" hidden="1">{"Page 1",#N/A,FALSE,"Sheet1";"Page 2",#N/A,FALSE,"Sheet1"}</definedName>
    <definedName name="lkjh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May1Forecast" hidden="1">{"Page 1",#N/A,FALSE,"Sheet1";"Page 2",#N/A,FALSE,"Sheet1"}</definedName>
    <definedName name="MayForecast" hidden="1">{"Page 1",#N/A,FALSE,"Sheet1";"Page 2",#N/A,FALSE,"Sheet1"}</definedName>
    <definedName name="mypassword" hidden="1">"chuck"</definedName>
    <definedName name="PeakKW_DEOK">'P10 KW Demand'!$D$13:$D$24</definedName>
    <definedName name="PG1_Support_Corrections" localSheetId="37">'P16 Prior Yr Corr'!$A$1:$F$12</definedName>
    <definedName name="_xlnm.Print_Area" localSheetId="18">'Appx B - DEK(RTEP)'!$A$1:$I$48</definedName>
    <definedName name="_xlnm.Print_Area" localSheetId="19">'Appx B - DEK(RTEP) (2)'!$K$49:$X$103</definedName>
    <definedName name="_xlnm.Print_Area" localSheetId="13">'Appx B - DEO(RTEP)'!$A$1:$I$49</definedName>
    <definedName name="_xlnm.Print_Area" localSheetId="14">'Appx B - DEO(RTEP) (2)'!$K$49:$X$102</definedName>
    <definedName name="_xlnm.Print_Area" localSheetId="4">'Appx B - DEOK(RTEP)'!$B$1:$O$52</definedName>
    <definedName name="_xlnm.Print_Area" localSheetId="20">'Appx C - DEK(MTEP)'!$A$1:$I$49</definedName>
    <definedName name="_xlnm.Print_Area" localSheetId="21">'Appx C - DEK(MTEP) (2)'!$K$49:$X$101</definedName>
    <definedName name="_xlnm.Print_Area" localSheetId="15">'Appx C - DEO(MTEP)'!$A$1:$I$48</definedName>
    <definedName name="_xlnm.Print_Area" localSheetId="16">'Appx C - DEO(MTEP) (2)'!$K$49:$X$104</definedName>
    <definedName name="_xlnm.Print_Area" localSheetId="5">'Appx C - DEOK(MTEP)'!$B$1:$O$52</definedName>
    <definedName name="_xlnm.Print_Area" localSheetId="7">'Appx D DEK'!$A$1:$G$50</definedName>
    <definedName name="_xlnm.Print_Area" localSheetId="6">'Appx D DEO'!$A$1:$G$109</definedName>
    <definedName name="_xlnm.Print_Area" localSheetId="17">DEK!$A$1:$L$335</definedName>
    <definedName name="_xlnm.Print_Area" localSheetId="10">'DEK DIT Protected'!$A$1:$G$46</definedName>
    <definedName name="_xlnm.Print_Area" localSheetId="11">'DEK DIT Unprotected'!$A$1:$G$46</definedName>
    <definedName name="_xlnm.Print_Area" localSheetId="12">DEO!$A$1:$L$342</definedName>
    <definedName name="_xlnm.Print_Area" localSheetId="8">'DEO DIT Protected'!$A$1:$G$46</definedName>
    <definedName name="_xlnm.Print_Area" localSheetId="9">'DEO DIT Unprotected'!$A$1:$G$46</definedName>
    <definedName name="_xlnm.Print_Area" localSheetId="2">DEOK!$A$1:$G$56</definedName>
    <definedName name="_xlnm.Print_Area" localSheetId="1">INPUT!$A$1:$E$170</definedName>
    <definedName name="_xlnm.Print_Area" localSheetId="22">'P1 ADIT'!$A$1:$G$63</definedName>
    <definedName name="_xlnm.Print_Area" localSheetId="31">'P10 KW Demand'!$A$1:$H$34</definedName>
    <definedName name="_xlnm.Print_Area" localSheetId="32">'P11 PBOP - DEO'!$B$1:$L$43</definedName>
    <definedName name="_xlnm.Print_Area" localSheetId="33">'P12 PBOP - DEK'!$B$1:$L$43</definedName>
    <definedName name="_xlnm.Print_Area" localSheetId="34">'P13 Sch 1A Denominator'!$A$1:$G$48</definedName>
    <definedName name="_xlnm.Print_Area" localSheetId="35">'P14 Sch 1A Rev Cr'!$A$1:$J$36</definedName>
    <definedName name="_xlnm.Print_Area" localSheetId="36">'P15 Pole Counts'!$A$1:$K$25</definedName>
    <definedName name="_xlnm.Print_Area" localSheetId="37">'P16 Prior Yr Corr'!$A$1:$G$52</definedName>
    <definedName name="_xlnm.Print_Area" localSheetId="38">'P17 LSE Expenses'!$A$1:$H$21</definedName>
    <definedName name="_xlnm.Print_Area" localSheetId="39">'P18 Trans Adjusments'!$A$1:$F$29</definedName>
    <definedName name="_xlnm.Print_Area" localSheetId="23">'P2 Allocate M&amp;S'!$A$1:$M$36</definedName>
    <definedName name="_xlnm.Print_Area" localSheetId="24">'P3 Land Held for Future Use'!$A$1:$F$27</definedName>
    <definedName name="_xlnm.Print_Area" localSheetId="25">'P4 Advertising - EPRI Adj.'!$A$1:$G$39</definedName>
    <definedName name="_xlnm.Print_Area" localSheetId="26">'P5 A&amp;G Adjusments'!$A$1:$F$23</definedName>
    <definedName name="_xlnm.Print_Area" localSheetId="27">'P6 Statetax'!$A$1:$F$18</definedName>
    <definedName name="_xlnm.Print_Area" localSheetId="28">'P7 Trans Plant In OATT'!$A$1:$E$15</definedName>
    <definedName name="_xlnm.Print_Area" localSheetId="29">'P8 Rev Cred Support'!$A$1:$G$48</definedName>
    <definedName name="_xlnm.Print_Area" localSheetId="30">'P9 Capital Structure'!$A$1:$E$21</definedName>
    <definedName name="_xlnm.Print_Area" localSheetId="3">'Sch 1A - Appx A'!$A$1:$H$41</definedName>
    <definedName name="_xlnm.Print_Titles" localSheetId="1">INPUT!$A:$B,INPUT!$1:$6</definedName>
    <definedName name="PriorYrCorr">'P16 Prior Yr Corr'!$G$52</definedName>
    <definedName name="R_DEK">DEK!$J$230</definedName>
    <definedName name="R_DEO">DEO!$J$230</definedName>
    <definedName name="rngCopyFormulasSource" localSheetId="2" hidden="1">'[2]CIN-14'!#REF!</definedName>
    <definedName name="rngCopyFormulasSource" localSheetId="32" hidden="1">'[2]CIN-14'!#REF!</definedName>
    <definedName name="rngCopyFormulasSource" localSheetId="33" hidden="1">'[2]CIN-14'!#REF!</definedName>
    <definedName name="rngCopyFormulasSource" localSheetId="39" hidden="1">'[2]CIN-14'!#REF!</definedName>
    <definedName name="rngCopyFormulasSource" hidden="1">'[2]CIN-14'!#REF!</definedName>
    <definedName name="ROE">INPUT!$C$161</definedName>
    <definedName name="SCH_1A">'Sch 1A - Appx A'!$A$1:$H$40</definedName>
    <definedName name="sdf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SIT_DEK">INPUT!$D$88</definedName>
    <definedName name="SIT_DEO">INPUT!$C$88</definedName>
    <definedName name="spoc" hidden="1">{"Page 1",#N/A,FALSE,"Sheet1";"Page 2",#N/A,FALSE,"Sheet1"}</definedName>
    <definedName name="test1" hidden="1">{"Page 1",#N/A,FALSE,"Sheet1";"Page 2",#N/A,FALSE,"Sheet1"}</definedName>
    <definedName name="test2" hidden="1">{"Page 1",#N/A,FALSE,"Sheet1";"Page 2",#N/A,FALSE,"Sheet1"}</definedName>
    <definedName name="TP_Footer_User" hidden="1">"combsk"</definedName>
    <definedName name="TP_Footer_Version" hidden="1">"v4.00"</definedName>
    <definedName name="WCLTD_DEK">DEK!$J$227</definedName>
    <definedName name="WCLTD_DEO">DEO!$J$227</definedName>
    <definedName name="Workpaper">INPUT!$D$2</definedName>
    <definedName name="Workpaper_P1">'P1 ADIT'!$A$1:$G$63</definedName>
    <definedName name="Workpaper_P10">'P10 KW Demand'!$A$1:$H$34</definedName>
    <definedName name="Workpaper_P11">'P11 PBOP - DEO'!$B$1:$L$43</definedName>
    <definedName name="Workpaper_P12">'P12 PBOP - DEK'!$B$1:$L$43</definedName>
    <definedName name="Workpaper_P13">'P13 Sch 1A Denominator'!$A$1:$G$48</definedName>
    <definedName name="Workpaper_P14">'P14 Sch 1A Rev Cr'!$A$1:$J$36</definedName>
    <definedName name="Workpaper_P15">'P15 Pole Counts'!$A$1:$K$25</definedName>
    <definedName name="Workpaper_P16">'P16 Prior Yr Corr'!$A$1:$G$52</definedName>
    <definedName name="Workpaper_P17">'P17 LSE Expenses'!$A$1:$H$21</definedName>
    <definedName name="Workpaper_P18">'P18 Trans Adjusments'!$A$1:$F$29</definedName>
    <definedName name="Workpaper_P2">'P2 Allocate M&amp;S'!$A$1:$M$36</definedName>
    <definedName name="Workpaper_P3">'P3 Land Held for Future Use'!$A$1:$F$27</definedName>
    <definedName name="Workpaper_P4">'P4 Advertising - EPRI Adj.'!$A$1:$G$39</definedName>
    <definedName name="Workpaper_P5" localSheetId="39">'P18 Trans Adjusments'!$A$1:$F$18</definedName>
    <definedName name="Workpaper_P5">'P5 A&amp;G Adjusments'!$A$1:$F$23</definedName>
    <definedName name="Workpaper_P6">'P6 Statetax'!$A$1:$F$18</definedName>
    <definedName name="Workpaper_P7">'P7 Trans Plant In OATT'!$A$1:$E$15</definedName>
    <definedName name="Workpaper_P8">'P8 Rev Cred Support'!$A$1:$G$48</definedName>
    <definedName name="Workpaper_P9">'P9 Capital Structure'!$A$1:$E$21</definedName>
    <definedName name="wrn.Aging._.and._.Trend._.Analysis." hidden="1">{#N/A,#N/A,FALSE,"Aging Summary";#N/A,#N/A,FALSE,"Ratio Analysis";#N/A,#N/A,FALSE,"Test 120 Day Accts";#N/A,#N/A,FALSE,"Tickmarks"}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edcredit." hidden="1">{"edcredit",#N/A,FALSE,"edcredit"}</definedName>
    <definedName name="wrn.Page._.1." hidden="1">{"Page 1",#N/A,FALSE,"Sheet1";"Page 2",#N/A,FALSE,"Sheet1"}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x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Xbrl_Tag_02ead093_8098_4561_b1a6_35aad0b3b539" localSheetId="2" hidden="1">'[3]Adj. Income Statement'!#REF!</definedName>
    <definedName name="Xbrl_Tag_02ead093_8098_4561_b1a6_35aad0b3b539" localSheetId="32" hidden="1">'[3]Adj. Income Statement'!#REF!</definedName>
    <definedName name="Xbrl_Tag_02ead093_8098_4561_b1a6_35aad0b3b539" localSheetId="33" hidden="1">'[3]Adj. Income Statement'!#REF!</definedName>
    <definedName name="Xbrl_Tag_02ead093_8098_4561_b1a6_35aad0b3b539" localSheetId="39" hidden="1">'[3]Adj. Income Statement'!#REF!</definedName>
    <definedName name="Xbrl_Tag_02ead093_8098_4561_b1a6_35aad0b3b539" hidden="1">'[3]Adj. Income Statement'!#REF!</definedName>
    <definedName name="Xbrl_Tag_075d33f9_8d44_4b5e_8fc8_85eada4f464a" localSheetId="2" hidden="1">'[3]Adj. Income Statement'!#REF!</definedName>
    <definedName name="Xbrl_Tag_075d33f9_8d44_4b5e_8fc8_85eada4f464a" localSheetId="32" hidden="1">'[3]Adj. Income Statement'!#REF!</definedName>
    <definedName name="Xbrl_Tag_075d33f9_8d44_4b5e_8fc8_85eada4f464a" localSheetId="33" hidden="1">'[3]Adj. Income Statement'!#REF!</definedName>
    <definedName name="Xbrl_Tag_075d33f9_8d44_4b5e_8fc8_85eada4f464a" localSheetId="39" hidden="1">'[3]Adj. Income Statement'!#REF!</definedName>
    <definedName name="Xbrl_Tag_075d33f9_8d44_4b5e_8fc8_85eada4f464a" hidden="1">'[3]Adj. Income Statement'!#REF!</definedName>
    <definedName name="Xbrl_Tag_0a527475_1b41_4c03_bf3e_82e631232d6b" localSheetId="2" hidden="1">'[3]Adj. Income Statement'!#REF!</definedName>
    <definedName name="Xbrl_Tag_0a527475_1b41_4c03_bf3e_82e631232d6b" localSheetId="32" hidden="1">'[3]Adj. Income Statement'!#REF!</definedName>
    <definedName name="Xbrl_Tag_0a527475_1b41_4c03_bf3e_82e631232d6b" localSheetId="33" hidden="1">'[3]Adj. Income Statement'!#REF!</definedName>
    <definedName name="Xbrl_Tag_0a527475_1b41_4c03_bf3e_82e631232d6b" localSheetId="39" hidden="1">'[3]Adj. Income Statement'!#REF!</definedName>
    <definedName name="Xbrl_Tag_0a527475_1b41_4c03_bf3e_82e631232d6b" hidden="1">'[3]Adj. Income Statement'!#REF!</definedName>
    <definedName name="Xbrl_Tag_0bc4560b_9d42_4e7c_bfcf_072f8e0e087b" localSheetId="2" hidden="1">'[3]Adj. Income Statement'!#REF!</definedName>
    <definedName name="Xbrl_Tag_0bc4560b_9d42_4e7c_bfcf_072f8e0e087b" localSheetId="32" hidden="1">'[3]Adj. Income Statement'!#REF!</definedName>
    <definedName name="Xbrl_Tag_0bc4560b_9d42_4e7c_bfcf_072f8e0e087b" localSheetId="33" hidden="1">'[3]Adj. Income Statement'!#REF!</definedName>
    <definedName name="Xbrl_Tag_0bc4560b_9d42_4e7c_bfcf_072f8e0e087b" localSheetId="39" hidden="1">'[3]Adj. Income Statement'!#REF!</definedName>
    <definedName name="Xbrl_Tag_0bc4560b_9d42_4e7c_bfcf_072f8e0e087b" hidden="1">'[3]Adj. Income Statement'!#REF!</definedName>
    <definedName name="Xbrl_Tag_0c54907b_74c4_4d3a_b16d_9d5b6191a8f0" localSheetId="2" hidden="1">'[3]Adj. Income Statement'!#REF!</definedName>
    <definedName name="Xbrl_Tag_0c54907b_74c4_4d3a_b16d_9d5b6191a8f0" localSheetId="32" hidden="1">'[3]Adj. Income Statement'!#REF!</definedName>
    <definedName name="Xbrl_Tag_0c54907b_74c4_4d3a_b16d_9d5b6191a8f0" localSheetId="33" hidden="1">'[3]Adj. Income Statement'!#REF!</definedName>
    <definedName name="Xbrl_Tag_0c54907b_74c4_4d3a_b16d_9d5b6191a8f0" localSheetId="39" hidden="1">'[3]Adj. Income Statement'!#REF!</definedName>
    <definedName name="Xbrl_Tag_0c54907b_74c4_4d3a_b16d_9d5b6191a8f0" hidden="1">'[3]Adj. Income Statement'!#REF!</definedName>
    <definedName name="Xbrl_Tag_0f074d5a_3373_452d_affc_9e3adc16f0cc" localSheetId="2" hidden="1">'[3]Adj. Income Statement'!#REF!</definedName>
    <definedName name="Xbrl_Tag_0f074d5a_3373_452d_affc_9e3adc16f0cc" localSheetId="32" hidden="1">'[3]Adj. Income Statement'!#REF!</definedName>
    <definedName name="Xbrl_Tag_0f074d5a_3373_452d_affc_9e3adc16f0cc" localSheetId="33" hidden="1">'[3]Adj. Income Statement'!#REF!</definedName>
    <definedName name="Xbrl_Tag_0f074d5a_3373_452d_affc_9e3adc16f0cc" localSheetId="39" hidden="1">'[3]Adj. Income Statement'!#REF!</definedName>
    <definedName name="Xbrl_Tag_0f074d5a_3373_452d_affc_9e3adc16f0cc" hidden="1">'[3]Adj. Income Statement'!#REF!</definedName>
    <definedName name="Xbrl_Tag_10857a19_f8a4_4178_b6d5_1f56875498d8" localSheetId="2" hidden="1">'[3]Adj. Income Statement'!#REF!</definedName>
    <definedName name="Xbrl_Tag_10857a19_f8a4_4178_b6d5_1f56875498d8" localSheetId="32" hidden="1">'[3]Adj. Income Statement'!#REF!</definedName>
    <definedName name="Xbrl_Tag_10857a19_f8a4_4178_b6d5_1f56875498d8" localSheetId="33" hidden="1">'[3]Adj. Income Statement'!#REF!</definedName>
    <definedName name="Xbrl_Tag_10857a19_f8a4_4178_b6d5_1f56875498d8" localSheetId="39" hidden="1">'[3]Adj. Income Statement'!#REF!</definedName>
    <definedName name="Xbrl_Tag_10857a19_f8a4_4178_b6d5_1f56875498d8" hidden="1">'[3]Adj. Income Statement'!#REF!</definedName>
    <definedName name="Xbrl_Tag_157035cb_bd67_4700_bac9_8654f3e0e9d9" localSheetId="2" hidden="1">'[3]Adj. Income Statement'!#REF!</definedName>
    <definedName name="Xbrl_Tag_157035cb_bd67_4700_bac9_8654f3e0e9d9" localSheetId="32" hidden="1">'[3]Adj. Income Statement'!#REF!</definedName>
    <definedName name="Xbrl_Tag_157035cb_bd67_4700_bac9_8654f3e0e9d9" localSheetId="33" hidden="1">'[3]Adj. Income Statement'!#REF!</definedName>
    <definedName name="Xbrl_Tag_157035cb_bd67_4700_bac9_8654f3e0e9d9" localSheetId="39" hidden="1">'[3]Adj. Income Statement'!#REF!</definedName>
    <definedName name="Xbrl_Tag_157035cb_bd67_4700_bac9_8654f3e0e9d9" hidden="1">'[3]Adj. Income Statement'!#REF!</definedName>
    <definedName name="Xbrl_Tag_1a17ee58_77be_41d6_a839_b459b55e8e50" localSheetId="2" hidden="1">'[3]Adj. Income Statement'!#REF!</definedName>
    <definedName name="Xbrl_Tag_1a17ee58_77be_41d6_a839_b459b55e8e50" localSheetId="32" hidden="1">'[3]Adj. Income Statement'!#REF!</definedName>
    <definedName name="Xbrl_Tag_1a17ee58_77be_41d6_a839_b459b55e8e50" localSheetId="33" hidden="1">'[3]Adj. Income Statement'!#REF!</definedName>
    <definedName name="Xbrl_Tag_1a17ee58_77be_41d6_a839_b459b55e8e50" localSheetId="39" hidden="1">'[3]Adj. Income Statement'!#REF!</definedName>
    <definedName name="Xbrl_Tag_1a17ee58_77be_41d6_a839_b459b55e8e50" hidden="1">'[3]Adj. Income Statement'!#REF!</definedName>
    <definedName name="Xbrl_Tag_1d7e0664_9af3_4cfd_93bd_b4acb420ada8" localSheetId="2" hidden="1">'[3]Adj. Income Statement'!#REF!</definedName>
    <definedName name="Xbrl_Tag_1d7e0664_9af3_4cfd_93bd_b4acb420ada8" localSheetId="32" hidden="1">'[3]Adj. Income Statement'!#REF!</definedName>
    <definedName name="Xbrl_Tag_1d7e0664_9af3_4cfd_93bd_b4acb420ada8" localSheetId="33" hidden="1">'[3]Adj. Income Statement'!#REF!</definedName>
    <definedName name="Xbrl_Tag_1d7e0664_9af3_4cfd_93bd_b4acb420ada8" localSheetId="39" hidden="1">'[3]Adj. Income Statement'!#REF!</definedName>
    <definedName name="Xbrl_Tag_1d7e0664_9af3_4cfd_93bd_b4acb420ada8" hidden="1">'[3]Adj. Income Statement'!#REF!</definedName>
    <definedName name="Xbrl_Tag_1f22c9c6_d780_4c43_95fb_8b6123261b05" localSheetId="2" hidden="1">'[3]Adj. Income Statement'!#REF!</definedName>
    <definedName name="Xbrl_Tag_1f22c9c6_d780_4c43_95fb_8b6123261b05" localSheetId="32" hidden="1">'[3]Adj. Income Statement'!#REF!</definedName>
    <definedName name="Xbrl_Tag_1f22c9c6_d780_4c43_95fb_8b6123261b05" localSheetId="33" hidden="1">'[3]Adj. Income Statement'!#REF!</definedName>
    <definedName name="Xbrl_Tag_1f22c9c6_d780_4c43_95fb_8b6123261b05" localSheetId="39" hidden="1">'[3]Adj. Income Statement'!#REF!</definedName>
    <definedName name="Xbrl_Tag_1f22c9c6_d780_4c43_95fb_8b6123261b05" hidden="1">'[3]Adj. Income Statement'!#REF!</definedName>
    <definedName name="Xbrl_Tag_25b41a93_9486_45f9_8873_cc646f7592ac" localSheetId="2" hidden="1">'[3]Adj. Income Statement'!#REF!</definedName>
    <definedName name="Xbrl_Tag_25b41a93_9486_45f9_8873_cc646f7592ac" localSheetId="32" hidden="1">'[3]Adj. Income Statement'!#REF!</definedName>
    <definedName name="Xbrl_Tag_25b41a93_9486_45f9_8873_cc646f7592ac" localSheetId="33" hidden="1">'[3]Adj. Income Statement'!#REF!</definedName>
    <definedName name="Xbrl_Tag_25b41a93_9486_45f9_8873_cc646f7592ac" localSheetId="39" hidden="1">'[3]Adj. Income Statement'!#REF!</definedName>
    <definedName name="Xbrl_Tag_25b41a93_9486_45f9_8873_cc646f7592ac" hidden="1">'[3]Adj. Income Statement'!#REF!</definedName>
    <definedName name="Xbrl_Tag_3389f7d8_f533_46e1_b4e3_fbec1f4d27f5" localSheetId="2" hidden="1">'[3]Adj. Income Statement'!#REF!</definedName>
    <definedName name="Xbrl_Tag_3389f7d8_f533_46e1_b4e3_fbec1f4d27f5" localSheetId="32" hidden="1">'[3]Adj. Income Statement'!#REF!</definedName>
    <definedName name="Xbrl_Tag_3389f7d8_f533_46e1_b4e3_fbec1f4d27f5" localSheetId="33" hidden="1">'[3]Adj. Income Statement'!#REF!</definedName>
    <definedName name="Xbrl_Tag_3389f7d8_f533_46e1_b4e3_fbec1f4d27f5" localSheetId="39" hidden="1">'[3]Adj. Income Statement'!#REF!</definedName>
    <definedName name="Xbrl_Tag_3389f7d8_f533_46e1_b4e3_fbec1f4d27f5" hidden="1">'[3]Adj. Income Statement'!#REF!</definedName>
    <definedName name="Xbrl_Tag_359d872e_df59_485a_a441_e3067597753f" localSheetId="2" hidden="1">'[3]Adj. Income Statement'!#REF!</definedName>
    <definedName name="Xbrl_Tag_359d872e_df59_485a_a441_e3067597753f" localSheetId="32" hidden="1">'[3]Adj. Income Statement'!#REF!</definedName>
    <definedName name="Xbrl_Tag_359d872e_df59_485a_a441_e3067597753f" localSheetId="33" hidden="1">'[3]Adj. Income Statement'!#REF!</definedName>
    <definedName name="Xbrl_Tag_359d872e_df59_485a_a441_e3067597753f" localSheetId="39" hidden="1">'[3]Adj. Income Statement'!#REF!</definedName>
    <definedName name="Xbrl_Tag_359d872e_df59_485a_a441_e3067597753f" hidden="1">'[3]Adj. Income Statement'!#REF!</definedName>
    <definedName name="Xbrl_Tag_359eab43_6bae_4f5a_8af7_8f81553cd43d" localSheetId="2" hidden="1">'[3]Adj. Income Statement'!#REF!</definedName>
    <definedName name="Xbrl_Tag_359eab43_6bae_4f5a_8af7_8f81553cd43d" localSheetId="32" hidden="1">'[3]Adj. Income Statement'!#REF!</definedName>
    <definedName name="Xbrl_Tag_359eab43_6bae_4f5a_8af7_8f81553cd43d" localSheetId="33" hidden="1">'[3]Adj. Income Statement'!#REF!</definedName>
    <definedName name="Xbrl_Tag_359eab43_6bae_4f5a_8af7_8f81553cd43d" localSheetId="39" hidden="1">'[3]Adj. Income Statement'!#REF!</definedName>
    <definedName name="Xbrl_Tag_359eab43_6bae_4f5a_8af7_8f81553cd43d" hidden="1">'[3]Adj. Income Statement'!#REF!</definedName>
    <definedName name="Xbrl_Tag_3a2d5606_5470_4db9_9313_3dc1f43a8b30" localSheetId="2" hidden="1">'[3]Adj. Income Statement'!#REF!</definedName>
    <definedName name="Xbrl_Tag_3a2d5606_5470_4db9_9313_3dc1f43a8b30" localSheetId="32" hidden="1">'[3]Adj. Income Statement'!#REF!</definedName>
    <definedName name="Xbrl_Tag_3a2d5606_5470_4db9_9313_3dc1f43a8b30" localSheetId="33" hidden="1">'[3]Adj. Income Statement'!#REF!</definedName>
    <definedName name="Xbrl_Tag_3a2d5606_5470_4db9_9313_3dc1f43a8b30" localSheetId="39" hidden="1">'[3]Adj. Income Statement'!#REF!</definedName>
    <definedName name="Xbrl_Tag_3a2d5606_5470_4db9_9313_3dc1f43a8b30" hidden="1">'[3]Adj. Income Statement'!#REF!</definedName>
    <definedName name="Xbrl_Tag_3b572db0_b5be_49cb_9497_3be0c26ec438" localSheetId="2" hidden="1">'[3]Adj. Income Statement'!#REF!</definedName>
    <definedName name="Xbrl_Tag_3b572db0_b5be_49cb_9497_3be0c26ec438" localSheetId="32" hidden="1">'[3]Adj. Income Statement'!#REF!</definedName>
    <definedName name="Xbrl_Tag_3b572db0_b5be_49cb_9497_3be0c26ec438" localSheetId="33" hidden="1">'[3]Adj. Income Statement'!#REF!</definedName>
    <definedName name="Xbrl_Tag_3b572db0_b5be_49cb_9497_3be0c26ec438" localSheetId="39" hidden="1">'[3]Adj. Income Statement'!#REF!</definedName>
    <definedName name="Xbrl_Tag_3b572db0_b5be_49cb_9497_3be0c26ec438" hidden="1">'[3]Adj. Income Statement'!#REF!</definedName>
    <definedName name="Xbrl_Tag_3e2a4b0f_a9ba_404c_8c83_bbd3862592e4" localSheetId="2" hidden="1">'[3]Adj. Income Statement'!#REF!</definedName>
    <definedName name="Xbrl_Tag_3e2a4b0f_a9ba_404c_8c83_bbd3862592e4" localSheetId="32" hidden="1">'[3]Adj. Income Statement'!#REF!</definedName>
    <definedName name="Xbrl_Tag_3e2a4b0f_a9ba_404c_8c83_bbd3862592e4" localSheetId="33" hidden="1">'[3]Adj. Income Statement'!#REF!</definedName>
    <definedName name="Xbrl_Tag_3e2a4b0f_a9ba_404c_8c83_bbd3862592e4" localSheetId="39" hidden="1">'[3]Adj. Income Statement'!#REF!</definedName>
    <definedName name="Xbrl_Tag_3e2a4b0f_a9ba_404c_8c83_bbd3862592e4" hidden="1">'[3]Adj. Income Statement'!#REF!</definedName>
    <definedName name="Xbrl_Tag_3f1c33f0_bff2_4296_9181_d7cc1cb508ad" localSheetId="2" hidden="1">'[3]Adj. Income Statement'!#REF!</definedName>
    <definedName name="Xbrl_Tag_3f1c33f0_bff2_4296_9181_d7cc1cb508ad" localSheetId="32" hidden="1">'[3]Adj. Income Statement'!#REF!</definedName>
    <definedName name="Xbrl_Tag_3f1c33f0_bff2_4296_9181_d7cc1cb508ad" localSheetId="33" hidden="1">'[3]Adj. Income Statement'!#REF!</definedName>
    <definedName name="Xbrl_Tag_3f1c33f0_bff2_4296_9181_d7cc1cb508ad" localSheetId="39" hidden="1">'[3]Adj. Income Statement'!#REF!</definedName>
    <definedName name="Xbrl_Tag_3f1c33f0_bff2_4296_9181_d7cc1cb508ad" hidden="1">'[3]Adj. Income Statement'!#REF!</definedName>
    <definedName name="Xbrl_Tag_43160aa8_61a0_4559_8ee5_d6da660cfd7b" localSheetId="2" hidden="1">'[3]Adj. Income Statement'!#REF!</definedName>
    <definedName name="Xbrl_Tag_43160aa8_61a0_4559_8ee5_d6da660cfd7b" localSheetId="32" hidden="1">'[3]Adj. Income Statement'!#REF!</definedName>
    <definedName name="Xbrl_Tag_43160aa8_61a0_4559_8ee5_d6da660cfd7b" localSheetId="33" hidden="1">'[3]Adj. Income Statement'!#REF!</definedName>
    <definedName name="Xbrl_Tag_43160aa8_61a0_4559_8ee5_d6da660cfd7b" localSheetId="39" hidden="1">'[3]Adj. Income Statement'!#REF!</definedName>
    <definedName name="Xbrl_Tag_43160aa8_61a0_4559_8ee5_d6da660cfd7b" hidden="1">'[3]Adj. Income Statement'!#REF!</definedName>
    <definedName name="Xbrl_Tag_47e22a59_7971_444b_8e73_01e5291185bb" localSheetId="2" hidden="1">'[3]Adj. Income Statement'!#REF!</definedName>
    <definedName name="Xbrl_Tag_47e22a59_7971_444b_8e73_01e5291185bb" localSheetId="32" hidden="1">'[3]Adj. Income Statement'!#REF!</definedName>
    <definedName name="Xbrl_Tag_47e22a59_7971_444b_8e73_01e5291185bb" localSheetId="33" hidden="1">'[3]Adj. Income Statement'!#REF!</definedName>
    <definedName name="Xbrl_Tag_47e22a59_7971_444b_8e73_01e5291185bb" localSheetId="39" hidden="1">'[3]Adj. Income Statement'!#REF!</definedName>
    <definedName name="Xbrl_Tag_47e22a59_7971_444b_8e73_01e5291185bb" hidden="1">'[3]Adj. Income Statement'!#REF!</definedName>
    <definedName name="Xbrl_Tag_5225a8bc_9d76_4e4d_8197_37f70d298267" localSheetId="2" hidden="1">'[3]Adj. Income Statement'!#REF!</definedName>
    <definedName name="Xbrl_Tag_5225a8bc_9d76_4e4d_8197_37f70d298267" localSheetId="32" hidden="1">'[3]Adj. Income Statement'!#REF!</definedName>
    <definedName name="Xbrl_Tag_5225a8bc_9d76_4e4d_8197_37f70d298267" localSheetId="33" hidden="1">'[3]Adj. Income Statement'!#REF!</definedName>
    <definedName name="Xbrl_Tag_5225a8bc_9d76_4e4d_8197_37f70d298267" localSheetId="39" hidden="1">'[3]Adj. Income Statement'!#REF!</definedName>
    <definedName name="Xbrl_Tag_5225a8bc_9d76_4e4d_8197_37f70d298267" hidden="1">'[3]Adj. Income Statement'!#REF!</definedName>
    <definedName name="Xbrl_Tag_56e27846_9e07_4473_ad08_7bb4a5bf7faa" localSheetId="2" hidden="1">'[3]Adj. Income Statement'!#REF!</definedName>
    <definedName name="Xbrl_Tag_56e27846_9e07_4473_ad08_7bb4a5bf7faa" localSheetId="32" hidden="1">'[3]Adj. Income Statement'!#REF!</definedName>
    <definedName name="Xbrl_Tag_56e27846_9e07_4473_ad08_7bb4a5bf7faa" localSheetId="33" hidden="1">'[3]Adj. Income Statement'!#REF!</definedName>
    <definedName name="Xbrl_Tag_56e27846_9e07_4473_ad08_7bb4a5bf7faa" localSheetId="39" hidden="1">'[3]Adj. Income Statement'!#REF!</definedName>
    <definedName name="Xbrl_Tag_56e27846_9e07_4473_ad08_7bb4a5bf7faa" hidden="1">'[3]Adj. Income Statement'!#REF!</definedName>
    <definedName name="Xbrl_Tag_5b7286ee_d427_4e54_9399_1a836cd32976" localSheetId="2" hidden="1">'[3]Adj. Income Statement'!#REF!</definedName>
    <definedName name="Xbrl_Tag_5b7286ee_d427_4e54_9399_1a836cd32976" localSheetId="32" hidden="1">'[3]Adj. Income Statement'!#REF!</definedName>
    <definedName name="Xbrl_Tag_5b7286ee_d427_4e54_9399_1a836cd32976" localSheetId="33" hidden="1">'[3]Adj. Income Statement'!#REF!</definedName>
    <definedName name="Xbrl_Tag_5b7286ee_d427_4e54_9399_1a836cd32976" localSheetId="39" hidden="1">'[3]Adj. Income Statement'!#REF!</definedName>
    <definedName name="Xbrl_Tag_5b7286ee_d427_4e54_9399_1a836cd32976" hidden="1">'[3]Adj. Income Statement'!#REF!</definedName>
    <definedName name="Xbrl_Tag_5e2f6e4c_effc_4374_9096_f6a66490bc43" localSheetId="2" hidden="1">'[3]Adj. Income Statement'!#REF!</definedName>
    <definedName name="Xbrl_Tag_5e2f6e4c_effc_4374_9096_f6a66490bc43" localSheetId="32" hidden="1">'[3]Adj. Income Statement'!#REF!</definedName>
    <definedName name="Xbrl_Tag_5e2f6e4c_effc_4374_9096_f6a66490bc43" localSheetId="33" hidden="1">'[3]Adj. Income Statement'!#REF!</definedName>
    <definedName name="Xbrl_Tag_5e2f6e4c_effc_4374_9096_f6a66490bc43" localSheetId="39" hidden="1">'[3]Adj. Income Statement'!#REF!</definedName>
    <definedName name="Xbrl_Tag_5e2f6e4c_effc_4374_9096_f6a66490bc43" hidden="1">'[3]Adj. Income Statement'!#REF!</definedName>
    <definedName name="Xbrl_Tag_5e4ed468_08c0_4e10_b780_063e9fad75bb" localSheetId="2" hidden="1">'[3]Adj. Income Statement'!#REF!</definedName>
    <definedName name="Xbrl_Tag_5e4ed468_08c0_4e10_b780_063e9fad75bb" localSheetId="32" hidden="1">'[3]Adj. Income Statement'!#REF!</definedName>
    <definedName name="Xbrl_Tag_5e4ed468_08c0_4e10_b780_063e9fad75bb" localSheetId="33" hidden="1">'[3]Adj. Income Statement'!#REF!</definedName>
    <definedName name="Xbrl_Tag_5e4ed468_08c0_4e10_b780_063e9fad75bb" localSheetId="39" hidden="1">'[3]Adj. Income Statement'!#REF!</definedName>
    <definedName name="Xbrl_Tag_5e4ed468_08c0_4e10_b780_063e9fad75bb" hidden="1">'[3]Adj. Income Statement'!#REF!</definedName>
    <definedName name="Xbrl_Tag_5efedf90_6eb4_4d47_8343_cb1307f08d80" localSheetId="2" hidden="1">'[3]Adj. Income Statement'!#REF!</definedName>
    <definedName name="Xbrl_Tag_5efedf90_6eb4_4d47_8343_cb1307f08d80" localSheetId="32" hidden="1">'[3]Adj. Income Statement'!#REF!</definedName>
    <definedName name="Xbrl_Tag_5efedf90_6eb4_4d47_8343_cb1307f08d80" localSheetId="33" hidden="1">'[3]Adj. Income Statement'!#REF!</definedName>
    <definedName name="Xbrl_Tag_5efedf90_6eb4_4d47_8343_cb1307f08d80" localSheetId="39" hidden="1">'[3]Adj. Income Statement'!#REF!</definedName>
    <definedName name="Xbrl_Tag_5efedf90_6eb4_4d47_8343_cb1307f08d80" hidden="1">'[3]Adj. Income Statement'!#REF!</definedName>
    <definedName name="Xbrl_Tag_60671786_7f0e_4efe_b101_fc89065bbbc4" localSheetId="2" hidden="1">'[3]Adj. Income Statement'!#REF!</definedName>
    <definedName name="Xbrl_Tag_60671786_7f0e_4efe_b101_fc89065bbbc4" localSheetId="32" hidden="1">'[3]Adj. Income Statement'!#REF!</definedName>
    <definedName name="Xbrl_Tag_60671786_7f0e_4efe_b101_fc89065bbbc4" localSheetId="33" hidden="1">'[3]Adj. Income Statement'!#REF!</definedName>
    <definedName name="Xbrl_Tag_60671786_7f0e_4efe_b101_fc89065bbbc4" localSheetId="39" hidden="1">'[3]Adj. Income Statement'!#REF!</definedName>
    <definedName name="Xbrl_Tag_60671786_7f0e_4efe_b101_fc89065bbbc4" hidden="1">'[3]Adj. Income Statement'!#REF!</definedName>
    <definedName name="Xbrl_Tag_60802841_ecf0_4e57_a96e_084d65541dcb" localSheetId="2" hidden="1">'[3]Adj. Income Statement'!#REF!</definedName>
    <definedName name="Xbrl_Tag_60802841_ecf0_4e57_a96e_084d65541dcb" localSheetId="32" hidden="1">'[3]Adj. Income Statement'!#REF!</definedName>
    <definedName name="Xbrl_Tag_60802841_ecf0_4e57_a96e_084d65541dcb" localSheetId="33" hidden="1">'[3]Adj. Income Statement'!#REF!</definedName>
    <definedName name="Xbrl_Tag_60802841_ecf0_4e57_a96e_084d65541dcb" localSheetId="39" hidden="1">'[3]Adj. Income Statement'!#REF!</definedName>
    <definedName name="Xbrl_Tag_60802841_ecf0_4e57_a96e_084d65541dcb" hidden="1">'[3]Adj. Income Statement'!#REF!</definedName>
    <definedName name="Xbrl_Tag_6b90dd42_fcd8_4968_8afd_6736492259b1" localSheetId="2" hidden="1">'[3]Adj. Income Statement'!#REF!</definedName>
    <definedName name="Xbrl_Tag_6b90dd42_fcd8_4968_8afd_6736492259b1" localSheetId="32" hidden="1">'[3]Adj. Income Statement'!#REF!</definedName>
    <definedName name="Xbrl_Tag_6b90dd42_fcd8_4968_8afd_6736492259b1" localSheetId="33" hidden="1">'[3]Adj. Income Statement'!#REF!</definedName>
    <definedName name="Xbrl_Tag_6b90dd42_fcd8_4968_8afd_6736492259b1" localSheetId="39" hidden="1">'[3]Adj. Income Statement'!#REF!</definedName>
    <definedName name="Xbrl_Tag_6b90dd42_fcd8_4968_8afd_6736492259b1" hidden="1">'[3]Adj. Income Statement'!#REF!</definedName>
    <definedName name="Xbrl_Tag_6e1527a0_8e9b_41c7_b670_b6099df9c72f" localSheetId="2" hidden="1">'[3]Adj. Income Statement'!#REF!</definedName>
    <definedName name="Xbrl_Tag_6e1527a0_8e9b_41c7_b670_b6099df9c72f" localSheetId="32" hidden="1">'[3]Adj. Income Statement'!#REF!</definedName>
    <definedName name="Xbrl_Tag_6e1527a0_8e9b_41c7_b670_b6099df9c72f" localSheetId="33" hidden="1">'[3]Adj. Income Statement'!#REF!</definedName>
    <definedName name="Xbrl_Tag_6e1527a0_8e9b_41c7_b670_b6099df9c72f" localSheetId="39" hidden="1">'[3]Adj. Income Statement'!#REF!</definedName>
    <definedName name="Xbrl_Tag_6e1527a0_8e9b_41c7_b670_b6099df9c72f" hidden="1">'[3]Adj. Income Statement'!#REF!</definedName>
    <definedName name="Xbrl_Tag_7003e101_ef6f_40fd_959a_81c14d2cf88a" localSheetId="2" hidden="1">'[3]Adj. Income Statement'!#REF!</definedName>
    <definedName name="Xbrl_Tag_7003e101_ef6f_40fd_959a_81c14d2cf88a" localSheetId="32" hidden="1">'[3]Adj. Income Statement'!#REF!</definedName>
    <definedName name="Xbrl_Tag_7003e101_ef6f_40fd_959a_81c14d2cf88a" localSheetId="33" hidden="1">'[3]Adj. Income Statement'!#REF!</definedName>
    <definedName name="Xbrl_Tag_7003e101_ef6f_40fd_959a_81c14d2cf88a" localSheetId="39" hidden="1">'[3]Adj. Income Statement'!#REF!</definedName>
    <definedName name="Xbrl_Tag_7003e101_ef6f_40fd_959a_81c14d2cf88a" hidden="1">'[3]Adj. Income Statement'!#REF!</definedName>
    <definedName name="Xbrl_Tag_7120f3c6_2d5d_417b_9dd0_ecab9471dbc9" localSheetId="2" hidden="1">'[3]Adj. Income Statement'!#REF!</definedName>
    <definedName name="Xbrl_Tag_7120f3c6_2d5d_417b_9dd0_ecab9471dbc9" localSheetId="32" hidden="1">'[3]Adj. Income Statement'!#REF!</definedName>
    <definedName name="Xbrl_Tag_7120f3c6_2d5d_417b_9dd0_ecab9471dbc9" localSheetId="33" hidden="1">'[3]Adj. Income Statement'!#REF!</definedName>
    <definedName name="Xbrl_Tag_7120f3c6_2d5d_417b_9dd0_ecab9471dbc9" localSheetId="39" hidden="1">'[3]Adj. Income Statement'!#REF!</definedName>
    <definedName name="Xbrl_Tag_7120f3c6_2d5d_417b_9dd0_ecab9471dbc9" hidden="1">'[3]Adj. Income Statement'!#REF!</definedName>
    <definedName name="Xbrl_Tag_717e1b49_4a4d_41a2_8691_a3ef7d067cf1" localSheetId="2" hidden="1">'[3]Adj. Income Statement'!#REF!</definedName>
    <definedName name="Xbrl_Tag_717e1b49_4a4d_41a2_8691_a3ef7d067cf1" localSheetId="32" hidden="1">'[3]Adj. Income Statement'!#REF!</definedName>
    <definedName name="Xbrl_Tag_717e1b49_4a4d_41a2_8691_a3ef7d067cf1" localSheetId="33" hidden="1">'[3]Adj. Income Statement'!#REF!</definedName>
    <definedName name="Xbrl_Tag_717e1b49_4a4d_41a2_8691_a3ef7d067cf1" localSheetId="39" hidden="1">'[3]Adj. Income Statement'!#REF!</definedName>
    <definedName name="Xbrl_Tag_717e1b49_4a4d_41a2_8691_a3ef7d067cf1" hidden="1">'[3]Adj. Income Statement'!#REF!</definedName>
    <definedName name="Xbrl_Tag_729b319e_8812_4e23_9b44_cd813ffaf1fe" localSheetId="2" hidden="1">'[3]Adj. Income Statement'!#REF!</definedName>
    <definedName name="Xbrl_Tag_729b319e_8812_4e23_9b44_cd813ffaf1fe" localSheetId="32" hidden="1">'[3]Adj. Income Statement'!#REF!</definedName>
    <definedName name="Xbrl_Tag_729b319e_8812_4e23_9b44_cd813ffaf1fe" localSheetId="33" hidden="1">'[3]Adj. Income Statement'!#REF!</definedName>
    <definedName name="Xbrl_Tag_729b319e_8812_4e23_9b44_cd813ffaf1fe" localSheetId="39" hidden="1">'[3]Adj. Income Statement'!#REF!</definedName>
    <definedName name="Xbrl_Tag_729b319e_8812_4e23_9b44_cd813ffaf1fe" hidden="1">'[3]Adj. Income Statement'!#REF!</definedName>
    <definedName name="Xbrl_Tag_74e27f18_3a0d_499e_a65b_355cefde250d" localSheetId="2" hidden="1">'[3]Adj. Income Statement'!#REF!</definedName>
    <definedName name="Xbrl_Tag_74e27f18_3a0d_499e_a65b_355cefde250d" localSheetId="32" hidden="1">'[3]Adj. Income Statement'!#REF!</definedName>
    <definedName name="Xbrl_Tag_74e27f18_3a0d_499e_a65b_355cefde250d" localSheetId="33" hidden="1">'[3]Adj. Income Statement'!#REF!</definedName>
    <definedName name="Xbrl_Tag_74e27f18_3a0d_499e_a65b_355cefde250d" localSheetId="39" hidden="1">'[3]Adj. Income Statement'!#REF!</definedName>
    <definedName name="Xbrl_Tag_74e27f18_3a0d_499e_a65b_355cefde250d" hidden="1">'[3]Adj. Income Statement'!#REF!</definedName>
    <definedName name="Xbrl_Tag_76377ee8_44ec_4706_b36c_e475d4a6cffc" localSheetId="2" hidden="1">'[3]Adj. Income Statement'!#REF!</definedName>
    <definedName name="Xbrl_Tag_76377ee8_44ec_4706_b36c_e475d4a6cffc" localSheetId="32" hidden="1">'[3]Adj. Income Statement'!#REF!</definedName>
    <definedName name="Xbrl_Tag_76377ee8_44ec_4706_b36c_e475d4a6cffc" localSheetId="33" hidden="1">'[3]Adj. Income Statement'!#REF!</definedName>
    <definedName name="Xbrl_Tag_76377ee8_44ec_4706_b36c_e475d4a6cffc" localSheetId="39" hidden="1">'[3]Adj. Income Statement'!#REF!</definedName>
    <definedName name="Xbrl_Tag_76377ee8_44ec_4706_b36c_e475d4a6cffc" hidden="1">'[3]Adj. Income Statement'!#REF!</definedName>
    <definedName name="Xbrl_Tag_7bfd249d_4459_4a20_97f6_779ca44ada3b" localSheetId="2" hidden="1">'[3]Adj. Income Statement'!#REF!</definedName>
    <definedName name="Xbrl_Tag_7bfd249d_4459_4a20_97f6_779ca44ada3b" localSheetId="32" hidden="1">'[3]Adj. Income Statement'!#REF!</definedName>
    <definedName name="Xbrl_Tag_7bfd249d_4459_4a20_97f6_779ca44ada3b" localSheetId="33" hidden="1">'[3]Adj. Income Statement'!#REF!</definedName>
    <definedName name="Xbrl_Tag_7bfd249d_4459_4a20_97f6_779ca44ada3b" localSheetId="39" hidden="1">'[3]Adj. Income Statement'!#REF!</definedName>
    <definedName name="Xbrl_Tag_7bfd249d_4459_4a20_97f6_779ca44ada3b" hidden="1">'[3]Adj. Income Statement'!#REF!</definedName>
    <definedName name="Xbrl_Tag_848a3bbd_ffb9_4097_93bf_014229938d6a" localSheetId="2" hidden="1">'[3]Adj. Income Statement'!#REF!</definedName>
    <definedName name="Xbrl_Tag_848a3bbd_ffb9_4097_93bf_014229938d6a" localSheetId="32" hidden="1">'[3]Adj. Income Statement'!#REF!</definedName>
    <definedName name="Xbrl_Tag_848a3bbd_ffb9_4097_93bf_014229938d6a" localSheetId="33" hidden="1">'[3]Adj. Income Statement'!#REF!</definedName>
    <definedName name="Xbrl_Tag_848a3bbd_ffb9_4097_93bf_014229938d6a" localSheetId="39" hidden="1">'[3]Adj. Income Statement'!#REF!</definedName>
    <definedName name="Xbrl_Tag_848a3bbd_ffb9_4097_93bf_014229938d6a" hidden="1">'[3]Adj. Income Statement'!#REF!</definedName>
    <definedName name="Xbrl_Tag_8d5cd3d4_55e4_4713_bce9_54948c631266" localSheetId="2" hidden="1">'[3]Adj. Income Statement'!#REF!</definedName>
    <definedName name="Xbrl_Tag_8d5cd3d4_55e4_4713_bce9_54948c631266" localSheetId="32" hidden="1">'[3]Adj. Income Statement'!#REF!</definedName>
    <definedName name="Xbrl_Tag_8d5cd3d4_55e4_4713_bce9_54948c631266" localSheetId="33" hidden="1">'[3]Adj. Income Statement'!#REF!</definedName>
    <definedName name="Xbrl_Tag_8d5cd3d4_55e4_4713_bce9_54948c631266" localSheetId="39" hidden="1">'[3]Adj. Income Statement'!#REF!</definedName>
    <definedName name="Xbrl_Tag_8d5cd3d4_55e4_4713_bce9_54948c631266" hidden="1">'[3]Adj. Income Statement'!#REF!</definedName>
    <definedName name="Xbrl_Tag_9265a09f_3d1f_4e90_8181_a55f534abcf7" localSheetId="2" hidden="1">'[3]Adj. Income Statement'!#REF!</definedName>
    <definedName name="Xbrl_Tag_9265a09f_3d1f_4e90_8181_a55f534abcf7" localSheetId="32" hidden="1">'[3]Adj. Income Statement'!#REF!</definedName>
    <definedName name="Xbrl_Tag_9265a09f_3d1f_4e90_8181_a55f534abcf7" localSheetId="33" hidden="1">'[3]Adj. Income Statement'!#REF!</definedName>
    <definedName name="Xbrl_Tag_9265a09f_3d1f_4e90_8181_a55f534abcf7" localSheetId="39" hidden="1">'[3]Adj. Income Statement'!#REF!</definedName>
    <definedName name="Xbrl_Tag_9265a09f_3d1f_4e90_8181_a55f534abcf7" hidden="1">'[3]Adj. Income Statement'!#REF!</definedName>
    <definedName name="Xbrl_Tag_94cf5a67_ea28_42d1_b071_8f24a2864445" localSheetId="2" hidden="1">'[3]Adj. Income Statement'!#REF!</definedName>
    <definedName name="Xbrl_Tag_94cf5a67_ea28_42d1_b071_8f24a2864445" localSheetId="32" hidden="1">'[3]Adj. Income Statement'!#REF!</definedName>
    <definedName name="Xbrl_Tag_94cf5a67_ea28_42d1_b071_8f24a2864445" localSheetId="33" hidden="1">'[3]Adj. Income Statement'!#REF!</definedName>
    <definedName name="Xbrl_Tag_94cf5a67_ea28_42d1_b071_8f24a2864445" localSheetId="39" hidden="1">'[3]Adj. Income Statement'!#REF!</definedName>
    <definedName name="Xbrl_Tag_94cf5a67_ea28_42d1_b071_8f24a2864445" hidden="1">'[3]Adj. Income Statement'!#REF!</definedName>
    <definedName name="Xbrl_Tag_95086fc4_6c0f_4a0f_bf5f_c393cf959e9a" localSheetId="2" hidden="1">'[3]Adj. Income Statement'!#REF!</definedName>
    <definedName name="Xbrl_Tag_95086fc4_6c0f_4a0f_bf5f_c393cf959e9a" localSheetId="32" hidden="1">'[3]Adj. Income Statement'!#REF!</definedName>
    <definedName name="Xbrl_Tag_95086fc4_6c0f_4a0f_bf5f_c393cf959e9a" localSheetId="33" hidden="1">'[3]Adj. Income Statement'!#REF!</definedName>
    <definedName name="Xbrl_Tag_95086fc4_6c0f_4a0f_bf5f_c393cf959e9a" localSheetId="39" hidden="1">'[3]Adj. Income Statement'!#REF!</definedName>
    <definedName name="Xbrl_Tag_95086fc4_6c0f_4a0f_bf5f_c393cf959e9a" hidden="1">'[3]Adj. Income Statement'!#REF!</definedName>
    <definedName name="Xbrl_Tag_99933dd6_f0fc_421a_9b9b_634b2b60dec3" localSheetId="2" hidden="1">'[3]Adj. Income Statement'!#REF!</definedName>
    <definedName name="Xbrl_Tag_99933dd6_f0fc_421a_9b9b_634b2b60dec3" localSheetId="32" hidden="1">'[3]Adj. Income Statement'!#REF!</definedName>
    <definedName name="Xbrl_Tag_99933dd6_f0fc_421a_9b9b_634b2b60dec3" localSheetId="33" hidden="1">'[3]Adj. Income Statement'!#REF!</definedName>
    <definedName name="Xbrl_Tag_99933dd6_f0fc_421a_9b9b_634b2b60dec3" localSheetId="39" hidden="1">'[3]Adj. Income Statement'!#REF!</definedName>
    <definedName name="Xbrl_Tag_99933dd6_f0fc_421a_9b9b_634b2b60dec3" hidden="1">'[3]Adj. Income Statement'!#REF!</definedName>
    <definedName name="Xbrl_Tag_a862d720_9241_4a30_a271_b70e9c381f31" localSheetId="2" hidden="1">'[3]Adj. Income Statement'!#REF!</definedName>
    <definedName name="Xbrl_Tag_a862d720_9241_4a30_a271_b70e9c381f31" localSheetId="32" hidden="1">'[3]Adj. Income Statement'!#REF!</definedName>
    <definedName name="Xbrl_Tag_a862d720_9241_4a30_a271_b70e9c381f31" localSheetId="33" hidden="1">'[3]Adj. Income Statement'!#REF!</definedName>
    <definedName name="Xbrl_Tag_a862d720_9241_4a30_a271_b70e9c381f31" localSheetId="39" hidden="1">'[3]Adj. Income Statement'!#REF!</definedName>
    <definedName name="Xbrl_Tag_a862d720_9241_4a30_a271_b70e9c381f31" hidden="1">'[3]Adj. Income Statement'!#REF!</definedName>
    <definedName name="Xbrl_Tag_adfbba3c_68ad_4b08_a539_0ed55d3f9d5a" localSheetId="2" hidden="1">'[3]Adj. Income Statement'!#REF!</definedName>
    <definedName name="Xbrl_Tag_adfbba3c_68ad_4b08_a539_0ed55d3f9d5a" localSheetId="32" hidden="1">'[3]Adj. Income Statement'!#REF!</definedName>
    <definedName name="Xbrl_Tag_adfbba3c_68ad_4b08_a539_0ed55d3f9d5a" localSheetId="33" hidden="1">'[3]Adj. Income Statement'!#REF!</definedName>
    <definedName name="Xbrl_Tag_adfbba3c_68ad_4b08_a539_0ed55d3f9d5a" localSheetId="39" hidden="1">'[3]Adj. Income Statement'!#REF!</definedName>
    <definedName name="Xbrl_Tag_adfbba3c_68ad_4b08_a539_0ed55d3f9d5a" hidden="1">'[3]Adj. Income Statement'!#REF!</definedName>
    <definedName name="Xbrl_Tag_ae50734f_518c_403d_9d12_e2a921b026bb" localSheetId="2" hidden="1">'[3]Adj. Income Statement'!#REF!</definedName>
    <definedName name="Xbrl_Tag_ae50734f_518c_403d_9d12_e2a921b026bb" localSheetId="32" hidden="1">'[3]Adj. Income Statement'!#REF!</definedName>
    <definedName name="Xbrl_Tag_ae50734f_518c_403d_9d12_e2a921b026bb" localSheetId="33" hidden="1">'[3]Adj. Income Statement'!#REF!</definedName>
    <definedName name="Xbrl_Tag_ae50734f_518c_403d_9d12_e2a921b026bb" localSheetId="39" hidden="1">'[3]Adj. Income Statement'!#REF!</definedName>
    <definedName name="Xbrl_Tag_ae50734f_518c_403d_9d12_e2a921b026bb" hidden="1">'[3]Adj. Income Statement'!#REF!</definedName>
    <definedName name="Xbrl_Tag_b0241925_c1ae_46bf_a767_386c3caff01d" localSheetId="2" hidden="1">'[3]Adj. Income Statement'!#REF!</definedName>
    <definedName name="Xbrl_Tag_b0241925_c1ae_46bf_a767_386c3caff01d" localSheetId="32" hidden="1">'[3]Adj. Income Statement'!#REF!</definedName>
    <definedName name="Xbrl_Tag_b0241925_c1ae_46bf_a767_386c3caff01d" localSheetId="33" hidden="1">'[3]Adj. Income Statement'!#REF!</definedName>
    <definedName name="Xbrl_Tag_b0241925_c1ae_46bf_a767_386c3caff01d" localSheetId="39" hidden="1">'[3]Adj. Income Statement'!#REF!</definedName>
    <definedName name="Xbrl_Tag_b0241925_c1ae_46bf_a767_386c3caff01d" hidden="1">'[3]Adj. Income Statement'!#REF!</definedName>
    <definedName name="Xbrl_Tag_b5d40829_0fdd_433d_a950_71e472d9ef83" localSheetId="2" hidden="1">'[3]Adj. Income Statement'!#REF!</definedName>
    <definedName name="Xbrl_Tag_b5d40829_0fdd_433d_a950_71e472d9ef83" localSheetId="32" hidden="1">'[3]Adj. Income Statement'!#REF!</definedName>
    <definedName name="Xbrl_Tag_b5d40829_0fdd_433d_a950_71e472d9ef83" localSheetId="33" hidden="1">'[3]Adj. Income Statement'!#REF!</definedName>
    <definedName name="Xbrl_Tag_b5d40829_0fdd_433d_a950_71e472d9ef83" localSheetId="39" hidden="1">'[3]Adj. Income Statement'!#REF!</definedName>
    <definedName name="Xbrl_Tag_b5d40829_0fdd_433d_a950_71e472d9ef83" hidden="1">'[3]Adj. Income Statement'!#REF!</definedName>
    <definedName name="Xbrl_Tag_b649d62e_a6bc_4241_a6b7_068087ca85f4" localSheetId="2" hidden="1">'[3]Adj. Income Statement'!#REF!</definedName>
    <definedName name="Xbrl_Tag_b649d62e_a6bc_4241_a6b7_068087ca85f4" localSheetId="32" hidden="1">'[3]Adj. Income Statement'!#REF!</definedName>
    <definedName name="Xbrl_Tag_b649d62e_a6bc_4241_a6b7_068087ca85f4" localSheetId="33" hidden="1">'[3]Adj. Income Statement'!#REF!</definedName>
    <definedName name="Xbrl_Tag_b649d62e_a6bc_4241_a6b7_068087ca85f4" localSheetId="39" hidden="1">'[3]Adj. Income Statement'!#REF!</definedName>
    <definedName name="Xbrl_Tag_b649d62e_a6bc_4241_a6b7_068087ca85f4" hidden="1">'[3]Adj. Income Statement'!#REF!</definedName>
    <definedName name="Xbrl_Tag_b8bf6112_e4b6_49dc_ba78_da6302bc43e7" localSheetId="2" hidden="1">'[3]Adj. Income Statement'!#REF!</definedName>
    <definedName name="Xbrl_Tag_b8bf6112_e4b6_49dc_ba78_da6302bc43e7" localSheetId="32" hidden="1">'[3]Adj. Income Statement'!#REF!</definedName>
    <definedName name="Xbrl_Tag_b8bf6112_e4b6_49dc_ba78_da6302bc43e7" localSheetId="33" hidden="1">'[3]Adj. Income Statement'!#REF!</definedName>
    <definedName name="Xbrl_Tag_b8bf6112_e4b6_49dc_ba78_da6302bc43e7" localSheetId="39" hidden="1">'[3]Adj. Income Statement'!#REF!</definedName>
    <definedName name="Xbrl_Tag_b8bf6112_e4b6_49dc_ba78_da6302bc43e7" hidden="1">'[3]Adj. Income Statement'!#REF!</definedName>
    <definedName name="Xbrl_Tag_bae390fc_4591_4996_aba5_07899907ff02" localSheetId="2" hidden="1">'[3]Adj. Income Statement'!#REF!</definedName>
    <definedName name="Xbrl_Tag_bae390fc_4591_4996_aba5_07899907ff02" localSheetId="32" hidden="1">'[3]Adj. Income Statement'!#REF!</definedName>
    <definedName name="Xbrl_Tag_bae390fc_4591_4996_aba5_07899907ff02" localSheetId="33" hidden="1">'[3]Adj. Income Statement'!#REF!</definedName>
    <definedName name="Xbrl_Tag_bae390fc_4591_4996_aba5_07899907ff02" localSheetId="39" hidden="1">'[3]Adj. Income Statement'!#REF!</definedName>
    <definedName name="Xbrl_Tag_bae390fc_4591_4996_aba5_07899907ff02" hidden="1">'[3]Adj. Income Statement'!#REF!</definedName>
    <definedName name="Xbrl_Tag_c251f426_b699_40b7_ba72_06cdc2336bb3" localSheetId="2" hidden="1">'[3]Adj. Income Statement'!#REF!</definedName>
    <definedName name="Xbrl_Tag_c251f426_b699_40b7_ba72_06cdc2336bb3" localSheetId="32" hidden="1">'[3]Adj. Income Statement'!#REF!</definedName>
    <definedName name="Xbrl_Tag_c251f426_b699_40b7_ba72_06cdc2336bb3" localSheetId="33" hidden="1">'[3]Adj. Income Statement'!#REF!</definedName>
    <definedName name="Xbrl_Tag_c251f426_b699_40b7_ba72_06cdc2336bb3" localSheetId="39" hidden="1">'[3]Adj. Income Statement'!#REF!</definedName>
    <definedName name="Xbrl_Tag_c251f426_b699_40b7_ba72_06cdc2336bb3" hidden="1">'[3]Adj. Income Statement'!#REF!</definedName>
    <definedName name="Xbrl_Tag_c9749016_30d3_4a1c_a478_72760a5958e3" localSheetId="2" hidden="1">'[3]Adj. Income Statement'!#REF!</definedName>
    <definedName name="Xbrl_Tag_c9749016_30d3_4a1c_a478_72760a5958e3" localSheetId="32" hidden="1">'[3]Adj. Income Statement'!#REF!</definedName>
    <definedName name="Xbrl_Tag_c9749016_30d3_4a1c_a478_72760a5958e3" localSheetId="33" hidden="1">'[3]Adj. Income Statement'!#REF!</definedName>
    <definedName name="Xbrl_Tag_c9749016_30d3_4a1c_a478_72760a5958e3" localSheetId="39" hidden="1">'[3]Adj. Income Statement'!#REF!</definedName>
    <definedName name="Xbrl_Tag_c9749016_30d3_4a1c_a478_72760a5958e3" hidden="1">'[3]Adj. Income Statement'!#REF!</definedName>
    <definedName name="Xbrl_Tag_c9f670e1_f64d_4c34_a82b_5400bfb21c56" localSheetId="2" hidden="1">'[3]Adj. Income Statement'!#REF!</definedName>
    <definedName name="Xbrl_Tag_c9f670e1_f64d_4c34_a82b_5400bfb21c56" localSheetId="32" hidden="1">'[3]Adj. Income Statement'!#REF!</definedName>
    <definedName name="Xbrl_Tag_c9f670e1_f64d_4c34_a82b_5400bfb21c56" localSheetId="33" hidden="1">'[3]Adj. Income Statement'!#REF!</definedName>
    <definedName name="Xbrl_Tag_c9f670e1_f64d_4c34_a82b_5400bfb21c56" localSheetId="39" hidden="1">'[3]Adj. Income Statement'!#REF!</definedName>
    <definedName name="Xbrl_Tag_c9f670e1_f64d_4c34_a82b_5400bfb21c56" hidden="1">'[3]Adj. Income Statement'!#REF!</definedName>
    <definedName name="Xbrl_Tag_cd60a268_2a82_4c24_ac15_f0f7ad874107" localSheetId="2" hidden="1">'[3]Adj. Income Statement'!#REF!</definedName>
    <definedName name="Xbrl_Tag_cd60a268_2a82_4c24_ac15_f0f7ad874107" localSheetId="32" hidden="1">'[3]Adj. Income Statement'!#REF!</definedName>
    <definedName name="Xbrl_Tag_cd60a268_2a82_4c24_ac15_f0f7ad874107" localSheetId="33" hidden="1">'[3]Adj. Income Statement'!#REF!</definedName>
    <definedName name="Xbrl_Tag_cd60a268_2a82_4c24_ac15_f0f7ad874107" localSheetId="39" hidden="1">'[3]Adj. Income Statement'!#REF!</definedName>
    <definedName name="Xbrl_Tag_cd60a268_2a82_4c24_ac15_f0f7ad874107" hidden="1">'[3]Adj. Income Statement'!#REF!</definedName>
    <definedName name="Xbrl_Tag_cedeaf5a_67a1_461e_8505_b0f9b2659e01" localSheetId="2" hidden="1">'[3]Adj. Income Statement'!#REF!</definedName>
    <definedName name="Xbrl_Tag_cedeaf5a_67a1_461e_8505_b0f9b2659e01" localSheetId="32" hidden="1">'[3]Adj. Income Statement'!#REF!</definedName>
    <definedName name="Xbrl_Tag_cedeaf5a_67a1_461e_8505_b0f9b2659e01" localSheetId="33" hidden="1">'[3]Adj. Income Statement'!#REF!</definedName>
    <definedName name="Xbrl_Tag_cedeaf5a_67a1_461e_8505_b0f9b2659e01" localSheetId="39" hidden="1">'[3]Adj. Income Statement'!#REF!</definedName>
    <definedName name="Xbrl_Tag_cedeaf5a_67a1_461e_8505_b0f9b2659e01" hidden="1">'[3]Adj. Income Statement'!#REF!</definedName>
    <definedName name="Xbrl_Tag_d4afa79e_d64b_4386_af66_81110932cac7" localSheetId="2" hidden="1">'[3]Adj. Income Statement'!#REF!</definedName>
    <definedName name="Xbrl_Tag_d4afa79e_d64b_4386_af66_81110932cac7" localSheetId="32" hidden="1">'[3]Adj. Income Statement'!#REF!</definedName>
    <definedName name="Xbrl_Tag_d4afa79e_d64b_4386_af66_81110932cac7" localSheetId="33" hidden="1">'[3]Adj. Income Statement'!#REF!</definedName>
    <definedName name="Xbrl_Tag_d4afa79e_d64b_4386_af66_81110932cac7" localSheetId="39" hidden="1">'[3]Adj. Income Statement'!#REF!</definedName>
    <definedName name="Xbrl_Tag_d4afa79e_d64b_4386_af66_81110932cac7" hidden="1">'[3]Adj. Income Statement'!#REF!</definedName>
    <definedName name="Xbrl_Tag_d646885a_13e7_48b6_a22b_b23dd67119ff" localSheetId="2" hidden="1">'[3]Adj. Income Statement'!#REF!</definedName>
    <definedName name="Xbrl_Tag_d646885a_13e7_48b6_a22b_b23dd67119ff" localSheetId="32" hidden="1">'[3]Adj. Income Statement'!#REF!</definedName>
    <definedName name="Xbrl_Tag_d646885a_13e7_48b6_a22b_b23dd67119ff" localSheetId="33" hidden="1">'[3]Adj. Income Statement'!#REF!</definedName>
    <definedName name="Xbrl_Tag_d646885a_13e7_48b6_a22b_b23dd67119ff" localSheetId="39" hidden="1">'[3]Adj. Income Statement'!#REF!</definedName>
    <definedName name="Xbrl_Tag_d646885a_13e7_48b6_a22b_b23dd67119ff" hidden="1">'[3]Adj. Income Statement'!#REF!</definedName>
    <definedName name="Xbrl_Tag_d9ae9ca8_593c_41e1_a638_114bebca7596" localSheetId="2" hidden="1">'[3]Adj. Income Statement'!#REF!</definedName>
    <definedName name="Xbrl_Tag_d9ae9ca8_593c_41e1_a638_114bebca7596" localSheetId="32" hidden="1">'[3]Adj. Income Statement'!#REF!</definedName>
    <definedName name="Xbrl_Tag_d9ae9ca8_593c_41e1_a638_114bebca7596" localSheetId="33" hidden="1">'[3]Adj. Income Statement'!#REF!</definedName>
    <definedName name="Xbrl_Tag_d9ae9ca8_593c_41e1_a638_114bebca7596" localSheetId="39" hidden="1">'[3]Adj. Income Statement'!#REF!</definedName>
    <definedName name="Xbrl_Tag_d9ae9ca8_593c_41e1_a638_114bebca7596" hidden="1">'[3]Adj. Income Statement'!#REF!</definedName>
    <definedName name="Xbrl_Tag_e18ec5c4_a090_4244_ac37_0dcecc7c81d8" localSheetId="2" hidden="1">'[3]Adj. Income Statement'!#REF!</definedName>
    <definedName name="Xbrl_Tag_e18ec5c4_a090_4244_ac37_0dcecc7c81d8" localSheetId="32" hidden="1">'[3]Adj. Income Statement'!#REF!</definedName>
    <definedName name="Xbrl_Tag_e18ec5c4_a090_4244_ac37_0dcecc7c81d8" localSheetId="33" hidden="1">'[3]Adj. Income Statement'!#REF!</definedName>
    <definedName name="Xbrl_Tag_e18ec5c4_a090_4244_ac37_0dcecc7c81d8" localSheetId="39" hidden="1">'[3]Adj. Income Statement'!#REF!</definedName>
    <definedName name="Xbrl_Tag_e18ec5c4_a090_4244_ac37_0dcecc7c81d8" hidden="1">'[3]Adj. Income Statement'!#REF!</definedName>
    <definedName name="Xbrl_Tag_e1ea8c88_b797_4407_a87d_9da2892362e4" localSheetId="2" hidden="1">'[3]Adj. Income Statement'!#REF!</definedName>
    <definedName name="Xbrl_Tag_e1ea8c88_b797_4407_a87d_9da2892362e4" localSheetId="32" hidden="1">'[3]Adj. Income Statement'!#REF!</definedName>
    <definedName name="Xbrl_Tag_e1ea8c88_b797_4407_a87d_9da2892362e4" localSheetId="33" hidden="1">'[3]Adj. Income Statement'!#REF!</definedName>
    <definedName name="Xbrl_Tag_e1ea8c88_b797_4407_a87d_9da2892362e4" localSheetId="39" hidden="1">'[3]Adj. Income Statement'!#REF!</definedName>
    <definedName name="Xbrl_Tag_e1ea8c88_b797_4407_a87d_9da2892362e4" hidden="1">'[3]Adj. Income Statement'!#REF!</definedName>
    <definedName name="Xbrl_Tag_e75da760_6958_4085_aa7d_1b3c5e32dd34" localSheetId="2" hidden="1">'[3]Adj. Income Statement'!#REF!</definedName>
    <definedName name="Xbrl_Tag_e75da760_6958_4085_aa7d_1b3c5e32dd34" localSheetId="32" hidden="1">'[3]Adj. Income Statement'!#REF!</definedName>
    <definedName name="Xbrl_Tag_e75da760_6958_4085_aa7d_1b3c5e32dd34" localSheetId="33" hidden="1">'[3]Adj. Income Statement'!#REF!</definedName>
    <definedName name="Xbrl_Tag_e75da760_6958_4085_aa7d_1b3c5e32dd34" localSheetId="39" hidden="1">'[3]Adj. Income Statement'!#REF!</definedName>
    <definedName name="Xbrl_Tag_e75da760_6958_4085_aa7d_1b3c5e32dd34" hidden="1">'[3]Adj. Income Statement'!#REF!</definedName>
    <definedName name="Xbrl_Tag_e8bfc542_785c_45ec_9dbe_3b93db69332e" localSheetId="2" hidden="1">'[3]Adj. Income Statement'!#REF!</definedName>
    <definedName name="Xbrl_Tag_e8bfc542_785c_45ec_9dbe_3b93db69332e" localSheetId="32" hidden="1">'[3]Adj. Income Statement'!#REF!</definedName>
    <definedName name="Xbrl_Tag_e8bfc542_785c_45ec_9dbe_3b93db69332e" localSheetId="33" hidden="1">'[3]Adj. Income Statement'!#REF!</definedName>
    <definedName name="Xbrl_Tag_e8bfc542_785c_45ec_9dbe_3b93db69332e" localSheetId="39" hidden="1">'[3]Adj. Income Statement'!#REF!</definedName>
    <definedName name="Xbrl_Tag_e8bfc542_785c_45ec_9dbe_3b93db69332e" hidden="1">'[3]Adj. Income Statement'!#REF!</definedName>
    <definedName name="Xbrl_Tag_eade47b0_2243_4d32_861b_8c3268e26cf3" localSheetId="2" hidden="1">'[3]Adj. Income Statement'!#REF!</definedName>
    <definedName name="Xbrl_Tag_eade47b0_2243_4d32_861b_8c3268e26cf3" localSheetId="32" hidden="1">'[3]Adj. Income Statement'!#REF!</definedName>
    <definedName name="Xbrl_Tag_eade47b0_2243_4d32_861b_8c3268e26cf3" localSheetId="33" hidden="1">'[3]Adj. Income Statement'!#REF!</definedName>
    <definedName name="Xbrl_Tag_eade47b0_2243_4d32_861b_8c3268e26cf3" localSheetId="39" hidden="1">'[3]Adj. Income Statement'!#REF!</definedName>
    <definedName name="Xbrl_Tag_eade47b0_2243_4d32_861b_8c3268e26cf3" hidden="1">'[3]Adj. Income Statement'!#REF!</definedName>
    <definedName name="Xbrl_Tag_ed34a669_2210_43e3_8d94_63f3a7a48c96" localSheetId="2" hidden="1">'[3]Adj. Income Statement'!#REF!</definedName>
    <definedName name="Xbrl_Tag_ed34a669_2210_43e3_8d94_63f3a7a48c96" localSheetId="32" hidden="1">'[3]Adj. Income Statement'!#REF!</definedName>
    <definedName name="Xbrl_Tag_ed34a669_2210_43e3_8d94_63f3a7a48c96" localSheetId="33" hidden="1">'[3]Adj. Income Statement'!#REF!</definedName>
    <definedName name="Xbrl_Tag_ed34a669_2210_43e3_8d94_63f3a7a48c96" localSheetId="39" hidden="1">'[3]Adj. Income Statement'!#REF!</definedName>
    <definedName name="Xbrl_Tag_ed34a669_2210_43e3_8d94_63f3a7a48c96" hidden="1">'[3]Adj. Income Statement'!#REF!</definedName>
    <definedName name="Xbrl_Tag_ee7a2416_a975_4201_9277_8290d8908ccf" localSheetId="2" hidden="1">'[3]Adj. Income Statement'!#REF!</definedName>
    <definedName name="Xbrl_Tag_ee7a2416_a975_4201_9277_8290d8908ccf" localSheetId="32" hidden="1">'[3]Adj. Income Statement'!#REF!</definedName>
    <definedName name="Xbrl_Tag_ee7a2416_a975_4201_9277_8290d8908ccf" localSheetId="33" hidden="1">'[3]Adj. Income Statement'!#REF!</definedName>
    <definedName name="Xbrl_Tag_ee7a2416_a975_4201_9277_8290d8908ccf" localSheetId="39" hidden="1">'[3]Adj. Income Statement'!#REF!</definedName>
    <definedName name="Xbrl_Tag_ee7a2416_a975_4201_9277_8290d8908ccf" hidden="1">'[3]Adj. Income Statement'!#REF!</definedName>
    <definedName name="Xbrl_Tag_ee8a51a9_161a_4f09_82e8_d18efd1119a1" localSheetId="2" hidden="1">'[3]Adj. Income Statement'!#REF!</definedName>
    <definedName name="Xbrl_Tag_ee8a51a9_161a_4f09_82e8_d18efd1119a1" localSheetId="32" hidden="1">'[3]Adj. Income Statement'!#REF!</definedName>
    <definedName name="Xbrl_Tag_ee8a51a9_161a_4f09_82e8_d18efd1119a1" localSheetId="33" hidden="1">'[3]Adj. Income Statement'!#REF!</definedName>
    <definedName name="Xbrl_Tag_ee8a51a9_161a_4f09_82e8_d18efd1119a1" localSheetId="39" hidden="1">'[3]Adj. Income Statement'!#REF!</definedName>
    <definedName name="Xbrl_Tag_ee8a51a9_161a_4f09_82e8_d18efd1119a1" hidden="1">'[3]Adj. Income Statement'!#REF!</definedName>
    <definedName name="Xbrl_Tag_efa044fd_a1b2_40a5_b1f9_72090c947b21" localSheetId="2" hidden="1">'[3]Adj. Income Statement'!#REF!</definedName>
    <definedName name="Xbrl_Tag_efa044fd_a1b2_40a5_b1f9_72090c947b21" localSheetId="32" hidden="1">'[3]Adj. Income Statement'!#REF!</definedName>
    <definedName name="Xbrl_Tag_efa044fd_a1b2_40a5_b1f9_72090c947b21" localSheetId="33" hidden="1">'[3]Adj. Income Statement'!#REF!</definedName>
    <definedName name="Xbrl_Tag_efa044fd_a1b2_40a5_b1f9_72090c947b21" localSheetId="39" hidden="1">'[3]Adj. Income Statement'!#REF!</definedName>
    <definedName name="Xbrl_Tag_efa044fd_a1b2_40a5_b1f9_72090c947b21" hidden="1">'[3]Adj. Income Statement'!#REF!</definedName>
    <definedName name="Xbrl_Tag_f5d3fddf_4f85_4525_871f_f5d116e6ca67" localSheetId="2" hidden="1">'[3]Adj. Income Statement'!#REF!</definedName>
    <definedName name="Xbrl_Tag_f5d3fddf_4f85_4525_871f_f5d116e6ca67" localSheetId="32" hidden="1">'[3]Adj. Income Statement'!#REF!</definedName>
    <definedName name="Xbrl_Tag_f5d3fddf_4f85_4525_871f_f5d116e6ca67" localSheetId="33" hidden="1">'[3]Adj. Income Statement'!#REF!</definedName>
    <definedName name="Xbrl_Tag_f5d3fddf_4f85_4525_871f_f5d116e6ca67" localSheetId="39" hidden="1">'[3]Adj. Income Statement'!#REF!</definedName>
    <definedName name="Xbrl_Tag_f5d3fddf_4f85_4525_871f_f5d116e6ca67" hidden="1">'[3]Adj. Income Statement'!#REF!</definedName>
    <definedName name="Xbrl_Tag_f80d63c5_ffff_4f9e_a25e_9c37480fc1ae" localSheetId="2" hidden="1">'[3]Adj. Income Statement'!#REF!</definedName>
    <definedName name="Xbrl_Tag_f80d63c5_ffff_4f9e_a25e_9c37480fc1ae" localSheetId="32" hidden="1">'[3]Adj. Income Statement'!#REF!</definedName>
    <definedName name="Xbrl_Tag_f80d63c5_ffff_4f9e_a25e_9c37480fc1ae" localSheetId="33" hidden="1">'[3]Adj. Income Statement'!#REF!</definedName>
    <definedName name="Xbrl_Tag_f80d63c5_ffff_4f9e_a25e_9c37480fc1ae" localSheetId="39" hidden="1">'[3]Adj. Income Statement'!#REF!</definedName>
    <definedName name="Xbrl_Tag_f80d63c5_ffff_4f9e_a25e_9c37480fc1ae" hidden="1">'[3]Adj. Income Statement'!#REF!</definedName>
    <definedName name="Xbrl_Tag_f91e44a0_2671_4cea_8dec_43ad8dbe440f" localSheetId="2" hidden="1">'[3]Adj. Income Statement'!#REF!</definedName>
    <definedName name="Xbrl_Tag_f91e44a0_2671_4cea_8dec_43ad8dbe440f" localSheetId="32" hidden="1">'[3]Adj. Income Statement'!#REF!</definedName>
    <definedName name="Xbrl_Tag_f91e44a0_2671_4cea_8dec_43ad8dbe440f" localSheetId="33" hidden="1">'[3]Adj. Income Statement'!#REF!</definedName>
    <definedName name="Xbrl_Tag_f91e44a0_2671_4cea_8dec_43ad8dbe440f" localSheetId="39" hidden="1">'[3]Adj. Income Statement'!#REF!</definedName>
    <definedName name="Xbrl_Tag_f91e44a0_2671_4cea_8dec_43ad8dbe440f" hidden="1">'[3]Adj. Income Statement'!#REF!</definedName>
    <definedName name="Xbrl_Tag_fab5f0e9_4198_47ff_9b56_c2280e7e2d27" localSheetId="2" hidden="1">'[3]Adj. Income Statement'!#REF!</definedName>
    <definedName name="Xbrl_Tag_fab5f0e9_4198_47ff_9b56_c2280e7e2d27" localSheetId="32" hidden="1">'[3]Adj. Income Statement'!#REF!</definedName>
    <definedName name="Xbrl_Tag_fab5f0e9_4198_47ff_9b56_c2280e7e2d27" localSheetId="33" hidden="1">'[3]Adj. Income Statement'!#REF!</definedName>
    <definedName name="Xbrl_Tag_fab5f0e9_4198_47ff_9b56_c2280e7e2d27" localSheetId="39" hidden="1">'[3]Adj. Income Statement'!#REF!</definedName>
    <definedName name="Xbrl_Tag_fab5f0e9_4198_47ff_9b56_c2280e7e2d27" hidden="1">'[3]Adj. Income Statement'!#REF!</definedName>
    <definedName name="Xbrl_Tag_fc82f321_49fd_456c_a7a3_9e9b572f9fad" localSheetId="2" hidden="1">'[3]Adj. Income Statement'!#REF!</definedName>
    <definedName name="Xbrl_Tag_fc82f321_49fd_456c_a7a3_9e9b572f9fad" localSheetId="32" hidden="1">'[3]Adj. Income Statement'!#REF!</definedName>
    <definedName name="Xbrl_Tag_fc82f321_49fd_456c_a7a3_9e9b572f9fad" localSheetId="33" hidden="1">'[3]Adj. Income Statement'!#REF!</definedName>
    <definedName name="Xbrl_Tag_fc82f321_49fd_456c_a7a3_9e9b572f9fad" localSheetId="39" hidden="1">'[3]Adj. Income Statement'!#REF!</definedName>
    <definedName name="Xbrl_Tag_fc82f321_49fd_456c_a7a3_9e9b572f9fad" hidden="1">'[3]Adj. Income Statement'!#REF!</definedName>
    <definedName name="Xbrl_Tag_fd0762ba_faef_48ae_8f93_3b1682db973d" localSheetId="2" hidden="1">'[3]Adj. Income Statement'!#REF!</definedName>
    <definedName name="Xbrl_Tag_fd0762ba_faef_48ae_8f93_3b1682db973d" localSheetId="32" hidden="1">'[3]Adj. Income Statement'!#REF!</definedName>
    <definedName name="Xbrl_Tag_fd0762ba_faef_48ae_8f93_3b1682db973d" localSheetId="33" hidden="1">'[3]Adj. Income Statement'!#REF!</definedName>
    <definedName name="Xbrl_Tag_fd0762ba_faef_48ae_8f93_3b1682db973d" localSheetId="39" hidden="1">'[3]Adj. Income Statement'!#REF!</definedName>
    <definedName name="Xbrl_Tag_fd0762ba_faef_48ae_8f93_3b1682db973d" hidden="1">'[3]Adj. Income Statement'!#REF!</definedName>
    <definedName name="Xbrl_Tag_fdbfb964_4eb0_44bd_ba7a_9dfdfb13f3a4" localSheetId="2" hidden="1">'[3]Adj. Income Statement'!#REF!</definedName>
    <definedName name="Xbrl_Tag_fdbfb964_4eb0_44bd_ba7a_9dfdfb13f3a4" localSheetId="32" hidden="1">'[3]Adj. Income Statement'!#REF!</definedName>
    <definedName name="Xbrl_Tag_fdbfb964_4eb0_44bd_ba7a_9dfdfb13f3a4" localSheetId="33" hidden="1">'[3]Adj. Income Statement'!#REF!</definedName>
    <definedName name="Xbrl_Tag_fdbfb964_4eb0_44bd_ba7a_9dfdfb13f3a4" localSheetId="39" hidden="1">'[3]Adj. Income Statement'!#REF!</definedName>
    <definedName name="Xbrl_Tag_fdbfb964_4eb0_44bd_ba7a_9dfdfb13f3a4" hidden="1">'[3]Adj. Income Statement'!#REF!</definedName>
    <definedName name="XXXXX" localSheetId="39" hidden="1">#REF!</definedName>
    <definedName name="XXXXX" hidden="1">#REF!</definedName>
    <definedName name="z" hidden="1">{"edcredit",#N/A,FALSE,"edcredit"}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9" i="1" l="1"/>
  <c r="C161" i="67"/>
  <c r="D161" i="67"/>
  <c r="M88" i="92"/>
  <c r="W86" i="92"/>
  <c r="K58" i="92"/>
  <c r="K55" i="92"/>
  <c r="K54" i="92"/>
  <c r="E43" i="92"/>
  <c r="E42" i="92"/>
  <c r="E39" i="92"/>
  <c r="E38" i="92"/>
  <c r="E33" i="92"/>
  <c r="E32" i="92"/>
  <c r="E29" i="92"/>
  <c r="E28" i="92"/>
  <c r="E25" i="92"/>
  <c r="E24" i="92"/>
  <c r="E21" i="92"/>
  <c r="E20" i="92"/>
  <c r="A9" i="92"/>
  <c r="K57" i="92" s="1"/>
  <c r="I4" i="92"/>
  <c r="X52" i="92" s="1"/>
  <c r="M88" i="91"/>
  <c r="W86" i="91"/>
  <c r="K58" i="91"/>
  <c r="K55" i="91"/>
  <c r="K54" i="91"/>
  <c r="A9" i="91"/>
  <c r="K57" i="91" s="1"/>
  <c r="I4" i="91"/>
  <c r="X52" i="91" s="1"/>
  <c r="W86" i="90"/>
  <c r="K58" i="90"/>
  <c r="K57" i="90"/>
  <c r="K55" i="90"/>
  <c r="K54" i="90"/>
  <c r="E43" i="90"/>
  <c r="E42" i="90"/>
  <c r="E39" i="90"/>
  <c r="E38" i="90"/>
  <c r="E33" i="90"/>
  <c r="E32" i="90"/>
  <c r="E29" i="90"/>
  <c r="E28" i="90"/>
  <c r="E25" i="90"/>
  <c r="E24" i="90"/>
  <c r="E21" i="90"/>
  <c r="E20" i="90"/>
  <c r="A9" i="90"/>
  <c r="I4" i="90"/>
  <c r="X52" i="90" s="1"/>
  <c r="W86" i="89"/>
  <c r="K58" i="89"/>
  <c r="K55" i="89"/>
  <c r="K54" i="89"/>
  <c r="A9" i="89"/>
  <c r="K57" i="89" s="1"/>
  <c r="I4" i="89"/>
  <c r="X52" i="89" s="1"/>
  <c r="G85" i="1" l="1"/>
  <c r="E18" i="9" l="1"/>
  <c r="D160" i="67" l="1"/>
  <c r="C160" i="67"/>
  <c r="E160" i="67" l="1"/>
  <c r="F37" i="22" l="1"/>
  <c r="G53" i="22"/>
  <c r="F53" i="22" l="1"/>
  <c r="G32" i="22" l="1"/>
  <c r="G50" i="22" l="1"/>
  <c r="F55" i="22"/>
  <c r="F50" i="22"/>
  <c r="F32" i="22"/>
  <c r="F20" i="22"/>
  <c r="F13" i="22"/>
  <c r="G20" i="22"/>
  <c r="F16" i="9" l="1"/>
  <c r="F19" i="9" s="1"/>
  <c r="E16" i="9"/>
  <c r="E19" i="9" s="1"/>
  <c r="E154" i="1" l="1"/>
  <c r="E154" i="2" l="1"/>
  <c r="E16" i="20" l="1"/>
  <c r="G16" i="20"/>
  <c r="G28" i="12" l="1"/>
  <c r="G27" i="12"/>
  <c r="G26" i="12"/>
  <c r="G20" i="12"/>
  <c r="G17" i="12"/>
  <c r="F21" i="12"/>
  <c r="E19" i="12"/>
  <c r="G19" i="12" s="1"/>
  <c r="E18" i="12"/>
  <c r="G18" i="12" s="1"/>
  <c r="F29" i="12"/>
  <c r="A14" i="22" l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F43" i="22" l="1"/>
  <c r="G43" i="22"/>
  <c r="G13" i="22"/>
  <c r="E13" i="37" l="1"/>
  <c r="J35" i="74" l="1"/>
  <c r="J35" i="73"/>
  <c r="E18" i="19" l="1"/>
  <c r="C112" i="67" l="1"/>
  <c r="D112" i="67"/>
  <c r="E17" i="84" l="1"/>
  <c r="D79" i="67" l="1"/>
  <c r="D76" i="67"/>
  <c r="C76" i="67"/>
  <c r="D70" i="67"/>
  <c r="C70" i="67"/>
  <c r="E15" i="32"/>
  <c r="C20" i="67"/>
  <c r="C13" i="67"/>
  <c r="C12" i="67"/>
  <c r="F18" i="19" l="1"/>
  <c r="D20" i="67" l="1"/>
  <c r="D17" i="67"/>
  <c r="D13" i="67"/>
  <c r="D12" i="67"/>
  <c r="E21" i="9" l="1"/>
  <c r="F21" i="9"/>
  <c r="E40" i="71" l="1"/>
  <c r="E24" i="71"/>
  <c r="F22" i="88" l="1"/>
  <c r="E22" i="88"/>
  <c r="D22" i="88"/>
  <c r="F22" i="87"/>
  <c r="E22" i="87"/>
  <c r="D22" i="87"/>
  <c r="F22" i="86"/>
  <c r="E22" i="86"/>
  <c r="D22" i="86"/>
  <c r="E22" i="85"/>
  <c r="F22" i="85"/>
  <c r="D22" i="85"/>
  <c r="D81" i="2" l="1"/>
  <c r="G16" i="86" l="1"/>
  <c r="G17" i="86"/>
  <c r="D18" i="86"/>
  <c r="E18" i="86"/>
  <c r="F18" i="86"/>
  <c r="G18" i="86" l="1"/>
  <c r="G2" i="88"/>
  <c r="G2" i="87"/>
  <c r="G2" i="86"/>
  <c r="F17" i="84" l="1"/>
  <c r="C35" i="88" l="1"/>
  <c r="C36" i="88" s="1"/>
  <c r="F25" i="88"/>
  <c r="E25" i="88"/>
  <c r="D25" i="88"/>
  <c r="G24" i="88"/>
  <c r="G21" i="88"/>
  <c r="G20" i="88"/>
  <c r="G22" i="88" s="1"/>
  <c r="E34" i="88" s="1"/>
  <c r="F18" i="88"/>
  <c r="E18" i="88"/>
  <c r="D18" i="88"/>
  <c r="G17" i="88"/>
  <c r="G16" i="88"/>
  <c r="G5" i="88"/>
  <c r="C35" i="87"/>
  <c r="C36" i="87" s="1"/>
  <c r="F25" i="87"/>
  <c r="E25" i="87"/>
  <c r="D25" i="87"/>
  <c r="G24" i="87"/>
  <c r="G21" i="87"/>
  <c r="G20" i="87"/>
  <c r="G22" i="87" s="1"/>
  <c r="F18" i="87"/>
  <c r="E18" i="87"/>
  <c r="D18" i="87"/>
  <c r="G17" i="87"/>
  <c r="G16" i="87"/>
  <c r="G5" i="87"/>
  <c r="C35" i="86"/>
  <c r="C36" i="86" s="1"/>
  <c r="F25" i="86"/>
  <c r="E25" i="86"/>
  <c r="D25" i="86"/>
  <c r="G24" i="86"/>
  <c r="G21" i="86"/>
  <c r="G20" i="86"/>
  <c r="G22" i="86" s="1"/>
  <c r="G5" i="86"/>
  <c r="G5" i="85"/>
  <c r="C35" i="85"/>
  <c r="F25" i="85"/>
  <c r="E25" i="85"/>
  <c r="E27" i="85" s="1"/>
  <c r="D25" i="85"/>
  <c r="G24" i="85"/>
  <c r="G21" i="85"/>
  <c r="G20" i="85"/>
  <c r="F18" i="85"/>
  <c r="E18" i="85"/>
  <c r="D18" i="85"/>
  <c r="G17" i="85"/>
  <c r="G16" i="85"/>
  <c r="D36" i="87" l="1"/>
  <c r="D35" i="87"/>
  <c r="D34" i="87"/>
  <c r="G22" i="85"/>
  <c r="D36" i="88"/>
  <c r="D35" i="88"/>
  <c r="D34" i="88"/>
  <c r="D34" i="86"/>
  <c r="D36" i="86"/>
  <c r="D35" i="86"/>
  <c r="G18" i="87"/>
  <c r="F27" i="85"/>
  <c r="G18" i="85"/>
  <c r="D27" i="85"/>
  <c r="G34" i="88"/>
  <c r="E35" i="88" s="1"/>
  <c r="G35" i="88" s="1"/>
  <c r="E36" i="88" s="1"/>
  <c r="G36" i="88" s="1"/>
  <c r="G25" i="86"/>
  <c r="D27" i="88"/>
  <c r="G18" i="88"/>
  <c r="E27" i="88"/>
  <c r="F27" i="88"/>
  <c r="G25" i="88"/>
  <c r="E27" i="87"/>
  <c r="D27" i="87"/>
  <c r="F27" i="87"/>
  <c r="G25" i="87"/>
  <c r="F27" i="86"/>
  <c r="D27" i="86"/>
  <c r="E27" i="86"/>
  <c r="E34" i="85"/>
  <c r="G25" i="85"/>
  <c r="G27" i="85" l="1"/>
  <c r="D35" i="85"/>
  <c r="D34" i="85"/>
  <c r="D36" i="85"/>
  <c r="E34" i="87"/>
  <c r="E34" i="86"/>
  <c r="G34" i="86" s="1"/>
  <c r="E35" i="86" s="1"/>
  <c r="G34" i="85"/>
  <c r="E35" i="85" s="1"/>
  <c r="G27" i="87"/>
  <c r="G27" i="88"/>
  <c r="G27" i="86"/>
  <c r="G35" i="86" l="1"/>
  <c r="E36" i="86" s="1"/>
  <c r="G36" i="86" s="1"/>
  <c r="G34" i="87"/>
  <c r="E35" i="87" s="1"/>
  <c r="G35" i="85"/>
  <c r="E36" i="85" s="1"/>
  <c r="G36" i="85" s="1"/>
  <c r="C37" i="67" l="1"/>
  <c r="G35" i="87"/>
  <c r="E36" i="87" s="1"/>
  <c r="G36" i="87" s="1"/>
  <c r="D37" i="67" s="1"/>
  <c r="E81" i="2"/>
  <c r="E81" i="1" l="1"/>
  <c r="E37" i="67" l="1"/>
  <c r="E128" i="67" l="1"/>
  <c r="F4" i="84" l="1"/>
  <c r="D52" i="67"/>
  <c r="C52" i="67"/>
  <c r="F5" i="84"/>
  <c r="A1" i="84"/>
  <c r="G18" i="20" l="1"/>
  <c r="G24" i="20" s="1"/>
  <c r="E18" i="20"/>
  <c r="E24" i="20" s="1"/>
  <c r="C296" i="1" l="1"/>
  <c r="C297" i="1"/>
  <c r="C270" i="1" l="1"/>
  <c r="C271" i="1"/>
  <c r="C272" i="1"/>
  <c r="G16" i="77" l="1"/>
  <c r="G17" i="77"/>
  <c r="G18" i="77"/>
  <c r="G19" i="77"/>
  <c r="G20" i="77"/>
  <c r="G21" i="77"/>
  <c r="G22" i="77"/>
  <c r="G23" i="77"/>
  <c r="G24" i="77"/>
  <c r="G25" i="77"/>
  <c r="G26" i="77"/>
  <c r="G15" i="77"/>
  <c r="G46" i="71" l="1"/>
  <c r="D52" i="71"/>
  <c r="G40" i="71"/>
  <c r="E36" i="71"/>
  <c r="G36" i="71" s="1"/>
  <c r="E30" i="71"/>
  <c r="G30" i="71" s="1"/>
  <c r="G24" i="71"/>
  <c r="E18" i="71"/>
  <c r="G18" i="71" s="1"/>
  <c r="G42" i="71" l="1"/>
  <c r="G44" i="71"/>
  <c r="G50" i="71" s="1"/>
  <c r="G52" i="71" s="1"/>
  <c r="C158" i="1" l="1"/>
  <c r="C154" i="1"/>
  <c r="D154" i="1"/>
  <c r="C81" i="1"/>
  <c r="D81" i="1"/>
  <c r="E43" i="41"/>
  <c r="E42" i="41"/>
  <c r="E39" i="41"/>
  <c r="E38" i="41"/>
  <c r="E33" i="41"/>
  <c r="E32" i="41"/>
  <c r="E29" i="41"/>
  <c r="E28" i="41"/>
  <c r="E25" i="41"/>
  <c r="E24" i="41"/>
  <c r="E21" i="41"/>
  <c r="E20" i="41"/>
  <c r="E43" i="54"/>
  <c r="E42" i="54"/>
  <c r="E39" i="54"/>
  <c r="E38" i="54"/>
  <c r="E33" i="54"/>
  <c r="E32" i="54"/>
  <c r="E29" i="54"/>
  <c r="E28" i="54"/>
  <c r="E25" i="54"/>
  <c r="E24" i="54"/>
  <c r="E21" i="54"/>
  <c r="E20" i="54"/>
  <c r="D25" i="13" l="1"/>
  <c r="G33" i="74" l="1"/>
  <c r="G38" i="74" s="1"/>
  <c r="F33" i="74"/>
  <c r="F38" i="74" s="1"/>
  <c r="G19" i="74"/>
  <c r="G26" i="74" s="1"/>
  <c r="F19" i="74"/>
  <c r="F26" i="74" s="1"/>
  <c r="B13" i="74"/>
  <c r="B14" i="74" s="1"/>
  <c r="B15" i="74" s="1"/>
  <c r="B16" i="74" s="1"/>
  <c r="B17" i="74" s="1"/>
  <c r="B18" i="74" s="1"/>
  <c r="B19" i="74" s="1"/>
  <c r="B20" i="74" s="1"/>
  <c r="B21" i="74" s="1"/>
  <c r="B22" i="74" s="1"/>
  <c r="B23" i="74" s="1"/>
  <c r="B24" i="74" s="1"/>
  <c r="B25" i="74" s="1"/>
  <c r="B26" i="74" s="1"/>
  <c r="B27" i="74" s="1"/>
  <c r="B28" i="74" s="1"/>
  <c r="B29" i="74" s="1"/>
  <c r="B30" i="74" s="1"/>
  <c r="B31" i="74" s="1"/>
  <c r="B32" i="74" s="1"/>
  <c r="B33" i="74" s="1"/>
  <c r="B34" i="74" s="1"/>
  <c r="B35" i="74" s="1"/>
  <c r="B36" i="74" s="1"/>
  <c r="B37" i="74" s="1"/>
  <c r="B38" i="74" s="1"/>
  <c r="B39" i="74" s="1"/>
  <c r="B40" i="74" s="1"/>
  <c r="B41" i="74" s="1"/>
  <c r="G33" i="73"/>
  <c r="G38" i="73" s="1"/>
  <c r="F33" i="73"/>
  <c r="G19" i="73"/>
  <c r="G26" i="73" s="1"/>
  <c r="F19" i="73"/>
  <c r="F26" i="73" s="1"/>
  <c r="B13" i="73"/>
  <c r="B14" i="73" s="1"/>
  <c r="B15" i="73" s="1"/>
  <c r="B16" i="73" s="1"/>
  <c r="B17" i="73" l="1"/>
  <c r="B18" i="73" s="1"/>
  <c r="B19" i="73" s="1"/>
  <c r="B20" i="73" s="1"/>
  <c r="B21" i="73" s="1"/>
  <c r="B22" i="73" s="1"/>
  <c r="B23" i="73" s="1"/>
  <c r="B24" i="73" s="1"/>
  <c r="B25" i="73" s="1"/>
  <c r="B26" i="73" s="1"/>
  <c r="B27" i="73" s="1"/>
  <c r="B28" i="73" s="1"/>
  <c r="B29" i="73" s="1"/>
  <c r="B30" i="73" s="1"/>
  <c r="B31" i="73" s="1"/>
  <c r="B32" i="73" s="1"/>
  <c r="B33" i="73" s="1"/>
  <c r="B34" i="73" s="1"/>
  <c r="B35" i="73" s="1"/>
  <c r="B36" i="73" s="1"/>
  <c r="B37" i="73" s="1"/>
  <c r="B38" i="73" s="1"/>
  <c r="B39" i="73" s="1"/>
  <c r="B40" i="73" s="1"/>
  <c r="B41" i="73" s="1"/>
  <c r="H26" i="74"/>
  <c r="F38" i="73"/>
  <c r="H38" i="73" s="1"/>
  <c r="H26" i="73"/>
  <c r="H28" i="73" s="1"/>
  <c r="H38" i="74"/>
  <c r="H28" i="74"/>
  <c r="H41" i="73" l="1"/>
  <c r="H41" i="74"/>
  <c r="C41" i="67"/>
  <c r="H4" i="81" l="1"/>
  <c r="G4" i="71"/>
  <c r="K4" i="76"/>
  <c r="J4" i="77"/>
  <c r="G4" i="75"/>
  <c r="K6" i="74"/>
  <c r="K6" i="73"/>
  <c r="E25" i="19" l="1"/>
  <c r="F25" i="19"/>
  <c r="B4" i="74" l="1"/>
  <c r="B2" i="74"/>
  <c r="F56" i="22" l="1"/>
  <c r="G56" i="22"/>
  <c r="F25" i="22"/>
  <c r="G25" i="22"/>
  <c r="G60" i="22"/>
  <c r="F60" i="22"/>
  <c r="G38" i="22" l="1"/>
  <c r="F38" i="22" l="1"/>
  <c r="E29" i="12" l="1"/>
  <c r="E21" i="12"/>
  <c r="D21" i="12"/>
  <c r="D29" i="12" l="1"/>
  <c r="G21" i="12"/>
  <c r="I19" i="12" l="1"/>
  <c r="K19" i="12" s="1"/>
  <c r="I20" i="12"/>
  <c r="K20" i="12" s="1"/>
  <c r="I18" i="12"/>
  <c r="K18" i="12" s="1"/>
  <c r="I17" i="12"/>
  <c r="G29" i="12"/>
  <c r="I26" i="12" s="1"/>
  <c r="K26" i="12" s="1"/>
  <c r="I21" i="12" l="1"/>
  <c r="I27" i="12"/>
  <c r="K27" i="12" s="1"/>
  <c r="I28" i="12"/>
  <c r="K28" i="12" s="1"/>
  <c r="I29" i="12" l="1"/>
  <c r="M27" i="12" l="1"/>
  <c r="D45" i="67" s="1"/>
  <c r="A1" i="81"/>
  <c r="A1" i="71"/>
  <c r="A1" i="77"/>
  <c r="A6" i="50" l="1"/>
  <c r="E40" i="75" l="1"/>
  <c r="E23" i="75"/>
  <c r="E42" i="75" l="1"/>
  <c r="G25" i="50" s="1"/>
  <c r="G25" i="79"/>
  <c r="D144" i="67"/>
  <c r="E143" i="67"/>
  <c r="E142" i="67"/>
  <c r="E141" i="67"/>
  <c r="E140" i="67"/>
  <c r="C144" i="67"/>
  <c r="C104" i="67" l="1"/>
  <c r="E103" i="67"/>
  <c r="E102" i="67"/>
  <c r="E101" i="67"/>
  <c r="D104" i="67"/>
  <c r="E127" i="67" l="1"/>
  <c r="E126" i="67"/>
  <c r="E125" i="67"/>
  <c r="E124" i="67"/>
  <c r="E123" i="67"/>
  <c r="D129" i="67"/>
  <c r="C129" i="67"/>
  <c r="A66" i="63" l="1"/>
  <c r="A65" i="63"/>
  <c r="C164" i="1" l="1"/>
  <c r="C161" i="1"/>
  <c r="C159" i="1"/>
  <c r="C157" i="1"/>
  <c r="C156" i="1"/>
  <c r="C153" i="1"/>
  <c r="C152" i="1"/>
  <c r="C151" i="1"/>
  <c r="C150" i="1"/>
  <c r="C149" i="1"/>
  <c r="C148" i="1"/>
  <c r="C147" i="1"/>
  <c r="E45" i="20" l="1"/>
  <c r="E47" i="20" s="1"/>
  <c r="N19" i="52" l="1"/>
  <c r="N20" i="52"/>
  <c r="N18" i="52"/>
  <c r="L19" i="52"/>
  <c r="L20" i="52"/>
  <c r="L18" i="52"/>
  <c r="I19" i="52"/>
  <c r="I20" i="52"/>
  <c r="I18" i="52"/>
  <c r="F19" i="52"/>
  <c r="F20" i="52"/>
  <c r="F18" i="52"/>
  <c r="K58" i="40"/>
  <c r="K54" i="40"/>
  <c r="K55" i="40"/>
  <c r="B9" i="52"/>
  <c r="G17" i="81" l="1"/>
  <c r="H17" i="81"/>
  <c r="H5" i="81"/>
  <c r="G33" i="79" l="1"/>
  <c r="G7" i="79"/>
  <c r="A7" i="13" s="1"/>
  <c r="O4" i="52" l="1"/>
  <c r="D15" i="37" l="1"/>
  <c r="C162" i="1" l="1"/>
  <c r="A318" i="1" l="1"/>
  <c r="A255" i="1"/>
  <c r="A178" i="1"/>
  <c r="A106" i="1"/>
  <c r="A45" i="1"/>
  <c r="A318" i="2"/>
  <c r="A255" i="2"/>
  <c r="A178" i="2"/>
  <c r="A106" i="2"/>
  <c r="A45" i="2"/>
  <c r="G5" i="71" l="1"/>
  <c r="D15" i="1"/>
  <c r="A9" i="54"/>
  <c r="A9" i="41"/>
  <c r="A9" i="53"/>
  <c r="A9" i="40"/>
  <c r="K57" i="40" s="1"/>
  <c r="J5" i="77"/>
  <c r="F28" i="77"/>
  <c r="G20" i="50" s="1"/>
  <c r="I26" i="77"/>
  <c r="I25" i="77"/>
  <c r="I24" i="77"/>
  <c r="I23" i="77"/>
  <c r="I22" i="77"/>
  <c r="I20" i="77"/>
  <c r="I21" i="77" l="1"/>
  <c r="I15" i="77"/>
  <c r="I17" i="77"/>
  <c r="I19" i="77"/>
  <c r="I16" i="77"/>
  <c r="I18" i="77"/>
  <c r="J15" i="77"/>
  <c r="J25" i="77" l="1"/>
  <c r="J18" i="77"/>
  <c r="J19" i="77"/>
  <c r="J21" i="77"/>
  <c r="J23" i="77"/>
  <c r="J22" i="77"/>
  <c r="J26" i="77"/>
  <c r="J16" i="77"/>
  <c r="J24" i="77"/>
  <c r="J20" i="77"/>
  <c r="J17" i="77"/>
  <c r="J23" i="1" l="1"/>
  <c r="E286" i="2" l="1"/>
  <c r="E286" i="1"/>
  <c r="K17" i="76" l="1"/>
  <c r="I17" i="76"/>
  <c r="K19" i="76" l="1"/>
  <c r="I19" i="76"/>
  <c r="G25" i="20" s="1"/>
  <c r="G26" i="20" s="1"/>
  <c r="G28" i="20" s="1"/>
  <c r="D156" i="67" l="1"/>
  <c r="J240" i="1"/>
  <c r="G17" i="76"/>
  <c r="K5" i="76"/>
  <c r="K13" i="76"/>
  <c r="I13" i="76"/>
  <c r="A1" i="76"/>
  <c r="E17" i="76" l="1"/>
  <c r="E19" i="76" l="1"/>
  <c r="G19" i="76"/>
  <c r="E25" i="20" l="1"/>
  <c r="E26" i="20" s="1"/>
  <c r="E28" i="20" s="1"/>
  <c r="G64" i="2"/>
  <c r="J240" i="2" l="1"/>
  <c r="C156" i="67"/>
  <c r="E15" i="37"/>
  <c r="G21" i="22" l="1"/>
  <c r="A1" i="75" l="1"/>
  <c r="G5" i="75"/>
  <c r="F62" i="22" l="1"/>
  <c r="F45" i="22"/>
  <c r="G62" i="22"/>
  <c r="G45" i="22"/>
  <c r="K7" i="74"/>
  <c r="K7" i="73"/>
  <c r="D58" i="67"/>
  <c r="C58" i="67" l="1"/>
  <c r="G27" i="22" l="1"/>
  <c r="F21" i="22" l="1"/>
  <c r="F27" i="22" s="1"/>
  <c r="J193" i="2" l="1"/>
  <c r="E27" i="19" l="1"/>
  <c r="D41" i="67" l="1"/>
  <c r="J193" i="1" l="1"/>
  <c r="M88" i="54" l="1"/>
  <c r="M88" i="53"/>
  <c r="J204" i="1"/>
  <c r="I4" i="54" l="1"/>
  <c r="I4" i="53"/>
  <c r="I4" i="41"/>
  <c r="I4" i="40"/>
  <c r="G5" i="50"/>
  <c r="C332" i="1" l="1"/>
  <c r="C331" i="1"/>
  <c r="C330" i="1"/>
  <c r="C329" i="1"/>
  <c r="C328" i="1"/>
  <c r="C327" i="1"/>
  <c r="C326" i="1"/>
  <c r="C325" i="1"/>
  <c r="C324" i="1"/>
  <c r="C323" i="1"/>
  <c r="C307" i="1"/>
  <c r="C306" i="1"/>
  <c r="C305" i="1"/>
  <c r="C304" i="1"/>
  <c r="C303" i="1"/>
  <c r="C302" i="1"/>
  <c r="C301" i="1"/>
  <c r="C300" i="1"/>
  <c r="C299" i="1"/>
  <c r="C298" i="1"/>
  <c r="C295" i="1"/>
  <c r="C294" i="1"/>
  <c r="C293" i="1"/>
  <c r="C292" i="1"/>
  <c r="C291" i="1"/>
  <c r="C290" i="1"/>
  <c r="C289" i="1"/>
  <c r="C262" i="1"/>
  <c r="C263" i="1"/>
  <c r="C264" i="1"/>
  <c r="C265" i="1"/>
  <c r="C266" i="1"/>
  <c r="C267" i="1"/>
  <c r="C268" i="1"/>
  <c r="C269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J210" i="1"/>
  <c r="H210" i="1"/>
  <c r="H209" i="1"/>
  <c r="J243" i="1"/>
  <c r="E243" i="1"/>
  <c r="C243" i="1"/>
  <c r="J243" i="2"/>
  <c r="E23" i="2" l="1"/>
  <c r="J23" i="2" s="1"/>
  <c r="C77" i="1"/>
  <c r="C78" i="1"/>
  <c r="C79" i="1"/>
  <c r="C80" i="1"/>
  <c r="C82" i="1"/>
  <c r="G24" i="79" l="1"/>
  <c r="E242" i="1" l="1"/>
  <c r="E235" i="1"/>
  <c r="C181" i="1"/>
  <c r="C242" i="1"/>
  <c r="C240" i="1"/>
  <c r="C238" i="1"/>
  <c r="C237" i="1"/>
  <c r="C236" i="1"/>
  <c r="C235" i="1"/>
  <c r="C233" i="1"/>
  <c r="C230" i="1"/>
  <c r="C229" i="1"/>
  <c r="C228" i="1"/>
  <c r="C227" i="1"/>
  <c r="C220" i="1"/>
  <c r="C215" i="1"/>
  <c r="C213" i="1"/>
  <c r="C212" i="1"/>
  <c r="C211" i="1"/>
  <c r="C210" i="1"/>
  <c r="C208" i="1"/>
  <c r="C200" i="1"/>
  <c r="C190" i="1"/>
  <c r="C206" i="1"/>
  <c r="C205" i="1"/>
  <c r="C204" i="1"/>
  <c r="C203" i="1"/>
  <c r="C202" i="1"/>
  <c r="C198" i="1"/>
  <c r="C197" i="1"/>
  <c r="C196" i="1"/>
  <c r="C194" i="1"/>
  <c r="C193" i="1"/>
  <c r="C192" i="1"/>
  <c r="C188" i="1"/>
  <c r="C184" i="1"/>
  <c r="C185" i="1"/>
  <c r="C186" i="1"/>
  <c r="C183" i="1"/>
  <c r="C144" i="1"/>
  <c r="C143" i="1"/>
  <c r="C142" i="1"/>
  <c r="C141" i="1"/>
  <c r="C140" i="1"/>
  <c r="C139" i="1"/>
  <c r="C138" i="1"/>
  <c r="C137" i="1"/>
  <c r="C136" i="1"/>
  <c r="C135" i="1"/>
  <c r="C133" i="1"/>
  <c r="C132" i="1"/>
  <c r="C131" i="1"/>
  <c r="C130" i="1"/>
  <c r="C129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93" i="1"/>
  <c r="C91" i="1"/>
  <c r="C90" i="1"/>
  <c r="C89" i="1"/>
  <c r="C88" i="1"/>
  <c r="C87" i="1"/>
  <c r="C85" i="1"/>
  <c r="C83" i="1"/>
  <c r="C76" i="1"/>
  <c r="C74" i="1"/>
  <c r="C73" i="1"/>
  <c r="C72" i="1"/>
  <c r="C71" i="1"/>
  <c r="C70" i="1"/>
  <c r="C69" i="1"/>
  <c r="C68" i="1"/>
  <c r="C66" i="1"/>
  <c r="C65" i="1"/>
  <c r="C64" i="1"/>
  <c r="C63" i="1"/>
  <c r="C62" i="1"/>
  <c r="C61" i="1"/>
  <c r="C60" i="1"/>
  <c r="C58" i="1"/>
  <c r="C57" i="1"/>
  <c r="C56" i="1"/>
  <c r="C55" i="1"/>
  <c r="C54" i="1"/>
  <c r="C53" i="1"/>
  <c r="C52" i="1"/>
  <c r="C30" i="1"/>
  <c r="C27" i="1"/>
  <c r="C23" i="1"/>
  <c r="C22" i="1"/>
  <c r="C21" i="1"/>
  <c r="C20" i="1"/>
  <c r="C19" i="1"/>
  <c r="C18" i="1"/>
  <c r="C15" i="1"/>
  <c r="D226" i="1"/>
  <c r="D224" i="1"/>
  <c r="D223" i="1"/>
  <c r="D222" i="1"/>
  <c r="D221" i="1"/>
  <c r="D218" i="1"/>
  <c r="D216" i="1"/>
  <c r="D212" i="1"/>
  <c r="D211" i="1"/>
  <c r="D210" i="1"/>
  <c r="D205" i="1"/>
  <c r="D204" i="1"/>
  <c r="D203" i="1"/>
  <c r="D202" i="1"/>
  <c r="D153" i="1"/>
  <c r="D141" i="1"/>
  <c r="D140" i="1"/>
  <c r="D137" i="1"/>
  <c r="D132" i="1"/>
  <c r="D131" i="1"/>
  <c r="D130" i="1"/>
  <c r="D122" i="1"/>
  <c r="D116" i="1"/>
  <c r="D117" i="1"/>
  <c r="D118" i="1"/>
  <c r="D119" i="1"/>
  <c r="D120" i="1"/>
  <c r="D114" i="1"/>
  <c r="D115" i="1"/>
  <c r="D113" i="1"/>
  <c r="D90" i="1"/>
  <c r="D89" i="1"/>
  <c r="D88" i="1"/>
  <c r="D85" i="1"/>
  <c r="D82" i="1"/>
  <c r="D80" i="1"/>
  <c r="D79" i="1"/>
  <c r="D78" i="1"/>
  <c r="D77" i="1"/>
  <c r="D73" i="1"/>
  <c r="D72" i="1"/>
  <c r="D71" i="1"/>
  <c r="D70" i="1"/>
  <c r="D69" i="1"/>
  <c r="D65" i="1"/>
  <c r="D64" i="1"/>
  <c r="D63" i="1"/>
  <c r="D62" i="1"/>
  <c r="D61" i="1"/>
  <c r="D57" i="1"/>
  <c r="D56" i="1"/>
  <c r="D55" i="1"/>
  <c r="D54" i="1"/>
  <c r="D53" i="1"/>
  <c r="D23" i="1"/>
  <c r="D30" i="1"/>
  <c r="D20" i="1"/>
  <c r="D19" i="1"/>
  <c r="A8" i="1"/>
  <c r="J7" i="1"/>
  <c r="J7" i="2"/>
  <c r="G5" i="22" l="1"/>
  <c r="M5" i="12"/>
  <c r="F5" i="32"/>
  <c r="F5" i="19"/>
  <c r="F5" i="9"/>
  <c r="F5" i="5"/>
  <c r="E5" i="37"/>
  <c r="G5" i="20"/>
  <c r="E5" i="26"/>
  <c r="H5" i="13"/>
  <c r="D142" i="1" l="1"/>
  <c r="D138" i="1"/>
  <c r="D125" i="1"/>
  <c r="E19" i="26" l="1"/>
  <c r="C134" i="67" s="1"/>
  <c r="D55" i="67" l="1"/>
  <c r="C55" i="67"/>
  <c r="E116" i="2" l="1"/>
  <c r="E55" i="67"/>
  <c r="E116" i="1"/>
  <c r="D27" i="13" l="1"/>
  <c r="G34" i="79" s="1"/>
  <c r="H4" i="13"/>
  <c r="A1" i="13"/>
  <c r="E4" i="26"/>
  <c r="A1" i="26"/>
  <c r="G45" i="20"/>
  <c r="G47" i="20" s="1"/>
  <c r="G4" i="20"/>
  <c r="A1" i="20"/>
  <c r="E4" i="37"/>
  <c r="A1" i="37"/>
  <c r="F4" i="5"/>
  <c r="A1" i="5"/>
  <c r="C57" i="67"/>
  <c r="F4" i="9"/>
  <c r="A1" i="9"/>
  <c r="F27" i="19"/>
  <c r="F31" i="19" s="1"/>
  <c r="D62" i="67" s="1"/>
  <c r="E31" i="19"/>
  <c r="C62" i="67" s="1"/>
  <c r="F4" i="19"/>
  <c r="A1" i="19"/>
  <c r="F20" i="32"/>
  <c r="F15" i="32"/>
  <c r="F4" i="32"/>
  <c r="A1" i="32"/>
  <c r="M4" i="12"/>
  <c r="A1" i="12"/>
  <c r="D35" i="67"/>
  <c r="D34" i="67"/>
  <c r="C36" i="67"/>
  <c r="G4" i="22"/>
  <c r="W86" i="54"/>
  <c r="K58" i="54"/>
  <c r="K57" i="54"/>
  <c r="K55" i="54"/>
  <c r="K54" i="54"/>
  <c r="W86" i="53"/>
  <c r="K58" i="53"/>
  <c r="K57" i="53"/>
  <c r="K55" i="53"/>
  <c r="K54" i="53"/>
  <c r="N38" i="52"/>
  <c r="E18" i="52"/>
  <c r="D18" i="52"/>
  <c r="W86" i="41"/>
  <c r="K58" i="41"/>
  <c r="K57" i="41"/>
  <c r="K55" i="41"/>
  <c r="K54" i="41"/>
  <c r="W86" i="40"/>
  <c r="D25" i="50"/>
  <c r="B25" i="50"/>
  <c r="E27" i="50" s="1"/>
  <c r="J238" i="1"/>
  <c r="E228" i="1"/>
  <c r="H228" i="1" s="1"/>
  <c r="E227" i="1"/>
  <c r="J223" i="1"/>
  <c r="J222" i="1"/>
  <c r="J221" i="1"/>
  <c r="J218" i="1"/>
  <c r="J216" i="1"/>
  <c r="E212" i="1"/>
  <c r="E211" i="1"/>
  <c r="E210" i="1"/>
  <c r="J184" i="1"/>
  <c r="E153" i="1"/>
  <c r="E143" i="1"/>
  <c r="G142" i="1"/>
  <c r="E142" i="1"/>
  <c r="E141" i="1"/>
  <c r="E140" i="1"/>
  <c r="E138" i="1"/>
  <c r="E137" i="1"/>
  <c r="E132" i="1"/>
  <c r="E131" i="1"/>
  <c r="E130" i="1"/>
  <c r="E126" i="1"/>
  <c r="J126" i="1" s="1"/>
  <c r="E125" i="1"/>
  <c r="G124" i="1"/>
  <c r="E124" i="1"/>
  <c r="E122" i="1"/>
  <c r="E120" i="1"/>
  <c r="E119" i="1"/>
  <c r="E117" i="1"/>
  <c r="E115" i="1"/>
  <c r="E113" i="1"/>
  <c r="E90" i="1"/>
  <c r="E82" i="1"/>
  <c r="G80" i="1"/>
  <c r="G81" i="1" s="1"/>
  <c r="E77" i="1"/>
  <c r="G65" i="1"/>
  <c r="E65" i="1"/>
  <c r="G64" i="1"/>
  <c r="E64" i="1"/>
  <c r="G63" i="1"/>
  <c r="E63" i="1"/>
  <c r="G62" i="1"/>
  <c r="E62" i="1"/>
  <c r="G61" i="1"/>
  <c r="G77" i="1" s="1"/>
  <c r="G141" i="1" s="1"/>
  <c r="E57" i="1"/>
  <c r="E55" i="1"/>
  <c r="E54" i="1"/>
  <c r="J183" i="1" s="1"/>
  <c r="E53" i="1"/>
  <c r="G22" i="1"/>
  <c r="G21" i="1"/>
  <c r="G20" i="1"/>
  <c r="A252" i="1"/>
  <c r="J238" i="2"/>
  <c r="H229" i="2"/>
  <c r="E228" i="2"/>
  <c r="E227" i="2"/>
  <c r="J223" i="2"/>
  <c r="J222" i="2"/>
  <c r="J218" i="2"/>
  <c r="J216" i="2"/>
  <c r="E212" i="2"/>
  <c r="E211" i="2"/>
  <c r="E210" i="2"/>
  <c r="J209" i="2"/>
  <c r="J209" i="1" s="1"/>
  <c r="J184" i="2"/>
  <c r="E153" i="2"/>
  <c r="E143" i="2"/>
  <c r="G142" i="2"/>
  <c r="E142" i="2"/>
  <c r="E141" i="2"/>
  <c r="E140" i="2"/>
  <c r="G138" i="2"/>
  <c r="E138" i="2"/>
  <c r="E137" i="2"/>
  <c r="E132" i="2"/>
  <c r="E131" i="2"/>
  <c r="E130" i="2"/>
  <c r="E126" i="2"/>
  <c r="E125" i="2"/>
  <c r="G124" i="2"/>
  <c r="E124" i="2"/>
  <c r="G122" i="2"/>
  <c r="G123" i="2" s="1"/>
  <c r="E122" i="2"/>
  <c r="E120" i="2"/>
  <c r="E119" i="2"/>
  <c r="E117" i="2"/>
  <c r="E115" i="2"/>
  <c r="E113" i="2"/>
  <c r="E90" i="2"/>
  <c r="E82" i="2"/>
  <c r="G80" i="2"/>
  <c r="G81" i="2" s="1"/>
  <c r="E77" i="2"/>
  <c r="G65" i="2"/>
  <c r="E65" i="2"/>
  <c r="E64" i="2"/>
  <c r="G63" i="2"/>
  <c r="E63" i="2"/>
  <c r="G62" i="2"/>
  <c r="E62" i="2"/>
  <c r="G61" i="2"/>
  <c r="G77" i="2" s="1"/>
  <c r="G141" i="2" s="1"/>
  <c r="E61" i="2"/>
  <c r="E57" i="2"/>
  <c r="E56" i="2"/>
  <c r="E55" i="2"/>
  <c r="E54" i="2"/>
  <c r="E53" i="2"/>
  <c r="G22" i="2"/>
  <c r="G21" i="2"/>
  <c r="G20" i="2"/>
  <c r="A315" i="2"/>
  <c r="E153" i="67"/>
  <c r="E152" i="67"/>
  <c r="E145" i="67"/>
  <c r="E144" i="67"/>
  <c r="D137" i="67"/>
  <c r="E136" i="67"/>
  <c r="E135" i="67"/>
  <c r="E131" i="67"/>
  <c r="E129" i="67"/>
  <c r="D120" i="67"/>
  <c r="C120" i="67"/>
  <c r="E119" i="67"/>
  <c r="E118" i="67"/>
  <c r="E117" i="67"/>
  <c r="E104" i="67"/>
  <c r="D97" i="67"/>
  <c r="C97" i="67"/>
  <c r="E96" i="67"/>
  <c r="E92" i="67"/>
  <c r="D88" i="67"/>
  <c r="C88" i="67"/>
  <c r="D83" i="67"/>
  <c r="C83" i="67"/>
  <c r="E82" i="67"/>
  <c r="E81" i="67"/>
  <c r="E80" i="67"/>
  <c r="E79" i="67"/>
  <c r="E77" i="67"/>
  <c r="E76" i="67"/>
  <c r="D72" i="67"/>
  <c r="C72" i="67"/>
  <c r="E71" i="67"/>
  <c r="A71" i="67"/>
  <c r="E70" i="67"/>
  <c r="E69" i="67"/>
  <c r="A69" i="67"/>
  <c r="E65" i="67"/>
  <c r="E64" i="67"/>
  <c r="B64" i="67"/>
  <c r="E63" i="67"/>
  <c r="E61" i="67"/>
  <c r="E60" i="67"/>
  <c r="E59" i="67"/>
  <c r="E58" i="67"/>
  <c r="E56" i="67"/>
  <c r="E54" i="67"/>
  <c r="E52" i="67"/>
  <c r="E46" i="67"/>
  <c r="E38" i="67"/>
  <c r="D36" i="67"/>
  <c r="C34" i="67"/>
  <c r="E33" i="67"/>
  <c r="D29" i="67"/>
  <c r="C29" i="67"/>
  <c r="C28" i="67"/>
  <c r="D27" i="67"/>
  <c r="C27" i="67"/>
  <c r="D26" i="67"/>
  <c r="C26" i="67"/>
  <c r="C25" i="67"/>
  <c r="C22" i="67"/>
  <c r="E21" i="67"/>
  <c r="A21" i="67"/>
  <c r="A29" i="67" s="1"/>
  <c r="E20" i="67"/>
  <c r="A20" i="67"/>
  <c r="A28" i="67" s="1"/>
  <c r="E19" i="67"/>
  <c r="A19" i="67"/>
  <c r="A27" i="67" s="1"/>
  <c r="E18" i="67"/>
  <c r="A18" i="67"/>
  <c r="A26" i="67" s="1"/>
  <c r="A17" i="67"/>
  <c r="A25" i="67" s="1"/>
  <c r="C14" i="67"/>
  <c r="E13" i="67"/>
  <c r="E11" i="67"/>
  <c r="E10" i="67"/>
  <c r="E9" i="67"/>
  <c r="B2" i="67"/>
  <c r="C30" i="67" l="1"/>
  <c r="A9" i="50"/>
  <c r="B27" i="50"/>
  <c r="J126" i="2"/>
  <c r="J183" i="2"/>
  <c r="C90" i="67"/>
  <c r="E148" i="2"/>
  <c r="E148" i="1"/>
  <c r="D90" i="67"/>
  <c r="D22" i="67"/>
  <c r="E73" i="2"/>
  <c r="J192" i="1"/>
  <c r="J192" i="2"/>
  <c r="E213" i="2"/>
  <c r="H211" i="2" s="1"/>
  <c r="E61" i="1"/>
  <c r="E69" i="1" s="1"/>
  <c r="E17" i="67"/>
  <c r="D25" i="67"/>
  <c r="E287" i="1"/>
  <c r="D28" i="67"/>
  <c r="E204" i="2"/>
  <c r="D146" i="67"/>
  <c r="E78" i="1"/>
  <c r="E85" i="1"/>
  <c r="J85" i="1" s="1"/>
  <c r="E204" i="1"/>
  <c r="H204" i="1" s="1"/>
  <c r="E79" i="1"/>
  <c r="J185" i="2"/>
  <c r="E205" i="2"/>
  <c r="D14" i="67"/>
  <c r="E56" i="1"/>
  <c r="E12" i="67"/>
  <c r="E287" i="2"/>
  <c r="X52" i="53"/>
  <c r="E71" i="1"/>
  <c r="E72" i="2"/>
  <c r="A315" i="1"/>
  <c r="A175" i="2"/>
  <c r="A252" i="2"/>
  <c r="J41" i="1"/>
  <c r="A103" i="2"/>
  <c r="A103" i="1"/>
  <c r="A175" i="1"/>
  <c r="A42" i="2"/>
  <c r="A42" i="1"/>
  <c r="X52" i="40"/>
  <c r="H228" i="2"/>
  <c r="E97" i="67"/>
  <c r="J185" i="1"/>
  <c r="J102" i="1"/>
  <c r="E69" i="2"/>
  <c r="J224" i="1"/>
  <c r="X52" i="41"/>
  <c r="X52" i="54"/>
  <c r="E123" i="1"/>
  <c r="E62" i="67"/>
  <c r="E123" i="2"/>
  <c r="D39" i="67"/>
  <c r="E80" i="1"/>
  <c r="C35" i="67"/>
  <c r="E34" i="67"/>
  <c r="E78" i="2"/>
  <c r="E80" i="2"/>
  <c r="E36" i="67"/>
  <c r="J221" i="2"/>
  <c r="H227" i="2"/>
  <c r="E202" i="2"/>
  <c r="E112" i="67"/>
  <c r="E203" i="2"/>
  <c r="C113" i="67"/>
  <c r="E110" i="67"/>
  <c r="E144" i="2"/>
  <c r="E133" i="2"/>
  <c r="E72" i="67"/>
  <c r="E118" i="2"/>
  <c r="E66" i="2"/>
  <c r="E27" i="67"/>
  <c r="E71" i="2"/>
  <c r="E58" i="2"/>
  <c r="E70" i="2"/>
  <c r="H227" i="1"/>
  <c r="E213" i="1"/>
  <c r="H211" i="1" s="1"/>
  <c r="E120" i="67"/>
  <c r="E205" i="1"/>
  <c r="E111" i="67"/>
  <c r="E203" i="1"/>
  <c r="E144" i="1"/>
  <c r="E83" i="67"/>
  <c r="E133" i="1"/>
  <c r="D57" i="67"/>
  <c r="E29" i="67"/>
  <c r="E73" i="1"/>
  <c r="E70" i="1"/>
  <c r="E26" i="67"/>
  <c r="J242" i="1" l="1"/>
  <c r="E41" i="67"/>
  <c r="E85" i="2"/>
  <c r="J85" i="2" s="1"/>
  <c r="E152" i="2"/>
  <c r="E57" i="67"/>
  <c r="D158" i="67"/>
  <c r="E152" i="1"/>
  <c r="E157" i="1" s="1"/>
  <c r="E19" i="1"/>
  <c r="E109" i="67"/>
  <c r="J224" i="2"/>
  <c r="E229" i="1"/>
  <c r="E230" i="1" s="1"/>
  <c r="F227" i="1" s="1"/>
  <c r="J227" i="1" s="1"/>
  <c r="J186" i="2"/>
  <c r="J188" i="2" s="1"/>
  <c r="E202" i="1"/>
  <c r="E206" i="1" s="1"/>
  <c r="D113" i="67"/>
  <c r="E28" i="67"/>
  <c r="H205" i="2"/>
  <c r="H202" i="2"/>
  <c r="H204" i="2"/>
  <c r="E22" i="67"/>
  <c r="E14" i="67"/>
  <c r="D147" i="67"/>
  <c r="D30" i="67"/>
  <c r="E30" i="67" s="1"/>
  <c r="E83" i="1"/>
  <c r="E58" i="1"/>
  <c r="E66" i="1"/>
  <c r="E72" i="1"/>
  <c r="E74" i="1" s="1"/>
  <c r="E25" i="67"/>
  <c r="C39" i="67"/>
  <c r="J242" i="2"/>
  <c r="C158" i="67"/>
  <c r="J174" i="1"/>
  <c r="E74" i="2"/>
  <c r="J251" i="1"/>
  <c r="J314" i="1"/>
  <c r="E206" i="2"/>
  <c r="J174" i="2"/>
  <c r="J314" i="2"/>
  <c r="J251" i="2"/>
  <c r="J102" i="2"/>
  <c r="J41" i="2"/>
  <c r="J186" i="1"/>
  <c r="J188" i="1" s="1"/>
  <c r="E35" i="67"/>
  <c r="E79" i="2"/>
  <c r="E89" i="1"/>
  <c r="C137" i="67"/>
  <c r="E134" i="67"/>
  <c r="H205" i="1"/>
  <c r="E118" i="1"/>
  <c r="E20" i="1" l="1"/>
  <c r="E158" i="1"/>
  <c r="E157" i="2"/>
  <c r="E158" i="2"/>
  <c r="H130" i="1"/>
  <c r="H54" i="1"/>
  <c r="H22" i="1"/>
  <c r="H21" i="1"/>
  <c r="H62" i="1"/>
  <c r="H20" i="1"/>
  <c r="H19" i="1"/>
  <c r="J197" i="1"/>
  <c r="J197" i="2"/>
  <c r="H62" i="2"/>
  <c r="H54" i="2"/>
  <c r="H20" i="2"/>
  <c r="H21" i="2"/>
  <c r="H130" i="2"/>
  <c r="H22" i="2"/>
  <c r="H19" i="2"/>
  <c r="F229" i="1"/>
  <c r="J229" i="1" s="1"/>
  <c r="E229" i="2"/>
  <c r="E83" i="2"/>
  <c r="J194" i="1"/>
  <c r="J196" i="1" s="1"/>
  <c r="F228" i="1"/>
  <c r="J228" i="1" s="1"/>
  <c r="H202" i="1"/>
  <c r="E113" i="67"/>
  <c r="G18" i="50"/>
  <c r="E39" i="67"/>
  <c r="C146" i="67"/>
  <c r="E137" i="67"/>
  <c r="E156" i="67"/>
  <c r="E19" i="2"/>
  <c r="E158" i="67"/>
  <c r="E20" i="2"/>
  <c r="J194" i="2"/>
  <c r="J196" i="2" s="1"/>
  <c r="E230" i="2" l="1"/>
  <c r="F228" i="2" s="1"/>
  <c r="J228" i="2" s="1"/>
  <c r="F203" i="1"/>
  <c r="H203" i="1" s="1"/>
  <c r="H206" i="1" s="1"/>
  <c r="J62" i="1"/>
  <c r="J130" i="1"/>
  <c r="J20" i="2"/>
  <c r="J19" i="2"/>
  <c r="F203" i="2"/>
  <c r="H203" i="2" s="1"/>
  <c r="H206" i="2" s="1"/>
  <c r="J206" i="2" s="1"/>
  <c r="J211" i="2" s="1"/>
  <c r="J130" i="2"/>
  <c r="J230" i="1"/>
  <c r="E149" i="1" s="1"/>
  <c r="E146" i="67"/>
  <c r="C147" i="67"/>
  <c r="G22" i="50"/>
  <c r="F229" i="2" l="1"/>
  <c r="J229" i="2" s="1"/>
  <c r="J198" i="1"/>
  <c r="J206" i="1"/>
  <c r="J198" i="2"/>
  <c r="F227" i="2"/>
  <c r="J227" i="2" s="1"/>
  <c r="J21" i="2"/>
  <c r="J19" i="1"/>
  <c r="J22" i="2"/>
  <c r="J21" i="1"/>
  <c r="J20" i="1"/>
  <c r="J22" i="1"/>
  <c r="J54" i="1"/>
  <c r="G20" i="92" s="1"/>
  <c r="H122" i="2"/>
  <c r="J122" i="2" s="1"/>
  <c r="H56" i="2"/>
  <c r="J56" i="2" s="1"/>
  <c r="L211" i="2"/>
  <c r="H118" i="2"/>
  <c r="J118" i="2" s="1"/>
  <c r="H131" i="2"/>
  <c r="J131" i="2" s="1"/>
  <c r="H64" i="2"/>
  <c r="J64" i="2" s="1"/>
  <c r="J62" i="2"/>
  <c r="J54" i="2"/>
  <c r="E147" i="67"/>
  <c r="G27" i="50"/>
  <c r="G20" i="89" l="1"/>
  <c r="G20" i="91"/>
  <c r="G20" i="41"/>
  <c r="G20" i="90"/>
  <c r="J230" i="2"/>
  <c r="J211" i="1"/>
  <c r="H19" i="81"/>
  <c r="H21" i="81" s="1"/>
  <c r="H124" i="1"/>
  <c r="H117" i="1"/>
  <c r="J117" i="1" s="1"/>
  <c r="H116" i="1"/>
  <c r="J116" i="1" s="1"/>
  <c r="H115" i="1"/>
  <c r="J115" i="1" s="1"/>
  <c r="H113" i="1"/>
  <c r="H89" i="1"/>
  <c r="J89" i="1" s="1"/>
  <c r="H125" i="2"/>
  <c r="H57" i="2"/>
  <c r="H65" i="2"/>
  <c r="H132" i="2"/>
  <c r="G19" i="81"/>
  <c r="G21" i="81" s="1"/>
  <c r="H124" i="2"/>
  <c r="H117" i="2"/>
  <c r="J117" i="2" s="1"/>
  <c r="H116" i="2"/>
  <c r="J116" i="2" s="1"/>
  <c r="H89" i="2"/>
  <c r="H115" i="2"/>
  <c r="J115" i="2" s="1"/>
  <c r="H113" i="2"/>
  <c r="H118" i="1"/>
  <c r="J118" i="1" s="1"/>
  <c r="H123" i="1"/>
  <c r="J123" i="1" s="1"/>
  <c r="H122" i="1"/>
  <c r="J122" i="1" s="1"/>
  <c r="H64" i="1"/>
  <c r="J64" i="1" s="1"/>
  <c r="H137" i="1"/>
  <c r="J137" i="1" s="1"/>
  <c r="H131" i="1"/>
  <c r="J131" i="1" s="1"/>
  <c r="H56" i="1"/>
  <c r="J56" i="1" s="1"/>
  <c r="H120" i="1"/>
  <c r="J120" i="1" s="1"/>
  <c r="H138" i="1"/>
  <c r="J138" i="1" s="1"/>
  <c r="H123" i="2"/>
  <c r="J123" i="2" s="1"/>
  <c r="H120" i="2"/>
  <c r="J120" i="2" s="1"/>
  <c r="H137" i="2"/>
  <c r="J137" i="2" s="1"/>
  <c r="H138" i="2"/>
  <c r="J138" i="2" s="1"/>
  <c r="G21" i="79"/>
  <c r="G20" i="79"/>
  <c r="G22" i="79"/>
  <c r="G23" i="79"/>
  <c r="G20" i="54"/>
  <c r="J70" i="1"/>
  <c r="G20" i="53"/>
  <c r="G20" i="40"/>
  <c r="J70" i="2"/>
  <c r="J72" i="2"/>
  <c r="G21" i="90" l="1"/>
  <c r="G21" i="92"/>
  <c r="G21" i="89"/>
  <c r="G21" i="91"/>
  <c r="E114" i="2"/>
  <c r="E127" i="2" s="1"/>
  <c r="E88" i="2" s="1"/>
  <c r="C53" i="67"/>
  <c r="E114" i="1"/>
  <c r="E127" i="1" s="1"/>
  <c r="D44" i="67" s="1"/>
  <c r="D53" i="67"/>
  <c r="J72" i="1"/>
  <c r="L211" i="1"/>
  <c r="G26" i="79"/>
  <c r="E149" i="2"/>
  <c r="G21" i="54"/>
  <c r="G21" i="41"/>
  <c r="J124" i="1"/>
  <c r="J113" i="1"/>
  <c r="J124" i="2"/>
  <c r="J113" i="2"/>
  <c r="J57" i="2"/>
  <c r="G21" i="53"/>
  <c r="G21" i="40"/>
  <c r="J114" i="2" l="1"/>
  <c r="J114" i="1"/>
  <c r="C44" i="67"/>
  <c r="E44" i="67" s="1"/>
  <c r="E53" i="67"/>
  <c r="D66" i="67"/>
  <c r="E88" i="1"/>
  <c r="E91" i="1" s="1"/>
  <c r="E93" i="1" s="1"/>
  <c r="E161" i="1" s="1"/>
  <c r="E156" i="1" s="1"/>
  <c r="E159" i="1" s="1"/>
  <c r="E164" i="1" s="1"/>
  <c r="C66" i="67"/>
  <c r="H132" i="1"/>
  <c r="H65" i="1"/>
  <c r="J65" i="1" s="1"/>
  <c r="H57" i="1"/>
  <c r="J57" i="1" s="1"/>
  <c r="J58" i="1" s="1"/>
  <c r="H125" i="1"/>
  <c r="J125" i="1" s="1"/>
  <c r="D47" i="67"/>
  <c r="J58" i="2"/>
  <c r="H58" i="2" s="1"/>
  <c r="J65" i="2"/>
  <c r="J73" i="2" s="1"/>
  <c r="E66" i="67" l="1"/>
  <c r="J66" i="1"/>
  <c r="H90" i="2"/>
  <c r="H143" i="2"/>
  <c r="H140" i="2"/>
  <c r="H142" i="2"/>
  <c r="J132" i="1"/>
  <c r="J127" i="1"/>
  <c r="G24" i="92" s="1"/>
  <c r="G25" i="92" s="1"/>
  <c r="I25" i="92" s="1"/>
  <c r="J73" i="1"/>
  <c r="D49" i="67"/>
  <c r="H58" i="1"/>
  <c r="J66" i="2"/>
  <c r="J125" i="2"/>
  <c r="J127" i="2" s="1"/>
  <c r="J132" i="2"/>
  <c r="J74" i="2"/>
  <c r="H74" i="2" s="1"/>
  <c r="G28" i="90" l="1"/>
  <c r="G29" i="90" s="1"/>
  <c r="I29" i="90" s="1"/>
  <c r="G28" i="92"/>
  <c r="G29" i="92" s="1"/>
  <c r="I29" i="92" s="1"/>
  <c r="G24" i="89"/>
  <c r="G25" i="89" s="1"/>
  <c r="I25" i="89" s="1"/>
  <c r="G24" i="91"/>
  <c r="G25" i="91" s="1"/>
  <c r="I25" i="91" s="1"/>
  <c r="G28" i="89"/>
  <c r="G29" i="89" s="1"/>
  <c r="I29" i="89" s="1"/>
  <c r="G28" i="91"/>
  <c r="G29" i="91" s="1"/>
  <c r="I29" i="91" s="1"/>
  <c r="G24" i="41"/>
  <c r="G25" i="41" s="1"/>
  <c r="I25" i="41" s="1"/>
  <c r="G24" i="90"/>
  <c r="G25" i="90" s="1"/>
  <c r="I25" i="90" s="1"/>
  <c r="H81" i="2"/>
  <c r="J81" i="2" s="1"/>
  <c r="H158" i="2"/>
  <c r="J158" i="2" s="1"/>
  <c r="H90" i="1"/>
  <c r="J90" i="1" s="1"/>
  <c r="H143" i="1"/>
  <c r="J143" i="1" s="1"/>
  <c r="H142" i="1"/>
  <c r="J142" i="1" s="1"/>
  <c r="H140" i="1"/>
  <c r="J140" i="1" s="1"/>
  <c r="H78" i="2"/>
  <c r="H157" i="2"/>
  <c r="H82" i="2"/>
  <c r="H79" i="2"/>
  <c r="H80" i="2"/>
  <c r="J88" i="1"/>
  <c r="G24" i="54"/>
  <c r="J133" i="1"/>
  <c r="G28" i="41"/>
  <c r="G29" i="41" s="1"/>
  <c r="I29" i="41" s="1"/>
  <c r="J74" i="1"/>
  <c r="G28" i="54"/>
  <c r="J90" i="2"/>
  <c r="G28" i="53"/>
  <c r="G28" i="40"/>
  <c r="J133" i="2"/>
  <c r="G29" i="40" l="1"/>
  <c r="I29" i="40" s="1"/>
  <c r="G29" i="53"/>
  <c r="I29" i="53" s="1"/>
  <c r="G29" i="54"/>
  <c r="I29" i="54" s="1"/>
  <c r="G25" i="54"/>
  <c r="I25" i="54" s="1"/>
  <c r="H74" i="1"/>
  <c r="J91" i="1"/>
  <c r="J144" i="1"/>
  <c r="G32" i="92" s="1"/>
  <c r="G33" i="92" s="1"/>
  <c r="I33" i="92" s="1"/>
  <c r="I35" i="92" s="1"/>
  <c r="J157" i="2"/>
  <c r="J142" i="2"/>
  <c r="J143" i="2"/>
  <c r="J140" i="2"/>
  <c r="G24" i="40"/>
  <c r="J88" i="2"/>
  <c r="G24" i="53"/>
  <c r="P67" i="92" l="1"/>
  <c r="Q67" i="92" s="1"/>
  <c r="P68" i="92"/>
  <c r="Q68" i="92" s="1"/>
  <c r="P66" i="92"/>
  <c r="Q66" i="92" s="1"/>
  <c r="G32" i="54"/>
  <c r="G32" i="90"/>
  <c r="G33" i="90" s="1"/>
  <c r="I33" i="90" s="1"/>
  <c r="I35" i="90" s="1"/>
  <c r="H81" i="1"/>
  <c r="J81" i="1" s="1"/>
  <c r="H158" i="1"/>
  <c r="J158" i="1" s="1"/>
  <c r="H79" i="1"/>
  <c r="H157" i="1"/>
  <c r="J157" i="1" s="1"/>
  <c r="H78" i="1"/>
  <c r="H82" i="1"/>
  <c r="H80" i="1"/>
  <c r="G25" i="53"/>
  <c r="I25" i="53" s="1"/>
  <c r="G33" i="54"/>
  <c r="I33" i="54" s="1"/>
  <c r="I35" i="54" s="1"/>
  <c r="G25" i="40"/>
  <c r="I25" i="40" s="1"/>
  <c r="G32" i="41"/>
  <c r="G33" i="41" s="1"/>
  <c r="I33" i="41" s="1"/>
  <c r="I35" i="41" s="1"/>
  <c r="P66" i="41" s="1"/>
  <c r="Q66" i="41" s="1"/>
  <c r="J78" i="2"/>
  <c r="J144" i="2"/>
  <c r="G32" i="89" l="1"/>
  <c r="G33" i="89" s="1"/>
  <c r="I33" i="89" s="1"/>
  <c r="I35" i="89" s="1"/>
  <c r="P68" i="89" s="1"/>
  <c r="Q68" i="89" s="1"/>
  <c r="G32" i="91"/>
  <c r="G33" i="91" s="1"/>
  <c r="I33" i="91" s="1"/>
  <c r="I35" i="91" s="1"/>
  <c r="P68" i="90"/>
  <c r="Q68" i="90" s="1"/>
  <c r="P67" i="90"/>
  <c r="Q67" i="90" s="1"/>
  <c r="P66" i="90"/>
  <c r="Q66" i="90" s="1"/>
  <c r="P67" i="54"/>
  <c r="Q67" i="54" s="1"/>
  <c r="P66" i="54"/>
  <c r="Q66" i="54" s="1"/>
  <c r="P68" i="54"/>
  <c r="Q68" i="54" s="1"/>
  <c r="J78" i="1"/>
  <c r="P68" i="41"/>
  <c r="Q68" i="41" s="1"/>
  <c r="P67" i="41"/>
  <c r="Q67" i="41" s="1"/>
  <c r="J79" i="2"/>
  <c r="J82" i="2"/>
  <c r="J80" i="2"/>
  <c r="G32" i="40"/>
  <c r="G32" i="53"/>
  <c r="P67" i="89" l="1"/>
  <c r="Q67" i="89" s="1"/>
  <c r="P66" i="89"/>
  <c r="Q66" i="89" s="1"/>
  <c r="P67" i="91"/>
  <c r="Q67" i="91" s="1"/>
  <c r="P68" i="91"/>
  <c r="Q68" i="91" s="1"/>
  <c r="P66" i="91"/>
  <c r="Q66" i="91" s="1"/>
  <c r="G33" i="53"/>
  <c r="I33" i="53" s="1"/>
  <c r="I35" i="53" s="1"/>
  <c r="G33" i="40"/>
  <c r="I33" i="40" s="1"/>
  <c r="I35" i="40" s="1"/>
  <c r="J82" i="1"/>
  <c r="J79" i="1"/>
  <c r="J80" i="1"/>
  <c r="J83" i="2"/>
  <c r="P67" i="40" l="1"/>
  <c r="P66" i="40"/>
  <c r="P68" i="40"/>
  <c r="P68" i="53"/>
  <c r="P67" i="53"/>
  <c r="P66" i="53"/>
  <c r="J83" i="1"/>
  <c r="Q67" i="53" l="1"/>
  <c r="H19" i="52" s="1"/>
  <c r="Q66" i="40"/>
  <c r="Q66" i="53"/>
  <c r="H18" i="52" s="1"/>
  <c r="Q68" i="53"/>
  <c r="H20" i="52" s="1"/>
  <c r="Q68" i="40"/>
  <c r="Q67" i="40"/>
  <c r="J93" i="1"/>
  <c r="J27" i="1"/>
  <c r="J161" i="1" l="1"/>
  <c r="G42" i="90" l="1"/>
  <c r="G43" i="90" s="1"/>
  <c r="I43" i="90" s="1"/>
  <c r="G42" i="92"/>
  <c r="G43" i="92" s="1"/>
  <c r="I43" i="92" s="1"/>
  <c r="G42" i="54"/>
  <c r="J156" i="1"/>
  <c r="J159" i="1" s="1"/>
  <c r="G42" i="41"/>
  <c r="G43" i="41" s="1"/>
  <c r="I43" i="41" s="1"/>
  <c r="G38" i="90" l="1"/>
  <c r="G39" i="90" s="1"/>
  <c r="I39" i="90" s="1"/>
  <c r="I45" i="90" s="1"/>
  <c r="G38" i="92"/>
  <c r="G39" i="92" s="1"/>
  <c r="I39" i="92" s="1"/>
  <c r="I45" i="92" s="1"/>
  <c r="S68" i="90"/>
  <c r="T68" i="90" s="1"/>
  <c r="V68" i="90" s="1"/>
  <c r="X68" i="90" s="1"/>
  <c r="S66" i="90"/>
  <c r="T66" i="90" s="1"/>
  <c r="V66" i="90" s="1"/>
  <c r="S67" i="90"/>
  <c r="T67" i="90" s="1"/>
  <c r="V67" i="90" s="1"/>
  <c r="X67" i="90" s="1"/>
  <c r="G43" i="54"/>
  <c r="I43" i="54" s="1"/>
  <c r="S68" i="92" l="1"/>
  <c r="T68" i="92" s="1"/>
  <c r="V68" i="92" s="1"/>
  <c r="X68" i="92" s="1"/>
  <c r="S66" i="92"/>
  <c r="T66" i="92" s="1"/>
  <c r="V66" i="92" s="1"/>
  <c r="S67" i="92"/>
  <c r="T67" i="92" s="1"/>
  <c r="V67" i="92" s="1"/>
  <c r="X67" i="92" s="1"/>
  <c r="X66" i="90"/>
  <c r="X86" i="90" s="1"/>
  <c r="X88" i="90" s="1"/>
  <c r="V86" i="90"/>
  <c r="J164" i="1"/>
  <c r="G38" i="41"/>
  <c r="G39" i="41" s="1"/>
  <c r="I39" i="41" s="1"/>
  <c r="I45" i="41" s="1"/>
  <c r="G38" i="54"/>
  <c r="X66" i="92" l="1"/>
  <c r="X86" i="92" s="1"/>
  <c r="X88" i="92" s="1"/>
  <c r="V86" i="92"/>
  <c r="G39" i="54"/>
  <c r="I39" i="54" s="1"/>
  <c r="I45" i="54" s="1"/>
  <c r="S66" i="41"/>
  <c r="T66" i="41" s="1"/>
  <c r="S68" i="41"/>
  <c r="T68" i="41" s="1"/>
  <c r="S67" i="41"/>
  <c r="T67" i="41" s="1"/>
  <c r="J15" i="1"/>
  <c r="J27" i="2"/>
  <c r="S68" i="54" l="1"/>
  <c r="T68" i="54" s="1"/>
  <c r="V68" i="54" s="1"/>
  <c r="X68" i="54" s="1"/>
  <c r="S66" i="54"/>
  <c r="T66" i="54" s="1"/>
  <c r="V66" i="54" s="1"/>
  <c r="S67" i="54"/>
  <c r="T67" i="54" s="1"/>
  <c r="V67" i="54" s="1"/>
  <c r="X67" i="54" s="1"/>
  <c r="V66" i="41"/>
  <c r="V68" i="41"/>
  <c r="X68" i="41" s="1"/>
  <c r="V67" i="41"/>
  <c r="X67" i="41" s="1"/>
  <c r="J30" i="1"/>
  <c r="E12" i="5"/>
  <c r="E15" i="5" l="1"/>
  <c r="E17" i="5" s="1"/>
  <c r="D163" i="67"/>
  <c r="V86" i="54"/>
  <c r="X66" i="54"/>
  <c r="X86" i="54" s="1"/>
  <c r="X88" i="54" s="1"/>
  <c r="X66" i="41"/>
  <c r="X86" i="41" s="1"/>
  <c r="X88" i="41" s="1"/>
  <c r="V86" i="41"/>
  <c r="K17" i="12" l="1"/>
  <c r="M18" i="12"/>
  <c r="C45" i="67" s="1"/>
  <c r="E89" i="2" s="1"/>
  <c r="C47" i="67" l="1"/>
  <c r="E45" i="67"/>
  <c r="E47" i="67" l="1"/>
  <c r="C49" i="67"/>
  <c r="J89" i="2"/>
  <c r="E91" i="2"/>
  <c r="E93" i="2" l="1"/>
  <c r="E161" i="2" s="1"/>
  <c r="E156" i="2" s="1"/>
  <c r="J91" i="2"/>
  <c r="E49" i="67"/>
  <c r="E159" i="2" l="1"/>
  <c r="E164" i="2" s="1"/>
  <c r="J93" i="2"/>
  <c r="J161" i="2" s="1"/>
  <c r="G42" i="89" l="1"/>
  <c r="G43" i="89" s="1"/>
  <c r="I43" i="89" s="1"/>
  <c r="G42" i="91"/>
  <c r="G43" i="91" s="1"/>
  <c r="I43" i="91" s="1"/>
  <c r="J156" i="2"/>
  <c r="J159" i="2" s="1"/>
  <c r="G42" i="40"/>
  <c r="G42" i="53"/>
  <c r="G38" i="89" l="1"/>
  <c r="G39" i="89" s="1"/>
  <c r="I39" i="89" s="1"/>
  <c r="I45" i="89" s="1"/>
  <c r="S67" i="89" s="1"/>
  <c r="T67" i="89" s="1"/>
  <c r="V67" i="89" s="1"/>
  <c r="X67" i="89" s="1"/>
  <c r="G38" i="91"/>
  <c r="G39" i="91" s="1"/>
  <c r="I39" i="91" s="1"/>
  <c r="I45" i="91" s="1"/>
  <c r="G43" i="53"/>
  <c r="I43" i="53" s="1"/>
  <c r="G43" i="40"/>
  <c r="I43" i="40" s="1"/>
  <c r="S68" i="89" l="1"/>
  <c r="T68" i="89" s="1"/>
  <c r="V68" i="89" s="1"/>
  <c r="X68" i="89" s="1"/>
  <c r="S66" i="89"/>
  <c r="T66" i="89" s="1"/>
  <c r="V66" i="89" s="1"/>
  <c r="S68" i="91"/>
  <c r="T68" i="91" s="1"/>
  <c r="V68" i="91" s="1"/>
  <c r="X68" i="91" s="1"/>
  <c r="S66" i="91"/>
  <c r="T66" i="91" s="1"/>
  <c r="V66" i="91" s="1"/>
  <c r="S67" i="91"/>
  <c r="T67" i="91" s="1"/>
  <c r="V67" i="91" s="1"/>
  <c r="X67" i="91" s="1"/>
  <c r="X66" i="89"/>
  <c r="X86" i="89" s="1"/>
  <c r="X88" i="89" s="1"/>
  <c r="V86" i="89"/>
  <c r="G38" i="40"/>
  <c r="G38" i="53"/>
  <c r="J164" i="2"/>
  <c r="X66" i="91" l="1"/>
  <c r="X86" i="91" s="1"/>
  <c r="X88" i="91" s="1"/>
  <c r="V86" i="91"/>
  <c r="G39" i="53"/>
  <c r="I39" i="53" s="1"/>
  <c r="I45" i="53" s="1"/>
  <c r="G39" i="40"/>
  <c r="I39" i="40" s="1"/>
  <c r="I45" i="40" s="1"/>
  <c r="J15" i="2"/>
  <c r="G16" i="79"/>
  <c r="S66" i="40" l="1"/>
  <c r="T66" i="40" s="1"/>
  <c r="V66" i="40" s="1"/>
  <c r="S68" i="40"/>
  <c r="T68" i="40" s="1"/>
  <c r="S67" i="40"/>
  <c r="T67" i="40" s="1"/>
  <c r="S68" i="53"/>
  <c r="T68" i="53" s="1"/>
  <c r="V68" i="53" s="1"/>
  <c r="X68" i="53" s="1"/>
  <c r="S67" i="53"/>
  <c r="T67" i="53" s="1"/>
  <c r="V67" i="53" s="1"/>
  <c r="X67" i="53" s="1"/>
  <c r="S66" i="53"/>
  <c r="T66" i="53" s="1"/>
  <c r="V66" i="53" s="1"/>
  <c r="G29" i="79"/>
  <c r="D12" i="5"/>
  <c r="J30" i="2"/>
  <c r="V68" i="40" l="1"/>
  <c r="X68" i="40" s="1"/>
  <c r="K20" i="52"/>
  <c r="M20" i="52" s="1"/>
  <c r="O20" i="52" s="1"/>
  <c r="K18" i="52"/>
  <c r="M18" i="52" s="1"/>
  <c r="O18" i="52" s="1"/>
  <c r="K19" i="52"/>
  <c r="M19" i="52" s="1"/>
  <c r="O19" i="52" s="1"/>
  <c r="V67" i="40"/>
  <c r="X67" i="40" s="1"/>
  <c r="D15" i="5"/>
  <c r="D17" i="5" s="1"/>
  <c r="X66" i="40"/>
  <c r="X66" i="53"/>
  <c r="X86" i="53" s="1"/>
  <c r="X88" i="53" s="1"/>
  <c r="V86" i="53"/>
  <c r="C163" i="67"/>
  <c r="E42" i="79"/>
  <c r="E44" i="79"/>
  <c r="E56" i="79"/>
  <c r="G56" i="79"/>
  <c r="V86" i="40" l="1"/>
  <c r="X86" i="40"/>
  <c r="X88" i="40" s="1"/>
  <c r="O38" i="52"/>
  <c r="O40" i="52" s="1"/>
  <c r="M38" i="52"/>
  <c r="E48" i="79"/>
  <c r="E52" i="79"/>
  <c r="E54" i="79"/>
  <c r="G54" i="79"/>
  <c r="E46" i="79"/>
  <c r="E163" i="6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Ted Czupik</author>
  </authors>
  <commentList>
    <comment ref="C38" authorId="0" shapeId="0" xr:uid="{00000000-0006-0000-0100-000002000000}">
      <text>
        <r>
          <rPr>
            <sz val="10"/>
            <color indexed="81"/>
            <rFont val="Tahoma"/>
            <family val="2"/>
          </rPr>
          <t xml:space="preserve">The Company has chosen option 2 for ITC and therefore this number should be zero and amortization of ITC should be included
</t>
        </r>
      </text>
    </comment>
    <comment ref="D38" authorId="0" shapeId="0" xr:uid="{00000000-0006-0000-0100-000003000000}">
      <text>
        <r>
          <rPr>
            <sz val="10"/>
            <color indexed="81"/>
            <rFont val="Tahoma"/>
            <family val="2"/>
          </rPr>
          <t xml:space="preserve">The Company has chosen option 2 for ITC and therefore this number should be zero and amortization of ITC should be included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Miller, Libbie</author>
  </authors>
  <commentList>
    <comment ref="C17" authorId="0" shapeId="0" xr:uid="{1692A711-092C-456F-9E64-B6E3C66FC750}">
      <text>
        <r>
          <rPr>
            <b/>
            <sz val="9"/>
            <color indexed="81"/>
            <rFont val="Tahoma"/>
            <family val="2"/>
          </rPr>
          <t>Miller, Libbie:</t>
        </r>
        <r>
          <rPr>
            <sz val="9"/>
            <color indexed="81"/>
            <rFont val="Tahoma"/>
            <family val="2"/>
          </rPr>
          <t xml:space="preserve">
This should be account 254, but we can't change it unless we do a 205 filing.  Same issue on all four DIT tabs.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Ted Czupik</author>
  </authors>
  <commentList>
    <comment ref="E82" authorId="0" shapeId="0" xr:uid="{00000000-0006-0000-0500-000001000000}">
      <text>
        <r>
          <rPr>
            <sz val="10"/>
            <color indexed="81"/>
            <rFont val="Tahoma"/>
            <family val="2"/>
          </rPr>
          <t xml:space="preserve">The Company has chosen option 2 for ITC and therefore this number should be zero and amortization of ITC should be included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Ted Czupik</author>
  </authors>
  <commentList>
    <comment ref="E82" authorId="0" shapeId="0" xr:uid="{00000000-0006-0000-0600-000001000000}">
      <text>
        <r>
          <rPr>
            <sz val="10"/>
            <color indexed="81"/>
            <rFont val="Tahoma"/>
            <family val="2"/>
          </rPr>
          <t xml:space="preserve">The Company has chosen option 2 for ITC and therefore this number should be zero and amortization of ITC should be included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Miller, Libbie</author>
  </authors>
  <commentList>
    <comment ref="M1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Miller, Libbie: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We don't list the retail load by seller because the interested parties are not concerned with these sellers.
</t>
        </r>
      </text>
    </comment>
  </commentList>
</comments>
</file>

<file path=xl/sharedStrings.xml><?xml version="1.0" encoding="utf-8"?>
<sst xmlns="http://schemas.openxmlformats.org/spreadsheetml/2006/main" count="2761" uniqueCount="992">
  <si>
    <t>205.5.g &amp; 207.99.g</t>
  </si>
  <si>
    <t>1a</t>
  </si>
  <si>
    <t>Less Account 565</t>
  </si>
  <si>
    <t>V</t>
  </si>
  <si>
    <t xml:space="preserve">Duke Energy Ohio Consolidated </t>
  </si>
  <si>
    <t>Capital Structure</t>
  </si>
  <si>
    <t xml:space="preserve">Formula Rate - Non-Levelized </t>
  </si>
  <si>
    <t xml:space="preserve"> </t>
  </si>
  <si>
    <t>Line</t>
  </si>
  <si>
    <t>Allocated</t>
  </si>
  <si>
    <t>No.</t>
  </si>
  <si>
    <t>Amount</t>
  </si>
  <si>
    <t>Total</t>
  </si>
  <si>
    <t>Allocator</t>
  </si>
  <si>
    <t>TP</t>
  </si>
  <si>
    <t>NET REVENUE REQUIREMENT</t>
  </si>
  <si>
    <t>(Note C)</t>
  </si>
  <si>
    <t>(Note D)</t>
  </si>
  <si>
    <t>(1)</t>
  </si>
  <si>
    <t>(2)</t>
  </si>
  <si>
    <t>(3)</t>
  </si>
  <si>
    <t>(4)</t>
  </si>
  <si>
    <t>(5)</t>
  </si>
  <si>
    <t>Form No. 1</t>
  </si>
  <si>
    <t>Transmission</t>
  </si>
  <si>
    <t>Page, Line, Col.</t>
  </si>
  <si>
    <t>Company Total</t>
  </si>
  <si>
    <t>RATE BASE:</t>
  </si>
  <si>
    <t>GROSS PLANT IN SERVICE</t>
  </si>
  <si>
    <t xml:space="preserve">  Production</t>
  </si>
  <si>
    <t>NA</t>
  </si>
  <si>
    <t xml:space="preserve">  Transmission</t>
  </si>
  <si>
    <t xml:space="preserve">  Distribution</t>
  </si>
  <si>
    <t xml:space="preserve">  General &amp; Intangible</t>
  </si>
  <si>
    <t xml:space="preserve">  Common</t>
  </si>
  <si>
    <t>TOTAL GROSS PLANT (sum lines 1-5)</t>
  </si>
  <si>
    <t>GP=</t>
  </si>
  <si>
    <t>ACCUMULATED DEPRECIATION</t>
  </si>
  <si>
    <t>NET PLANT IN SERVICE</t>
  </si>
  <si>
    <t>TOTAL NET PLANT (sum lines 13-17)</t>
  </si>
  <si>
    <t>NP=</t>
  </si>
  <si>
    <t>273.8.k</t>
  </si>
  <si>
    <t>NP</t>
  </si>
  <si>
    <t>TE</t>
  </si>
  <si>
    <t>GP</t>
  </si>
  <si>
    <t>O&amp;M</t>
  </si>
  <si>
    <t xml:space="preserve">  Transmission </t>
  </si>
  <si>
    <t xml:space="preserve">  A&amp;G</t>
  </si>
  <si>
    <t xml:space="preserve">  Transmission Lease Payments</t>
  </si>
  <si>
    <t>DEPRECIATION EXPENSE</t>
  </si>
  <si>
    <t>TOTAL DEPRECIATION (Sum lines 9 - 11)</t>
  </si>
  <si>
    <t xml:space="preserve">  LABOR RELATED</t>
  </si>
  <si>
    <t xml:space="preserve">  PLANT RELATED</t>
  </si>
  <si>
    <t xml:space="preserve">         Property</t>
  </si>
  <si>
    <t xml:space="preserve">         Gross Receipts</t>
  </si>
  <si>
    <t xml:space="preserve">         Other</t>
  </si>
  <si>
    <t xml:space="preserve">         Payments in lieu of taxes</t>
  </si>
  <si>
    <t>TOTAL OTHER TAXES  (sum lines 13 - 19)</t>
  </si>
  <si>
    <t xml:space="preserve">  </t>
  </si>
  <si>
    <t xml:space="preserve">RETURN </t>
  </si>
  <si>
    <t xml:space="preserve">TRANSMISSION EXPENSES </t>
  </si>
  <si>
    <t>Total transmission expenses    (page 3, line 1, column 3)</t>
  </si>
  <si>
    <t>TE=</t>
  </si>
  <si>
    <t>TP=</t>
  </si>
  <si>
    <t>WAGES &amp; SALARY ALLOCATOR   (W&amp;S)</t>
  </si>
  <si>
    <t>Form 1 Reference</t>
  </si>
  <si>
    <t>$</t>
  </si>
  <si>
    <t>Allocation</t>
  </si>
  <si>
    <t>354.20.b</t>
  </si>
  <si>
    <t xml:space="preserve">  Other</t>
  </si>
  <si>
    <t>($ / Allocation)</t>
  </si>
  <si>
    <t>=</t>
  </si>
  <si>
    <t>% Electric</t>
  </si>
  <si>
    <t xml:space="preserve">  Electric</t>
  </si>
  <si>
    <t>200.3.c</t>
  </si>
  <si>
    <t>(line 16)</t>
  </si>
  <si>
    <t>CE</t>
  </si>
  <si>
    <t xml:space="preserve">  Gas</t>
  </si>
  <si>
    <t>*</t>
  </si>
  <si>
    <t xml:space="preserve">  Water</t>
  </si>
  <si>
    <t>RETURN (R)</t>
  </si>
  <si>
    <t xml:space="preserve">                                          Development of Common Stock:</t>
  </si>
  <si>
    <t>Common Stock</t>
  </si>
  <si>
    <t>Cost</t>
  </si>
  <si>
    <t>%</t>
  </si>
  <si>
    <t>Weighted</t>
  </si>
  <si>
    <t>=WCLTD</t>
  </si>
  <si>
    <t xml:space="preserve">  Common Stock  (line 26)</t>
  </si>
  <si>
    <t>=R</t>
  </si>
  <si>
    <t>REVENUE CREDITS</t>
  </si>
  <si>
    <t>(310-311)</t>
  </si>
  <si>
    <t xml:space="preserve">  Total of (a)-(b)</t>
  </si>
  <si>
    <t>(330.x.n)</t>
  </si>
  <si>
    <t>General Note:  References to pages in this formulary rate are indicated as:  (page#, line#, col.#)</t>
  </si>
  <si>
    <t>Note</t>
  </si>
  <si>
    <t>Letter</t>
  </si>
  <si>
    <t>A</t>
  </si>
  <si>
    <t>B</t>
  </si>
  <si>
    <t>C</t>
  </si>
  <si>
    <t>D</t>
  </si>
  <si>
    <t>E</t>
  </si>
  <si>
    <t>F</t>
  </si>
  <si>
    <t>G</t>
  </si>
  <si>
    <t>H</t>
  </si>
  <si>
    <t>Cash Working Capital assigned to transmission is one-eighth of O&amp;M allocated to transmission at page 3, line 8, column 5.</t>
  </si>
  <si>
    <t>I</t>
  </si>
  <si>
    <t>J</t>
  </si>
  <si>
    <t>K</t>
  </si>
  <si>
    <t>L</t>
  </si>
  <si>
    <t>M</t>
  </si>
  <si>
    <t>Removes transmission plant determined by Commission order to be state-jurisdictional according to the seven-factor test (until Form 1</t>
  </si>
  <si>
    <t>N</t>
  </si>
  <si>
    <t>O</t>
  </si>
  <si>
    <t>P</t>
  </si>
  <si>
    <t>Q</t>
  </si>
  <si>
    <t>R</t>
  </si>
  <si>
    <t>Account 454</t>
  </si>
  <si>
    <t>Includes income related only to transmission facilities, such as pole attachments, rentals and special use.</t>
  </si>
  <si>
    <t xml:space="preserve">  Account No. 281 (enter negative)</t>
  </si>
  <si>
    <t xml:space="preserve">  Account No. 282 (enter negative)</t>
  </si>
  <si>
    <t xml:space="preserve">  Account No. 283 (enter negative)</t>
  </si>
  <si>
    <t xml:space="preserve">  Account No. 255 (enter negative)</t>
  </si>
  <si>
    <t xml:space="preserve">  Account No. 190 </t>
  </si>
  <si>
    <t xml:space="preserve">  Prepayments (Account 165)</t>
  </si>
  <si>
    <t xml:space="preserve">  a. Bundled Non-RQ Sales for Resale (311.x.h)</t>
  </si>
  <si>
    <t>Total Income Taxes</t>
  </si>
  <si>
    <t xml:space="preserve">  Total  (sum lines 17 - 19)</t>
  </si>
  <si>
    <t>Load</t>
  </si>
  <si>
    <t>(page 4, line 34)</t>
  </si>
  <si>
    <t>(line 1 minus line 6)</t>
  </si>
  <si>
    <t>FIT =</t>
  </si>
  <si>
    <t>SIT=</t>
  </si>
  <si>
    <t xml:space="preserve">  (State Income Tax Rate or Composite SIT)</t>
  </si>
  <si>
    <t>p =</t>
  </si>
  <si>
    <t xml:space="preserve">  (percent of federal income tax deductible for state purposes)</t>
  </si>
  <si>
    <t xml:space="preserve">     T=1 - {[(1 - SIT) * (1 - FIT)] / (1 - SIT * FIT * p)} =</t>
  </si>
  <si>
    <t xml:space="preserve">     CIT=(T/1-T) * (1-(WCLTD/R)) =</t>
  </si>
  <si>
    <t xml:space="preserve">      1 / (1 - T)  = (from line 21)</t>
  </si>
  <si>
    <t xml:space="preserve">       and FIT, SIT &amp; p are as given in footnote K.</t>
  </si>
  <si>
    <t xml:space="preserve">         Inputs Required:</t>
  </si>
  <si>
    <t>ITC adjustment (line 23 * line 24)</t>
  </si>
  <si>
    <t>calculated</t>
  </si>
  <si>
    <t>WS</t>
  </si>
  <si>
    <t xml:space="preserve">  CWC  </t>
  </si>
  <si>
    <t>Total  (sum lines 27-29)</t>
  </si>
  <si>
    <t xml:space="preserve">  Total  (sum lines 12-15)</t>
  </si>
  <si>
    <t>Removes dollar amount of transmission plant included in the development of OATT ancillary services rates and generation</t>
  </si>
  <si>
    <t>5a</t>
  </si>
  <si>
    <t>zero</t>
  </si>
  <si>
    <t>S</t>
  </si>
  <si>
    <t>T</t>
  </si>
  <si>
    <t>Percentage of transmission expenses after adjustment (line 8 divided by line 6)</t>
  </si>
  <si>
    <t>Included transmission expenses (line 6 less line 7)</t>
  </si>
  <si>
    <t xml:space="preserve">   </t>
  </si>
  <si>
    <t>219.25.c</t>
  </si>
  <si>
    <t>219.26.c</t>
  </si>
  <si>
    <t>Jan</t>
  </si>
  <si>
    <t>Feb</t>
  </si>
  <si>
    <t>Mar</t>
  </si>
  <si>
    <t>Apr</t>
  </si>
  <si>
    <t>Jun</t>
  </si>
  <si>
    <t>Aug</t>
  </si>
  <si>
    <t>Dec</t>
  </si>
  <si>
    <t>Average</t>
  </si>
  <si>
    <t>Notes:</t>
  </si>
  <si>
    <t>267.8.h</t>
  </si>
  <si>
    <t>263.i</t>
  </si>
  <si>
    <t>201.3.d</t>
  </si>
  <si>
    <t>201.3.e</t>
  </si>
  <si>
    <t>111.57.c</t>
  </si>
  <si>
    <t>U</t>
  </si>
  <si>
    <t>207.58.g</t>
  </si>
  <si>
    <t>207.75.g</t>
  </si>
  <si>
    <t>Proprietary Capital (112.16.c)</t>
  </si>
  <si>
    <t>Less Account 216.1 (112.12.c)  (enter negative)</t>
  </si>
  <si>
    <t xml:space="preserve">  Long Term Debt (112, sum of 18.c through 21.c)</t>
  </si>
  <si>
    <t xml:space="preserve">  Preferred Stock  (112.3.c)</t>
  </si>
  <si>
    <t>Duke Energy Ohio</t>
  </si>
  <si>
    <t>Duke Energy Kentucky</t>
  </si>
  <si>
    <t>Long Term Interest (117, sum of 62.c through 67.c)</t>
  </si>
  <si>
    <t>Preferred Dividends (118.29.c) (positive number)</t>
  </si>
  <si>
    <t>DEO</t>
  </si>
  <si>
    <t>DEK</t>
  </si>
  <si>
    <t>205.46.g</t>
  </si>
  <si>
    <t>321.112.b</t>
  </si>
  <si>
    <t>321.96.b</t>
  </si>
  <si>
    <t>323.197.b</t>
  </si>
  <si>
    <t>354.21.b</t>
  </si>
  <si>
    <t>354.23.b</t>
  </si>
  <si>
    <t>354.24,25,26.b</t>
  </si>
  <si>
    <t>Production</t>
  </si>
  <si>
    <t>Distribution</t>
  </si>
  <si>
    <t>Transmission Plant</t>
  </si>
  <si>
    <t>Page 1 of 2</t>
  </si>
  <si>
    <t>O&amp;M EXPENSE</t>
  </si>
  <si>
    <t>9</t>
  </si>
  <si>
    <t>10</t>
  </si>
  <si>
    <t>TAXES OTHER THAN INCOME TAXES</t>
  </si>
  <si>
    <t>11</t>
  </si>
  <si>
    <t>Total Other Taxes</t>
  </si>
  <si>
    <t>12</t>
  </si>
  <si>
    <t>INCOME TAXES</t>
  </si>
  <si>
    <t>Return on Rate Base</t>
  </si>
  <si>
    <t>Page 2 of 2</t>
  </si>
  <si>
    <t>(Note F)</t>
  </si>
  <si>
    <t>Detail of Land Held for Future Use</t>
  </si>
  <si>
    <t>Other Projects</t>
  </si>
  <si>
    <t>Project Name</t>
  </si>
  <si>
    <t>A&amp;G Expense, Page 323, line 197, column b</t>
  </si>
  <si>
    <t>A&amp;G Expense</t>
  </si>
  <si>
    <t>Account 282</t>
  </si>
  <si>
    <t>Account 190</t>
  </si>
  <si>
    <t>Distribution Use</t>
  </si>
  <si>
    <t>The balances in Accounts 190, 281, 282 and 283, as adjusted by any amounts in contra accounts identified as regulatory assets or liabilities related to FASB 106 or 109.</t>
  </si>
  <si>
    <t>Gross Transmission Plant - Total</t>
  </si>
  <si>
    <t>Net Transmission Plant - Total</t>
  </si>
  <si>
    <t>Total O&amp;M Allocated to Transmission</t>
  </si>
  <si>
    <t>Annual Allocation Factor for O&amp;M</t>
  </si>
  <si>
    <t>5</t>
  </si>
  <si>
    <t>6</t>
  </si>
  <si>
    <t>Annual Allocation Factor for Other Taxes</t>
  </si>
  <si>
    <t>7</t>
  </si>
  <si>
    <t>Annual Allocation Factor for Expense</t>
  </si>
  <si>
    <t>8</t>
  </si>
  <si>
    <t>Annual Allocation Factor for Income Taxes</t>
  </si>
  <si>
    <t>Annual Allocation Factor for Return on Rate Base</t>
  </si>
  <si>
    <t>Annual Allocation Factor for Return</t>
  </si>
  <si>
    <t>Line No.</t>
  </si>
  <si>
    <t>MTEP Project Number</t>
  </si>
  <si>
    <t xml:space="preserve">Project Gross Plant </t>
  </si>
  <si>
    <t>Annual Expense Charge</t>
  </si>
  <si>
    <t xml:space="preserve">Project Net Plant </t>
  </si>
  <si>
    <t>Annual Return Charge</t>
  </si>
  <si>
    <t>Project Depreciation Expense</t>
  </si>
  <si>
    <t>Annual Revenue Requirement</t>
  </si>
  <si>
    <t>True-Up Adjustment</t>
  </si>
  <si>
    <t>Network Upgrade Charge</t>
  </si>
  <si>
    <t>(Col. 3 * Col. 4)</t>
  </si>
  <si>
    <t>(Col. 6 * Col. 7)</t>
  </si>
  <si>
    <t>(Note E)</t>
  </si>
  <si>
    <t>(Sum Col. 5, 8 &amp; 9)</t>
  </si>
  <si>
    <t>Sum Col. 10 &amp; 11
(Note G)</t>
  </si>
  <si>
    <t>Project 1</t>
  </si>
  <si>
    <t>P1</t>
  </si>
  <si>
    <t>1b</t>
  </si>
  <si>
    <t>Project 2</t>
  </si>
  <si>
    <t>P2</t>
  </si>
  <si>
    <t>1c</t>
  </si>
  <si>
    <t>Project 3</t>
  </si>
  <si>
    <t>P3</t>
  </si>
  <si>
    <t>2</t>
  </si>
  <si>
    <t>Annual Totals</t>
  </si>
  <si>
    <t>Project Gross Plant is the total capital investment for the project calculated in the same method as the gross plant value in line 1 and includes CWIP in rate base if applicable.  This value includes subsequent capital investments required to maintain the facilities to their original capabilities.</t>
  </si>
  <si>
    <t>Project Net Plant is the Project Gross Plant Identified in Column 3 less the associated Accumulated Depreciation.</t>
  </si>
  <si>
    <t>True-Up Adjustment is included pursuant to a FERC approved methodology if applicable.</t>
  </si>
  <si>
    <t>The Network Upgrade Charge is the value to be used in Schedule 26.</t>
  </si>
  <si>
    <t>Hillcrest 345 kV</t>
  </si>
  <si>
    <t>Rate Formula Template</t>
  </si>
  <si>
    <t>Materials and Supplies</t>
  </si>
  <si>
    <t>Total M&amp;S</t>
  </si>
  <si>
    <t>(In Dollars)</t>
  </si>
  <si>
    <t>Actual</t>
  </si>
  <si>
    <t xml:space="preserve">          Total Common Stock Equity</t>
  </si>
  <si>
    <t>13</t>
  </si>
  <si>
    <t>14</t>
  </si>
  <si>
    <t>May</t>
  </si>
  <si>
    <t>Jul</t>
  </si>
  <si>
    <t>Sep</t>
  </si>
  <si>
    <t>Oct</t>
  </si>
  <si>
    <t>Nov</t>
  </si>
  <si>
    <t>Utilizing FERC Form 1 Data</t>
  </si>
  <si>
    <t>SUPPORTING CALCULATIONS AND NOTES</t>
  </si>
  <si>
    <t>Network Upgrade Charge Calculation By Project</t>
  </si>
  <si>
    <t>Annual Cost ($/kW/Yr) - 1 CP</t>
  </si>
  <si>
    <t>RATE BASE</t>
  </si>
  <si>
    <t>$/MWh</t>
  </si>
  <si>
    <t>MWh</t>
  </si>
  <si>
    <t>Schedule 1A Rate Calculations</t>
  </si>
  <si>
    <t>B.</t>
  </si>
  <si>
    <t>Net Schedule 1A Revenue Requirement for Zone</t>
  </si>
  <si>
    <t>Total Load Dispatch &amp; Scheduling (Account 561)</t>
  </si>
  <si>
    <t>A.</t>
  </si>
  <si>
    <t>Requirement</t>
  </si>
  <si>
    <t>Revenue</t>
  </si>
  <si>
    <t>Transmission Formula Rate Revenue Requirement</t>
  </si>
  <si>
    <t>Schedule 1A Annual Revenue Requirements</t>
  </si>
  <si>
    <t>Appendix A</t>
  </si>
  <si>
    <t>Page 1 of 1</t>
  </si>
  <si>
    <t>Attachment H-22A, Page 4, Line 7</t>
  </si>
  <si>
    <t>Revenue Credits for Schedule 1A - Note A</t>
  </si>
  <si>
    <t>Note:</t>
  </si>
  <si>
    <t>used to calculate rates under Attachment H-22A.</t>
  </si>
  <si>
    <t>4a</t>
  </si>
  <si>
    <t>4b</t>
  </si>
  <si>
    <t>Source</t>
  </si>
  <si>
    <t>Reserved</t>
  </si>
  <si>
    <t>Schedule 1A Rate Calculation</t>
  </si>
  <si>
    <t>Appendix C</t>
  </si>
  <si>
    <t>RTEP - Transmission Enhancement Charges</t>
  </si>
  <si>
    <t>Attachment H-22A</t>
  </si>
  <si>
    <t>Utilizing Attachment H-22A Data</t>
  </si>
  <si>
    <t>Prepayments are the electric related prepayments booked to Account No. 165 and reported on Page 111 line 57 in the Form 1.</t>
  </si>
  <si>
    <t>step-up facilities, which are deemed to be included in OATT ancillary services.  For these purposes, generation step-up</t>
  </si>
  <si>
    <t>facilities are those facilities at a generator substation on which there is no through-flow when the generator is shut down.</t>
  </si>
  <si>
    <t>No. 456.1 and all other uses are to be included in the divisor.</t>
  </si>
  <si>
    <t>(page 4, line 35)</t>
  </si>
  <si>
    <t>DIVISOR</t>
  </si>
  <si>
    <t>(line 7 / line 8)</t>
  </si>
  <si>
    <t>General Advertising - 930.1</t>
  </si>
  <si>
    <t>TRANSMISSION PLANT INCLUDED IN ISO RATES</t>
  </si>
  <si>
    <t>Total transmission plant (page 2, line 2, column 3)</t>
  </si>
  <si>
    <t>Transmission plant included in ISO Rates  (line 1 less lines 2 &amp; 3)</t>
  </si>
  <si>
    <t>Percentage of transmission plant included in ISO Rates (line 4 divided by line 1)</t>
  </si>
  <si>
    <t>Percentage of transmission plant included in ISO Rates (line 5)</t>
  </si>
  <si>
    <t>Percentage of transmission expenses included in ISO Rates (line 9 times line 10)</t>
  </si>
  <si>
    <t>Project Depreciation Expense is the actual value booked for the project and included in the Depreciation Expense in Attachment H-22A page 3 line 12.</t>
  </si>
  <si>
    <t>Determination of Transmission Plant Included in OATT Ancillary Services</t>
  </si>
  <si>
    <t>State Tax Composite Rate</t>
  </si>
  <si>
    <t>Revenue Requirement</t>
  </si>
  <si>
    <t>Tax Rate</t>
  </si>
  <si>
    <t>State Taxes</t>
  </si>
  <si>
    <t>Composite Tax Rate</t>
  </si>
  <si>
    <t>Allocation of Account 163</t>
  </si>
  <si>
    <t xml:space="preserve">Line 5 - EPRI Annual Membership Dues listed in Form 1 at 353.f, all Regulatory Commission Expenses itemized at 351.h, and non-safety related advertising included </t>
  </si>
  <si>
    <t xml:space="preserve">in Account 930.1.  Line 5a - Regulatory Commission Expenses directly related to transmission service, ISO filings, or transmission siting itemized at 351.h. </t>
  </si>
  <si>
    <t>Includes only FICA, unemployment, highway, property, gross receipts, and other assessments charged in the current year.  Taxes related to income are excluded.</t>
  </si>
  <si>
    <t>Gross receipts taxes are not included in transmission revenue requirement in the Rate Formula Template, since they are recovered elsewhere.</t>
  </si>
  <si>
    <t xml:space="preserve">"the percentage of federal income tax deductible for state income taxes".  If the utility is taxed in more than one state it must attach a work paper showing the name </t>
  </si>
  <si>
    <t>of each state and how the blended or composite SIT was developed.  Furthermore, a utility that elected to utilize amortization of tax credits</t>
  </si>
  <si>
    <t xml:space="preserve">against taxable income, rather than book tax credits to Account No. 255 and reduce rate base, must reduce its income tax expense by </t>
  </si>
  <si>
    <t xml:space="preserve">       where WCLTD=(page 4, line 27) and R= (page 4, line 30)</t>
  </si>
  <si>
    <t xml:space="preserve">214.x.d  </t>
  </si>
  <si>
    <t>COMMON PLANT ALLOCATOR  (CE)</t>
  </si>
  <si>
    <t>266.8.f (enter negative)</t>
  </si>
  <si>
    <t>Amortized Investment Tax Credit</t>
  </si>
  <si>
    <t xml:space="preserve">  b. Bundled Sales for Resale included in Divisor on page 1</t>
  </si>
  <si>
    <t>Revenue received pursuant to PJM Schedule 1A revenue allocation procedures</t>
  </si>
  <si>
    <t>The Total General and Common Depreciation Expense excludes any depreciation expense directly associated with a project and thereby included in page 2 column 9.</t>
  </si>
  <si>
    <t>TRANSMISSION PLANT</t>
  </si>
  <si>
    <t>RTEP Project Number</t>
  </si>
  <si>
    <t>Sum of lines 11 and 13</t>
  </si>
  <si>
    <t>Appendix B</t>
  </si>
  <si>
    <t>(Col. 3 times Col. 4)</t>
  </si>
  <si>
    <t>Line 33 must equal zero since all short-term power sales must be unbundled and the transmission component reflected in Account</t>
  </si>
  <si>
    <t>(Note P)</t>
  </si>
  <si>
    <t xml:space="preserve">assignment facilities and GSUs) which are not recovered under this Rate Formula Template. </t>
  </si>
  <si>
    <t>Account No. 454</t>
  </si>
  <si>
    <t>Revenues from Grandfathered Interzonal Transactions</t>
  </si>
  <si>
    <t>Less FERC Annual Fees</t>
  </si>
  <si>
    <t>Payroll</t>
  </si>
  <si>
    <t>Highway and vehicle</t>
  </si>
  <si>
    <t>LAND HELD FOR FUTURE USE   (Note G)</t>
  </si>
  <si>
    <t xml:space="preserve">  Materials &amp; Supplies    (Note G)</t>
  </si>
  <si>
    <t>Less transmission plant excluded from ISO rates  (Note M)</t>
  </si>
  <si>
    <t>Less transmission plant included in OATT Ancillary Services  (Note N)</t>
  </si>
  <si>
    <t>Less transmission expenses included in OATT Ancillary Services  (Note L)</t>
  </si>
  <si>
    <t>ACCOUNT 447 (SALES FOR RESALE)  (Note Q)</t>
  </si>
  <si>
    <t>ACCOUNT 454 (RENT FROM ELECTRIC PROPERTY)    (Note R)</t>
  </si>
  <si>
    <t>Less LSE Expenses included in Transmission O&amp;M Accounts  (Note V)</t>
  </si>
  <si>
    <t>Less EPRI &amp; Reg. Comm. Exp. &amp; Non-safety  Advertising    (Note I)</t>
  </si>
  <si>
    <t>Plus Transmission Related Reg. Comm. Exp.   (Note I)</t>
  </si>
  <si>
    <t>TAXES OTHER THAN INCOME TAXES    (Note J)</t>
  </si>
  <si>
    <t>Less transmission plant excluded from ISO rates   (Note M)</t>
  </si>
  <si>
    <t>REVENUE CREDITS    (Note T)</t>
  </si>
  <si>
    <t>WORKING CAPITAL    (Note H)</t>
  </si>
  <si>
    <t xml:space="preserve">  Materials &amp; Supplies     (Note G)</t>
  </si>
  <si>
    <t>INCOME TAXES           (Note K)</t>
  </si>
  <si>
    <t>W</t>
  </si>
  <si>
    <t>revenues associated with FERC annual charges, gross receipts taxes, ancillary services, or facilities not included in this template (e.g., direct</t>
  </si>
  <si>
    <t>Account No. 456.1</t>
  </si>
  <si>
    <t>ACCOUNT 456.1 (OTHER ELECTRIC REVENUES)        (Note U)</t>
  </si>
  <si>
    <t>3a</t>
  </si>
  <si>
    <t>3b</t>
  </si>
  <si>
    <t>17a</t>
  </si>
  <si>
    <t>Annual Cost ($/kW/Yr) - 12 CP</t>
  </si>
  <si>
    <t>(line 7 / line 9)</t>
  </si>
  <si>
    <t>Network Rate ($/kW/Mo)</t>
  </si>
  <si>
    <t>(line 15 / 12)</t>
  </si>
  <si>
    <t>Point-To-Point Rate ($/kW/Mo)</t>
  </si>
  <si>
    <t>(line 16 / 12)</t>
  </si>
  <si>
    <t>Point-To-Point Rate ($/kW/Wk)</t>
  </si>
  <si>
    <t>Point-To-Point Rate ($/kW/Day)</t>
  </si>
  <si>
    <t>Point-To-Point Rate ($/MWh)</t>
  </si>
  <si>
    <t>(line 16 / 52; line 16 / 52)</t>
  </si>
  <si>
    <t>(line 16 / 260; line 16 / 365)</t>
  </si>
  <si>
    <t>Peak Rate</t>
  </si>
  <si>
    <t>Off-Peak Rate</t>
  </si>
  <si>
    <t>Capped at weekly rate</t>
  </si>
  <si>
    <t>Capped at weekly and daily rate</t>
  </si>
  <si>
    <t>(A)</t>
  </si>
  <si>
    <t>(B)</t>
  </si>
  <si>
    <t>(C)</t>
  </si>
  <si>
    <t>Duke Energy Ohio and Duke Energy Kentucky</t>
  </si>
  <si>
    <t>for transmission service outside of DEOK's zone during the year</t>
  </si>
  <si>
    <t xml:space="preserve">balances are adjusted to reflect application of seven-factor test).  </t>
  </si>
  <si>
    <t>DEOK</t>
  </si>
  <si>
    <t>Exhibit No. DUK-102</t>
  </si>
  <si>
    <t>Regulatory Commission Expense</t>
  </si>
  <si>
    <t>Electric Power Research Institute</t>
  </si>
  <si>
    <t>Subtotal</t>
  </si>
  <si>
    <t>Adjusted A&amp;G Expense - To Page 3, Line 3</t>
  </si>
  <si>
    <t>Revenues from service provided by ISO at a discount</t>
  </si>
  <si>
    <t>Debt cost rate = long-term interest (line 21) / long term debt (line 27).  Preferred cost rate = preferred dividends (line 22) / preferred outstanding (line 28).</t>
  </si>
  <si>
    <t>ROE will be supported in the original filing and no change in ROE may be made absent a filing with FERC.  Capitalization adjusted to exclude impacts of purchase accounting.</t>
  </si>
  <si>
    <t>transactions and revenues from service provided by ISO at a discount.</t>
  </si>
  <si>
    <t>Sum of lines 4, 6 and 8</t>
  </si>
  <si>
    <t>page 6 of 6</t>
  </si>
  <si>
    <t>page 1 of 6</t>
  </si>
  <si>
    <t>page 2 of 6</t>
  </si>
  <si>
    <t>page 3 of 6</t>
  </si>
  <si>
    <t>page 5 of 6</t>
  </si>
  <si>
    <t>page 4 of 6</t>
  </si>
  <si>
    <t>DUKE ENERGY OHIO, INC.</t>
  </si>
  <si>
    <t>DEPRECIATION RATES</t>
  </si>
  <si>
    <t>FERC</t>
  </si>
  <si>
    <t>Company</t>
  </si>
  <si>
    <t>Account</t>
  </si>
  <si>
    <t xml:space="preserve">Accrual </t>
  </si>
  <si>
    <t>Number</t>
  </si>
  <si>
    <t>Description</t>
  </si>
  <si>
    <t>Rates</t>
  </si>
  <si>
    <t>(D)</t>
  </si>
  <si>
    <t>Wholly Owned Transmission Plant</t>
  </si>
  <si>
    <t>Rights of Way</t>
  </si>
  <si>
    <t>Structures &amp;  Improvements</t>
  </si>
  <si>
    <t>Structures &amp;  Improvements - Duke Ohio - Loc. in Ky.</t>
  </si>
  <si>
    <t>Station Equipment</t>
  </si>
  <si>
    <t>Station Equipment - Duke Ohio - Loc. in Ky.</t>
  </si>
  <si>
    <t>Towers &amp; Fixtures</t>
  </si>
  <si>
    <t>Towers &amp; Fixtures - Duke Ohio - Loc. in Ky.</t>
  </si>
  <si>
    <t>Poles &amp; Fixtures</t>
  </si>
  <si>
    <t>Poles &amp; Fixtures - Duke Ohio - Loc. in Ky.</t>
  </si>
  <si>
    <t>Overhead Conductors &amp; Devices</t>
  </si>
  <si>
    <t>Overhead Conductors &amp; Devices - Duke Ohio - Loc. in Ky.</t>
  </si>
  <si>
    <t>Underground Conduit</t>
  </si>
  <si>
    <t>Underground Conductors &amp; Devices</t>
  </si>
  <si>
    <t>Commonly Owned Transmission Plant - CCD Projects</t>
  </si>
  <si>
    <t>Structures &amp;  Improvements - CCD Projects</t>
  </si>
  <si>
    <t>Station Equipment - CCD Projects</t>
  </si>
  <si>
    <t>Towers &amp; Fixtures - CCD Projects</t>
  </si>
  <si>
    <t>Towers &amp; Fixtures - CCD Projects - Loc. In Ky.</t>
  </si>
  <si>
    <t>Poles &amp; Fixtures - CCD Projects</t>
  </si>
  <si>
    <t>Overhead Conductors &amp; Devices - CCD Projects</t>
  </si>
  <si>
    <t>Overhead Conductors &amp; Devices - CCD Projects - Loc. In Ky.</t>
  </si>
  <si>
    <t>Commonly Owned Transmission Plant - CD Projects</t>
  </si>
  <si>
    <t>Structures &amp;  Improvements - CD Projects</t>
  </si>
  <si>
    <t>Station Equipment - CD Projects</t>
  </si>
  <si>
    <t>Towers &amp; Fixtures - CD Projects</t>
  </si>
  <si>
    <t>Overhead Conductors &amp; Devices - CD Projects</t>
  </si>
  <si>
    <t>Land and Land Rights</t>
  </si>
  <si>
    <t>N/A</t>
  </si>
  <si>
    <t>Structures and Improvements</t>
  </si>
  <si>
    <t>Office Furniture and Equipment</t>
  </si>
  <si>
    <t>Electronic Data Processing Equipment</t>
  </si>
  <si>
    <t>Transportation Equipment</t>
  </si>
  <si>
    <t>Trailers</t>
  </si>
  <si>
    <t>Tools, Shop &amp; Garage Equipment</t>
  </si>
  <si>
    <t>Laboratory Equipment</t>
  </si>
  <si>
    <t>Power Operated Equipment</t>
  </si>
  <si>
    <t>Communication Equipment</t>
  </si>
  <si>
    <t>Miscellaneous Equipment</t>
  </si>
  <si>
    <t>DUKE ENERGY KENTUCKY, INC.</t>
  </si>
  <si>
    <t>Structures &amp; Improvements</t>
  </si>
  <si>
    <t>Station Equipment - Major</t>
  </si>
  <si>
    <t>Station Equipment - Electronic</t>
  </si>
  <si>
    <t>Miscellaneous Intangible Plant</t>
  </si>
  <si>
    <t>Portion Attributable to Transmission</t>
  </si>
  <si>
    <t>X</t>
  </si>
  <si>
    <t>Y</t>
  </si>
  <si>
    <t>Less Midwest ISO Exit Fees included in Transmission O&amp;M</t>
  </si>
  <si>
    <t>(Note X)</t>
  </si>
  <si>
    <t>Less PJM Integration Costs included in A&amp;G</t>
  </si>
  <si>
    <t>(Note Y)</t>
  </si>
  <si>
    <t>Development of Common Stock:</t>
  </si>
  <si>
    <t>INCOME TAXE RATES</t>
  </si>
  <si>
    <t>Federal Income Tax (FIT)</t>
  </si>
  <si>
    <t>State Income Tax (SIT) or Composite SIT</t>
  </si>
  <si>
    <t>Effective Income Tax Rate</t>
  </si>
  <si>
    <t>(percent of federal income tax deductible for state purposes)</t>
  </si>
  <si>
    <t>Calculated</t>
  </si>
  <si>
    <t>COMMON PLANT ALLOCATOR  (CE) (Note O)</t>
  </si>
  <si>
    <t>TOTAL GROSS PLANT</t>
  </si>
  <si>
    <t>TOTAL ACCUM. DEPRECIATION</t>
  </si>
  <si>
    <t>TOTAL NET PLANT</t>
  </si>
  <si>
    <t>TOTAL ADJUSTMENTS</t>
  </si>
  <si>
    <t>TOTAL WORKING CAPITAL</t>
  </si>
  <si>
    <t>WORKING CAPITAL</t>
  </si>
  <si>
    <t>ADJUSTMENTS TO RATE BASE</t>
  </si>
  <si>
    <t>DESCRIPTION</t>
  </si>
  <si>
    <t>For the 12 months ended:</t>
  </si>
  <si>
    <t>Rates effective:</t>
  </si>
  <si>
    <r>
      <rPr>
        <b/>
        <sz val="12"/>
        <rFont val="Arial"/>
        <family val="2"/>
      </rPr>
      <t>Less:</t>
    </r>
    <r>
      <rPr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</si>
  <si>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Less:</t>
    </r>
    <r>
      <rPr>
        <sz val="12"/>
        <rFont val="Arial"/>
        <family val="2"/>
      </rPr>
      <t/>
    </r>
  </si>
  <si>
    <t xml:space="preserve">200.21.c &amp; 219.28.c </t>
  </si>
  <si>
    <t>Total Generation Step-up Transformers</t>
  </si>
  <si>
    <t xml:space="preserve">336.1.f &amp; 336.10.f </t>
  </si>
  <si>
    <t>General and Intangible Plant</t>
  </si>
  <si>
    <t># of Work Papers</t>
  </si>
  <si>
    <t>Per Books Total, Page 275, lines 2 &amp; 6, column k</t>
  </si>
  <si>
    <t>The currently effective income tax rate, where FIT is the Federal income tax rate; SIT is the State income tax rate, and p =</t>
  </si>
  <si>
    <t>Percentage</t>
  </si>
  <si>
    <t>To be completed in conjunction with Attachment H-22A.</t>
  </si>
  <si>
    <t>336.11.f</t>
  </si>
  <si>
    <t>336.7.f</t>
  </si>
  <si>
    <t>Accumulated Deferred Income Taxes</t>
  </si>
  <si>
    <t>Per Books Total, Page 234, lines 8 &amp; 17, column c</t>
  </si>
  <si>
    <t>Ohio Consumers' Counsel</t>
  </si>
  <si>
    <t>PUCO - Division of Forecasting</t>
  </si>
  <si>
    <t>Non-Safety Adv., Reg. Comm. Exp. &amp; EPRI</t>
  </si>
  <si>
    <t>Less amounts recorded in a non-formula related account</t>
  </si>
  <si>
    <t>FERC Account 506</t>
  </si>
  <si>
    <t>FERC Account 588</t>
  </si>
  <si>
    <t>Total Electric Power Research Institute</t>
  </si>
  <si>
    <t>Sch 4 - Day-Ahead Load Response Charge Allocation</t>
  </si>
  <si>
    <t>Sch 4 - Real-Time Load Response Charge Allocation</t>
  </si>
  <si>
    <t>Sch 8 - Non-Firm PTP</t>
  </si>
  <si>
    <t>Sch 9 - NITS</t>
  </si>
  <si>
    <t>PJM Customer Payment Default</t>
  </si>
  <si>
    <t>Facilities Charges</t>
  </si>
  <si>
    <t>Other Transmission Revenues - FTR's</t>
  </si>
  <si>
    <t>Total Account 456.1 - To Page 4, Line 35</t>
  </si>
  <si>
    <t>Less: Transmission Revenues - Load in Divisor</t>
  </si>
  <si>
    <t>Total Transmission Revenues - Load in Divisor</t>
  </si>
  <si>
    <t>Total Account 454 - To Page 4, Line 34</t>
  </si>
  <si>
    <t>356</t>
  </si>
  <si>
    <t>Exhibit No. DUK-102, Pg. 1</t>
  </si>
  <si>
    <t xml:space="preserve">Exhibit No. DUK-102, Pg. 1 </t>
  </si>
  <si>
    <t>350.b</t>
  </si>
  <si>
    <t>Exhibit No. DUK-102, Pg. 4</t>
  </si>
  <si>
    <t xml:space="preserve">263.i. </t>
  </si>
  <si>
    <t>Non-Safety Adv., Reg. Comm. Exp. &amp; EPRI - To Page 3, Line 5</t>
  </si>
  <si>
    <t>Adjusted Balances - To Page 2, Line 22</t>
  </si>
  <si>
    <t>Adjusted Balances - To Page 2, Line 20</t>
  </si>
  <si>
    <t>Less Internal Integration Costs included in A&amp;G</t>
  </si>
  <si>
    <t>Less Midcontinent ISO Exit Fees included in Transmission O&amp;M</t>
  </si>
  <si>
    <t>PJM Integration Costs are the fees that PJM assessed DEOK for the costs that PJM incurred in connection with DEOK's move into PJM.  Internal Integration Costs are the internal</t>
  </si>
  <si>
    <t>administrative costs incurred by Duke Energy Ohio and Duke Energy Kentucky to accomplish their move from the Midcontinent ISO into PJM.</t>
  </si>
  <si>
    <t>Less PJM Integration Costs included in A&amp;G and</t>
  </si>
  <si>
    <t>321.85-87.b</t>
  </si>
  <si>
    <t>Account 283</t>
  </si>
  <si>
    <t>FAS 106</t>
  </si>
  <si>
    <t xml:space="preserve">         Internal Integration Costs included in A&amp;G</t>
  </si>
  <si>
    <t>The Network Upgrade Charge is the value to be used in Schedule 12.</t>
  </si>
  <si>
    <t>RTEP Transmission Enhancement Charges for Attachment H-22A</t>
  </si>
  <si>
    <t>Att. H-22A, p 3, lines 10 &amp; 11, col 5 (Note H)</t>
  </si>
  <si>
    <t>Parent DE Ohio</t>
  </si>
  <si>
    <t>Holding Co.</t>
  </si>
  <si>
    <t>Request for Rate Increase &amp; Other Misc Exp</t>
  </si>
  <si>
    <t>Less amounts recorded in a transmission account</t>
  </si>
  <si>
    <t>FERC Account 566</t>
  </si>
  <si>
    <t>(Note I)</t>
  </si>
  <si>
    <t>Less EPRI Annual Membership Dues  (Note I)</t>
  </si>
  <si>
    <t>Less EPRI Annual Membership Dues</t>
  </si>
  <si>
    <t>(1)  To Page 3, line 1c</t>
  </si>
  <si>
    <t>Impact of</t>
  </si>
  <si>
    <t>Correction</t>
  </si>
  <si>
    <t>FERC Refund Rate</t>
  </si>
  <si>
    <t>Number of Periods</t>
  </si>
  <si>
    <t>Interest - ((Amount * (1+Rate)^Periods) - Amount)</t>
  </si>
  <si>
    <t>Miscellaneous</t>
  </si>
  <si>
    <t>Variance</t>
  </si>
  <si>
    <t>ACCUMULATED DEPRECIATION AND AMORTIZATION</t>
  </si>
  <si>
    <t>TOTAL ACCUM. DEPRECIATION AND AMORTIZATION (sum lines 7-11)</t>
  </si>
  <si>
    <t>275.2.k &amp; 275.6.k</t>
  </si>
  <si>
    <t>277.9.k &amp; 277.18.k</t>
  </si>
  <si>
    <t>234.8.c &amp; 234.17.c</t>
  </si>
  <si>
    <t xml:space="preserve">  Account No. 255 (enter negative)  (Note K)</t>
  </si>
  <si>
    <t>321.88.b &amp; 321.92.b</t>
  </si>
  <si>
    <t>350.x.b</t>
  </si>
  <si>
    <t>TOTAL O&amp;M   (sum lines 1, 3, 5a, 6, 7 less lines 1a, 1b, 1c, 2, 3b, 4, 5)</t>
  </si>
  <si>
    <t>DEPRECIATION AND AMORTIZATION EXPENSE</t>
  </si>
  <si>
    <t xml:space="preserve">DEOK will provide, in connection with each Annual Update, a copy of the entire annual actuarial valuation report supporting the derivation of the annual Postretirement Benefits </t>
  </si>
  <si>
    <t>Other than Pensions (“PBOP”) expense as charged to FERC account 926, and the amount of such expense included in Total Admin and General Expenses provided on</t>
  </si>
  <si>
    <t xml:space="preserve">Attachment H-22A, page 3 of 6, line 3 of the Formula Rate.  DEOK will provide, in connection with each Annual Update, a worksheet that shows the actual PBOP expense </t>
  </si>
  <si>
    <t xml:space="preserve">components and calculation derivation (including, for each account to which PBOP expense is recorded, the account number, expense amount, description, calculation </t>
  </si>
  <si>
    <t>derivation and source).</t>
  </si>
  <si>
    <t>Account Nos. 561.4 and 561.8 consist of RTO expenses billed to load-serving entities and are not included in Transmission Owner revenue requirements.</t>
  </si>
  <si>
    <t>Company Records</t>
  </si>
  <si>
    <t>GENERAL AND COMMON (G&amp;C) DEPRECIATION AND AMORTIZATION EXPENSE</t>
  </si>
  <si>
    <t>Total G&amp;C Depreciation and Amortization Expense</t>
  </si>
  <si>
    <t>Annual Allocation Factor for G&amp;C Depreciation and Amortization Expense</t>
  </si>
  <si>
    <t>PBOP Expense excluding Pension Expense included in line 3 for information only</t>
  </si>
  <si>
    <t>Gross Transmission Plant is that identified on page 2, line 2 of Attachment H-22A.</t>
  </si>
  <si>
    <t>Net Transmission Plant is that identified on page 2, line 14 of Attachment H-22A.</t>
  </si>
  <si>
    <t>Notes</t>
  </si>
  <si>
    <t xml:space="preserve">                        References to data from FERC Form 1 are indicated as:   #.y.x  (page, line, column)</t>
  </si>
  <si>
    <t>Other</t>
  </si>
  <si>
    <t>WAGES &amp; SALARY ALLOCATOR   (WS)</t>
  </si>
  <si>
    <t>ACCOUNT 456.1 (OTHER ELECTRIC REVENUES)        (Note W)</t>
  </si>
  <si>
    <t xml:space="preserve">On Line 36, enter revenues from RTO settlements that are associated with MTEP projects.  Exclude NITS, firm Point-to-Point, non-firm Point-to-Point revenues, revenues related to </t>
  </si>
  <si>
    <t>RTEP projects, revenues from grandfathered interzonal transactions and revenues from service provided by ISO at a discount.</t>
  </si>
  <si>
    <t>TOTAL REVENUE CREDITS  (sum lines 2-5)</t>
  </si>
  <si>
    <t xml:space="preserve">  Total Electric (sum lines 12-15)</t>
  </si>
  <si>
    <t>Property</t>
  </si>
  <si>
    <t>Gross Receipts</t>
  </si>
  <si>
    <t>Payments in lieu of taxes</t>
  </si>
  <si>
    <t>ADJUSTMENTS TO RATE BASE   (Note F)</t>
  </si>
  <si>
    <t xml:space="preserve">Less Preferred Stock (line 28) </t>
  </si>
  <si>
    <t>Common Stock (sum lines 23-25)</t>
  </si>
  <si>
    <t>(line 17 / line 20)</t>
  </si>
  <si>
    <t xml:space="preserve">and Duke Energy Kentucky's zonal rates.  Exclude NITS, non-firm Point-to-Point revenues, revenues related to MTEP and RTEP projects, revenues from grandfathered interzonal </t>
  </si>
  <si>
    <t>(page 4, line 36)</t>
  </si>
  <si>
    <t>219.20.c-219.24.c</t>
  </si>
  <si>
    <t>WS Allocator</t>
  </si>
  <si>
    <t>Removes dollar amount of transmission expenses included in the OATT ancillary services rates, including Account Nos. 561.1, 561.2 and 561.3.</t>
  </si>
  <si>
    <t>The annual MWh used by all transmission customers per PJM MSRS report.</t>
  </si>
  <si>
    <t>MTEP - Transmission Enhancement Charges</t>
  </si>
  <si>
    <t>MTEP Transmission Enhancement Charges</t>
  </si>
  <si>
    <t>Worksheet for Derivation of PBOP Expense</t>
  </si>
  <si>
    <t>Actual PBOP Expense Components and Calculation Derivation (per Note E)</t>
  </si>
  <si>
    <t>FERC Account</t>
  </si>
  <si>
    <t>Description and Calculation Derivation</t>
  </si>
  <si>
    <t>DEO /
Duke Energy Ohio (503)</t>
  </si>
  <si>
    <t>Duke Energy Business Services
 (110)</t>
  </si>
  <si>
    <t>Total
 DEO</t>
  </si>
  <si>
    <t>Duke Energy - All Legacy Postretirement Welfare Plans</t>
  </si>
  <si>
    <t>DEK /
Duke Energy Kentucky (536)</t>
  </si>
  <si>
    <t>Total
 DEK</t>
  </si>
  <si>
    <r>
      <t xml:space="preserve">Source </t>
    </r>
    <r>
      <rPr>
        <sz val="12"/>
        <rFont val="Arial"/>
        <family val="2"/>
      </rPr>
      <t>(Document, Page)</t>
    </r>
  </si>
  <si>
    <t>IMPA</t>
  </si>
  <si>
    <t>EPVORO</t>
  </si>
  <si>
    <t>EPVOHO</t>
  </si>
  <si>
    <t>EPVOBO</t>
  </si>
  <si>
    <t>EKPC</t>
  </si>
  <si>
    <t>AMPWTN</t>
  </si>
  <si>
    <t>AMPLEB</t>
  </si>
  <si>
    <t>AMPHAM</t>
  </si>
  <si>
    <t>AMPGEO</t>
  </si>
  <si>
    <t>Wholesale Load Responsibility</t>
  </si>
  <si>
    <t>DTTDEO</t>
  </si>
  <si>
    <t>CEDDPR</t>
  </si>
  <si>
    <t>Default Supplier Load</t>
  </si>
  <si>
    <t>Seller</t>
  </si>
  <si>
    <t>Transaction Type</t>
  </si>
  <si>
    <t>BUCK</t>
  </si>
  <si>
    <t>Report Category: Other Ancillary Services</t>
  </si>
  <si>
    <t>Source: PJM MSRS Report Catalog</t>
  </si>
  <si>
    <t>Report: Sched 1A Credit Summary</t>
  </si>
  <si>
    <t>Add:</t>
  </si>
  <si>
    <t>Total Subtracted from Account 190 Balance</t>
  </si>
  <si>
    <t>Total Added to Account 190 Balance</t>
  </si>
  <si>
    <t>Total Subtracted from Account 282 Balance</t>
  </si>
  <si>
    <t>Total Added to Account 282 Balance</t>
  </si>
  <si>
    <t>Total Subtracted from Account 283 Balance</t>
  </si>
  <si>
    <t>Total Added to Account 283 Balance</t>
  </si>
  <si>
    <t>FERC Form 1</t>
  </si>
  <si>
    <t>LTD_FAS 112 Summary</t>
  </si>
  <si>
    <t>Legacy MTEP Credit (Account 456.1)</t>
  </si>
  <si>
    <t>The revenues credited on page 1 lines 2-5 shall include only the amounts received directly (in the case of grandfathered agreements)</t>
  </si>
  <si>
    <t>Counts</t>
  </si>
  <si>
    <t>Pole Attachment Percentage Calculation</t>
  </si>
  <si>
    <t>Poles</t>
  </si>
  <si>
    <t>Towers</t>
  </si>
  <si>
    <t>Structures</t>
  </si>
  <si>
    <t xml:space="preserve"> For Revenue Credits, Account 454</t>
  </si>
  <si>
    <t>Att. H-22A, p 3, line 20, col 5</t>
  </si>
  <si>
    <t>Att. H-22A, p 3, line 8, col 5</t>
  </si>
  <si>
    <t>Att. H-22A, p 2, line 2, col 5 (Note A)</t>
  </si>
  <si>
    <t>Att. H-22A, p 2, line 14, col 5 (Note B)</t>
  </si>
  <si>
    <t>(line 12 divided by line 2, col 3)</t>
  </si>
  <si>
    <t>(line 5 divided by line 1, col 3)</t>
  </si>
  <si>
    <t>(line 7 divided by line 1, col 3)</t>
  </si>
  <si>
    <t>(line 10 divided by line 2, col 3)</t>
  </si>
  <si>
    <t>(line 3 divided by line 1, col 3)</t>
  </si>
  <si>
    <r>
      <t xml:space="preserve">Duke Energy Kentucky </t>
    </r>
    <r>
      <rPr>
        <b/>
        <vertAlign val="superscript"/>
        <sz val="12"/>
        <rFont val="Arial"/>
        <family val="2"/>
      </rPr>
      <t>(1)</t>
    </r>
  </si>
  <si>
    <r>
      <t xml:space="preserve">Duke Energy Ohio </t>
    </r>
    <r>
      <rPr>
        <b/>
        <vertAlign val="superscript"/>
        <sz val="12"/>
        <rFont val="Arial"/>
        <family val="2"/>
      </rPr>
      <t>(1)</t>
    </r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</si>
  <si>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Source:  FERC Form 1, Page 214</t>
    </r>
  </si>
  <si>
    <t>DUKE ENERGY OHIO AND DUKE ENERGY KENTUCKY (DEOK)</t>
  </si>
  <si>
    <t>Exhibit No. DUK-102, Pg. 8</t>
  </si>
  <si>
    <t>Transmission Owner Scheduling, System Control and Dispatch Service Credit Summary</t>
  </si>
  <si>
    <t>PJM Billing Line Item 2320</t>
  </si>
  <si>
    <t>Schedule</t>
  </si>
  <si>
    <t>PJM</t>
  </si>
  <si>
    <t>Month</t>
  </si>
  <si>
    <t>1A</t>
  </si>
  <si>
    <t>1A Non-</t>
  </si>
  <si>
    <t>Cum.</t>
  </si>
  <si>
    <t>Invoice</t>
  </si>
  <si>
    <t>Booked</t>
  </si>
  <si>
    <t>Zone Credit</t>
  </si>
  <si>
    <t>Var.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</si>
  <si>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</si>
  <si>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</si>
  <si>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</si>
  <si>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</si>
  <si>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</si>
  <si>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</si>
  <si>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</si>
  <si>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</si>
  <si>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</si>
  <si>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</si>
  <si>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Attachment H-22A, Appendix A - Line 2</t>
  </si>
  <si>
    <t xml:space="preserve">Exhibit No. DUK-102, Pg. 2 </t>
  </si>
  <si>
    <t>214.x.d [Exhibit No. DUK-102, Pg. 3]</t>
  </si>
  <si>
    <t xml:space="preserve">Exhibit No. DUK-102, Pg. 4 </t>
  </si>
  <si>
    <t xml:space="preserve">Exhibit No. DUK-102, Pg. 5 </t>
  </si>
  <si>
    <t>Exhibit No. DUK-102, Pg. 7</t>
  </si>
  <si>
    <t>Page 1 of 6, Line 7</t>
  </si>
  <si>
    <t>356 (Total Common x Elec Dept %)</t>
  </si>
  <si>
    <t>DUKE ENERGY OHIO (DEO)</t>
  </si>
  <si>
    <t>DUKE ENERGY KENTUCKY (DEK)</t>
  </si>
  <si>
    <t>GROSS REVENUE REQUIREMENT</t>
  </si>
  <si>
    <t>DEO + DEK</t>
  </si>
  <si>
    <t>Schedule 1A rate $/MWh</t>
  </si>
  <si>
    <t>Adjusted Balances - To Page 2, Line 21</t>
  </si>
  <si>
    <t>Non-Transmission</t>
  </si>
  <si>
    <t>Rent from Electric Property Attributable to Transmission</t>
  </si>
  <si>
    <t>Schedule 1A - Annual MWh</t>
  </si>
  <si>
    <t>(Page 1, line 9)</t>
  </si>
  <si>
    <t>(Page 1, line 14)</t>
  </si>
  <si>
    <t>from the ISO (for service under this tariff) reflecting the Transmission Owner's integrated transmission facilities.  They do not include</t>
  </si>
  <si>
    <t>Form 1, P.323.191, col. b</t>
  </si>
  <si>
    <t>page 1 of 1</t>
  </si>
  <si>
    <t>1 CP</t>
  </si>
  <si>
    <t>12 CP</t>
  </si>
  <si>
    <t>Return</t>
  </si>
  <si>
    <t>Year</t>
  </si>
  <si>
    <t>LSE Expenses Included in Transmission O&amp;M</t>
  </si>
  <si>
    <t>Total LSE Expenses Included in Transmission O&amp;M</t>
  </si>
  <si>
    <t>TE Allocator</t>
  </si>
  <si>
    <t>(line 1 - line 7)</t>
  </si>
  <si>
    <t>(line 2 - line 8)</t>
  </si>
  <si>
    <t>(line 3 - line 9)</t>
  </si>
  <si>
    <t>(line 4 - line 10)</t>
  </si>
  <si>
    <t>(line 5 - line 11)</t>
  </si>
  <si>
    <t>Miscellaneous Intangible Plant - 5 Year</t>
  </si>
  <si>
    <t>Miscellaneous Intangible Plant - 10 Year</t>
  </si>
  <si>
    <t>Common Plant</t>
  </si>
  <si>
    <t>Micellaneous Equipment</t>
  </si>
  <si>
    <t>Appendix D</t>
  </si>
  <si>
    <t>Page 3 of 3</t>
  </si>
  <si>
    <t>Page 1 of 3</t>
  </si>
  <si>
    <t>Page 2 of 3</t>
  </si>
  <si>
    <t>Interest on Long-Term Debt (427)</t>
  </si>
  <si>
    <t>Amort. Of Debt Disc. And Expense (428)</t>
  </si>
  <si>
    <t>Amort. Of Loss on Reacquired Debt (428.1)</t>
  </si>
  <si>
    <t>(Less) Amort. Of Premium on Debt-Credit (429)</t>
  </si>
  <si>
    <t>(Less) Amort. Of Gain on Reacquired Debt-Credit (429.1)</t>
  </si>
  <si>
    <t>(561.1) Load Dispatch-Reliability</t>
  </si>
  <si>
    <t>(561.2) Load Dispatch-Monitor &amp; Operate Transmission System</t>
  </si>
  <si>
    <t>(561.3) Load Dispatch-Transmission Service &amp; Scheduling</t>
  </si>
  <si>
    <t>Bonds (221)</t>
  </si>
  <si>
    <t>(Less) Reacquired Bonds (222)</t>
  </si>
  <si>
    <t>Advances from Associated Companies (223)</t>
  </si>
  <si>
    <t>112.18.c</t>
  </si>
  <si>
    <t>112.19.c</t>
  </si>
  <si>
    <t>112.20.c</t>
  </si>
  <si>
    <t>112.21.c</t>
  </si>
  <si>
    <t>117.62.c</t>
  </si>
  <si>
    <t>117.63.c</t>
  </si>
  <si>
    <t>117.64.c</t>
  </si>
  <si>
    <t>117.65.c</t>
  </si>
  <si>
    <t>117.66c</t>
  </si>
  <si>
    <t>117.67.c</t>
  </si>
  <si>
    <t>321.85.b</t>
  </si>
  <si>
    <t>321.86.b</t>
  </si>
  <si>
    <t>321.87.b</t>
  </si>
  <si>
    <t>Income Tax</t>
  </si>
  <si>
    <t>Total Refunds Due to Customers - To Attachment H, page 1 of 1</t>
  </si>
  <si>
    <t>Report Category: Energy Transaction Details</t>
  </si>
  <si>
    <t>Report: RT Daily Energy Transactions</t>
  </si>
  <si>
    <t>AEPDO2</t>
  </si>
  <si>
    <t>EPPDPR</t>
  </si>
  <si>
    <t>NEEDEO</t>
  </si>
  <si>
    <t>Amount of Safety Related Advertising in Account 930.1</t>
  </si>
  <si>
    <t>Base State Tax Reform EDIT</t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</si>
  <si>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Source FERC Form 1, page 227, line 5, column (c)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</si>
  <si>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Source FERC Form 1, page 227, line 16, column (c)</t>
    </r>
  </si>
  <si>
    <t>Gas</t>
  </si>
  <si>
    <r>
      <rPr>
        <vertAlign val="superscript"/>
        <sz val="12"/>
        <rFont val="Arial"/>
        <family val="2"/>
      </rPr>
      <t>(2)</t>
    </r>
    <r>
      <rPr>
        <sz val="12"/>
        <rFont val="Arial"/>
        <family val="2"/>
      </rPr>
      <t xml:space="preserve"> Source FERC Form 1, page 227, lines 7-9, column (c)</t>
    </r>
  </si>
  <si>
    <t>Portion Attributable to Transmission (Exhibit No. DUK-102, Page 15)</t>
  </si>
  <si>
    <t>Account 456.1</t>
  </si>
  <si>
    <t>Revenue Credits, Accounts 454 and 456.1</t>
  </si>
  <si>
    <t>Account 190, Account 282, and Account 283</t>
  </si>
  <si>
    <t>Per Books Total, Page 277, lines 9 &amp; 18, column k</t>
  </si>
  <si>
    <t>Less: Department of Justice Settlement - 2015</t>
  </si>
  <si>
    <t>Transmission Plant Included in OATT Ancillary Services - To Page 4, Line 3</t>
  </si>
  <si>
    <t>Total Account 454 per Books Total, Page 300, line 19, column b</t>
  </si>
  <si>
    <t>Total Account 456.1 Per Books Total, Page 300, line 22, column b</t>
  </si>
  <si>
    <t>Grand Total (to Appendix A, line 4)</t>
  </si>
  <si>
    <t>Page 11</t>
  </si>
  <si>
    <t xml:space="preserve">   Net Periodic Benefit Cost - Service Cost</t>
  </si>
  <si>
    <t>Long-term Disability Expense</t>
  </si>
  <si>
    <t xml:space="preserve">  Accrual for Future Disableds </t>
  </si>
  <si>
    <t>Total Service Cost and Long-Term Disability Expense</t>
  </si>
  <si>
    <t>Percent DEBS Allocation to DEO (Electric only)</t>
  </si>
  <si>
    <t xml:space="preserve">   Adjustment to Transfer Expense to/from Duke Affiliates</t>
  </si>
  <si>
    <t>Total DEO Direct and Allocated PBOP Expense (Benefit cost pool)</t>
  </si>
  <si>
    <t>(line 16 / 4,160; line 16 / 8,760 * 1,000)</t>
  </si>
  <si>
    <t>Total Proprietary Capital, page 112, line 16, column c</t>
  </si>
  <si>
    <t>Less: Goodwill, page 233, line 1, column f</t>
  </si>
  <si>
    <r>
      <t xml:space="preserve">Related </t>
    </r>
    <r>
      <rPr>
        <b/>
        <u val="singleAccounting"/>
        <vertAlign val="superscript"/>
        <sz val="12"/>
        <rFont val="Arial"/>
        <family val="2"/>
      </rPr>
      <t>(2)</t>
    </r>
  </si>
  <si>
    <r>
      <t>M&amp;S</t>
    </r>
    <r>
      <rPr>
        <b/>
        <u val="singleAccounting"/>
        <vertAlign val="superscript"/>
        <sz val="12"/>
        <rFont val="Arial"/>
        <family val="2"/>
      </rPr>
      <t xml:space="preserve"> (2)</t>
    </r>
  </si>
  <si>
    <r>
      <t>M&amp;S Assigned to Construction</t>
    </r>
    <r>
      <rPr>
        <b/>
        <u val="singleAccounting"/>
        <vertAlign val="superscript"/>
        <sz val="12"/>
        <rFont val="Arial"/>
        <family val="2"/>
      </rPr>
      <t>(3)</t>
    </r>
  </si>
  <si>
    <r>
      <t>Account 163</t>
    </r>
    <r>
      <rPr>
        <b/>
        <u val="singleAccounting"/>
        <vertAlign val="superscript"/>
        <sz val="12"/>
        <rFont val="Arial"/>
        <family val="2"/>
      </rPr>
      <t xml:space="preserve"> (4)</t>
    </r>
  </si>
  <si>
    <r>
      <t xml:space="preserve">Total M&amp;S </t>
    </r>
    <r>
      <rPr>
        <b/>
        <vertAlign val="superscript"/>
        <sz val="12"/>
        <rFont val="Arial"/>
        <family val="2"/>
      </rPr>
      <t>(1)</t>
    </r>
  </si>
  <si>
    <t>Total Default Supplier Load</t>
  </si>
  <si>
    <t>De-rated Losses</t>
  </si>
  <si>
    <t>Retail Load Responsibility</t>
  </si>
  <si>
    <t>Total Wholesale Load Responsibility</t>
  </si>
  <si>
    <t xml:space="preserve"> Related</t>
  </si>
  <si>
    <t>Reported on</t>
  </si>
  <si>
    <t>Total DEO PBOP Expense - FERC Account 926 (To page 3 of 6, Line 3a)</t>
  </si>
  <si>
    <t>To be completed in conjunction with Attachment H-22A</t>
  </si>
  <si>
    <t>Year End 2015 Footnote Disclosures - Prepurchase Accounting</t>
  </si>
  <si>
    <t>Monthly</t>
  </si>
  <si>
    <t xml:space="preserve">(1)  DEOK 1 CP is Duke Energy Ohio ("DEO") Monthly Firm </t>
  </si>
  <si>
    <t xml:space="preserve">          Transmission System Peak Load as reported on page 400,</t>
  </si>
  <si>
    <t xml:space="preserve">          column b of Form 1 at the time of DEO's annual peak.</t>
  </si>
  <si>
    <t>(KILOWATTS)</t>
  </si>
  <si>
    <r>
      <t xml:space="preserve">Peak </t>
    </r>
    <r>
      <rPr>
        <b/>
        <u val="singleAccounting"/>
        <vertAlign val="superscript"/>
        <sz val="10"/>
        <rFont val="Arial"/>
        <family val="2"/>
      </rPr>
      <t>(1)</t>
    </r>
  </si>
  <si>
    <t>Stores Equipment</t>
  </si>
  <si>
    <t>Common AMI Meters</t>
  </si>
  <si>
    <t>(page 3, line 31)</t>
  </si>
  <si>
    <t>TOTAL ADJUSTMENTS  (sum lines 19 - 24)</t>
  </si>
  <si>
    <t>TOTAL WORKING CAPITAL (sum lines 27 - 29)</t>
  </si>
  <si>
    <t>RATE BASE  (sum lines 18, 25, 26, &amp; 30)</t>
  </si>
  <si>
    <t>REV. REQUIREMENT  (sum lines 8, 12, 20, 29, 30)</t>
  </si>
  <si>
    <t xml:space="preserve">  [Rate Base (page 2, line 31) * Rate of Return (page 4, line 30)]</t>
  </si>
  <si>
    <t>Income Tax Calculation (line 22 * line 30)</t>
  </si>
  <si>
    <t>Att. H-22A, p 3, line 29, col 5</t>
  </si>
  <si>
    <t>Att. H-22A, p 3, line 30, col 5</t>
  </si>
  <si>
    <t xml:space="preserve">  Account No. 254 (enter negative)</t>
  </si>
  <si>
    <r>
      <rPr>
        <vertAlign val="superscript"/>
        <sz val="12"/>
        <rFont val="Arial"/>
        <family val="2"/>
      </rPr>
      <t>(2)</t>
    </r>
    <r>
      <rPr>
        <sz val="12"/>
        <rFont val="Arial"/>
        <family val="2"/>
      </rPr>
      <t xml:space="preserve"> Balances to Page 2, Line 26</t>
    </r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</si>
  <si>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To Page 2, Line 28</t>
    </r>
  </si>
  <si>
    <t>Change in O&amp;M</t>
  </si>
  <si>
    <t>Issue</t>
  </si>
  <si>
    <t>Reference</t>
  </si>
  <si>
    <t>DEDPR</t>
  </si>
  <si>
    <t>HARDOL</t>
  </si>
  <si>
    <t>the amount of the Amortized Investment Tax Credit (Form 1, 266.8.f) multiplied by (1/1-T) (page 3, line 27).</t>
  </si>
  <si>
    <t>Midcontinent ISO Exit Fees include (1) the charge that DEOK paid to the Midcontinent ISO pursuant to the Settlement Agreement filed on July 29, 2011 in Docket No. ER11-2059</t>
  </si>
  <si>
    <t>and (2) the exit fees that DEOK paid to the Midcontinent ISO pursuant to the Exit Fee Agreement filed on October 5, 2011 in Docket No. ER12-33.</t>
  </si>
  <si>
    <t>necessary to maintain rate base neutrality in the event of a change in the Federal or State income tax rates.  Balance of Account 255 is reduced by prior flow throughs</t>
  </si>
  <si>
    <t xml:space="preserve">Includes the amortization of any excess/deficient deferred income taxes resulting from changes to income tax laws, income tax rates (including changes in </t>
  </si>
  <si>
    <t xml:space="preserve">apportionment) and other actions taken by a taxing authority.  Excess and deficient deferred income taxes will reduce or increase tax expense by the amount of </t>
  </si>
  <si>
    <t>the excess or deficiency multiplied by (1/(1-T)) (page 3, line 25).</t>
  </si>
  <si>
    <t>Total Revenue Available for Credit Calculation</t>
  </si>
  <si>
    <t>Transmission O&amp;M Expense, Page 321, line 112, column b</t>
  </si>
  <si>
    <t>Transmission O&amp;M Expense</t>
  </si>
  <si>
    <t>Adjusted Transmission O&amp;M Expense - To Page 3, Line 1</t>
  </si>
  <si>
    <t>Interest on Debt to Assoc. Companies (430)</t>
  </si>
  <si>
    <t>Tower Lease Revenues in Line 1 Total above</t>
  </si>
  <si>
    <t>Rent from Electric Property in Line 1 Total above</t>
  </si>
  <si>
    <t>Less: Other Electric Revenue in Line 1 Total above</t>
  </si>
  <si>
    <t>O&amp;M Percentage</t>
  </si>
  <si>
    <t xml:space="preserve">   Electric Only Percentage</t>
  </si>
  <si>
    <t xml:space="preserve">   Net Periodic Benefit Cost - Non-Service Cost</t>
  </si>
  <si>
    <t xml:space="preserve">LTD_FAS 112 Summary </t>
  </si>
  <si>
    <t xml:space="preserve">Year End 2015 Footnote Disclosures - Prepurchase Accounting </t>
  </si>
  <si>
    <t>FAS 109 - Gross-up on ITC</t>
  </si>
  <si>
    <t>Gross-up on Tax Reform EDIT</t>
  </si>
  <si>
    <t>Gross-up on State Tax Reform EDIT</t>
  </si>
  <si>
    <t>Solar Gross Up Federal ITC</t>
  </si>
  <si>
    <t>Solar - Gross-Up Fed Basis Reduction</t>
  </si>
  <si>
    <t>Offset (Dr.)/Cr.</t>
  </si>
  <si>
    <t>Dr./(Cr.)</t>
  </si>
  <si>
    <t>Balance Sheet Only Total</t>
  </si>
  <si>
    <t>EDIT Liability Total</t>
  </si>
  <si>
    <t xml:space="preserve">Amortization </t>
  </si>
  <si>
    <t xml:space="preserve">Remaining </t>
  </si>
  <si>
    <t>Rate</t>
  </si>
  <si>
    <t>Balance</t>
  </si>
  <si>
    <t>Page 1 of 4</t>
  </si>
  <si>
    <t>Page 2 of 4</t>
  </si>
  <si>
    <t>Page 3 of 4</t>
  </si>
  <si>
    <t>Page 4 of 4</t>
  </si>
  <si>
    <t>(a)</t>
  </si>
  <si>
    <t>(b)</t>
  </si>
  <si>
    <t>(c)</t>
  </si>
  <si>
    <t>(d)</t>
  </si>
  <si>
    <t>(e)</t>
  </si>
  <si>
    <t>and excluded if the utility chose to utilize amortization of tax credits against taxable income as discussed in Note K.  Account 281 is not allocated.</t>
  </si>
  <si>
    <t>Scheduling, System Control &amp; Dispatch Services, Page 321, line 88, col b</t>
  </si>
  <si>
    <t>Reliability, Planning and Standards Development Services, Page 321, line 92, col b</t>
  </si>
  <si>
    <t>Form 1, P.350, col. h</t>
  </si>
  <si>
    <t>Less EPRI &amp; Reg. Comm. Exp. &amp; Non-safety Advertising    (Note I)</t>
  </si>
  <si>
    <t>Form 1, P.353, col. f</t>
  </si>
  <si>
    <t>Protected Federal Excess/Deficient Deferred Income Tax Worksheet</t>
  </si>
  <si>
    <t xml:space="preserve">Exhibit No. DUK-102, Pg. 17 </t>
  </si>
  <si>
    <t>Excess/Deficient DIT Permanent Worksheet</t>
  </si>
  <si>
    <t>Amortization of Excess/Deficient Deferred Income Taxes (Note O)</t>
  </si>
  <si>
    <t>Total Income Taxes (sum lines 26 - 28)</t>
  </si>
  <si>
    <t>Duke Energy Ohio, Inc.</t>
  </si>
  <si>
    <t>Def. Income Tax Expense Total</t>
  </si>
  <si>
    <t>Beginning Year</t>
  </si>
  <si>
    <t>Current Year</t>
  </si>
  <si>
    <t>Amortization</t>
  </si>
  <si>
    <t>Total Change in Excess/Deficient DIT (Line 3 + Line 6 + Line 8)</t>
  </si>
  <si>
    <t>Duke Energy Kentucky, Inc.</t>
  </si>
  <si>
    <t>TOTAL DEPRECIATION AND AMORTIZATION (sum lines 9 - 11)</t>
  </si>
  <si>
    <t>LSE Expense Allocated to Transmission To Page 3, Line 1a</t>
  </si>
  <si>
    <t>To Page 3, Line 25</t>
  </si>
  <si>
    <t>To Page 2, Line 23</t>
  </si>
  <si>
    <t>(e) *</t>
  </si>
  <si>
    <t>(d) *</t>
  </si>
  <si>
    <t>Account 254 includes Other Regulated Liabilities related to Excess/Deficient Accumulated Deferred Income Taxes that have been allocated to electric operations. This line item is</t>
  </si>
  <si>
    <t>Excess/Deficient DIT amortization (line 23 * line 25)</t>
  </si>
  <si>
    <t>(d)* = (b) x (System Level Balance)</t>
  </si>
  <si>
    <t xml:space="preserve">(e)* = (c) - (d) </t>
  </si>
  <si>
    <t>Unprotected Federal Excess/Deficient Deferred Income Tax Worksheet</t>
  </si>
  <si>
    <t>(b)*</t>
  </si>
  <si>
    <t>Deferred Income Tax Remeasurement</t>
  </si>
  <si>
    <t xml:space="preserve">On Line 35, enter revenues from RTO settlements that are associated with NITS and firm Point-to-Point Service for which the load is not included in the divisor to derive Duke Energy Ohio's </t>
  </si>
  <si>
    <t>Percent DEBS Allocation to DEK (Electric only)</t>
  </si>
  <si>
    <t>Total DEK Direct and Allocated PBOP Expense (Benefit cost pool)</t>
  </si>
  <si>
    <t>Total DEK PBOP Expense - FERC Account 926 (To page 3 of 6, Line 3a)</t>
  </si>
  <si>
    <t>Other Long-Term Debt (224)</t>
  </si>
  <si>
    <t>May 15, 2020 Filing</t>
  </si>
  <si>
    <t>BPI- 1-3, BPI 1-18</t>
  </si>
  <si>
    <t>Allocate an additional $72,264 in DEK Account 454 to transmission customers</t>
  </si>
  <si>
    <t>Revenue Credit</t>
  </si>
  <si>
    <t>AMP-DEOK-01, AMP-DEOK-54</t>
  </si>
  <si>
    <t>Remove EPRI Dues from Account 588 to Account 566 for $132,562</t>
  </si>
  <si>
    <t>AMP-02-DEOK-22</t>
  </si>
  <si>
    <t>Reclassify $429,646 of M&amp;S assigned to construction from Transmission to Distribution</t>
  </si>
  <si>
    <t>AMP-02-DEOK-17</t>
  </si>
  <si>
    <t>Remove $3,395 of expenses in DEK Account 923 incorrectly charged to an electric business unit.</t>
  </si>
  <si>
    <t>Response to FERC Deficiency Letter</t>
  </si>
  <si>
    <t>Add 2018 amortization of DEK excess/deficient deferred income taxes (protected and unprotected) that were inadvertently excluded from the May 15, 2020 Annual Update</t>
  </si>
  <si>
    <t>Revised Revenue Requirement - May 15, 2020 Filing</t>
  </si>
  <si>
    <t>Corrections to May 2020 Annual Update Filing</t>
  </si>
  <si>
    <t>Change to the May 15, 2020 Attachment H Filing</t>
  </si>
  <si>
    <t>December 2019</t>
  </si>
  <si>
    <t>January 2020</t>
  </si>
  <si>
    <t>ETDUKE</t>
  </si>
  <si>
    <t>FRDKOH</t>
  </si>
  <si>
    <t>PLRRDK</t>
  </si>
  <si>
    <t>PLRCDK</t>
  </si>
  <si>
    <t>Less: Gas BU Charges in Account 923</t>
  </si>
  <si>
    <t>227.5.c &amp; 227.8.c &amp; 227.16.c</t>
  </si>
  <si>
    <t>Identified in Form 1 as being only transmission related.  The transmission portion of page 227, line 5 is specified in a footnote to the Form 1.</t>
  </si>
  <si>
    <t>Plus: The Cincinnati, New Orleans and Texas Pacific Railway Company natural gas pipeline permit journal entry reversal</t>
  </si>
  <si>
    <t>Less: Non-operational transaction costs</t>
  </si>
  <si>
    <t>2020 OATT Annual Update</t>
  </si>
  <si>
    <t>Included in 2020 FERC Form 1 Data</t>
  </si>
  <si>
    <t xml:space="preserve">  Adjustment to Reflect (Gains) and Losses</t>
  </si>
  <si>
    <t>Actual O&amp;M % of Total Payroll for YE 2020</t>
  </si>
  <si>
    <t>DEO 2020 Allocation Stat Percentages Table</t>
  </si>
  <si>
    <t>PBOP Expense O&amp;M for DEO (Line 8 * Line 10 * (Line 11 or Line 12))</t>
  </si>
  <si>
    <t>PBOP Expense O&amp;M for DEK (Line 8 * Line 10 * (Line 11 or Line 12))</t>
  </si>
  <si>
    <t>DEK 2020 Allocation Stat Percentages Table</t>
  </si>
  <si>
    <t>Service Company Labor Allocation to DEK for 2020</t>
  </si>
  <si>
    <t>Service Company Labor Allocation to DEO for 2020</t>
  </si>
  <si>
    <t>Actuarial Valuation Report December 31, 2020 Disclosure and Fiscal 2021 Net Periodic Benefit Cost for Duke Energy Ohio and Duke Energy Kentucky Retirement Plans</t>
  </si>
  <si>
    <t xml:space="preserve">   Purchase Accounting Amortization</t>
  </si>
  <si>
    <t>Total Non-Service Cost and Purchase Accounting Amortization</t>
  </si>
  <si>
    <t>PBOP Expense O&amp;M for DEO - Non-Service Cost Including Purchase Accounting Amortization (Line 22 * (Line 24 or Line 25))</t>
  </si>
  <si>
    <t>PBOP Expense O&amp;M for DEK - Non-Service Cost Including Purchase Accounting Amortization (Line 22 * (Line 24 or Line 25))</t>
  </si>
  <si>
    <t>FERC Account 557</t>
  </si>
  <si>
    <t>FAS109 - Gross-up</t>
  </si>
  <si>
    <t>FAS109 - Excludes Gross-up</t>
  </si>
  <si>
    <t>Backup Delivery Service - Transmission</t>
  </si>
  <si>
    <t>Per 2020 FERC Form 1</t>
  </si>
  <si>
    <t>Adjustments</t>
  </si>
  <si>
    <t>Sch 26 - MTEP Project Cost Recovery - To Page 4, Line 36</t>
  </si>
  <si>
    <t>December 31, 2020</t>
  </si>
  <si>
    <t>321.112.b [Exhibit No. DUK-102, Pg. 18]</t>
  </si>
  <si>
    <t>(Note E) [Exhibit No. DUK-102, Pg. 11-12]</t>
  </si>
  <si>
    <t>Exhibit No. DUK-102, Pg. 6</t>
  </si>
  <si>
    <t>117, 62.c-67.c</t>
  </si>
  <si>
    <t>Long Term Interest</t>
  </si>
  <si>
    <t>118.29.c (positive number)</t>
  </si>
  <si>
    <t>Preferred Dividends</t>
  </si>
  <si>
    <t>112.16.c [Exhibit No. DUK-102, Pg. 9]</t>
  </si>
  <si>
    <t>Proprietary Capital</t>
  </si>
  <si>
    <t>112.3.c</t>
  </si>
  <si>
    <t>(Less) Preferred Stock</t>
  </si>
  <si>
    <t>112.12.c (enter negative)</t>
  </si>
  <si>
    <t xml:space="preserve">(Less) Account 216.1 </t>
  </si>
  <si>
    <t xml:space="preserve"> 112, 18.c-21.c</t>
  </si>
  <si>
    <t xml:space="preserve">  Long Term Debt </t>
  </si>
  <si>
    <t xml:space="preserve">  page 4 of 6, line 26</t>
  </si>
  <si>
    <t xml:space="preserve"> 112.3.c</t>
  </si>
  <si>
    <t xml:space="preserve">  Common Stock</t>
  </si>
  <si>
    <t xml:space="preserve">  Preferred Stock</t>
  </si>
  <si>
    <t>311.x.h</t>
  </si>
  <si>
    <t xml:space="preserve">  a. Bundled Non-RQ Sales for Resale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</si>
  <si>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</t>
    </r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</si>
  <si>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To Exhibit No. DUK-102, Pg. 8, Line 12</t>
    </r>
  </si>
  <si>
    <t>Electric Non-Utility &amp; Non-Regulated</t>
  </si>
  <si>
    <t>Less: Donations in Account 921</t>
  </si>
  <si>
    <t>Duke Energy Corporation Post Employment Welfare Benefit Plans Actuarial Valuation Report Postemployment Benefit Cost and Employer Cash Flow For Fiscal Year Ending December 31, 2020</t>
  </si>
  <si>
    <t>Page 2</t>
  </si>
  <si>
    <t>Page 2/3</t>
  </si>
  <si>
    <t>DIT Worksheet, 11.e</t>
  </si>
  <si>
    <t>DIT Worksheet, 11.d</t>
  </si>
  <si>
    <t>Corrections Related to Prior Year Filings</t>
  </si>
  <si>
    <t>DEOK 1 CP is Duke Energy Ohio ("DEO") Monthly Firm Transmission System Peak Load as reported on page 400, column b of Form 1 at the time of DEO's annual peak.</t>
  </si>
  <si>
    <t>DEOK 12 CP is Duke Energy Ohio ("DEO") Monthly Firm Transmission System Peak Load as reported on page 400, column b of Form 1 at the time of DEO's monthly peaks.</t>
  </si>
  <si>
    <t>For the 12 months ended: 12/31/2020</t>
  </si>
  <si>
    <t>ROE - Docket Nos. ER12-91-000, ER12-92-000 (Settlement) and EL22-34-002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</si>
</sst>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#,##0.00000"/>
    <numFmt numFmtId="166" formatCode="0.00000"/>
    <numFmt numFmtId="167" formatCode="#,##0.0000"/>
    <numFmt numFmtId="168" formatCode="#,##0.000"/>
    <numFmt numFmtId="169" formatCode="0.0000"/>
    <numFmt numFmtId="170" formatCode="&quot;$&quot;#,##0"/>
    <numFmt numFmtId="171" formatCode="#,##0.0"/>
    <numFmt numFmtId="172" formatCode="&quot;$&quot;#,##0.000"/>
    <numFmt numFmtId="173" formatCode="&quot;$&quot;#,##0.00"/>
    <numFmt numFmtId="174" formatCode="_(* #,##0_);_(* \(#,##0\);_(* &quot;-&quot;??_);_(@_)"/>
    <numFmt numFmtId="175" formatCode="_(&quot;$&quot;* #,##0_);_(&quot;$&quot;* \(#,##0\);_(&quot;$&quot;* &quot;-&quot;??_);_(@_)"/>
    <numFmt numFmtId="176" formatCode="_(* #,##0.0%_);_(* \(#,##0.0%\);_(* &quot;- %&quot;??_);_(@_)"/>
    <numFmt numFmtId="177" formatCode="0_);\(0\)"/>
    <numFmt numFmtId="178" formatCode="_(* #,##0.0\¢_m;[Red]_(* \-#,##0.0\¢_m;[Green]_(* 0.0\¢_m;_(@_)_%"/>
    <numFmt numFmtId="179" formatCode="_(* #,##0.00\¢_m;[Red]_(* \-#,##0.00\¢_m;[Green]_(* 0.00\¢_m;_(@_)_%"/>
    <numFmt numFmtId="180" formatCode="_(* #,##0.000\¢_m;[Red]_(* \-#,##0.000\¢_m;[Green]_(* 0.000\¢_m;_(@_)_%"/>
    <numFmt numFmtId="181" formatCode="_(_(\£* #,##0_)_%;[Red]_(\(\£* #,##0\)_%;[Green]_(_(\£* #,##0_)_%;_(@_)_%"/>
    <numFmt numFmtId="182" formatCode="_(_(\£* #,##0.0_)_%;[Red]_(\(\£* #,##0.0\)_%;[Green]_(_(\£* #,##0.0_)_%;_(@_)_%"/>
    <numFmt numFmtId="183" formatCode="_(_(\£* #,##0.00_)_%;[Red]_(\(\£* #,##0.00\)_%;[Green]_(_(\£* #,##0.00_)_%;_(@_)_%"/>
    <numFmt numFmtId="184" formatCode="0.0%_);\(0.0%\)"/>
    <numFmt numFmtId="185" formatCode="\•\ \ @"/>
    <numFmt numFmtId="186" formatCode="_(_(\•_ #0_)_%;[Red]_(_(\•_ \-#0\)_%;[Green]_(_(\•_ #0_)_%;_(_(\•_ @_)_%"/>
    <numFmt numFmtId="187" formatCode="_(_(_•_ \•_ #0_)_%;[Red]_(_(_•_ \•_ \-#0\)_%;[Green]_(_(_•_ \•_ #0_)_%;_(_(_•_ \•_ @_)_%"/>
    <numFmt numFmtId="188" formatCode="_(_(_•_ _•_ \•_ #0_)_%;[Red]_(_(_•_ _•_ \•_ \-#0\)_%;[Green]_(_(_•_ _•_ \•_ #0_)_%;_(_(_•_ \•_ @_)_%"/>
    <numFmt numFmtId="189" formatCode="#,##0,_);\(#,##0,\)"/>
    <numFmt numFmtId="190" formatCode="#,##0.0_);\(#,##0.0\)"/>
    <numFmt numFmtId="191" formatCode="0.0,_);\(0.0,\)"/>
    <numFmt numFmtId="192" formatCode="0.00,_);\(0.00,\)"/>
    <numFmt numFmtId="193" formatCode="#,##0.000_);\(#,##0.000\)"/>
    <numFmt numFmtId="194" formatCode="_(_(_$* #,##0.0_)_%;[Red]_(\(_$* #,##0.0\)_%;[Green]_(_(_$* #,##0.0_)_%;_(@_)_%"/>
    <numFmt numFmtId="195" formatCode="_(_(_$* #,##0.00_)_%;[Red]_(\(_$* #,##0.00\)_%;[Green]_(_(_$* #,##0.00_)_%;_(@_)_%"/>
    <numFmt numFmtId="196" formatCode="_(_(_$* #,##0.000_)_%;[Red]_(\(_$* #,##0.000\)_%;[Green]_(_(_$* #,##0.000_)_%;_(@_)_%"/>
    <numFmt numFmtId="197" formatCode="_._.* #,##0.0_)_%;_._.* \(#,##0.0\)_%;_._.* \ ?_)_%"/>
    <numFmt numFmtId="198" formatCode="_._.* #,##0.00_)_%;_._.* \(#,##0.00\)_%;_._.* \ ?_)_%"/>
    <numFmt numFmtId="199" formatCode="_._.* #,##0.000_)_%;_._.* \(#,##0.000\)_%;_._.* \ ?_)_%"/>
    <numFmt numFmtId="200" formatCode="_._.* #,##0.0000_)_%;_._.* \(#,##0.0000\)_%;_._.* \ ?_)_%"/>
    <numFmt numFmtId="201" formatCode="_(_(&quot;$&quot;* #,##0.0_)_%;[Red]_(\(&quot;$&quot;* #,##0.0\)_%;[Green]_(_(&quot;$&quot;* #,##0.0_)_%;_(@_)_%"/>
    <numFmt numFmtId="202" formatCode="_(_(&quot;$&quot;* #,##0.00_)_%;[Red]_(\(&quot;$&quot;* #,##0.00\)_%;[Green]_(_(&quot;$&quot;* #,##0.00_)_%;_(@_)_%"/>
    <numFmt numFmtId="203" formatCode="_(_(&quot;$&quot;* #,##0.000_)_%;[Red]_(\(&quot;$&quot;* #,##0.000\)_%;[Green]_(_(&quot;$&quot;* #,##0.000_)_%;_(@_)_%"/>
    <numFmt numFmtId="204" formatCode="_._.&quot;$&quot;* #,##0.0_)_%;_._.&quot;$&quot;* \(#,##0.0\)_%;_._.&quot;$&quot;* \ ?_)_%"/>
    <numFmt numFmtId="205" formatCode="_._.&quot;$&quot;* #,##0.00_)_%;_._.&quot;$&quot;* \(#,##0.00\)_%;_._.&quot;$&quot;* \ ?_)_%"/>
    <numFmt numFmtId="206" formatCode="_._.&quot;$&quot;* #,##0.000_)_%;_._.&quot;$&quot;* \(#,##0.000\)_%;_._.&quot;$&quot;* \ ?_)_%"/>
    <numFmt numFmtId="207" formatCode="_._.&quot;$&quot;* #,##0.0000_)_%;_._.&quot;$&quot;* \(#,##0.0000\)_%;_._.&quot;$&quot;* \ ?_)_%"/>
    <numFmt numFmtId="208" formatCode="&quot;$&quot;#,##0,_);\(&quot;$&quot;#,##0,\)"/>
    <numFmt numFmtId="209" formatCode="&quot;$&quot;#,##0.0_);\(&quot;$&quot;#,##0.0\)"/>
    <numFmt numFmtId="210" formatCode="&quot;$&quot;0.0,_);\(&quot;$&quot;0.0,\)"/>
    <numFmt numFmtId="211" formatCode="&quot;$&quot;0.00,_);\(&quot;$&quot;0.00,\)"/>
    <numFmt numFmtId="212" formatCode="&quot;$&quot;#,##0.000_);\(&quot;$&quot;#,##0.000\)"/>
    <numFmt numFmtId="213" formatCode="_(* dd\-mmm\-yy_)_%"/>
    <numFmt numFmtId="214" formatCode="_(* dd\ mmmm\ yyyy_)_%"/>
    <numFmt numFmtId="215" formatCode="_(* mmmm\ dd\,\ yyyy_)_%"/>
    <numFmt numFmtId="216" formatCode="_(* dd\.mm\.yyyy_)_%"/>
    <numFmt numFmtId="217" formatCode="_(* mm/dd/yyyy_)_%"/>
    <numFmt numFmtId="218" formatCode="m/d/yy;@"/>
    <numFmt numFmtId="219" formatCode="#,##0.0\x_);\(#,##0.0\x\)"/>
    <numFmt numFmtId="220" formatCode="#,##0.00\x_);\(#,##0.00\x\)"/>
    <numFmt numFmtId="221" formatCode="_([$€-2]* #,##0.00_);_([$€-2]* \(#,##0.00\);_([$€-2]* &quot;-&quot;??_)"/>
    <numFmt numFmtId="222" formatCode="General_)_%"/>
    <numFmt numFmtId="223" formatCode="_(_(#0_)_%;[Red]_(_(\-#0\)_%;[Green]_(_(#0_)_%;_(_(@_)_%"/>
    <numFmt numFmtId="224" formatCode="_(_(_•_ #0_)_%;[Red]_(_(_•_ \-#0\)_%;[Green]_(_(_•_ #0_)_%;_(_(_•_ @_)_%"/>
    <numFmt numFmtId="225" formatCode="_(_(_•_ _•_ #0_)_%;[Red]_(_(_•_ _•_ \-#0\)_%;[Green]_(_(_•_ _•_ #0_)_%;_(_(_•_ _•_ @_)_%"/>
    <numFmt numFmtId="226" formatCode="_(_(_•_ _•_ _•_ #0_)_%;[Red]_(_(_•_ _•_ _•_ \-#0\)_%;[Green]_(_(_•_ _•_ _•_ #0_)_%;_(_(_•_ _•_ _•_ @_)_%"/>
    <numFmt numFmtId="227" formatCode="#,##0\x;\(#,##0\x\)"/>
    <numFmt numFmtId="228" formatCode="0.0\x;\(0.0\x\)"/>
    <numFmt numFmtId="229" formatCode="#,##0.00\x;\(#,##0.00\x\)"/>
    <numFmt numFmtId="230" formatCode="#,##0.000\x;\(#,##0.000\x\)"/>
    <numFmt numFmtId="231" formatCode="0.0_);\(0.0\)"/>
    <numFmt numFmtId="232" formatCode="0%;\(0%\)"/>
    <numFmt numFmtId="233" formatCode="0.00\ \x_);\(0.00\ \x\)"/>
    <numFmt numFmtId="234" formatCode="_(* #,##0_);_(* \(#,##0\);_(* &quot;-&quot;????_);_(@_)"/>
    <numFmt numFmtId="235" formatCode="0__"/>
    <numFmt numFmtId="236" formatCode="h:mmAM/PM"/>
    <numFmt numFmtId="237" formatCode="0&quot; E&quot;"/>
    <numFmt numFmtId="238" formatCode="yyyy"/>
    <numFmt numFmtId="239" formatCode="&quot;$&quot;#,##0.0"/>
    <numFmt numFmtId="240" formatCode="0.0%;\(0.0%\)"/>
    <numFmt numFmtId="241" formatCode="0.00%_);\(0.00%\)"/>
    <numFmt numFmtId="242" formatCode="0.000%_);\(0.000%\)"/>
    <numFmt numFmtId="243" formatCode="_(0_)%;\(0\)%;\ \ ?_)%"/>
    <numFmt numFmtId="244" formatCode="_._._(* 0_)%;_._.* \(0\)%;_._._(* \ ?_)%"/>
    <numFmt numFmtId="245" formatCode="0%_);\(0%\)"/>
    <numFmt numFmtId="246" formatCode="_(* #,##0_)_%;[Red]_(* \(#,##0\)_%;[Green]_(* 0_)_%;_(@_)_%"/>
    <numFmt numFmtId="247" formatCode="_(* #,##0.0%_);[Red]_(* \-#,##0.0%_);[Green]_(* 0.0%_);_(@_)_%"/>
    <numFmt numFmtId="248" formatCode="_(* #,##0.00%_);[Red]_(* \-#,##0.00%_);[Green]_(* 0.00%_);_(@_)_%"/>
    <numFmt numFmtId="249" formatCode="_(* #,##0.000%_);[Red]_(* \-#,##0.000%_);[Green]_(* 0.000%_);_(@_)_%"/>
    <numFmt numFmtId="250" formatCode="_(0.0_)%;\(0.0\)%;\ \ ?_)%"/>
    <numFmt numFmtId="251" formatCode="_._._(* 0.0_)%;_._.* \(0.0\)%;_._._(* \ ?_)%"/>
    <numFmt numFmtId="252" formatCode="_(0.00_)%;\(0.00\)%;\ \ ?_)%"/>
    <numFmt numFmtId="253" formatCode="_._._(* 0.00_)%;_._.* \(0.00\)%;_._._(* \ ?_)%"/>
    <numFmt numFmtId="254" formatCode="_(0.000_)%;\(0.000\)%;\ \ ?_)%"/>
    <numFmt numFmtId="255" formatCode="_._._(* 0.000_)%;_._.* \(0.000\)%;_._._(* \ ?_)%"/>
    <numFmt numFmtId="256" formatCode="_(0.0000_)%;\(0.0000\)%;\ \ ?_)%"/>
    <numFmt numFmtId="257" formatCode="_._._(* 0.0000_)%;_._.* \(0.0000\)%;_._._(* \ ?_)%"/>
    <numFmt numFmtId="258" formatCode="0.0%"/>
    <numFmt numFmtId="259" formatCode="mmmm\ dd\,\ yy"/>
    <numFmt numFmtId="260" formatCode="0.0\x"/>
    <numFmt numFmtId="261" formatCode="_(* #,##0_);_(* \(#,##0\);_(* \ ?_)"/>
    <numFmt numFmtId="262" formatCode="_(* #,##0.0_);_(* \(#,##0.0\);_(* \ ?_)"/>
    <numFmt numFmtId="263" formatCode="_(* #,##0.00_);_(* \(#,##0.00\);_(* \ ?_)"/>
    <numFmt numFmtId="264" formatCode="_(* #,##0.000_);_(* \(#,##0.000\);_(* \ ?_)"/>
    <numFmt numFmtId="265" formatCode="_(&quot;$&quot;* #,##0_);_(&quot;$&quot;* \(#,##0\);_(&quot;$&quot;* \ ?_)"/>
    <numFmt numFmtId="266" formatCode="_(&quot;$&quot;* #,##0.0_);_(&quot;$&quot;* \(#,##0.0\);_(&quot;$&quot;* \ ?_)"/>
    <numFmt numFmtId="267" formatCode="_(&quot;$&quot;* #,##0.00_);_(&quot;$&quot;* \(#,##0.00\);_(&quot;$&quot;* \ ?_)"/>
    <numFmt numFmtId="268" formatCode="_(&quot;$&quot;* #,##0.000_);_(&quot;$&quot;* \(#,##0.000\);_(&quot;$&quot;* \ ?_)"/>
    <numFmt numFmtId="269" formatCode="0000&quot;A&quot;"/>
    <numFmt numFmtId="270" formatCode="0&quot;E&quot;"/>
    <numFmt numFmtId="271" formatCode="0000&quot;E&quot;"/>
    <numFmt numFmtId="272" formatCode="&quot;$&quot;#,##0.0000"/>
    <numFmt numFmtId="273" formatCode="0.000000%"/>
    <numFmt numFmtId="274" formatCode="0.00000000"/>
    <numFmt numFmtId="275" formatCode="#,##0.00\ ;[Red]\(#,##0.00\)"/>
    <numFmt numFmtId="276" formatCode="_(* #,##0.0_);_(* \(#,##0.0\);_(* &quot;-&quot;?_);@_)"/>
    <numFmt numFmtId="277" formatCode="d\ mmmm\ yyyy"/>
    <numFmt numFmtId="278" formatCode="#,##0_ ;[Red]\(#,##0\)\ "/>
    <numFmt numFmtId="279" formatCode="dd\ mmm\ yyyy"/>
    <numFmt numFmtId="280" formatCode="General_)"/>
    <numFmt numFmtId="281" formatCode="#,##0.0000000000_);\(#,##0.0000000000\)"/>
    <numFmt numFmtId="282" formatCode="_(* #,##0.00000_);_(* \(#,##0.00000\);_(* &quot;-&quot;_);_(@_)"/>
    <numFmt numFmtId="283" formatCode="_(* #,##0.0000000_);_(* \(#,##0.0000000\);_(* &quot;-&quot;_);_(@_)"/>
    <numFmt numFmtId="284" formatCode="_(&quot;$&quot;* #,##0.00_);_(&quot;$&quot;* \(#,##0.00\);_(&quot;$&quot;* &quot;-&quot;_);_(@_)"/>
    <numFmt numFmtId="285" formatCode="[&gt;=0]#,##0;[&lt;0]\(#,##0\)"/>
  </numFmts>
  <fonts count="256">
    <font>
      <sz val="12"/>
      <name val="Arial M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 MT"/>
    </font>
    <font>
      <sz val="12"/>
      <name val="Times New Roman"/>
      <family val="1"/>
    </font>
    <font>
      <sz val="10"/>
      <name val="Arial MT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1"/>
      <name val="Arial"/>
      <family val="2"/>
    </font>
    <font>
      <b/>
      <sz val="12"/>
      <name val="Arial MT"/>
    </font>
    <font>
      <sz val="12"/>
      <color indexed="17"/>
      <name val="Arial MT"/>
    </font>
    <font>
      <sz val="12"/>
      <color indexed="10"/>
      <name val="Arial MT"/>
    </font>
    <font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b/>
      <u val="double"/>
      <sz val="12"/>
      <name val="Arial"/>
      <family val="2"/>
    </font>
    <font>
      <u/>
      <sz val="10"/>
      <name val="Arial"/>
      <family val="2"/>
    </font>
    <font>
      <b/>
      <u val="singleAccounting"/>
      <sz val="10"/>
      <name val="Arial"/>
      <family val="2"/>
    </font>
    <font>
      <u val="doubleAccounting"/>
      <sz val="10"/>
      <color indexed="12"/>
      <name val="Arial"/>
      <family val="2"/>
    </font>
    <font>
      <sz val="8"/>
      <name val="Arial"/>
      <family val="2"/>
    </font>
    <font>
      <b/>
      <u val="singleAccounting"/>
      <sz val="12"/>
      <name val="Arial"/>
      <family val="2"/>
    </font>
    <font>
      <u val="singleAccounting"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 Narrow"/>
      <family val="2"/>
    </font>
    <font>
      <sz val="10"/>
      <name val="MS Sans Serif"/>
      <family val="2"/>
    </font>
    <font>
      <u val="doubleAccounting"/>
      <sz val="12"/>
      <name val="Arial"/>
      <family val="2"/>
    </font>
    <font>
      <sz val="12"/>
      <color rgb="FF0000FF"/>
      <name val="Arial MT"/>
    </font>
    <font>
      <sz val="12"/>
      <color rgb="FF0000FF"/>
      <name val="Arial"/>
      <family val="2"/>
    </font>
    <font>
      <u val="singleAccounting"/>
      <sz val="12"/>
      <color rgb="FF0000FF"/>
      <name val="Arial"/>
      <family val="2"/>
    </font>
    <font>
      <u val="doubleAccounting"/>
      <sz val="12"/>
      <color rgb="FF0000FF"/>
      <name val="Arial"/>
      <family val="2"/>
    </font>
    <font>
      <sz val="10"/>
      <color rgb="FF0000FF"/>
      <name val="Arial"/>
      <family val="2"/>
    </font>
    <font>
      <b/>
      <u/>
      <sz val="12"/>
      <name val="Arial MT"/>
    </font>
    <font>
      <sz val="10"/>
      <name val="MS Sans Serif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0"/>
      <name val="C Helvetica Condensed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9"/>
      <color indexed="12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sz val="12"/>
      <name val="Helv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i/>
      <sz val="8"/>
      <name val="Arial"/>
      <family val="2"/>
    </font>
    <font>
      <sz val="8"/>
      <color indexed="22"/>
      <name val="Arial"/>
      <family val="2"/>
    </font>
    <font>
      <sz val="10"/>
      <name val="Book Antiqua"/>
      <family val="1"/>
    </font>
    <font>
      <b/>
      <i/>
      <sz val="14"/>
      <name val="Tms Rmn"/>
    </font>
    <font>
      <sz val="10"/>
      <color indexed="42"/>
      <name val="Arial"/>
      <family val="2"/>
    </font>
    <font>
      <sz val="10"/>
      <color indexed="46"/>
      <name val="Arial"/>
      <family val="2"/>
    </font>
    <font>
      <b/>
      <sz val="14"/>
      <name val="Book Antiqua"/>
      <family val="1"/>
    </font>
    <font>
      <i/>
      <sz val="10"/>
      <name val="Book Antiqua"/>
      <family val="1"/>
    </font>
    <font>
      <b/>
      <sz val="10"/>
      <color indexed="22"/>
      <name val="Arial"/>
      <family val="2"/>
    </font>
    <font>
      <sz val="10"/>
      <color indexed="12"/>
      <name val="Book Antiqua"/>
      <family val="1"/>
    </font>
    <font>
      <i/>
      <sz val="16"/>
      <name val="Times New Roman"/>
      <family val="1"/>
    </font>
    <font>
      <sz val="7"/>
      <name val="Small Fonts"/>
      <family val="2"/>
    </font>
    <font>
      <u/>
      <sz val="10"/>
      <name val="Times New Roman"/>
      <family val="1"/>
    </font>
    <font>
      <b/>
      <sz val="10"/>
      <name val="MS Sans Serif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0"/>
      <color indexed="40"/>
      <name val="Arial"/>
      <family val="2"/>
    </font>
    <font>
      <sz val="10"/>
      <color indexed="8"/>
      <name val="Times New Roman"/>
      <family val="1"/>
    </font>
    <font>
      <b/>
      <i/>
      <sz val="12"/>
      <name val="Times New Roman"/>
      <family val="1"/>
    </font>
    <font>
      <sz val="10"/>
      <name val="Futura UBS Bk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Times New Roman"/>
      <family val="1"/>
    </font>
    <font>
      <b/>
      <sz val="10"/>
      <color indexed="10"/>
      <name val="Arial"/>
      <family val="2"/>
    </font>
    <font>
      <i/>
      <sz val="8"/>
      <name val="Times New Roman"/>
      <family val="1"/>
    </font>
    <font>
      <sz val="10"/>
      <color indexed="21"/>
      <name val="Arial"/>
      <family val="2"/>
    </font>
    <font>
      <b/>
      <sz val="8"/>
      <name val="Arial"/>
      <family val="2"/>
    </font>
    <font>
      <u/>
      <sz val="12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u/>
      <sz val="12"/>
      <name val="Arial MT"/>
    </font>
    <font>
      <u val="singleAccounting"/>
      <sz val="12"/>
      <color indexed="12"/>
      <name val="Arial"/>
      <family val="2"/>
    </font>
    <font>
      <vertAlign val="superscript"/>
      <sz val="12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2"/>
      <name val="Courier"/>
      <family val="3"/>
    </font>
    <font>
      <vertAlign val="superscript"/>
      <sz val="10"/>
      <color theme="1"/>
      <name val="Arial"/>
      <family val="2"/>
    </font>
    <font>
      <sz val="11"/>
      <color rgb="FF0000FF"/>
      <name val="Arial"/>
      <family val="2"/>
    </font>
    <font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</font>
    <font>
      <sz val="10"/>
      <color indexed="10"/>
      <name val="Arial"/>
      <family val="2"/>
    </font>
    <font>
      <b/>
      <sz val="10"/>
      <color rgb="FF0000FF"/>
      <name val="Arial"/>
      <family val="2"/>
    </font>
    <font>
      <b/>
      <u val="singleAccounting"/>
      <sz val="10"/>
      <color rgb="FFFF0000"/>
      <name val="Arial"/>
      <family val="2"/>
    </font>
    <font>
      <b/>
      <sz val="12"/>
      <color rgb="FF0000FF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sz val="12"/>
      <color rgb="FFFF0000"/>
      <name val="Arial MT"/>
    </font>
    <font>
      <sz val="12"/>
      <color rgb="FF333399"/>
      <name val="Arial MT"/>
    </font>
    <font>
      <sz val="12"/>
      <color rgb="FFFF6600"/>
      <name val="Arial MT"/>
    </font>
    <font>
      <sz val="12"/>
      <color rgb="FF000000"/>
      <name val="Arial MT"/>
    </font>
    <font>
      <sz val="12"/>
      <color rgb="FF993300"/>
      <name val="Arial MT"/>
    </font>
    <font>
      <sz val="12"/>
      <color rgb="FF993366"/>
      <name val="Arial MT"/>
    </font>
    <font>
      <sz val="12"/>
      <color rgb="FF008000"/>
      <name val="Arial M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9C0006"/>
      <name val="Calibri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1"/>
      <color rgb="FFFA7D00"/>
      <name val="Calibri"/>
      <family val="2"/>
    </font>
    <font>
      <b/>
      <sz val="11"/>
      <color indexed="52"/>
      <name val="Calibri"/>
      <family val="2"/>
      <scheme val="minor"/>
    </font>
    <font>
      <b/>
      <sz val="11"/>
      <color indexed="9"/>
      <name val="Calibri"/>
      <family val="2"/>
    </font>
    <font>
      <b/>
      <u val="singleAccounting"/>
      <sz val="8"/>
      <color indexed="8"/>
      <name val="Arial"/>
      <family val="2"/>
    </font>
    <font>
      <b/>
      <sz val="10"/>
      <name val="Arial Narrow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u/>
      <sz val="11"/>
      <color indexed="37"/>
      <name val="Arial"/>
      <family val="2"/>
    </font>
    <font>
      <b/>
      <sz val="15"/>
      <color theme="3"/>
      <name val="Calibri"/>
      <family val="2"/>
    </font>
    <font>
      <b/>
      <sz val="15"/>
      <color indexed="56"/>
      <name val="Calibri"/>
      <family val="2"/>
    </font>
    <font>
      <b/>
      <sz val="13"/>
      <color theme="3"/>
      <name val="Calibri"/>
      <family val="2"/>
    </font>
    <font>
      <b/>
      <sz val="13"/>
      <color indexed="56"/>
      <name val="Calibri"/>
      <family val="2"/>
    </font>
    <font>
      <b/>
      <sz val="11"/>
      <color theme="3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2"/>
      <color indexed="8"/>
      <name val="Arial"/>
      <family val="2"/>
    </font>
    <font>
      <sz val="8"/>
      <color indexed="12"/>
      <name val="Arial"/>
      <family val="2"/>
    </font>
    <font>
      <sz val="11"/>
      <color rgb="FF3F3F76"/>
      <name val="Calibri"/>
      <family val="2"/>
    </font>
    <font>
      <sz val="1"/>
      <color indexed="9"/>
      <name val="Symbol"/>
      <family val="1"/>
      <charset val="2"/>
    </font>
    <font>
      <sz val="11"/>
      <color rgb="FFFA7D00"/>
      <name val="Calibri"/>
      <family val="2"/>
    </font>
    <font>
      <sz val="11"/>
      <color indexed="52"/>
      <name val="Calibri"/>
      <family val="2"/>
    </font>
    <font>
      <sz val="11"/>
      <color rgb="FF9C6500"/>
      <name val="Calibri"/>
      <family val="2"/>
    </font>
    <font>
      <sz val="11"/>
      <color indexed="60"/>
      <name val="Calibri"/>
      <family val="2"/>
      <scheme val="minor"/>
    </font>
    <font>
      <b/>
      <u val="singleAccounting"/>
      <sz val="8"/>
      <color indexed="8"/>
      <name val="Verdana"/>
      <family val="2"/>
    </font>
    <font>
      <b/>
      <sz val="10"/>
      <color indexed="9"/>
      <name val="Arial"/>
      <family val="2"/>
    </font>
    <font>
      <b/>
      <sz val="12"/>
      <color indexed="8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color rgb="FF000000"/>
      <name val="Arial"/>
      <family val="2"/>
    </font>
    <font>
      <sz val="10"/>
      <name val="Courier"/>
      <family val="3"/>
    </font>
    <font>
      <sz val="10"/>
      <name val="Arial "/>
    </font>
    <font>
      <sz val="10"/>
      <name val="Arial Unicode MS"/>
      <family val="2"/>
    </font>
    <font>
      <b/>
      <sz val="11"/>
      <color rgb="FF3F3F3F"/>
      <name val="Calibri"/>
      <family val="2"/>
    </font>
    <font>
      <b/>
      <sz val="11"/>
      <color indexed="16"/>
      <name val="Times New Roman"/>
      <family val="1"/>
    </font>
    <font>
      <sz val="10"/>
      <color indexed="18"/>
      <name val="Times New Roman"/>
      <family val="1"/>
    </font>
    <font>
      <sz val="8"/>
      <name val="Arial Narrow"/>
      <family val="2"/>
    </font>
    <font>
      <b/>
      <sz val="8"/>
      <color indexed="9"/>
      <name val="Verdana"/>
      <family val="2"/>
    </font>
    <font>
      <sz val="9"/>
      <color theme="1"/>
      <name val="Calibri"/>
      <family val="2"/>
      <scheme val="minor"/>
    </font>
    <font>
      <vertAlign val="sub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1"/>
      <color indexed="8"/>
      <name val="Calibri"/>
      <family val="2"/>
    </font>
    <font>
      <sz val="12"/>
      <color indexed="8"/>
      <name val="Arial MT"/>
    </font>
    <font>
      <sz val="11"/>
      <color indexed="10"/>
      <name val="Calibri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perscript"/>
      <sz val="12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0000CC"/>
      <name val="Arial"/>
      <family val="2"/>
    </font>
    <font>
      <u val="singleAccounting"/>
      <sz val="12"/>
      <color rgb="FF0000FF"/>
      <name val="Arial MT"/>
    </font>
    <font>
      <u/>
      <sz val="12"/>
      <color rgb="FF0000FF"/>
      <name val="Arial"/>
      <family val="2"/>
    </font>
    <font>
      <b/>
      <u/>
      <sz val="10"/>
      <color theme="1"/>
      <name val="Arial"/>
      <family val="2"/>
    </font>
    <font>
      <u val="doubleAccounting"/>
      <sz val="12"/>
      <color indexed="12"/>
      <name val="Arial"/>
      <family val="2"/>
    </font>
    <font>
      <u/>
      <sz val="12"/>
      <color rgb="FFFF0000"/>
      <name val="Arial MT"/>
    </font>
    <font>
      <b/>
      <u val="singleAccounting"/>
      <vertAlign val="superscript"/>
      <sz val="12"/>
      <name val="Arial"/>
      <family val="2"/>
    </font>
    <font>
      <u val="singleAccounting"/>
      <sz val="10"/>
      <color rgb="FF0000FF"/>
      <name val="Arial"/>
      <family val="2"/>
    </font>
    <font>
      <b/>
      <u val="singleAccounting"/>
      <vertAlign val="superscript"/>
      <sz val="10"/>
      <name val="Arial"/>
      <family val="2"/>
    </font>
    <font>
      <u val="singleAccounting"/>
      <sz val="10"/>
      <color theme="1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indexed="8"/>
      <name val="Times New Roman"/>
      <family val="2"/>
    </font>
    <font>
      <b/>
      <sz val="11"/>
      <color indexed="63"/>
      <name val="Calibri"/>
      <family val="2"/>
    </font>
    <font>
      <u val="doubleAccounting"/>
      <sz val="10"/>
      <color theme="1"/>
      <name val="Arial"/>
      <family val="2"/>
    </font>
  </fonts>
  <fills count="1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9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</patternFill>
    </fill>
    <fill>
      <patternFill patternType="solid">
        <fgColor theme="4"/>
        <bgColor indexed="64"/>
      </patternFill>
    </fill>
    <fill>
      <patternFill patternType="solid">
        <fgColor indexed="62"/>
      </patternFill>
    </fill>
    <fill>
      <patternFill patternType="solid">
        <fgColor theme="5"/>
        <bgColor indexed="64"/>
      </patternFill>
    </fill>
    <fill>
      <patternFill patternType="solid">
        <fgColor indexed="10"/>
      </patternFill>
    </fill>
    <fill>
      <patternFill patternType="solid">
        <fgColor theme="6"/>
        <bgColor indexed="64"/>
      </patternFill>
    </fill>
    <fill>
      <patternFill patternType="solid">
        <fgColor indexed="57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</patternFill>
    </fill>
    <fill>
      <patternFill patternType="solid">
        <fgColor rgb="FFF2F2F2"/>
        <bgColor indexed="64"/>
      </patternFill>
    </fill>
    <fill>
      <patternFill patternType="solid">
        <fgColor indexed="22"/>
      </patternFill>
    </fill>
    <fill>
      <patternFill patternType="solid">
        <fgColor rgb="FFA5A5A5"/>
        <bgColor indexed="64"/>
      </patternFill>
    </fill>
    <fill>
      <patternFill patternType="solid">
        <fgColor indexed="60"/>
        <bgColor indexed="64"/>
      </patternFill>
    </fill>
    <fill>
      <patternFill patternType="gray0625"/>
    </fill>
    <fill>
      <patternFill patternType="solid">
        <fgColor rgb="FFC6EFCE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</borders>
  <cellStyleXfs count="9119">
    <xf numFmtId="173" fontId="0" fillId="0" borderId="0" applyProtection="0"/>
    <xf numFmtId="43" fontId="47" fillId="0" borderId="0" applyFont="0" applyFill="0" applyBorder="0" applyAlignment="0" applyProtection="0"/>
    <xf numFmtId="43" fontId="63" fillId="0" borderId="0" applyFont="0" applyFill="0" applyBorder="0" applyAlignment="0" applyProtection="0"/>
    <xf numFmtId="221" fontId="62" fillId="0" borderId="0">
      <alignment vertical="top"/>
    </xf>
    <xf numFmtId="173" fontId="31" fillId="0" borderId="0" applyProtection="0"/>
    <xf numFmtId="221" fontId="47" fillId="0" borderId="0"/>
    <xf numFmtId="221" fontId="47" fillId="0" borderId="0"/>
    <xf numFmtId="221" fontId="47" fillId="0" borderId="0"/>
    <xf numFmtId="221" fontId="47" fillId="0" borderId="0"/>
    <xf numFmtId="221" fontId="47" fillId="0" borderId="0"/>
    <xf numFmtId="221" fontId="47" fillId="0" borderId="0"/>
    <xf numFmtId="9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71" fillId="0" borderId="0" applyFont="0" applyFill="0" applyBorder="0" applyAlignment="0" applyProtection="0"/>
    <xf numFmtId="221" fontId="42" fillId="0" borderId="0"/>
    <xf numFmtId="44" fontId="42" fillId="0" borderId="0" applyFont="0" applyFill="0" applyBorder="0" applyAlignment="0" applyProtection="0"/>
    <xf numFmtId="221" fontId="42" fillId="0" borderId="0"/>
    <xf numFmtId="178" fontId="75" fillId="0" borderId="0" applyFont="0" applyFill="0" applyBorder="0" applyAlignment="0" applyProtection="0"/>
    <xf numFmtId="179" fontId="75" fillId="0" borderId="0" applyFont="0" applyFill="0" applyBorder="0" applyAlignment="0" applyProtection="0"/>
    <xf numFmtId="180" fontId="75" fillId="0" borderId="0" applyFont="0" applyFill="0" applyBorder="0" applyAlignment="0" applyProtection="0"/>
    <xf numFmtId="181" fontId="75" fillId="0" borderId="0" applyFont="0" applyFill="0" applyBorder="0" applyAlignment="0" applyProtection="0"/>
    <xf numFmtId="182" fontId="75" fillId="0" borderId="0" applyFont="0" applyFill="0" applyBorder="0" applyAlignment="0" applyProtection="0"/>
    <xf numFmtId="183" fontId="75" fillId="0" borderId="0" applyFont="0" applyFill="0" applyBorder="0" applyAlignment="0" applyProtection="0"/>
    <xf numFmtId="221" fontId="74" fillId="0" borderId="0"/>
    <xf numFmtId="184" fontId="42" fillId="6" borderId="0" applyNumberFormat="0" applyFill="0" applyBorder="0" applyAlignment="0" applyProtection="0">
      <alignment horizontal="right" vertical="center"/>
    </xf>
    <xf numFmtId="184" fontId="48" fillId="0" borderId="0" applyNumberFormat="0" applyFill="0" applyBorder="0" applyAlignment="0" applyProtection="0"/>
    <xf numFmtId="221" fontId="42" fillId="0" borderId="6" applyNumberFormat="0" applyFont="0" applyFill="0" applyAlignment="0" applyProtection="0"/>
    <xf numFmtId="185" fontId="32" fillId="0" borderId="0" applyFont="0" applyFill="0" applyBorder="0" applyAlignment="0" applyProtection="0"/>
    <xf numFmtId="186" fontId="75" fillId="0" borderId="0" applyFont="0" applyFill="0" applyBorder="0" applyProtection="0">
      <alignment horizontal="left"/>
    </xf>
    <xf numFmtId="187" fontId="75" fillId="0" borderId="0" applyFont="0" applyFill="0" applyBorder="0" applyProtection="0">
      <alignment horizontal="left"/>
    </xf>
    <xf numFmtId="188" fontId="75" fillId="0" borderId="0" applyFont="0" applyFill="0" applyBorder="0" applyProtection="0">
      <alignment horizontal="left"/>
    </xf>
    <xf numFmtId="37" fontId="76" fillId="0" borderId="0" applyFont="0" applyFill="0" applyBorder="0" applyAlignment="0" applyProtection="0">
      <alignment vertical="center"/>
      <protection locked="0"/>
    </xf>
    <xf numFmtId="189" fontId="77" fillId="0" borderId="0" applyFont="0" applyFill="0" applyBorder="0" applyAlignment="0" applyProtection="0"/>
    <xf numFmtId="221" fontId="78" fillId="0" borderId="0"/>
    <xf numFmtId="221" fontId="78" fillId="0" borderId="0"/>
    <xf numFmtId="173" fontId="55" fillId="0" borderId="0" applyFill="0"/>
    <xf numFmtId="173" fontId="55" fillId="0" borderId="0">
      <alignment horizontal="center"/>
    </xf>
    <xf numFmtId="221" fontId="55" fillId="0" borderId="0" applyFill="0">
      <alignment horizontal="center"/>
    </xf>
    <xf numFmtId="173" fontId="58" fillId="0" borderId="18" applyFill="0"/>
    <xf numFmtId="221" fontId="42" fillId="0" borderId="0" applyFont="0" applyAlignment="0"/>
    <xf numFmtId="221" fontId="79" fillId="0" borderId="0" applyFill="0">
      <alignment vertical="top"/>
    </xf>
    <xf numFmtId="221" fontId="58" fillId="0" borderId="0" applyFill="0">
      <alignment horizontal="left" vertical="top"/>
    </xf>
    <xf numFmtId="173" fontId="36" fillId="0" borderId="10" applyFill="0"/>
    <xf numFmtId="221" fontId="42" fillId="0" borderId="0" applyNumberFormat="0" applyFont="0" applyAlignment="0"/>
    <xf numFmtId="221" fontId="79" fillId="0" borderId="0" applyFill="0">
      <alignment wrapText="1"/>
    </xf>
    <xf numFmtId="221" fontId="58" fillId="0" borderId="0" applyFill="0">
      <alignment horizontal="left" vertical="top" wrapText="1"/>
    </xf>
    <xf numFmtId="173" fontId="59" fillId="0" borderId="0" applyFill="0"/>
    <xf numFmtId="221" fontId="80" fillId="0" borderId="0" applyNumberFormat="0" applyFont="0" applyAlignment="0">
      <alignment horizontal="center"/>
    </xf>
    <xf numFmtId="221" fontId="81" fillId="0" borderId="0" applyFill="0">
      <alignment vertical="top" wrapText="1"/>
    </xf>
    <xf numFmtId="221" fontId="36" fillId="0" borderId="0" applyFill="0">
      <alignment horizontal="left" vertical="top" wrapText="1"/>
    </xf>
    <xf numFmtId="173" fontId="42" fillId="0" borderId="0" applyFill="0"/>
    <xf numFmtId="221" fontId="80" fillId="0" borderId="0" applyNumberFormat="0" applyFont="0" applyAlignment="0">
      <alignment horizontal="center"/>
    </xf>
    <xf numFmtId="221" fontId="82" fillId="0" borderId="0" applyFill="0">
      <alignment vertical="center" wrapText="1"/>
    </xf>
    <xf numFmtId="221" fontId="34" fillId="0" borderId="0">
      <alignment horizontal="left" vertical="center" wrapText="1"/>
    </xf>
    <xf numFmtId="173" fontId="74" fillId="0" borderId="0" applyFill="0"/>
    <xf numFmtId="221" fontId="80" fillId="0" borderId="0" applyNumberFormat="0" applyFont="0" applyAlignment="0">
      <alignment horizontal="center"/>
    </xf>
    <xf numFmtId="221" fontId="83" fillId="0" borderId="0" applyFill="0">
      <alignment horizontal="center" vertical="center" wrapText="1"/>
    </xf>
    <xf numFmtId="221" fontId="42" fillId="0" borderId="0" applyFill="0">
      <alignment horizontal="center" vertical="center" wrapText="1"/>
    </xf>
    <xf numFmtId="173" fontId="84" fillId="0" borderId="0" applyFill="0"/>
    <xf numFmtId="221" fontId="80" fillId="0" borderId="0" applyNumberFormat="0" applyFont="0" applyAlignment="0">
      <alignment horizontal="center"/>
    </xf>
    <xf numFmtId="221" fontId="85" fillId="0" borderId="0" applyFill="0">
      <alignment horizontal="center" vertical="center" wrapText="1"/>
    </xf>
    <xf numFmtId="221" fontId="86" fillId="0" borderId="0" applyFill="0">
      <alignment horizontal="center" vertical="center" wrapText="1"/>
    </xf>
    <xf numFmtId="173" fontId="87" fillId="0" borderId="0" applyFill="0"/>
    <xf numFmtId="221" fontId="80" fillId="0" borderId="0" applyNumberFormat="0" applyFont="0" applyAlignment="0">
      <alignment horizontal="center"/>
    </xf>
    <xf numFmtId="221" fontId="88" fillId="0" borderId="0">
      <alignment horizontal="center" wrapText="1"/>
    </xf>
    <xf numFmtId="221" fontId="84" fillId="0" borderId="0" applyFill="0">
      <alignment horizontal="center" wrapText="1"/>
    </xf>
    <xf numFmtId="190" fontId="89" fillId="0" borderId="0" applyFont="0" applyFill="0" applyBorder="0" applyAlignment="0" applyProtection="0">
      <protection locked="0"/>
    </xf>
    <xf numFmtId="191" fontId="89" fillId="0" borderId="0" applyFont="0" applyFill="0" applyBorder="0" applyAlignment="0" applyProtection="0">
      <protection locked="0"/>
    </xf>
    <xf numFmtId="39" fontId="42" fillId="0" borderId="0" applyFont="0" applyFill="0" applyBorder="0" applyAlignment="0" applyProtection="0"/>
    <xf numFmtId="192" fontId="90" fillId="0" borderId="0" applyFont="0" applyFill="0" applyBorder="0" applyAlignment="0" applyProtection="0"/>
    <xf numFmtId="193" fontId="77" fillId="0" borderId="0" applyFont="0" applyFill="0" applyBorder="0" applyAlignment="0" applyProtection="0"/>
    <xf numFmtId="221" fontId="42" fillId="0" borderId="6" applyNumberFormat="0" applyFont="0" applyFill="0" applyBorder="0" applyProtection="0">
      <alignment horizontal="centerContinuous" vertical="center"/>
    </xf>
    <xf numFmtId="221" fontId="91" fillId="0" borderId="0" applyFill="0" applyBorder="0" applyProtection="0">
      <alignment horizontal="center"/>
      <protection locked="0"/>
    </xf>
    <xf numFmtId="221" fontId="42" fillId="0" borderId="0"/>
    <xf numFmtId="221" fontId="92" fillId="0" borderId="0"/>
    <xf numFmtId="221" fontId="92" fillId="0" borderId="0"/>
    <xf numFmtId="221" fontId="92" fillId="0" borderId="0"/>
    <xf numFmtId="221" fontId="92" fillId="0" borderId="0"/>
    <xf numFmtId="221" fontId="92" fillId="0" borderId="0"/>
    <xf numFmtId="221" fontId="92" fillId="0" borderId="0"/>
    <xf numFmtId="221" fontId="92" fillId="0" borderId="0"/>
    <xf numFmtId="194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196" fontId="75" fillId="0" borderId="0" applyFont="0" applyFill="0" applyBorder="0" applyAlignment="0" applyProtection="0"/>
    <xf numFmtId="197" fontId="93" fillId="0" borderId="0" applyFont="0" applyFill="0" applyBorder="0" applyAlignment="0" applyProtection="0"/>
    <xf numFmtId="198" fontId="94" fillId="0" borderId="0" applyFont="0" applyFill="0" applyBorder="0" applyAlignment="0" applyProtection="0"/>
    <xf numFmtId="199" fontId="94" fillId="0" borderId="0" applyFont="0" applyFill="0" applyBorder="0" applyAlignment="0" applyProtection="0"/>
    <xf numFmtId="200" fontId="59" fillId="0" borderId="0" applyFont="0" applyFill="0" applyBorder="0" applyAlignment="0" applyProtection="0">
      <protection locked="0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42" fillId="0" borderId="0" applyFont="0" applyFill="0" applyBorder="0" applyAlignment="0" applyProtection="0"/>
    <xf numFmtId="37" fontId="95" fillId="0" borderId="0" applyFill="0" applyBorder="0" applyAlignment="0" applyProtection="0"/>
    <xf numFmtId="3" fontId="42" fillId="0" borderId="0" applyFont="0" applyFill="0" applyBorder="0" applyAlignment="0" applyProtection="0"/>
    <xf numFmtId="221" fontId="58" fillId="0" borderId="0" applyFill="0" applyBorder="0" applyAlignment="0" applyProtection="0">
      <protection locked="0"/>
    </xf>
    <xf numFmtId="201" fontId="75" fillId="0" borderId="0" applyFont="0" applyFill="0" applyBorder="0" applyAlignment="0" applyProtection="0"/>
    <xf numFmtId="202" fontId="75" fillId="0" borderId="0" applyFont="0" applyFill="0" applyBorder="0" applyAlignment="0" applyProtection="0"/>
    <xf numFmtId="203" fontId="75" fillId="0" borderId="0" applyFont="0" applyFill="0" applyBorder="0" applyAlignment="0" applyProtection="0"/>
    <xf numFmtId="204" fontId="94" fillId="0" borderId="0" applyFont="0" applyFill="0" applyBorder="0" applyAlignment="0" applyProtection="0"/>
    <xf numFmtId="205" fontId="94" fillId="0" borderId="0" applyFont="0" applyFill="0" applyBorder="0" applyAlignment="0" applyProtection="0"/>
    <xf numFmtId="206" fontId="94" fillId="0" borderId="0" applyFont="0" applyFill="0" applyBorder="0" applyAlignment="0" applyProtection="0"/>
    <xf numFmtId="207" fontId="59" fillId="0" borderId="0" applyFont="0" applyFill="0" applyBorder="0" applyAlignment="0" applyProtection="0">
      <protection locked="0"/>
    </xf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5" fontId="95" fillId="0" borderId="0" applyFill="0" applyBorder="0" applyAlignment="0" applyProtection="0"/>
    <xf numFmtId="5" fontId="42" fillId="0" borderId="0" applyFont="0" applyFill="0" applyBorder="0" applyAlignment="0" applyProtection="0"/>
    <xf numFmtId="5" fontId="42" fillId="0" borderId="0" applyFont="0" applyFill="0" applyBorder="0" applyAlignment="0" applyProtection="0"/>
    <xf numFmtId="208" fontId="77" fillId="0" borderId="0" applyFont="0" applyFill="0" applyBorder="0" applyAlignment="0" applyProtection="0"/>
    <xf numFmtId="209" fontId="42" fillId="0" borderId="0" applyFont="0" applyFill="0" applyBorder="0" applyAlignment="0" applyProtection="0"/>
    <xf numFmtId="210" fontId="89" fillId="0" borderId="0" applyFont="0" applyFill="0" applyBorder="0" applyAlignment="0" applyProtection="0">
      <protection locked="0"/>
    </xf>
    <xf numFmtId="7" fontId="55" fillId="0" borderId="0" applyFont="0" applyFill="0" applyBorder="0" applyAlignment="0" applyProtection="0"/>
    <xf numFmtId="211" fontId="90" fillId="0" borderId="0" applyFont="0" applyFill="0" applyBorder="0" applyAlignment="0" applyProtection="0"/>
    <xf numFmtId="212" fontId="96" fillId="0" borderId="0" applyFont="0" applyFill="0" applyBorder="0" applyAlignment="0" applyProtection="0"/>
    <xf numFmtId="221" fontId="97" fillId="7" borderId="19" applyNumberFormat="0" applyFont="0" applyFill="0" applyAlignment="0" applyProtection="0">
      <alignment horizontal="left" indent="1"/>
    </xf>
    <xf numFmtId="14" fontId="42" fillId="0" borderId="0" applyFont="0" applyFill="0" applyBorder="0" applyAlignment="0" applyProtection="0"/>
    <xf numFmtId="213" fontId="75" fillId="0" borderId="0" applyFont="0" applyFill="0" applyBorder="0" applyProtection="0"/>
    <xf numFmtId="214" fontId="75" fillId="0" borderId="0" applyFont="0" applyFill="0" applyBorder="0" applyProtection="0"/>
    <xf numFmtId="215" fontId="75" fillId="0" borderId="0" applyFont="0" applyFill="0" applyBorder="0" applyAlignment="0" applyProtection="0"/>
    <xf numFmtId="216" fontId="75" fillId="0" borderId="0" applyFont="0" applyFill="0" applyBorder="0" applyAlignment="0" applyProtection="0"/>
    <xf numFmtId="217" fontId="75" fillId="0" borderId="0" applyFont="0" applyFill="0" applyBorder="0" applyAlignment="0" applyProtection="0"/>
    <xf numFmtId="218" fontId="98" fillId="0" borderId="0" applyFont="0" applyFill="0" applyBorder="0" applyAlignment="0" applyProtection="0"/>
    <xf numFmtId="5" fontId="99" fillId="0" borderId="0" applyBorder="0"/>
    <xf numFmtId="209" fontId="99" fillId="0" borderId="0" applyBorder="0"/>
    <xf numFmtId="7" fontId="99" fillId="0" borderId="0" applyBorder="0"/>
    <xf numFmtId="37" fontId="99" fillId="0" borderId="0" applyBorder="0"/>
    <xf numFmtId="190" fontId="99" fillId="0" borderId="0" applyBorder="0"/>
    <xf numFmtId="219" fontId="99" fillId="0" borderId="0" applyBorder="0"/>
    <xf numFmtId="39" fontId="99" fillId="0" borderId="0" applyBorder="0"/>
    <xf numFmtId="220" fontId="99" fillId="0" borderId="0" applyBorder="0"/>
    <xf numFmtId="7" fontId="42" fillId="0" borderId="0" applyFont="0" applyFill="0" applyBorder="0" applyAlignment="0" applyProtection="0"/>
    <xf numFmtId="221" fontId="77" fillId="0" borderId="0" applyFont="0" applyFill="0" applyBorder="0" applyAlignment="0" applyProtection="0"/>
    <xf numFmtId="221" fontId="77" fillId="0" borderId="0" applyFont="0" applyFill="0" applyAlignment="0" applyProtection="0"/>
    <xf numFmtId="221" fontId="77" fillId="0" borderId="0" applyFont="0" applyFill="0" applyBorder="0" applyAlignment="0" applyProtection="0"/>
    <xf numFmtId="221" fontId="55" fillId="0" borderId="0" applyFont="0" applyFill="0" applyBorder="0" applyAlignment="0" applyProtection="0"/>
    <xf numFmtId="2" fontId="42" fillId="0" borderId="0" applyFont="0" applyFill="0" applyBorder="0" applyAlignment="0" applyProtection="0"/>
    <xf numFmtId="221" fontId="100" fillId="0" borderId="0"/>
    <xf numFmtId="190" fontId="101" fillId="0" borderId="0" applyNumberFormat="0" applyFill="0" applyBorder="0" applyAlignment="0" applyProtection="0"/>
    <xf numFmtId="221" fontId="55" fillId="0" borderId="0" applyFont="0" applyFill="0" applyBorder="0" applyAlignment="0" applyProtection="0"/>
    <xf numFmtId="221" fontId="75" fillId="0" borderId="0" applyFont="0" applyFill="0" applyBorder="0" applyProtection="0">
      <alignment horizontal="center" wrapText="1"/>
    </xf>
    <xf numFmtId="222" fontId="75" fillId="0" borderId="0" applyFont="0" applyFill="0" applyBorder="0" applyProtection="0">
      <alignment horizontal="right"/>
    </xf>
    <xf numFmtId="221" fontId="101" fillId="0" borderId="0" applyNumberFormat="0" applyFill="0" applyBorder="0" applyAlignment="0" applyProtection="0"/>
    <xf numFmtId="221" fontId="102" fillId="8" borderId="0" applyNumberFormat="0" applyFill="0" applyBorder="0" applyAlignment="0" applyProtection="0"/>
    <xf numFmtId="221" fontId="36" fillId="0" borderId="20" applyNumberFormat="0" applyAlignment="0" applyProtection="0">
      <alignment horizontal="left" vertical="center"/>
    </xf>
    <xf numFmtId="221" fontId="36" fillId="0" borderId="16">
      <alignment horizontal="left" vertical="center"/>
    </xf>
    <xf numFmtId="14" fontId="46" fillId="9" borderId="1">
      <alignment horizontal="center" vertical="center" wrapText="1"/>
    </xf>
    <xf numFmtId="221" fontId="91" fillId="0" borderId="0" applyFill="0" applyAlignment="0" applyProtection="0">
      <protection locked="0"/>
    </xf>
    <xf numFmtId="221" fontId="91" fillId="0" borderId="6" applyFill="0" applyAlignment="0" applyProtection="0">
      <protection locked="0"/>
    </xf>
    <xf numFmtId="221" fontId="103" fillId="0" borderId="1"/>
    <xf numFmtId="221" fontId="104" fillId="0" borderId="0"/>
    <xf numFmtId="221" fontId="105" fillId="0" borderId="6" applyNumberFormat="0" applyFill="0" applyAlignment="0" applyProtection="0"/>
    <xf numFmtId="221" fontId="98" fillId="10" borderId="0" applyNumberFormat="0" applyFont="0" applyBorder="0" applyAlignment="0" applyProtection="0"/>
    <xf numFmtId="221" fontId="73" fillId="3" borderId="14" applyNumberFormat="0" applyAlignment="0" applyProtection="0"/>
    <xf numFmtId="223" fontId="75" fillId="0" borderId="0" applyFont="0" applyFill="0" applyBorder="0" applyProtection="0">
      <alignment horizontal="left"/>
    </xf>
    <xf numFmtId="224" fontId="75" fillId="0" borderId="0" applyFont="0" applyFill="0" applyBorder="0" applyProtection="0">
      <alignment horizontal="left"/>
    </xf>
    <xf numFmtId="225" fontId="75" fillId="0" borderId="0" applyFont="0" applyFill="0" applyBorder="0" applyProtection="0">
      <alignment horizontal="left"/>
    </xf>
    <xf numFmtId="226" fontId="75" fillId="0" borderId="0" applyFont="0" applyFill="0" applyBorder="0" applyProtection="0">
      <alignment horizontal="left"/>
    </xf>
    <xf numFmtId="10" fontId="55" fillId="11" borderId="14" applyNumberFormat="0" applyBorder="0" applyAlignment="0" applyProtection="0"/>
    <xf numFmtId="5" fontId="106" fillId="0" borderId="0" applyBorder="0"/>
    <xf numFmtId="209" fontId="106" fillId="0" borderId="0" applyBorder="0"/>
    <xf numFmtId="7" fontId="106" fillId="0" borderId="0" applyBorder="0"/>
    <xf numFmtId="37" fontId="106" fillId="0" borderId="0" applyBorder="0"/>
    <xf numFmtId="190" fontId="106" fillId="0" borderId="0" applyBorder="0"/>
    <xf numFmtId="219" fontId="106" fillId="0" borderId="0" applyBorder="0"/>
    <xf numFmtId="39" fontId="106" fillId="0" borderId="0" applyBorder="0"/>
    <xf numFmtId="220" fontId="106" fillId="0" borderId="0" applyBorder="0"/>
    <xf numFmtId="221" fontId="98" fillId="0" borderId="3" applyNumberFormat="0" applyFont="0" applyFill="0" applyAlignment="0" applyProtection="0"/>
    <xf numFmtId="221" fontId="107" fillId="0" borderId="0"/>
    <xf numFmtId="227" fontId="42" fillId="0" borderId="0" applyFont="0" applyFill="0" applyBorder="0" applyAlignment="0" applyProtection="0"/>
    <xf numFmtId="228" fontId="42" fillId="0" borderId="0" applyFont="0" applyFill="0" applyBorder="0" applyAlignment="0" applyProtection="0"/>
    <xf numFmtId="229" fontId="42" fillId="0" borderId="0" applyFont="0" applyFill="0" applyBorder="0" applyAlignment="0" applyProtection="0"/>
    <xf numFmtId="230" fontId="42" fillId="0" borderId="0" applyFont="0" applyFill="0" applyBorder="0" applyAlignment="0" applyProtection="0"/>
    <xf numFmtId="221" fontId="42" fillId="0" borderId="0" applyFont="0" applyFill="0" applyBorder="0" applyAlignment="0" applyProtection="0">
      <alignment horizontal="right"/>
    </xf>
    <xf numFmtId="231" fontId="42" fillId="0" borderId="0" applyFont="0" applyFill="0" applyBorder="0" applyAlignment="0" applyProtection="0"/>
    <xf numFmtId="37" fontId="108" fillId="0" borderId="0"/>
    <xf numFmtId="221" fontId="77" fillId="0" borderId="0"/>
    <xf numFmtId="221" fontId="42" fillId="0" borderId="0"/>
    <xf numFmtId="221" fontId="42" fillId="0" borderId="0"/>
    <xf numFmtId="173" fontId="31" fillId="0" borderId="0" applyProtection="0"/>
    <xf numFmtId="221" fontId="42" fillId="0" borderId="0"/>
    <xf numFmtId="221" fontId="42" fillId="0" borderId="0"/>
    <xf numFmtId="221" fontId="42" fillId="0" borderId="0"/>
    <xf numFmtId="221" fontId="32" fillId="12" borderId="0" applyNumberFormat="0" applyFont="0" applyBorder="0" applyAlignment="0"/>
    <xf numFmtId="232" fontId="42" fillId="0" borderId="0" applyFont="0" applyFill="0" applyBorder="0" applyAlignment="0" applyProtection="0"/>
    <xf numFmtId="233" fontId="109" fillId="0" borderId="0"/>
    <xf numFmtId="232" fontId="42" fillId="0" borderId="0" applyFont="0" applyFill="0" applyBorder="0" applyAlignment="0" applyProtection="0"/>
    <xf numFmtId="232" fontId="42" fillId="0" borderId="0" applyFont="0" applyFill="0" applyBorder="0" applyAlignment="0" applyProtection="0"/>
    <xf numFmtId="232" fontId="42" fillId="0" borderId="0" applyFont="0" applyFill="0" applyBorder="0" applyAlignment="0" applyProtection="0"/>
    <xf numFmtId="234" fontId="42" fillId="0" borderId="0"/>
    <xf numFmtId="235" fontId="77" fillId="0" borderId="0"/>
    <xf numFmtId="235" fontId="77" fillId="0" borderId="0"/>
    <xf numFmtId="233" fontId="109" fillId="0" borderId="0"/>
    <xf numFmtId="221" fontId="77" fillId="0" borderId="0"/>
    <xf numFmtId="233" fontId="95" fillId="0" borderId="0"/>
    <xf numFmtId="234" fontId="42" fillId="0" borderId="0"/>
    <xf numFmtId="235" fontId="77" fillId="0" borderId="0"/>
    <xf numFmtId="235" fontId="77" fillId="0" borderId="0"/>
    <xf numFmtId="221" fontId="77" fillId="0" borderId="0"/>
    <xf numFmtId="221" fontId="77" fillId="0" borderId="0"/>
    <xf numFmtId="236" fontId="77" fillId="0" borderId="0"/>
    <xf numFmtId="170" fontId="77" fillId="0" borderId="0"/>
    <xf numFmtId="237" fontId="77" fillId="0" borderId="0"/>
    <xf numFmtId="236" fontId="77" fillId="0" borderId="0"/>
    <xf numFmtId="170" fontId="77" fillId="0" borderId="0"/>
    <xf numFmtId="238" fontId="77" fillId="0" borderId="0"/>
    <xf numFmtId="238" fontId="77" fillId="0" borderId="0"/>
    <xf numFmtId="239" fontId="77" fillId="0" borderId="0"/>
    <xf numFmtId="237" fontId="77" fillId="0" borderId="0"/>
    <xf numFmtId="169" fontId="77" fillId="0" borderId="0"/>
    <xf numFmtId="239" fontId="77" fillId="0" borderId="0"/>
    <xf numFmtId="239" fontId="77" fillId="0" borderId="0"/>
    <xf numFmtId="221" fontId="77" fillId="0" borderId="0"/>
    <xf numFmtId="232" fontId="42" fillId="0" borderId="0" applyFont="0" applyFill="0" applyBorder="0" applyAlignment="0" applyProtection="0"/>
    <xf numFmtId="232" fontId="42" fillId="0" borderId="0" applyFont="0" applyFill="0" applyBorder="0" applyAlignment="0" applyProtection="0"/>
    <xf numFmtId="232" fontId="42" fillId="0" borderId="0" applyFont="0" applyFill="0" applyBorder="0" applyAlignment="0" applyProtection="0"/>
    <xf numFmtId="233" fontId="109" fillId="0" borderId="0"/>
    <xf numFmtId="233" fontId="109" fillId="0" borderId="0"/>
    <xf numFmtId="232" fontId="42" fillId="0" borderId="0" applyFont="0" applyFill="0" applyBorder="0" applyAlignment="0" applyProtection="0"/>
    <xf numFmtId="233" fontId="109" fillId="0" borderId="0"/>
    <xf numFmtId="233" fontId="109" fillId="0" borderId="0"/>
    <xf numFmtId="236" fontId="77" fillId="0" borderId="0"/>
    <xf numFmtId="170" fontId="77" fillId="0" borderId="0"/>
    <xf numFmtId="237" fontId="77" fillId="0" borderId="0"/>
    <xf numFmtId="236" fontId="77" fillId="0" borderId="0"/>
    <xf numFmtId="170" fontId="77" fillId="0" borderId="0"/>
    <xf numFmtId="238" fontId="77" fillId="0" borderId="0"/>
    <xf numFmtId="238" fontId="77" fillId="0" borderId="0"/>
    <xf numFmtId="239" fontId="77" fillId="0" borderId="0"/>
    <xf numFmtId="237" fontId="77" fillId="0" borderId="0"/>
    <xf numFmtId="169" fontId="77" fillId="0" borderId="0"/>
    <xf numFmtId="239" fontId="77" fillId="0" borderId="0"/>
    <xf numFmtId="239" fontId="77" fillId="0" borderId="0"/>
    <xf numFmtId="240" fontId="74" fillId="5" borderId="0" applyFont="0" applyFill="0" applyBorder="0" applyAlignment="0" applyProtection="0"/>
    <xf numFmtId="241" fontId="74" fillId="5" borderId="0" applyFont="0" applyFill="0" applyBorder="0" applyAlignment="0" applyProtection="0"/>
    <xf numFmtId="242" fontId="42" fillId="0" borderId="0" applyFont="0" applyFill="0" applyBorder="0" applyAlignment="0" applyProtection="0"/>
    <xf numFmtId="243" fontId="94" fillId="0" borderId="0" applyFont="0" applyFill="0" applyBorder="0" applyAlignment="0" applyProtection="0"/>
    <xf numFmtId="244" fontId="93" fillId="0" borderId="0" applyFont="0" applyFill="0" applyBorder="0" applyAlignment="0" applyProtection="0"/>
    <xf numFmtId="245" fontId="42" fillId="0" borderId="0" applyFont="0" applyFill="0" applyBorder="0" applyAlignment="0" applyProtection="0"/>
    <xf numFmtId="246" fontId="75" fillId="0" borderId="0" applyFont="0" applyFill="0" applyBorder="0" applyAlignment="0" applyProtection="0"/>
    <xf numFmtId="247" fontId="75" fillId="0" borderId="0" applyFont="0" applyFill="0" applyBorder="0" applyAlignment="0" applyProtection="0"/>
    <xf numFmtId="248" fontId="75" fillId="0" borderId="0" applyFont="0" applyFill="0" applyBorder="0" applyAlignment="0" applyProtection="0"/>
    <xf numFmtId="249" fontId="75" fillId="0" borderId="0" applyFont="0" applyFill="0" applyBorder="0" applyAlignment="0" applyProtection="0"/>
    <xf numFmtId="250" fontId="94" fillId="0" borderId="0" applyFont="0" applyFill="0" applyBorder="0" applyAlignment="0" applyProtection="0"/>
    <xf numFmtId="251" fontId="93" fillId="0" borderId="0" applyFont="0" applyFill="0" applyBorder="0" applyAlignment="0" applyProtection="0"/>
    <xf numFmtId="252" fontId="94" fillId="0" borderId="0" applyFont="0" applyFill="0" applyBorder="0" applyAlignment="0" applyProtection="0"/>
    <xf numFmtId="253" fontId="93" fillId="0" borderId="0" applyFont="0" applyFill="0" applyBorder="0" applyAlignment="0" applyProtection="0"/>
    <xf numFmtId="254" fontId="94" fillId="0" borderId="0" applyFont="0" applyFill="0" applyBorder="0" applyAlignment="0" applyProtection="0"/>
    <xf numFmtId="255" fontId="93" fillId="0" borderId="0" applyFont="0" applyFill="0" applyBorder="0" applyAlignment="0" applyProtection="0"/>
    <xf numFmtId="256" fontId="59" fillId="0" borderId="0" applyFont="0" applyFill="0" applyBorder="0" applyAlignment="0" applyProtection="0">
      <protection locked="0"/>
    </xf>
    <xf numFmtId="257" fontId="9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84" fontId="95" fillId="0" borderId="0" applyFill="0" applyBorder="0" applyAlignment="0" applyProtection="0"/>
    <xf numFmtId="9" fontId="99" fillId="0" borderId="0" applyBorder="0"/>
    <xf numFmtId="258" fontId="99" fillId="0" borderId="0" applyBorder="0"/>
    <xf numFmtId="10" fontId="99" fillId="0" borderId="0" applyBorder="0"/>
    <xf numFmtId="221" fontId="63" fillId="0" borderId="0" applyNumberFormat="0" applyFont="0" applyFill="0" applyBorder="0" applyAlignment="0" applyProtection="0">
      <alignment horizontal="left"/>
    </xf>
    <xf numFmtId="15" fontId="63" fillId="0" borderId="0" applyFont="0" applyFill="0" applyBorder="0" applyAlignment="0" applyProtection="0"/>
    <xf numFmtId="4" fontId="63" fillId="0" borderId="0" applyFont="0" applyFill="0" applyBorder="0" applyAlignment="0" applyProtection="0"/>
    <xf numFmtId="3" fontId="42" fillId="0" borderId="0">
      <alignment horizontal="left" vertical="top"/>
    </xf>
    <xf numFmtId="221" fontId="110" fillId="0" borderId="1">
      <alignment horizontal="center"/>
    </xf>
    <xf numFmtId="3" fontId="63" fillId="0" borderId="0" applyFont="0" applyFill="0" applyBorder="0" applyAlignment="0" applyProtection="0"/>
    <xf numFmtId="221" fontId="63" fillId="13" borderId="0" applyNumberFormat="0" applyFont="0" applyBorder="0" applyAlignment="0" applyProtection="0"/>
    <xf numFmtId="3" fontId="42" fillId="0" borderId="0">
      <alignment horizontal="right" vertical="top"/>
    </xf>
    <xf numFmtId="41" fontId="34" fillId="14" borderId="17" applyFill="0"/>
    <xf numFmtId="221" fontId="111" fillId="0" borderId="0">
      <alignment horizontal="left" indent="7"/>
    </xf>
    <xf numFmtId="41" fontId="34" fillId="0" borderId="17" applyFill="0">
      <alignment horizontal="left" indent="2"/>
    </xf>
    <xf numFmtId="173" fontId="91" fillId="0" borderId="6" applyFill="0">
      <alignment horizontal="right"/>
    </xf>
    <xf numFmtId="221" fontId="46" fillId="0" borderId="14" applyNumberFormat="0" applyFont="0" applyBorder="0">
      <alignment horizontal="right"/>
    </xf>
    <xf numFmtId="221" fontId="112" fillId="0" borderId="0" applyFill="0"/>
    <xf numFmtId="221" fontId="36" fillId="0" borderId="0" applyFill="0"/>
    <xf numFmtId="4" fontId="91" fillId="0" borderId="6" applyFill="0"/>
    <xf numFmtId="221" fontId="42" fillId="0" borderId="0" applyNumberFormat="0" applyFont="0" applyBorder="0" applyAlignment="0"/>
    <xf numFmtId="221" fontId="81" fillId="0" borderId="0" applyFill="0">
      <alignment horizontal="left" indent="1"/>
    </xf>
    <xf numFmtId="221" fontId="113" fillId="0" borderId="0" applyFill="0">
      <alignment horizontal="left" indent="1"/>
    </xf>
    <xf numFmtId="4" fontId="74" fillId="0" borderId="0" applyFill="0"/>
    <xf numFmtId="221" fontId="42" fillId="0" borderId="0" applyNumberFormat="0" applyFont="0" applyFill="0" applyBorder="0" applyAlignment="0"/>
    <xf numFmtId="221" fontId="81" fillId="0" borderId="0" applyFill="0">
      <alignment horizontal="left" indent="2"/>
    </xf>
    <xf numFmtId="221" fontId="36" fillId="0" borderId="0" applyFill="0">
      <alignment horizontal="left" indent="2"/>
    </xf>
    <xf numFmtId="4" fontId="74" fillId="0" borderId="0" applyFill="0"/>
    <xf numFmtId="221" fontId="42" fillId="0" borderId="0" applyNumberFormat="0" applyFont="0" applyBorder="0" applyAlignment="0"/>
    <xf numFmtId="221" fontId="114" fillId="0" borderId="0">
      <alignment horizontal="left" indent="3"/>
    </xf>
    <xf numFmtId="221" fontId="38" fillId="0" borderId="0" applyFill="0">
      <alignment horizontal="left" indent="3"/>
    </xf>
    <xf numFmtId="4" fontId="74" fillId="0" borderId="0" applyFill="0"/>
    <xf numFmtId="221" fontId="42" fillId="0" borderId="0" applyNumberFormat="0" applyFont="0" applyBorder="0" applyAlignment="0"/>
    <xf numFmtId="221" fontId="83" fillId="0" borderId="0">
      <alignment horizontal="left" indent="4"/>
    </xf>
    <xf numFmtId="221" fontId="42" fillId="0" borderId="0" applyFill="0">
      <alignment horizontal="left" indent="4"/>
    </xf>
    <xf numFmtId="4" fontId="84" fillId="0" borderId="0" applyFill="0"/>
    <xf numFmtId="221" fontId="42" fillId="0" borderId="0" applyNumberFormat="0" applyFont="0" applyBorder="0" applyAlignment="0"/>
    <xf numFmtId="221" fontId="85" fillId="0" borderId="0">
      <alignment horizontal="left" indent="5"/>
    </xf>
    <xf numFmtId="221" fontId="86" fillId="0" borderId="0" applyFill="0">
      <alignment horizontal="left" indent="5"/>
    </xf>
    <xf numFmtId="4" fontId="87" fillId="0" borderId="0" applyFill="0"/>
    <xf numFmtId="221" fontId="42" fillId="0" borderId="0" applyNumberFormat="0" applyFont="0" applyFill="0" applyBorder="0" applyAlignment="0"/>
    <xf numFmtId="221" fontId="88" fillId="0" borderId="0" applyFill="0">
      <alignment horizontal="left" indent="6"/>
    </xf>
    <xf numFmtId="221" fontId="84" fillId="0" borderId="0" applyFill="0">
      <alignment horizontal="left" indent="6"/>
    </xf>
    <xf numFmtId="221" fontId="98" fillId="0" borderId="4" applyNumberFormat="0" applyFont="0" applyFill="0" applyAlignment="0" applyProtection="0"/>
    <xf numFmtId="221" fontId="115" fillId="0" borderId="0" applyNumberFormat="0" applyFill="0" applyBorder="0" applyAlignment="0" applyProtection="0"/>
    <xf numFmtId="221" fontId="116" fillId="0" borderId="0"/>
    <xf numFmtId="221" fontId="116" fillId="0" borderId="0"/>
    <xf numFmtId="221" fontId="117" fillId="0" borderId="1">
      <alignment horizontal="right"/>
    </xf>
    <xf numFmtId="259" fontId="96" fillId="0" borderId="0">
      <alignment horizontal="center"/>
    </xf>
    <xf numFmtId="260" fontId="118" fillId="0" borderId="0">
      <alignment horizontal="center"/>
    </xf>
    <xf numFmtId="221" fontId="119" fillId="0" borderId="0" applyNumberFormat="0" applyFill="0" applyBorder="0" applyAlignment="0" applyProtection="0"/>
    <xf numFmtId="221" fontId="120" fillId="0" borderId="0" applyNumberFormat="0" applyBorder="0" applyAlignment="0"/>
    <xf numFmtId="221" fontId="121" fillId="0" borderId="0" applyNumberFormat="0" applyBorder="0" applyAlignment="0"/>
    <xf numFmtId="221" fontId="98" fillId="7" borderId="0" applyNumberFormat="0" applyFont="0" applyBorder="0" applyAlignment="0" applyProtection="0"/>
    <xf numFmtId="240" fontId="122" fillId="0" borderId="16" applyNumberFormat="0" applyFont="0" applyFill="0" applyAlignment="0" applyProtection="0"/>
    <xf numFmtId="221" fontId="123" fillId="0" borderId="0" applyFill="0" applyBorder="0" applyProtection="0">
      <alignment horizontal="left" vertical="top"/>
    </xf>
    <xf numFmtId="221" fontId="124" fillId="0" borderId="0" applyAlignment="0">
      <alignment horizontal="centerContinuous"/>
    </xf>
    <xf numFmtId="221" fontId="42" fillId="0" borderId="10" applyNumberFormat="0" applyFont="0" applyFill="0" applyAlignment="0" applyProtection="0"/>
    <xf numFmtId="221" fontId="125" fillId="0" borderId="0" applyNumberFormat="0" applyFill="0" applyBorder="0" applyAlignment="0" applyProtection="0"/>
    <xf numFmtId="261" fontId="93" fillId="0" borderId="0" applyFont="0" applyFill="0" applyBorder="0" applyAlignment="0" applyProtection="0"/>
    <xf numFmtId="262" fontId="93" fillId="0" borderId="0" applyFont="0" applyFill="0" applyBorder="0" applyAlignment="0" applyProtection="0"/>
    <xf numFmtId="263" fontId="93" fillId="0" borderId="0" applyFont="0" applyFill="0" applyBorder="0" applyAlignment="0" applyProtection="0"/>
    <xf numFmtId="264" fontId="93" fillId="0" borderId="0" applyFont="0" applyFill="0" applyBorder="0" applyAlignment="0" applyProtection="0"/>
    <xf numFmtId="265" fontId="93" fillId="0" borderId="0" applyFont="0" applyFill="0" applyBorder="0" applyAlignment="0" applyProtection="0"/>
    <xf numFmtId="266" fontId="93" fillId="0" borderId="0" applyFont="0" applyFill="0" applyBorder="0" applyAlignment="0" applyProtection="0"/>
    <xf numFmtId="267" fontId="93" fillId="0" borderId="0" applyFont="0" applyFill="0" applyBorder="0" applyAlignment="0" applyProtection="0"/>
    <xf numFmtId="268" fontId="93" fillId="0" borderId="0" applyFont="0" applyFill="0" applyBorder="0" applyAlignment="0" applyProtection="0"/>
    <xf numFmtId="269" fontId="126" fillId="7" borderId="21" applyFont="0" applyFill="0" applyBorder="0" applyAlignment="0" applyProtection="0"/>
    <xf numFmtId="269" fontId="77" fillId="0" borderId="0" applyFont="0" applyFill="0" applyBorder="0" applyAlignment="0" applyProtection="0"/>
    <xf numFmtId="270" fontId="90" fillId="0" borderId="0" applyFont="0" applyFill="0" applyBorder="0" applyAlignment="0" applyProtection="0"/>
    <xf numFmtId="271" fontId="96" fillId="0" borderId="16" applyFont="0" applyFill="0" applyBorder="0" applyAlignment="0" applyProtection="0">
      <alignment horizontal="right"/>
      <protection locked="0"/>
    </xf>
    <xf numFmtId="173" fontId="31" fillId="0" borderId="0" applyProtection="0"/>
    <xf numFmtId="221" fontId="129" fillId="0" borderId="0"/>
    <xf numFmtId="43" fontId="31" fillId="0" borderId="0" applyFont="0" applyFill="0" applyBorder="0" applyAlignment="0" applyProtection="0"/>
    <xf numFmtId="221" fontId="30" fillId="0" borderId="0"/>
    <xf numFmtId="221" fontId="135" fillId="0" borderId="0"/>
    <xf numFmtId="221" fontId="139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42" fillId="0" borderId="0"/>
    <xf numFmtId="221" fontId="29" fillId="0" borderId="0"/>
    <xf numFmtId="221" fontId="139" fillId="0" borderId="0"/>
    <xf numFmtId="221" fontId="139" fillId="0" borderId="0"/>
    <xf numFmtId="221" fontId="42" fillId="0" borderId="0"/>
    <xf numFmtId="44" fontId="42" fillId="0" borderId="0" applyFont="0" applyFill="0" applyBorder="0" applyAlignment="0" applyProtection="0"/>
    <xf numFmtId="221" fontId="42" fillId="0" borderId="0"/>
    <xf numFmtId="44" fontId="42" fillId="0" borderId="0" applyFont="0" applyFill="0" applyBorder="0" applyAlignment="0" applyProtection="0"/>
    <xf numFmtId="221" fontId="42" fillId="0" borderId="0"/>
    <xf numFmtId="44" fontId="42" fillId="0" borderId="0" applyFont="0" applyFill="0" applyBorder="0" applyAlignment="0" applyProtection="0"/>
    <xf numFmtId="221" fontId="42" fillId="0" borderId="0"/>
    <xf numFmtId="44" fontId="42" fillId="0" borderId="0" applyFont="0" applyFill="0" applyBorder="0" applyAlignment="0" applyProtection="0"/>
    <xf numFmtId="221" fontId="42" fillId="0" borderId="0"/>
    <xf numFmtId="44" fontId="42" fillId="0" borderId="0" applyFont="0" applyFill="0" applyBorder="0" applyAlignment="0" applyProtection="0"/>
    <xf numFmtId="221" fontId="42" fillId="0" borderId="0"/>
    <xf numFmtId="44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42" fillId="0" borderId="0"/>
    <xf numFmtId="43" fontId="42" fillId="0" borderId="0" applyFont="0" applyFill="0" applyBorder="0" applyAlignment="0" applyProtection="0"/>
    <xf numFmtId="221" fontId="28" fillId="0" borderId="0"/>
    <xf numFmtId="221" fontId="27" fillId="0" borderId="0"/>
    <xf numFmtId="221" fontId="139" fillId="0" borderId="0"/>
    <xf numFmtId="43" fontId="139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27" fillId="0" borderId="0"/>
    <xf numFmtId="43" fontId="42" fillId="0" borderId="0" applyFont="0" applyFill="0" applyBorder="0" applyAlignment="0" applyProtection="0"/>
    <xf numFmtId="221" fontId="42" fillId="0" borderId="0"/>
    <xf numFmtId="221" fontId="42" fillId="0" borderId="0"/>
    <xf numFmtId="221" fontId="42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26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25" fillId="0" borderId="0"/>
    <xf numFmtId="43" fontId="42" fillId="0" borderId="0" applyFont="0" applyFill="0" applyBorder="0" applyAlignment="0" applyProtection="0"/>
    <xf numFmtId="221" fontId="24" fillId="0" borderId="0"/>
    <xf numFmtId="43" fontId="42" fillId="0" borderId="0" applyFont="0" applyFill="0" applyBorder="0" applyAlignment="0" applyProtection="0"/>
    <xf numFmtId="221" fontId="42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39" fillId="0" borderId="0" applyFont="0" applyFill="0" applyBorder="0" applyAlignment="0" applyProtection="0"/>
    <xf numFmtId="221" fontId="63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23" fillId="0" borderId="0"/>
    <xf numFmtId="221" fontId="42" fillId="0" borderId="0"/>
    <xf numFmtId="221" fontId="23" fillId="0" borderId="0"/>
    <xf numFmtId="43" fontId="42" fillId="0" borderId="0" applyFont="0" applyFill="0" applyBorder="0" applyAlignment="0" applyProtection="0"/>
    <xf numFmtId="221" fontId="23" fillId="0" borderId="0"/>
    <xf numFmtId="221" fontId="23" fillId="0" borderId="0"/>
    <xf numFmtId="43" fontId="42" fillId="0" borderId="0" applyFont="0" applyFill="0" applyBorder="0" applyAlignment="0" applyProtection="0"/>
    <xf numFmtId="221" fontId="23" fillId="0" borderId="0"/>
    <xf numFmtId="43" fontId="42" fillId="0" borderId="0" applyFont="0" applyFill="0" applyBorder="0" applyAlignment="0" applyProtection="0"/>
    <xf numFmtId="221" fontId="23" fillId="0" borderId="0"/>
    <xf numFmtId="221" fontId="23" fillId="0" borderId="0"/>
    <xf numFmtId="221" fontId="23" fillId="0" borderId="0"/>
    <xf numFmtId="221" fontId="23" fillId="0" borderId="0"/>
    <xf numFmtId="221" fontId="23" fillId="0" borderId="0"/>
    <xf numFmtId="43" fontId="42" fillId="0" borderId="0" applyFont="0" applyFill="0" applyBorder="0" applyAlignment="0" applyProtection="0"/>
    <xf numFmtId="221" fontId="23" fillId="0" borderId="0"/>
    <xf numFmtId="43" fontId="42" fillId="0" borderId="0" applyFont="0" applyFill="0" applyBorder="0" applyAlignment="0" applyProtection="0"/>
    <xf numFmtId="221" fontId="23" fillId="0" borderId="0"/>
    <xf numFmtId="221" fontId="23" fillId="0" borderId="0"/>
    <xf numFmtId="221" fontId="23" fillId="0" borderId="0"/>
    <xf numFmtId="221" fontId="23" fillId="0" borderId="0"/>
    <xf numFmtId="221" fontId="23" fillId="0" borderId="0"/>
    <xf numFmtId="43" fontId="42" fillId="0" borderId="0" applyFont="0" applyFill="0" applyBorder="0" applyAlignment="0" applyProtection="0"/>
    <xf numFmtId="221" fontId="23" fillId="0" borderId="0"/>
    <xf numFmtId="221" fontId="23" fillId="0" borderId="0"/>
    <xf numFmtId="221" fontId="23" fillId="0" borderId="0"/>
    <xf numFmtId="221" fontId="23" fillId="0" borderId="0"/>
    <xf numFmtId="221" fontId="23" fillId="0" borderId="0"/>
    <xf numFmtId="221" fontId="23" fillId="0" borderId="0"/>
    <xf numFmtId="221" fontId="23" fillId="0" borderId="0"/>
    <xf numFmtId="221" fontId="23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221" fontId="22" fillId="0" borderId="0"/>
    <xf numFmtId="43" fontId="42" fillId="0" borderId="0" applyFont="0" applyFill="0" applyBorder="0" applyAlignment="0" applyProtection="0"/>
    <xf numFmtId="221" fontId="21" fillId="0" borderId="0"/>
    <xf numFmtId="221" fontId="21" fillId="0" borderId="0"/>
    <xf numFmtId="221" fontId="21" fillId="0" borderId="0"/>
    <xf numFmtId="221" fontId="21" fillId="0" borderId="0"/>
    <xf numFmtId="221" fontId="21" fillId="0" borderId="0"/>
    <xf numFmtId="221" fontId="21" fillId="0" borderId="0"/>
    <xf numFmtId="221" fontId="21" fillId="0" borderId="0"/>
    <xf numFmtId="221" fontId="21" fillId="0" borderId="0"/>
    <xf numFmtId="221" fontId="156" fillId="0" borderId="0" applyNumberFormat="0" applyFill="0" applyBorder="0" applyAlignment="0" applyProtection="0"/>
    <xf numFmtId="221" fontId="157" fillId="0" borderId="26" applyNumberFormat="0" applyFill="0" applyAlignment="0" applyProtection="0"/>
    <xf numFmtId="221" fontId="158" fillId="0" borderId="27" applyNumberFormat="0" applyFill="0" applyAlignment="0" applyProtection="0"/>
    <xf numFmtId="221" fontId="159" fillId="0" borderId="28" applyNumberFormat="0" applyFill="0" applyAlignment="0" applyProtection="0"/>
    <xf numFmtId="221" fontId="159" fillId="0" borderId="0" applyNumberFormat="0" applyFill="0" applyBorder="0" applyAlignment="0" applyProtection="0"/>
    <xf numFmtId="221" fontId="160" fillId="18" borderId="0" applyNumberFormat="0" applyBorder="0" applyAlignment="0" applyProtection="0"/>
    <xf numFmtId="221" fontId="161" fillId="19" borderId="0" applyNumberFormat="0" applyBorder="0" applyAlignment="0" applyProtection="0"/>
    <xf numFmtId="221" fontId="162" fillId="20" borderId="0" applyNumberFormat="0" applyBorder="0" applyAlignment="0" applyProtection="0"/>
    <xf numFmtId="221" fontId="163" fillId="21" borderId="29" applyNumberFormat="0" applyAlignment="0" applyProtection="0"/>
    <xf numFmtId="221" fontId="164" fillId="22" borderId="30" applyNumberFormat="0" applyAlignment="0" applyProtection="0"/>
    <xf numFmtId="221" fontId="165" fillId="22" borderId="29" applyNumberFormat="0" applyAlignment="0" applyProtection="0"/>
    <xf numFmtId="221" fontId="166" fillId="0" borderId="31" applyNumberFormat="0" applyFill="0" applyAlignment="0" applyProtection="0"/>
    <xf numFmtId="221" fontId="167" fillId="23" borderId="32" applyNumberFormat="0" applyAlignment="0" applyProtection="0"/>
    <xf numFmtId="221" fontId="168" fillId="0" borderId="0" applyNumberFormat="0" applyFill="0" applyBorder="0" applyAlignment="0" applyProtection="0"/>
    <xf numFmtId="221" fontId="169" fillId="0" borderId="0" applyNumberFormat="0" applyFill="0" applyBorder="0" applyAlignment="0" applyProtection="0"/>
    <xf numFmtId="221" fontId="170" fillId="0" borderId="34" applyNumberFormat="0" applyFill="0" applyAlignment="0" applyProtection="0"/>
    <xf numFmtId="221" fontId="171" fillId="25" borderId="0" applyNumberFormat="0" applyBorder="0" applyAlignment="0" applyProtection="0"/>
    <xf numFmtId="221" fontId="20" fillId="26" borderId="0" applyNumberFormat="0" applyBorder="0" applyAlignment="0" applyProtection="0"/>
    <xf numFmtId="221" fontId="20" fillId="27" borderId="0" applyNumberFormat="0" applyBorder="0" applyAlignment="0" applyProtection="0"/>
    <xf numFmtId="221" fontId="171" fillId="28" borderId="0" applyNumberFormat="0" applyBorder="0" applyAlignment="0" applyProtection="0"/>
    <xf numFmtId="221" fontId="171" fillId="29" borderId="0" applyNumberFormat="0" applyBorder="0" applyAlignment="0" applyProtection="0"/>
    <xf numFmtId="221" fontId="20" fillId="30" borderId="0" applyNumberFormat="0" applyBorder="0" applyAlignment="0" applyProtection="0"/>
    <xf numFmtId="221" fontId="20" fillId="31" borderId="0" applyNumberFormat="0" applyBorder="0" applyAlignment="0" applyProtection="0"/>
    <xf numFmtId="221" fontId="171" fillId="32" borderId="0" applyNumberFormat="0" applyBorder="0" applyAlignment="0" applyProtection="0"/>
    <xf numFmtId="221" fontId="171" fillId="33" borderId="0" applyNumberFormat="0" applyBorder="0" applyAlignment="0" applyProtection="0"/>
    <xf numFmtId="221" fontId="20" fillId="34" borderId="0" applyNumberFormat="0" applyBorder="0" applyAlignment="0" applyProtection="0"/>
    <xf numFmtId="221" fontId="20" fillId="35" borderId="0" applyNumberFormat="0" applyBorder="0" applyAlignment="0" applyProtection="0"/>
    <xf numFmtId="221" fontId="171" fillId="36" borderId="0" applyNumberFormat="0" applyBorder="0" applyAlignment="0" applyProtection="0"/>
    <xf numFmtId="221" fontId="171" fillId="37" borderId="0" applyNumberFormat="0" applyBorder="0" applyAlignment="0" applyProtection="0"/>
    <xf numFmtId="221" fontId="20" fillId="38" borderId="0" applyNumberFormat="0" applyBorder="0" applyAlignment="0" applyProtection="0"/>
    <xf numFmtId="221" fontId="20" fillId="39" borderId="0" applyNumberFormat="0" applyBorder="0" applyAlignment="0" applyProtection="0"/>
    <xf numFmtId="221" fontId="171" fillId="40" borderId="0" applyNumberFormat="0" applyBorder="0" applyAlignment="0" applyProtection="0"/>
    <xf numFmtId="221" fontId="171" fillId="41" borderId="0" applyNumberFormat="0" applyBorder="0" applyAlignment="0" applyProtection="0"/>
    <xf numFmtId="221" fontId="20" fillId="42" borderId="0" applyNumberFormat="0" applyBorder="0" applyAlignment="0" applyProtection="0"/>
    <xf numFmtId="221" fontId="20" fillId="43" borderId="0" applyNumberFormat="0" applyBorder="0" applyAlignment="0" applyProtection="0"/>
    <xf numFmtId="221" fontId="171" fillId="44" borderId="0" applyNumberFormat="0" applyBorder="0" applyAlignment="0" applyProtection="0"/>
    <xf numFmtId="221" fontId="171" fillId="45" borderId="0" applyNumberFormat="0" applyBorder="0" applyAlignment="0" applyProtection="0"/>
    <xf numFmtId="221" fontId="20" fillId="46" borderId="0" applyNumberFormat="0" applyBorder="0" applyAlignment="0" applyProtection="0"/>
    <xf numFmtId="221" fontId="20" fillId="47" borderId="0" applyNumberFormat="0" applyBorder="0" applyAlignment="0" applyProtection="0"/>
    <xf numFmtId="221" fontId="171" fillId="48" borderId="0" applyNumberFormat="0" applyBorder="0" applyAlignment="0" applyProtection="0"/>
    <xf numFmtId="221" fontId="20" fillId="0" borderId="0"/>
    <xf numFmtId="221" fontId="20" fillId="0" borderId="0"/>
    <xf numFmtId="221" fontId="20" fillId="0" borderId="0"/>
    <xf numFmtId="221" fontId="20" fillId="0" borderId="0"/>
    <xf numFmtId="221" fontId="20" fillId="24" borderId="33" applyNumberFormat="0" applyFont="0" applyAlignment="0" applyProtection="0"/>
    <xf numFmtId="221" fontId="20" fillId="0" borderId="0"/>
    <xf numFmtId="221" fontId="20" fillId="0" borderId="0"/>
    <xf numFmtId="221" fontId="20" fillId="0" borderId="0"/>
    <xf numFmtId="221" fontId="20" fillId="0" borderId="0"/>
    <xf numFmtId="221" fontId="20" fillId="0" borderId="0"/>
    <xf numFmtId="221" fontId="20" fillId="0" borderId="0"/>
    <xf numFmtId="221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221" fontId="19" fillId="0" borderId="0"/>
    <xf numFmtId="0" fontId="20" fillId="0" borderId="0"/>
    <xf numFmtId="0" fontId="42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2" fillId="0" borderId="0"/>
    <xf numFmtId="0" fontId="174" fillId="54" borderId="0" applyNumberFormat="0" applyBorder="0" applyAlignment="0" applyProtection="0"/>
    <xf numFmtId="0" fontId="174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74" fillId="54" borderId="0" applyNumberFormat="0" applyBorder="0" applyAlignment="0" applyProtection="0"/>
    <xf numFmtId="0" fontId="174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174" fillId="55" borderId="0" applyNumberFormat="0" applyBorder="0" applyAlignment="0" applyProtection="0"/>
    <xf numFmtId="0" fontId="174" fillId="55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74" fillId="55" borderId="0" applyNumberFormat="0" applyBorder="0" applyAlignment="0" applyProtection="0"/>
    <xf numFmtId="0" fontId="174" fillId="55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20" fillId="30" borderId="0" applyNumberFormat="0" applyBorder="0" applyAlignment="0" applyProtection="0"/>
    <xf numFmtId="0" fontId="174" fillId="56" borderId="0" applyNumberFormat="0" applyBorder="0" applyAlignment="0" applyProtection="0"/>
    <xf numFmtId="0" fontId="174" fillId="56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74" fillId="56" borderId="0" applyNumberFormat="0" applyBorder="0" applyAlignment="0" applyProtection="0"/>
    <xf numFmtId="0" fontId="174" fillId="56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74" fillId="57" borderId="0" applyNumberFormat="0" applyBorder="0" applyAlignment="0" applyProtection="0"/>
    <xf numFmtId="0" fontId="174" fillId="5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74" fillId="57" borderId="0" applyNumberFormat="0" applyBorder="0" applyAlignment="0" applyProtection="0"/>
    <xf numFmtId="0" fontId="174" fillId="5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74" fillId="58" borderId="0" applyNumberFormat="0" applyBorder="0" applyAlignment="0" applyProtection="0"/>
    <xf numFmtId="0" fontId="174" fillId="58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4" fillId="58" borderId="0" applyNumberFormat="0" applyBorder="0" applyAlignment="0" applyProtection="0"/>
    <xf numFmtId="0" fontId="174" fillId="58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4" fillId="59" borderId="0" applyNumberFormat="0" applyBorder="0" applyAlignment="0" applyProtection="0"/>
    <xf numFmtId="0" fontId="174" fillId="59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4" fillId="59" borderId="0" applyNumberFormat="0" applyBorder="0" applyAlignment="0" applyProtection="0"/>
    <xf numFmtId="0" fontId="174" fillId="59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4" fillId="49" borderId="0" applyNumberFormat="0" applyBorder="0" applyAlignment="0" applyProtection="0"/>
    <xf numFmtId="0" fontId="174" fillId="49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74" fillId="49" borderId="0" applyNumberFormat="0" applyBorder="0" applyAlignment="0" applyProtection="0"/>
    <xf numFmtId="0" fontId="174" fillId="49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174" fillId="60" borderId="0" applyNumberFormat="0" applyBorder="0" applyAlignment="0" applyProtection="0"/>
    <xf numFmtId="0" fontId="174" fillId="6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74" fillId="60" borderId="0" applyNumberFormat="0" applyBorder="0" applyAlignment="0" applyProtection="0"/>
    <xf numFmtId="0" fontId="174" fillId="60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174" fillId="50" borderId="0" applyNumberFormat="0" applyBorder="0" applyAlignment="0" applyProtection="0"/>
    <xf numFmtId="0" fontId="174" fillId="50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74" fillId="50" borderId="0" applyNumberFormat="0" applyBorder="0" applyAlignment="0" applyProtection="0"/>
    <xf numFmtId="0" fontId="174" fillId="50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74" fillId="51" borderId="0" applyNumberFormat="0" applyBorder="0" applyAlignment="0" applyProtection="0"/>
    <xf numFmtId="0" fontId="174" fillId="5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74" fillId="51" borderId="0" applyNumberFormat="0" applyBorder="0" applyAlignment="0" applyProtection="0"/>
    <xf numFmtId="0" fontId="174" fillId="5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4" fillId="52" borderId="0" applyNumberFormat="0" applyBorder="0" applyAlignment="0" applyProtection="0"/>
    <xf numFmtId="0" fontId="174" fillId="5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4" fillId="52" borderId="0" applyNumberFormat="0" applyBorder="0" applyAlignment="0" applyProtection="0"/>
    <xf numFmtId="0" fontId="174" fillId="5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5" fillId="62" borderId="0" applyNumberFormat="0" applyBorder="0" applyAlignment="0" applyProtection="0"/>
    <xf numFmtId="0" fontId="175" fillId="62" borderId="0" applyNumberFormat="0" applyBorder="0" applyAlignment="0" applyProtection="0"/>
    <xf numFmtId="0" fontId="175" fillId="62" borderId="0" applyNumberFormat="0" applyBorder="0" applyAlignment="0" applyProtection="0"/>
    <xf numFmtId="0" fontId="175" fillId="62" borderId="0" applyNumberFormat="0" applyBorder="0" applyAlignment="0" applyProtection="0"/>
    <xf numFmtId="0" fontId="171" fillId="63" borderId="0" applyNumberFormat="0" applyBorder="0" applyAlignment="0" applyProtection="0"/>
    <xf numFmtId="0" fontId="175" fillId="64" borderId="0" applyNumberFormat="0" applyBorder="0" applyAlignment="0" applyProtection="0"/>
    <xf numFmtId="0" fontId="175" fillId="64" borderId="0" applyNumberFormat="0" applyBorder="0" applyAlignment="0" applyProtection="0"/>
    <xf numFmtId="0" fontId="175" fillId="64" borderId="0" applyNumberFormat="0" applyBorder="0" applyAlignment="0" applyProtection="0"/>
    <xf numFmtId="0" fontId="175" fillId="64" borderId="0" applyNumberFormat="0" applyBorder="0" applyAlignment="0" applyProtection="0"/>
    <xf numFmtId="0" fontId="171" fillId="65" borderId="0" applyNumberFormat="0" applyBorder="0" applyAlignment="0" applyProtection="0"/>
    <xf numFmtId="0" fontId="175" fillId="66" borderId="0" applyNumberFormat="0" applyBorder="0" applyAlignment="0" applyProtection="0"/>
    <xf numFmtId="0" fontId="175" fillId="66" borderId="0" applyNumberFormat="0" applyBorder="0" applyAlignment="0" applyProtection="0"/>
    <xf numFmtId="0" fontId="175" fillId="66" borderId="0" applyNumberFormat="0" applyBorder="0" applyAlignment="0" applyProtection="0"/>
    <xf numFmtId="0" fontId="175" fillId="66" borderId="0" applyNumberFormat="0" applyBorder="0" applyAlignment="0" applyProtection="0"/>
    <xf numFmtId="0" fontId="171" fillId="67" borderId="0" applyNumberFormat="0" applyBorder="0" applyAlignment="0" applyProtection="0"/>
    <xf numFmtId="0" fontId="175" fillId="68" borderId="0" applyNumberFormat="0" applyBorder="0" applyAlignment="0" applyProtection="0"/>
    <xf numFmtId="0" fontId="175" fillId="68" borderId="0" applyNumberFormat="0" applyBorder="0" applyAlignment="0" applyProtection="0"/>
    <xf numFmtId="0" fontId="175" fillId="68" borderId="0" applyNumberFormat="0" applyBorder="0" applyAlignment="0" applyProtection="0"/>
    <xf numFmtId="0" fontId="175" fillId="68" borderId="0" applyNumberFormat="0" applyBorder="0" applyAlignment="0" applyProtection="0"/>
    <xf numFmtId="0" fontId="171" fillId="69" borderId="0" applyNumberFormat="0" applyBorder="0" applyAlignment="0" applyProtection="0"/>
    <xf numFmtId="0" fontId="175" fillId="70" borderId="0" applyNumberFormat="0" applyBorder="0" applyAlignment="0" applyProtection="0"/>
    <xf numFmtId="0" fontId="175" fillId="70" borderId="0" applyNumberFormat="0" applyBorder="0" applyAlignment="0" applyProtection="0"/>
    <xf numFmtId="0" fontId="175" fillId="70" borderId="0" applyNumberFormat="0" applyBorder="0" applyAlignment="0" applyProtection="0"/>
    <xf numFmtId="0" fontId="175" fillId="70" borderId="0" applyNumberFormat="0" applyBorder="0" applyAlignment="0" applyProtection="0"/>
    <xf numFmtId="0" fontId="171" fillId="71" borderId="0" applyNumberFormat="0" applyBorder="0" applyAlignment="0" applyProtection="0"/>
    <xf numFmtId="0" fontId="175" fillId="72" borderId="0" applyNumberFormat="0" applyBorder="0" applyAlignment="0" applyProtection="0"/>
    <xf numFmtId="0" fontId="175" fillId="72" borderId="0" applyNumberFormat="0" applyBorder="0" applyAlignment="0" applyProtection="0"/>
    <xf numFmtId="0" fontId="175" fillId="72" borderId="0" applyNumberFormat="0" applyBorder="0" applyAlignment="0" applyProtection="0"/>
    <xf numFmtId="0" fontId="175" fillId="72" borderId="0" applyNumberFormat="0" applyBorder="0" applyAlignment="0" applyProtection="0"/>
    <xf numFmtId="0" fontId="171" fillId="73" borderId="0" applyNumberFormat="0" applyBorder="0" applyAlignment="0" applyProtection="0"/>
    <xf numFmtId="0" fontId="175" fillId="74" borderId="0" applyNumberFormat="0" applyBorder="0" applyAlignment="0" applyProtection="0"/>
    <xf numFmtId="0" fontId="175" fillId="74" borderId="0" applyNumberFormat="0" applyBorder="0" applyAlignment="0" applyProtection="0"/>
    <xf numFmtId="0" fontId="175" fillId="74" borderId="0" applyNumberFormat="0" applyBorder="0" applyAlignment="0" applyProtection="0"/>
    <xf numFmtId="0" fontId="175" fillId="74" borderId="0" applyNumberFormat="0" applyBorder="0" applyAlignment="0" applyProtection="0"/>
    <xf numFmtId="0" fontId="171" fillId="75" borderId="0" applyNumberFormat="0" applyBorder="0" applyAlignment="0" applyProtection="0"/>
    <xf numFmtId="0" fontId="175" fillId="76" borderId="0" applyNumberFormat="0" applyBorder="0" applyAlignment="0" applyProtection="0"/>
    <xf numFmtId="0" fontId="175" fillId="76" borderId="0" applyNumberFormat="0" applyBorder="0" applyAlignment="0" applyProtection="0"/>
    <xf numFmtId="0" fontId="175" fillId="76" borderId="0" applyNumberFormat="0" applyBorder="0" applyAlignment="0" applyProtection="0"/>
    <xf numFmtId="0" fontId="175" fillId="76" borderId="0" applyNumberFormat="0" applyBorder="0" applyAlignment="0" applyProtection="0"/>
    <xf numFmtId="0" fontId="171" fillId="77" borderId="0" applyNumberFormat="0" applyBorder="0" applyAlignment="0" applyProtection="0"/>
    <xf numFmtId="0" fontId="175" fillId="78" borderId="0" applyNumberFormat="0" applyBorder="0" applyAlignment="0" applyProtection="0"/>
    <xf numFmtId="0" fontId="175" fillId="78" borderId="0" applyNumberFormat="0" applyBorder="0" applyAlignment="0" applyProtection="0"/>
    <xf numFmtId="0" fontId="175" fillId="78" borderId="0" applyNumberFormat="0" applyBorder="0" applyAlignment="0" applyProtection="0"/>
    <xf numFmtId="0" fontId="175" fillId="78" borderId="0" applyNumberFormat="0" applyBorder="0" applyAlignment="0" applyProtection="0"/>
    <xf numFmtId="0" fontId="171" fillId="79" borderId="0" applyNumberFormat="0" applyBorder="0" applyAlignment="0" applyProtection="0"/>
    <xf numFmtId="0" fontId="175" fillId="80" borderId="0" applyNumberFormat="0" applyBorder="0" applyAlignment="0" applyProtection="0"/>
    <xf numFmtId="0" fontId="175" fillId="80" borderId="0" applyNumberFormat="0" applyBorder="0" applyAlignment="0" applyProtection="0"/>
    <xf numFmtId="0" fontId="175" fillId="80" borderId="0" applyNumberFormat="0" applyBorder="0" applyAlignment="0" applyProtection="0"/>
    <xf numFmtId="0" fontId="175" fillId="80" borderId="0" applyNumberFormat="0" applyBorder="0" applyAlignment="0" applyProtection="0"/>
    <xf numFmtId="0" fontId="171" fillId="69" borderId="0" applyNumberFormat="0" applyBorder="0" applyAlignment="0" applyProtection="0"/>
    <xf numFmtId="0" fontId="175" fillId="81" borderId="0" applyNumberFormat="0" applyBorder="0" applyAlignment="0" applyProtection="0"/>
    <xf numFmtId="0" fontId="175" fillId="81" borderId="0" applyNumberFormat="0" applyBorder="0" applyAlignment="0" applyProtection="0"/>
    <xf numFmtId="0" fontId="175" fillId="81" borderId="0" applyNumberFormat="0" applyBorder="0" applyAlignment="0" applyProtection="0"/>
    <xf numFmtId="0" fontId="175" fillId="81" borderId="0" applyNumberFormat="0" applyBorder="0" applyAlignment="0" applyProtection="0"/>
    <xf numFmtId="0" fontId="175" fillId="82" borderId="0" applyNumberFormat="0" applyBorder="0" applyAlignment="0" applyProtection="0"/>
    <xf numFmtId="0" fontId="175" fillId="82" borderId="0" applyNumberFormat="0" applyBorder="0" applyAlignment="0" applyProtection="0"/>
    <xf numFmtId="0" fontId="175" fillId="82" borderId="0" applyNumberFormat="0" applyBorder="0" applyAlignment="0" applyProtection="0"/>
    <xf numFmtId="0" fontId="175" fillId="82" borderId="0" applyNumberFormat="0" applyBorder="0" applyAlignment="0" applyProtection="0"/>
    <xf numFmtId="0" fontId="171" fillId="83" borderId="0" applyNumberFormat="0" applyBorder="0" applyAlignment="0" applyProtection="0"/>
    <xf numFmtId="275" fontId="42" fillId="84" borderId="35">
      <alignment horizontal="center" vertical="center"/>
    </xf>
    <xf numFmtId="0" fontId="176" fillId="85" borderId="0" applyNumberFormat="0" applyBorder="0" applyAlignment="0" applyProtection="0"/>
    <xf numFmtId="0" fontId="176" fillId="85" borderId="0" applyNumberFormat="0" applyBorder="0" applyAlignment="0" applyProtection="0"/>
    <xf numFmtId="0" fontId="176" fillId="85" borderId="0" applyNumberFormat="0" applyBorder="0" applyAlignment="0" applyProtection="0"/>
    <xf numFmtId="0" fontId="176" fillId="85" borderId="0" applyNumberFormat="0" applyBorder="0" applyAlignment="0" applyProtection="0"/>
    <xf numFmtId="0" fontId="161" fillId="86" borderId="0" applyNumberFormat="0" applyBorder="0" applyAlignment="0" applyProtection="0"/>
    <xf numFmtId="49" fontId="177" fillId="0" borderId="0" applyFont="0" applyFill="0" applyBorder="0" applyAlignment="0" applyProtection="0">
      <alignment horizontal="left"/>
    </xf>
    <xf numFmtId="276" fontId="74" fillId="0" borderId="0" applyAlignment="0" applyProtection="0"/>
    <xf numFmtId="258" fontId="55" fillId="0" borderId="0" applyFill="0" applyBorder="0" applyAlignment="0" applyProtection="0"/>
    <xf numFmtId="49" fontId="55" fillId="0" borderId="0" applyNumberFormat="0" applyAlignment="0" applyProtection="0">
      <alignment horizontal="left"/>
    </xf>
    <xf numFmtId="49" fontId="178" fillId="0" borderId="36" applyNumberFormat="0" applyAlignment="0" applyProtection="0">
      <alignment horizontal="left" wrapText="1"/>
    </xf>
    <xf numFmtId="49" fontId="178" fillId="0" borderId="0" applyNumberFormat="0" applyAlignment="0" applyProtection="0">
      <alignment horizontal="left" wrapText="1"/>
    </xf>
    <xf numFmtId="49" fontId="179" fillId="0" borderId="0" applyAlignment="0" applyProtection="0">
      <alignment horizontal="left"/>
    </xf>
    <xf numFmtId="0" fontId="180" fillId="87" borderId="14" applyNumberFormat="0" applyAlignment="0" applyProtection="0"/>
    <xf numFmtId="0" fontId="180" fillId="87" borderId="14" applyNumberFormat="0" applyAlignment="0" applyProtection="0"/>
    <xf numFmtId="0" fontId="180" fillId="87" borderId="14" applyNumberFormat="0" applyAlignment="0" applyProtection="0"/>
    <xf numFmtId="0" fontId="180" fillId="87" borderId="14" applyNumberFormat="0" applyAlignment="0" applyProtection="0"/>
    <xf numFmtId="0" fontId="181" fillId="88" borderId="29" applyNumberFormat="0" applyAlignment="0" applyProtection="0"/>
    <xf numFmtId="0" fontId="120" fillId="0" borderId="0" applyAlignment="0"/>
    <xf numFmtId="0" fontId="182" fillId="89" borderId="37" applyNumberFormat="0" applyAlignment="0" applyProtection="0"/>
    <xf numFmtId="0" fontId="182" fillId="89" borderId="37" applyNumberFormat="0" applyAlignment="0" applyProtection="0"/>
    <xf numFmtId="0" fontId="182" fillId="89" borderId="37" applyNumberFormat="0" applyAlignment="0" applyProtection="0"/>
    <xf numFmtId="0" fontId="182" fillId="89" borderId="37" applyNumberFormat="0" applyAlignment="0" applyProtection="0"/>
    <xf numFmtId="0" fontId="55" fillId="0" borderId="0" applyBorder="0"/>
    <xf numFmtId="0" fontId="183" fillId="90" borderId="0" applyAlignment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4" fillId="0" borderId="0" applyNumberFormat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2" fillId="0" borderId="0" applyFont="0" applyFill="0" applyBorder="0" applyAlignment="0" applyProtection="0"/>
    <xf numFmtId="40" fontId="184" fillId="91" borderId="0">
      <alignment horizontal="right"/>
    </xf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175" fontId="42" fillId="0" borderId="0"/>
    <xf numFmtId="0" fontId="186" fillId="92" borderId="0" applyNumberFormat="0" applyBorder="0" applyAlignment="0" applyProtection="0"/>
    <xf numFmtId="0" fontId="186" fillId="92" borderId="0" applyNumberFormat="0" applyBorder="0" applyAlignment="0" applyProtection="0"/>
    <xf numFmtId="0" fontId="186" fillId="92" borderId="0" applyNumberFormat="0" applyBorder="0" applyAlignment="0" applyProtection="0"/>
    <xf numFmtId="0" fontId="186" fillId="92" borderId="0" applyNumberFormat="0" applyBorder="0" applyAlignment="0" applyProtection="0"/>
    <xf numFmtId="0" fontId="160" fillId="93" borderId="0" applyNumberFormat="0" applyBorder="0" applyAlignment="0" applyProtection="0"/>
    <xf numFmtId="0" fontId="187" fillId="0" borderId="0" applyNumberFormat="0" applyFill="0" applyBorder="0" applyAlignment="0" applyProtection="0"/>
    <xf numFmtId="0" fontId="188" fillId="0" borderId="38" applyNumberFormat="0" applyFill="0" applyAlignment="0" applyProtection="0"/>
    <xf numFmtId="0" fontId="188" fillId="0" borderId="38" applyNumberFormat="0" applyFill="0" applyAlignment="0" applyProtection="0"/>
    <xf numFmtId="0" fontId="188" fillId="0" borderId="38" applyNumberFormat="0" applyFill="0" applyAlignment="0" applyProtection="0"/>
    <xf numFmtId="0" fontId="188" fillId="0" borderId="38" applyNumberFormat="0" applyFill="0" applyAlignment="0" applyProtection="0"/>
    <xf numFmtId="0" fontId="189" fillId="0" borderId="39" applyNumberFormat="0" applyFill="0" applyAlignment="0" applyProtection="0"/>
    <xf numFmtId="0" fontId="190" fillId="0" borderId="38" applyNumberFormat="0" applyFill="0" applyAlignment="0" applyProtection="0"/>
    <xf numFmtId="0" fontId="190" fillId="0" borderId="38" applyNumberFormat="0" applyFill="0" applyAlignment="0" applyProtection="0"/>
    <xf numFmtId="0" fontId="190" fillId="0" borderId="38" applyNumberFormat="0" applyFill="0" applyAlignment="0" applyProtection="0"/>
    <xf numFmtId="0" fontId="190" fillId="0" borderId="38" applyNumberFormat="0" applyFill="0" applyAlignment="0" applyProtection="0"/>
    <xf numFmtId="0" fontId="191" fillId="0" borderId="40" applyNumberFormat="0" applyFill="0" applyAlignment="0" applyProtection="0"/>
    <xf numFmtId="0" fontId="192" fillId="0" borderId="1" applyNumberFormat="0" applyFill="0" applyAlignment="0" applyProtection="0"/>
    <xf numFmtId="0" fontId="192" fillId="0" borderId="1" applyNumberFormat="0" applyFill="0" applyAlignment="0" applyProtection="0"/>
    <xf numFmtId="0" fontId="192" fillId="0" borderId="1" applyNumberFormat="0" applyFill="0" applyAlignment="0" applyProtection="0"/>
    <xf numFmtId="0" fontId="192" fillId="0" borderId="1" applyNumberFormat="0" applyFill="0" applyAlignment="0" applyProtection="0"/>
    <xf numFmtId="0" fontId="193" fillId="0" borderId="41" applyNumberFormat="0" applyFill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5" borderId="0"/>
    <xf numFmtId="0" fontId="196" fillId="0" borderId="14" applyNumberFormat="0" applyFill="0" applyBorder="0" applyAlignment="0" applyProtection="0">
      <alignment horizontal="left" indent="3"/>
    </xf>
    <xf numFmtId="0" fontId="197" fillId="94" borderId="14" applyNumberFormat="0" applyAlignment="0" applyProtection="0"/>
    <xf numFmtId="0" fontId="197" fillId="94" borderId="14" applyNumberFormat="0" applyAlignment="0" applyProtection="0"/>
    <xf numFmtId="0" fontId="197" fillId="94" borderId="14" applyNumberFormat="0" applyAlignment="0" applyProtection="0"/>
    <xf numFmtId="0" fontId="163" fillId="88" borderId="29" applyNumberFormat="0" applyAlignment="0" applyProtection="0"/>
    <xf numFmtId="0" fontId="198" fillId="0" borderId="0" applyAlignment="0"/>
    <xf numFmtId="0" fontId="55" fillId="14" borderId="0"/>
    <xf numFmtId="0" fontId="199" fillId="0" borderId="2" applyNumberFormat="0" applyFill="0" applyAlignment="0" applyProtection="0"/>
    <xf numFmtId="0" fontId="199" fillId="0" borderId="2" applyNumberFormat="0" applyFill="0" applyAlignment="0" applyProtection="0"/>
    <xf numFmtId="0" fontId="199" fillId="0" borderId="2" applyNumberFormat="0" applyFill="0" applyAlignment="0" applyProtection="0"/>
    <xf numFmtId="0" fontId="199" fillId="0" borderId="2" applyNumberFormat="0" applyFill="0" applyAlignment="0" applyProtection="0"/>
    <xf numFmtId="0" fontId="200" fillId="0" borderId="42" applyNumberFormat="0" applyFill="0" applyAlignment="0" applyProtection="0"/>
    <xf numFmtId="277" fontId="55" fillId="0" borderId="0" applyFont="0" applyFill="0" applyBorder="0" applyAlignment="0" applyProtection="0"/>
    <xf numFmtId="277" fontId="55" fillId="0" borderId="0" applyFont="0" applyFill="0" applyBorder="0" applyAlignment="0" applyProtection="0"/>
    <xf numFmtId="0" fontId="201" fillId="95" borderId="0" applyNumberFormat="0" applyBorder="0" applyAlignment="0" applyProtection="0"/>
    <xf numFmtId="0" fontId="201" fillId="95" borderId="0" applyNumberFormat="0" applyBorder="0" applyAlignment="0" applyProtection="0"/>
    <xf numFmtId="0" fontId="201" fillId="95" borderId="0" applyNumberFormat="0" applyBorder="0" applyAlignment="0" applyProtection="0"/>
    <xf numFmtId="0" fontId="201" fillId="95" borderId="0" applyNumberFormat="0" applyBorder="0" applyAlignment="0" applyProtection="0"/>
    <xf numFmtId="0" fontId="202" fillId="20" borderId="0" applyNumberFormat="0" applyBorder="0" applyAlignment="0" applyProtection="0"/>
    <xf numFmtId="0" fontId="203" fillId="96" borderId="0" applyAlignment="0"/>
    <xf numFmtId="0" fontId="204" fillId="97" borderId="0" applyAlignment="0"/>
    <xf numFmtId="0" fontId="205" fillId="0" borderId="0" applyAlignment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6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18" fillId="0" borderId="0"/>
    <xf numFmtId="0" fontId="18" fillId="0" borderId="0"/>
    <xf numFmtId="0" fontId="174" fillId="0" borderId="0"/>
    <xf numFmtId="0" fontId="18" fillId="0" borderId="0"/>
    <xf numFmtId="0" fontId="174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42" fillId="0" borderId="0"/>
    <xf numFmtId="37" fontId="209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42" fillId="0" borderId="0"/>
    <xf numFmtId="0" fontId="2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7" fillId="0" borderId="0"/>
    <xf numFmtId="0" fontId="207" fillId="0" borderId="0"/>
    <xf numFmtId="0" fontId="207" fillId="0" borderId="0"/>
    <xf numFmtId="0" fontId="55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" fillId="0" borderId="0"/>
    <xf numFmtId="0" fontId="18" fillId="0" borderId="0"/>
    <xf numFmtId="0" fontId="207" fillId="0" borderId="0"/>
    <xf numFmtId="0" fontId="207" fillId="0" borderId="0"/>
    <xf numFmtId="0" fontId="20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1" fillId="0" borderId="0"/>
    <xf numFmtId="0" fontId="2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11" fillId="0" borderId="0"/>
    <xf numFmtId="0" fontId="20" fillId="0" borderId="0"/>
    <xf numFmtId="0" fontId="20" fillId="0" borderId="0"/>
    <xf numFmtId="0" fontId="211" fillId="0" borderId="0"/>
    <xf numFmtId="0" fontId="2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7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174" fillId="11" borderId="14" applyNumberFormat="0" applyFont="0" applyAlignment="0" applyProtection="0"/>
    <xf numFmtId="0" fontId="20" fillId="24" borderId="33" applyNumberFormat="0" applyFont="0" applyAlignment="0" applyProtection="0"/>
    <xf numFmtId="0" fontId="20" fillId="24" borderId="33" applyNumberFormat="0" applyFont="0" applyAlignment="0" applyProtection="0"/>
    <xf numFmtId="0" fontId="174" fillId="11" borderId="14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120" fillId="24" borderId="33" applyNumberFormat="0" applyFont="0" applyAlignment="0" applyProtection="0"/>
    <xf numFmtId="0" fontId="18" fillId="24" borderId="33" applyNumberFormat="0" applyFont="0" applyAlignment="0" applyProtection="0"/>
    <xf numFmtId="0" fontId="18" fillId="24" borderId="33" applyNumberFormat="0" applyFont="0" applyAlignment="0" applyProtection="0"/>
    <xf numFmtId="0" fontId="174" fillId="24" borderId="33" applyNumberFormat="0" applyFont="0" applyAlignment="0" applyProtection="0"/>
    <xf numFmtId="0" fontId="174" fillId="11" borderId="14" applyNumberFormat="0" applyFont="0" applyAlignment="0" applyProtection="0"/>
    <xf numFmtId="0" fontId="20" fillId="24" borderId="33" applyNumberFormat="0" applyFont="0" applyAlignment="0" applyProtection="0"/>
    <xf numFmtId="0" fontId="20" fillId="24" borderId="33" applyNumberFormat="0" applyFont="0" applyAlignment="0" applyProtection="0"/>
    <xf numFmtId="0" fontId="20" fillId="24" borderId="33" applyNumberFormat="0" applyFont="0" applyAlignment="0" applyProtection="0"/>
    <xf numFmtId="0" fontId="20" fillId="24" borderId="33" applyNumberFormat="0" applyFont="0" applyAlignment="0" applyProtection="0"/>
    <xf numFmtId="0" fontId="20" fillId="24" borderId="33" applyNumberFormat="0" applyFont="0" applyAlignment="0" applyProtection="0"/>
    <xf numFmtId="0" fontId="20" fillId="24" borderId="3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42" fillId="98" borderId="43" applyNumberFormat="0" applyFont="0" applyAlignment="0" applyProtection="0"/>
    <xf numFmtId="0" fontId="212" fillId="87" borderId="14" applyNumberFormat="0" applyAlignment="0" applyProtection="0"/>
    <xf numFmtId="0" fontId="212" fillId="87" borderId="14" applyNumberFormat="0" applyAlignment="0" applyProtection="0"/>
    <xf numFmtId="0" fontId="212" fillId="87" borderId="14" applyNumberFormat="0" applyAlignment="0" applyProtection="0"/>
    <xf numFmtId="0" fontId="212" fillId="87" borderId="14" applyNumberFormat="0" applyAlignment="0" applyProtection="0"/>
    <xf numFmtId="0" fontId="164" fillId="88" borderId="30" applyNumberFormat="0" applyAlignment="0" applyProtection="0"/>
    <xf numFmtId="0" fontId="213" fillId="0" borderId="0" applyBorder="0">
      <alignment horizontal="centerContinuous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5" fillId="0" borderId="0" applyFont="0" applyFill="0" applyBorder="0" applyAlignment="0" applyProtection="0"/>
    <xf numFmtId="278" fontId="214" fillId="0" borderId="17"/>
    <xf numFmtId="39" fontId="215" fillId="0" borderId="0"/>
    <xf numFmtId="0" fontId="216" fillId="99" borderId="0" applyAlignment="0"/>
    <xf numFmtId="279" fontId="55" fillId="0" borderId="0" applyFont="0" applyFill="0" applyBorder="0" applyAlignment="0" applyProtection="0"/>
    <xf numFmtId="279" fontId="55" fillId="0" borderId="0" applyFont="0" applyFill="0" applyBorder="0" applyAlignment="0" applyProtection="0"/>
    <xf numFmtId="0" fontId="217" fillId="0" borderId="0" applyFill="0" applyBorder="0" applyProtection="0"/>
    <xf numFmtId="0" fontId="218" fillId="0" borderId="0" applyAlignment="0"/>
    <xf numFmtId="0" fontId="219" fillId="0" borderId="0" applyAlignment="0"/>
    <xf numFmtId="0" fontId="220" fillId="0" borderId="0" applyAlignment="0"/>
    <xf numFmtId="0" fontId="221" fillId="0" borderId="0" applyAlignment="0"/>
    <xf numFmtId="0" fontId="222" fillId="0" borderId="0" applyAlignment="0"/>
    <xf numFmtId="0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5" fillId="0" borderId="0" applyAlignment="0"/>
    <xf numFmtId="0" fontId="226" fillId="0" borderId="13" applyNumberFormat="0" applyFill="0" applyAlignment="0" applyProtection="0"/>
    <xf numFmtId="0" fontId="226" fillId="0" borderId="13" applyNumberFormat="0" applyFill="0" applyAlignment="0" applyProtection="0"/>
    <xf numFmtId="0" fontId="226" fillId="0" borderId="13" applyNumberFormat="0" applyFill="0" applyAlignment="0" applyProtection="0"/>
    <xf numFmtId="0" fontId="226" fillId="0" borderId="13" applyNumberFormat="0" applyFill="0" applyAlignment="0" applyProtection="0"/>
    <xf numFmtId="0" fontId="170" fillId="0" borderId="44" applyNumberFormat="0" applyFill="0" applyAlignment="0" applyProtection="0"/>
    <xf numFmtId="280" fontId="227" fillId="0" borderId="0"/>
    <xf numFmtId="37" fontId="55" fillId="2" borderId="0" applyNumberFormat="0" applyBorder="0" applyAlignment="0" applyProtection="0"/>
    <xf numFmtId="37" fontId="55" fillId="0" borderId="0"/>
    <xf numFmtId="3" fontId="196" fillId="0" borderId="37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17" fillId="0" borderId="0"/>
    <xf numFmtId="43" fontId="42" fillId="0" borderId="0" applyFont="0" applyFill="0" applyBorder="0" applyAlignment="0" applyProtection="0"/>
    <xf numFmtId="173" fontId="36" fillId="0" borderId="45" applyFill="0"/>
    <xf numFmtId="221" fontId="42" fillId="0" borderId="45" applyNumberFormat="0" applyFont="0" applyFill="0" applyAlignment="0" applyProtection="0"/>
    <xf numFmtId="221" fontId="12" fillId="0" borderId="0"/>
    <xf numFmtId="221" fontId="14" fillId="0" borderId="0"/>
    <xf numFmtId="221" fontId="12" fillId="0" borderId="0"/>
    <xf numFmtId="221" fontId="14" fillId="0" borderId="0"/>
    <xf numFmtId="221" fontId="14" fillId="0" borderId="0"/>
    <xf numFmtId="221" fontId="12" fillId="0" borderId="0"/>
    <xf numFmtId="221" fontId="12" fillId="0" borderId="0"/>
    <xf numFmtId="221" fontId="14" fillId="0" borderId="0"/>
    <xf numFmtId="43" fontId="14" fillId="0" borderId="0" applyFont="0" applyFill="0" applyBorder="0" applyAlignment="0" applyProtection="0"/>
    <xf numFmtId="221" fontId="12" fillId="0" borderId="0"/>
    <xf numFmtId="221" fontId="12" fillId="0" borderId="0"/>
    <xf numFmtId="221" fontId="12" fillId="0" borderId="0"/>
    <xf numFmtId="221" fontId="12" fillId="0" borderId="0"/>
    <xf numFmtId="43" fontId="14" fillId="0" borderId="0" applyFont="0" applyFill="0" applyBorder="0" applyAlignment="0" applyProtection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2" fillId="0" borderId="0"/>
    <xf numFmtId="221" fontId="14" fillId="26" borderId="0" applyNumberFormat="0" applyBorder="0" applyAlignment="0" applyProtection="0"/>
    <xf numFmtId="221" fontId="14" fillId="27" borderId="0" applyNumberFormat="0" applyBorder="0" applyAlignment="0" applyProtection="0"/>
    <xf numFmtId="221" fontId="14" fillId="30" borderId="0" applyNumberFormat="0" applyBorder="0" applyAlignment="0" applyProtection="0"/>
    <xf numFmtId="221" fontId="14" fillId="31" borderId="0" applyNumberFormat="0" applyBorder="0" applyAlignment="0" applyProtection="0"/>
    <xf numFmtId="221" fontId="14" fillId="34" borderId="0" applyNumberFormat="0" applyBorder="0" applyAlignment="0" applyProtection="0"/>
    <xf numFmtId="221" fontId="14" fillId="35" borderId="0" applyNumberFormat="0" applyBorder="0" applyAlignment="0" applyProtection="0"/>
    <xf numFmtId="221" fontId="14" fillId="38" borderId="0" applyNumberFormat="0" applyBorder="0" applyAlignment="0" applyProtection="0"/>
    <xf numFmtId="221" fontId="14" fillId="39" borderId="0" applyNumberFormat="0" applyBorder="0" applyAlignment="0" applyProtection="0"/>
    <xf numFmtId="221" fontId="14" fillId="42" borderId="0" applyNumberFormat="0" applyBorder="0" applyAlignment="0" applyProtection="0"/>
    <xf numFmtId="221" fontId="14" fillId="43" borderId="0" applyNumberFormat="0" applyBorder="0" applyAlignment="0" applyProtection="0"/>
    <xf numFmtId="221" fontId="14" fillId="46" borderId="0" applyNumberFormat="0" applyBorder="0" applyAlignment="0" applyProtection="0"/>
    <xf numFmtId="221" fontId="14" fillId="47" borderId="0" applyNumberFormat="0" applyBorder="0" applyAlignment="0" applyProtection="0"/>
    <xf numFmtId="221" fontId="14" fillId="0" borderId="0"/>
    <xf numFmtId="221" fontId="14" fillId="0" borderId="0"/>
    <xf numFmtId="221" fontId="14" fillId="0" borderId="0"/>
    <xf numFmtId="221" fontId="14" fillId="0" borderId="0"/>
    <xf numFmtId="221" fontId="14" fillId="24" borderId="33" applyNumberFormat="0" applyFont="0" applyAlignment="0" applyProtection="0"/>
    <xf numFmtId="221" fontId="14" fillId="0" borderId="0"/>
    <xf numFmtId="221" fontId="14" fillId="0" borderId="0"/>
    <xf numFmtId="221" fontId="14" fillId="0" borderId="0"/>
    <xf numFmtId="221" fontId="14" fillId="0" borderId="0"/>
    <xf numFmtId="221" fontId="14" fillId="0" borderId="0"/>
    <xf numFmtId="221" fontId="14" fillId="0" borderId="0"/>
    <xf numFmtId="221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21" fontId="12" fillId="0" borderId="0"/>
    <xf numFmtId="0" fontId="14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4" borderId="33" applyNumberFormat="0" applyFont="0" applyAlignment="0" applyProtection="0"/>
    <xf numFmtId="0" fontId="14" fillId="24" borderId="33" applyNumberFormat="0" applyFont="0" applyAlignment="0" applyProtection="0"/>
    <xf numFmtId="0" fontId="12" fillId="24" borderId="33" applyNumberFormat="0" applyFont="0" applyAlignment="0" applyProtection="0"/>
    <xf numFmtId="0" fontId="12" fillId="24" borderId="33" applyNumberFormat="0" applyFont="0" applyAlignment="0" applyProtection="0"/>
    <xf numFmtId="0" fontId="14" fillId="24" borderId="33" applyNumberFormat="0" applyFont="0" applyAlignment="0" applyProtection="0"/>
    <xf numFmtId="0" fontId="14" fillId="24" borderId="33" applyNumberFormat="0" applyFont="0" applyAlignment="0" applyProtection="0"/>
    <xf numFmtId="0" fontId="14" fillId="24" borderId="33" applyNumberFormat="0" applyFont="0" applyAlignment="0" applyProtection="0"/>
    <xf numFmtId="0" fontId="14" fillId="24" borderId="33" applyNumberFormat="0" applyFont="0" applyAlignment="0" applyProtection="0"/>
    <xf numFmtId="0" fontId="14" fillId="24" borderId="33" applyNumberFormat="0" applyFont="0" applyAlignment="0" applyProtection="0"/>
    <xf numFmtId="0" fontId="14" fillId="24" borderId="33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9" fontId="31" fillId="0" borderId="0" applyFont="0" applyFill="0" applyBorder="0" applyAlignment="0" applyProtection="0"/>
    <xf numFmtId="0" fontId="174" fillId="101" borderId="0" applyNumberFormat="0" applyBorder="0" applyAlignment="0" applyProtection="0"/>
    <xf numFmtId="0" fontId="174" fillId="101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1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0" borderId="0" applyNumberFormat="0" applyBorder="0" applyAlignment="0" applyProtection="0"/>
    <xf numFmtId="0" fontId="174" fillId="102" borderId="0" applyNumberFormat="0" applyBorder="0" applyAlignment="0" applyProtection="0"/>
    <xf numFmtId="0" fontId="174" fillId="102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102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86" borderId="0" applyNumberFormat="0" applyBorder="0" applyAlignment="0" applyProtection="0"/>
    <xf numFmtId="0" fontId="174" fillId="103" borderId="0" applyNumberFormat="0" applyBorder="0" applyAlignment="0" applyProtection="0"/>
    <xf numFmtId="0" fontId="174" fillId="10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10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93" borderId="0" applyNumberFormat="0" applyBorder="0" applyAlignment="0" applyProtection="0"/>
    <xf numFmtId="0" fontId="174" fillId="8" borderId="0" applyNumberFormat="0" applyBorder="0" applyAlignment="0" applyProtection="0"/>
    <xf numFmtId="0" fontId="174" fillId="8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8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9" borderId="0" applyNumberFormat="0" applyBorder="0" applyAlignment="0" applyProtection="0"/>
    <xf numFmtId="0" fontId="174" fillId="9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9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105" borderId="0" applyNumberFormat="0" applyBorder="0" applyAlignment="0" applyProtection="0"/>
    <xf numFmtId="0" fontId="174" fillId="94" borderId="0" applyNumberFormat="0" applyBorder="0" applyAlignment="0" applyProtection="0"/>
    <xf numFmtId="0" fontId="174" fillId="94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94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106" borderId="0" applyNumberFormat="0" applyBorder="0" applyAlignment="0" applyProtection="0"/>
    <xf numFmtId="0" fontId="174" fillId="84" borderId="0" applyNumberFormat="0" applyBorder="0" applyAlignment="0" applyProtection="0"/>
    <xf numFmtId="0" fontId="174" fillId="84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84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8" borderId="0" applyNumberFormat="0" applyBorder="0" applyAlignment="0" applyProtection="0"/>
    <xf numFmtId="0" fontId="174" fillId="108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108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65" borderId="0" applyNumberFormat="0" applyBorder="0" applyAlignment="0" applyProtection="0"/>
    <xf numFmtId="0" fontId="174" fillId="109" borderId="0" applyNumberFormat="0" applyBorder="0" applyAlignment="0" applyProtection="0"/>
    <xf numFmtId="0" fontId="174" fillId="109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109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67" borderId="0" applyNumberFormat="0" applyBorder="0" applyAlignment="0" applyProtection="0"/>
    <xf numFmtId="0" fontId="174" fillId="8" borderId="0" applyNumberFormat="0" applyBorder="0" applyAlignment="0" applyProtection="0"/>
    <xf numFmtId="0" fontId="174" fillId="8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8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104" borderId="0" applyNumberFormat="0" applyBorder="0" applyAlignment="0" applyProtection="0"/>
    <xf numFmtId="0" fontId="174" fillId="84" borderId="0" applyNumberFormat="0" applyBorder="0" applyAlignment="0" applyProtection="0"/>
    <xf numFmtId="0" fontId="174" fillId="84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84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07" borderId="0" applyNumberFormat="0" applyBorder="0" applyAlignment="0" applyProtection="0"/>
    <xf numFmtId="0" fontId="174" fillId="111" borderId="0" applyNumberFormat="0" applyBorder="0" applyAlignment="0" applyProtection="0"/>
    <xf numFmtId="0" fontId="174" fillId="111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1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4" fillId="110" borderId="0" applyNumberFormat="0" applyBorder="0" applyAlignment="0" applyProtection="0"/>
    <xf numFmtId="0" fontId="175" fillId="112" borderId="0" applyNumberFormat="0" applyBorder="0" applyAlignment="0" applyProtection="0"/>
    <xf numFmtId="0" fontId="175" fillId="108" borderId="0" applyNumberFormat="0" applyBorder="0" applyAlignment="0" applyProtection="0"/>
    <xf numFmtId="0" fontId="175" fillId="109" borderId="0" applyNumberFormat="0" applyBorder="0" applyAlignment="0" applyProtection="0"/>
    <xf numFmtId="0" fontId="175" fillId="113" borderId="0" applyNumberFormat="0" applyBorder="0" applyAlignment="0" applyProtection="0"/>
    <xf numFmtId="0" fontId="175" fillId="114" borderId="0" applyNumberFormat="0" applyBorder="0" applyAlignment="0" applyProtection="0"/>
    <xf numFmtId="0" fontId="175" fillId="115" borderId="0" applyNumberFormat="0" applyBorder="0" applyAlignment="0" applyProtection="0"/>
    <xf numFmtId="0" fontId="175" fillId="96" borderId="0" applyNumberFormat="0" applyBorder="0" applyAlignment="0" applyProtection="0"/>
    <xf numFmtId="0" fontId="175" fillId="116" borderId="0" applyNumberFormat="0" applyBorder="0" applyAlignment="0" applyProtection="0"/>
    <xf numFmtId="0" fontId="175" fillId="117" borderId="0" applyNumberFormat="0" applyBorder="0" applyAlignment="0" applyProtection="0"/>
    <xf numFmtId="0" fontId="175" fillId="113" borderId="0" applyNumberFormat="0" applyBorder="0" applyAlignment="0" applyProtection="0"/>
    <xf numFmtId="0" fontId="175" fillId="114" borderId="0" applyNumberFormat="0" applyBorder="0" applyAlignment="0" applyProtection="0"/>
    <xf numFmtId="0" fontId="175" fillId="6" borderId="0" applyNumberFormat="0" applyBorder="0" applyAlignment="0" applyProtection="0"/>
    <xf numFmtId="0" fontId="248" fillId="102" borderId="0" applyNumberFormat="0" applyBorder="0" applyAlignment="0" applyProtection="0"/>
    <xf numFmtId="0" fontId="78" fillId="0" borderId="0"/>
    <xf numFmtId="0" fontId="78" fillId="0" borderId="0"/>
    <xf numFmtId="173" fontId="36" fillId="0" borderId="45" applyFill="0"/>
    <xf numFmtId="0" fontId="249" fillId="14" borderId="14" applyNumberFormat="0" applyAlignment="0" applyProtection="0"/>
    <xf numFmtId="0" fontId="182" fillId="118" borderId="37" applyNumberFormat="0" applyAlignment="0" applyProtection="0"/>
    <xf numFmtId="0" fontId="77" fillId="0" borderId="0" applyFont="0" applyFill="0" applyBorder="0" applyAlignment="0" applyProtection="0"/>
    <xf numFmtId="0" fontId="250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251" fillId="103" borderId="0" applyNumberFormat="0" applyBorder="0" applyAlignment="0" applyProtection="0"/>
    <xf numFmtId="0" fontId="189" fillId="0" borderId="38" applyNumberFormat="0" applyFill="0" applyAlignment="0" applyProtection="0"/>
    <xf numFmtId="0" fontId="191" fillId="0" borderId="38" applyNumberFormat="0" applyFill="0" applyAlignment="0" applyProtection="0"/>
    <xf numFmtId="0" fontId="193" fillId="0" borderId="1" applyNumberFormat="0" applyFill="0" applyAlignment="0" applyProtection="0"/>
    <xf numFmtId="0" fontId="193" fillId="0" borderId="0" applyNumberFormat="0" applyFill="0" applyBorder="0" applyAlignment="0" applyProtection="0"/>
    <xf numFmtId="0" fontId="200" fillId="0" borderId="2" applyNumberFormat="0" applyFill="0" applyAlignment="0" applyProtection="0"/>
    <xf numFmtId="0" fontId="252" fillId="2" borderId="0" applyNumberFormat="0" applyBorder="0" applyAlignment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62" fillId="0" borderId="0">
      <alignment vertical="top"/>
    </xf>
    <xf numFmtId="0" fontId="174" fillId="0" borderId="0"/>
    <xf numFmtId="0" fontId="174" fillId="0" borderId="0"/>
    <xf numFmtId="0" fontId="42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253" fillId="0" borderId="0"/>
    <xf numFmtId="0" fontId="42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25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42" fillId="0" borderId="0"/>
    <xf numFmtId="0" fontId="4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20" fillId="0" borderId="0"/>
    <xf numFmtId="0" fontId="120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20" fillId="98" borderId="43" applyNumberFormat="0" applyFont="0" applyAlignment="0" applyProtection="0"/>
    <xf numFmtId="0" fontId="120" fillId="98" borderId="43" applyNumberFormat="0" applyFont="0" applyAlignment="0" applyProtection="0"/>
    <xf numFmtId="0" fontId="120" fillId="98" borderId="43" applyNumberFormat="0" applyFont="0" applyAlignment="0" applyProtection="0"/>
    <xf numFmtId="0" fontId="120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174" fillId="98" borderId="43" applyNumberFormat="0" applyFont="0" applyAlignment="0" applyProtection="0"/>
    <xf numFmtId="0" fontId="254" fillId="14" borderId="14" applyNumberFormat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116" fillId="0" borderId="0"/>
    <xf numFmtId="0" fontId="116" fillId="0" borderId="0"/>
    <xf numFmtId="0" fontId="224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221" fontId="8" fillId="0" borderId="0"/>
    <xf numFmtId="221" fontId="7" fillId="0" borderId="0"/>
    <xf numFmtId="221" fontId="8" fillId="0" borderId="0"/>
    <xf numFmtId="221" fontId="7" fillId="0" borderId="0"/>
    <xf numFmtId="221" fontId="7" fillId="0" borderId="0"/>
    <xf numFmtId="221" fontId="8" fillId="0" borderId="0"/>
    <xf numFmtId="221" fontId="8" fillId="0" borderId="0"/>
    <xf numFmtId="221" fontId="7" fillId="0" borderId="0"/>
    <xf numFmtId="43" fontId="7" fillId="0" borderId="0" applyFont="0" applyFill="0" applyBorder="0" applyAlignment="0" applyProtection="0"/>
    <xf numFmtId="221" fontId="8" fillId="0" borderId="0"/>
    <xf numFmtId="221" fontId="8" fillId="0" borderId="0"/>
    <xf numFmtId="221" fontId="8" fillId="0" borderId="0"/>
    <xf numFmtId="221" fontId="8" fillId="0" borderId="0"/>
    <xf numFmtId="43" fontId="7" fillId="0" borderId="0" applyFont="0" applyFill="0" applyBorder="0" applyAlignment="0" applyProtection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7" fillId="26" borderId="0" applyNumberFormat="0" applyBorder="0" applyAlignment="0" applyProtection="0"/>
    <xf numFmtId="221" fontId="7" fillId="27" borderId="0" applyNumberFormat="0" applyBorder="0" applyAlignment="0" applyProtection="0"/>
    <xf numFmtId="221" fontId="7" fillId="30" borderId="0" applyNumberFormat="0" applyBorder="0" applyAlignment="0" applyProtection="0"/>
    <xf numFmtId="221" fontId="7" fillId="31" borderId="0" applyNumberFormat="0" applyBorder="0" applyAlignment="0" applyProtection="0"/>
    <xf numFmtId="221" fontId="7" fillId="34" borderId="0" applyNumberFormat="0" applyBorder="0" applyAlignment="0" applyProtection="0"/>
    <xf numFmtId="221" fontId="7" fillId="35" borderId="0" applyNumberFormat="0" applyBorder="0" applyAlignment="0" applyProtection="0"/>
    <xf numFmtId="221" fontId="7" fillId="38" borderId="0" applyNumberFormat="0" applyBorder="0" applyAlignment="0" applyProtection="0"/>
    <xf numFmtId="221" fontId="7" fillId="39" borderId="0" applyNumberFormat="0" applyBorder="0" applyAlignment="0" applyProtection="0"/>
    <xf numFmtId="221" fontId="7" fillId="42" borderId="0" applyNumberFormat="0" applyBorder="0" applyAlignment="0" applyProtection="0"/>
    <xf numFmtId="221" fontId="7" fillId="43" borderId="0" applyNumberFormat="0" applyBorder="0" applyAlignment="0" applyProtection="0"/>
    <xf numFmtId="221" fontId="7" fillId="46" borderId="0" applyNumberFormat="0" applyBorder="0" applyAlignment="0" applyProtection="0"/>
    <xf numFmtId="221" fontId="7" fillId="47" borderId="0" applyNumberFormat="0" applyBorder="0" applyAlignment="0" applyProtection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24" borderId="33" applyNumberFormat="0" applyFont="0" applyAlignment="0" applyProtection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21" fontId="8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8" fillId="24" borderId="33" applyNumberFormat="0" applyFont="0" applyAlignment="0" applyProtection="0"/>
    <xf numFmtId="0" fontId="8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221" fontId="8" fillId="0" borderId="0"/>
    <xf numFmtId="221" fontId="7" fillId="0" borderId="0"/>
    <xf numFmtId="221" fontId="8" fillId="0" borderId="0"/>
    <xf numFmtId="221" fontId="7" fillId="0" borderId="0"/>
    <xf numFmtId="221" fontId="7" fillId="0" borderId="0"/>
    <xf numFmtId="221" fontId="8" fillId="0" borderId="0"/>
    <xf numFmtId="221" fontId="8" fillId="0" borderId="0"/>
    <xf numFmtId="221" fontId="7" fillId="0" borderId="0"/>
    <xf numFmtId="43" fontId="7" fillId="0" borderId="0" applyFont="0" applyFill="0" applyBorder="0" applyAlignment="0" applyProtection="0"/>
    <xf numFmtId="221" fontId="8" fillId="0" borderId="0"/>
    <xf numFmtId="221" fontId="8" fillId="0" borderId="0"/>
    <xf numFmtId="221" fontId="8" fillId="0" borderId="0"/>
    <xf numFmtId="221" fontId="8" fillId="0" borderId="0"/>
    <xf numFmtId="43" fontId="7" fillId="0" borderId="0" applyFont="0" applyFill="0" applyBorder="0" applyAlignment="0" applyProtection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8" fillId="0" borderId="0"/>
    <xf numFmtId="221" fontId="7" fillId="26" borderId="0" applyNumberFormat="0" applyBorder="0" applyAlignment="0" applyProtection="0"/>
    <xf numFmtId="221" fontId="7" fillId="27" borderId="0" applyNumberFormat="0" applyBorder="0" applyAlignment="0" applyProtection="0"/>
    <xf numFmtId="221" fontId="7" fillId="30" borderId="0" applyNumberFormat="0" applyBorder="0" applyAlignment="0" applyProtection="0"/>
    <xf numFmtId="221" fontId="7" fillId="31" borderId="0" applyNumberFormat="0" applyBorder="0" applyAlignment="0" applyProtection="0"/>
    <xf numFmtId="221" fontId="7" fillId="34" borderId="0" applyNumberFormat="0" applyBorder="0" applyAlignment="0" applyProtection="0"/>
    <xf numFmtId="221" fontId="7" fillId="35" borderId="0" applyNumberFormat="0" applyBorder="0" applyAlignment="0" applyProtection="0"/>
    <xf numFmtId="221" fontId="7" fillId="38" borderId="0" applyNumberFormat="0" applyBorder="0" applyAlignment="0" applyProtection="0"/>
    <xf numFmtId="221" fontId="7" fillId="39" borderId="0" applyNumberFormat="0" applyBorder="0" applyAlignment="0" applyProtection="0"/>
    <xf numFmtId="221" fontId="7" fillId="42" borderId="0" applyNumberFormat="0" applyBorder="0" applyAlignment="0" applyProtection="0"/>
    <xf numFmtId="221" fontId="7" fillId="43" borderId="0" applyNumberFormat="0" applyBorder="0" applyAlignment="0" applyProtection="0"/>
    <xf numFmtId="221" fontId="7" fillId="46" borderId="0" applyNumberFormat="0" applyBorder="0" applyAlignment="0" applyProtection="0"/>
    <xf numFmtId="221" fontId="7" fillId="47" borderId="0" applyNumberFormat="0" applyBorder="0" applyAlignment="0" applyProtection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24" borderId="33" applyNumberFormat="0" applyFont="0" applyAlignment="0" applyProtection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0" borderId="0"/>
    <xf numFmtId="221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21" fontId="8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8" fillId="24" borderId="33" applyNumberFormat="0" applyFont="0" applyAlignment="0" applyProtection="0"/>
    <xf numFmtId="0" fontId="8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0" fontId="7" fillId="24" borderId="33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42" fillId="0" borderId="0" applyFont="0" applyFill="0" applyBorder="0" applyAlignment="0" applyProtection="0"/>
    <xf numFmtId="221" fontId="4" fillId="30" borderId="0" applyNumberFormat="0" applyBorder="0" applyAlignment="0" applyProtection="0"/>
    <xf numFmtId="43" fontId="42" fillId="0" borderId="0" applyFont="0" applyFill="0" applyBorder="0" applyAlignment="0" applyProtection="0"/>
    <xf numFmtId="221" fontId="5" fillId="0" borderId="0"/>
    <xf numFmtId="221" fontId="4" fillId="0" borderId="0"/>
    <xf numFmtId="221" fontId="5" fillId="0" borderId="0"/>
    <xf numFmtId="221" fontId="4" fillId="0" borderId="0"/>
    <xf numFmtId="221" fontId="4" fillId="0" borderId="0"/>
    <xf numFmtId="221" fontId="4" fillId="31" borderId="0" applyNumberFormat="0" applyBorder="0" applyAlignment="0" applyProtection="0"/>
    <xf numFmtId="221" fontId="4" fillId="0" borderId="0"/>
    <xf numFmtId="221" fontId="5" fillId="0" borderId="0"/>
    <xf numFmtId="221" fontId="5" fillId="0" borderId="0"/>
    <xf numFmtId="221" fontId="4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4" fillId="26" borderId="0" applyNumberFormat="0" applyBorder="0" applyAlignment="0" applyProtection="0"/>
    <xf numFmtId="221" fontId="4" fillId="27" borderId="0" applyNumberFormat="0" applyBorder="0" applyAlignment="0" applyProtection="0"/>
    <xf numFmtId="221" fontId="4" fillId="30" borderId="0" applyNumberFormat="0" applyBorder="0" applyAlignment="0" applyProtection="0"/>
    <xf numFmtId="221" fontId="4" fillId="31" borderId="0" applyNumberFormat="0" applyBorder="0" applyAlignment="0" applyProtection="0"/>
    <xf numFmtId="221" fontId="4" fillId="34" borderId="0" applyNumberFormat="0" applyBorder="0" applyAlignment="0" applyProtection="0"/>
    <xf numFmtId="221" fontId="4" fillId="35" borderId="0" applyNumberFormat="0" applyBorder="0" applyAlignment="0" applyProtection="0"/>
    <xf numFmtId="221" fontId="4" fillId="38" borderId="0" applyNumberFormat="0" applyBorder="0" applyAlignment="0" applyProtection="0"/>
    <xf numFmtId="221" fontId="4" fillId="39" borderId="0" applyNumberFormat="0" applyBorder="0" applyAlignment="0" applyProtection="0"/>
    <xf numFmtId="221" fontId="4" fillId="42" borderId="0" applyNumberFormat="0" applyBorder="0" applyAlignment="0" applyProtection="0"/>
    <xf numFmtId="221" fontId="4" fillId="43" borderId="0" applyNumberFormat="0" applyBorder="0" applyAlignment="0" applyProtection="0"/>
    <xf numFmtId="221" fontId="4" fillId="46" borderId="0" applyNumberFormat="0" applyBorder="0" applyAlignment="0" applyProtection="0"/>
    <xf numFmtId="221" fontId="4" fillId="47" borderId="0" applyNumberFormat="0" applyBorder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24" borderId="33" applyNumberFormat="0" applyFont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1" fontId="5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43" fontId="4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5" fillId="24" borderId="33" applyNumberFormat="0" applyFont="0" applyAlignment="0" applyProtection="0"/>
    <xf numFmtId="0" fontId="5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221" fontId="5" fillId="0" borderId="0"/>
    <xf numFmtId="221" fontId="4" fillId="0" borderId="0"/>
    <xf numFmtId="221" fontId="5" fillId="0" borderId="0"/>
    <xf numFmtId="221" fontId="4" fillId="0" borderId="0"/>
    <xf numFmtId="221" fontId="4" fillId="0" borderId="0"/>
    <xf numFmtId="221" fontId="5" fillId="0" borderId="0"/>
    <xf numFmtId="221" fontId="5" fillId="0" borderId="0"/>
    <xf numFmtId="221" fontId="4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4" fillId="26" borderId="0" applyNumberFormat="0" applyBorder="0" applyAlignment="0" applyProtection="0"/>
    <xf numFmtId="221" fontId="4" fillId="27" borderId="0" applyNumberFormat="0" applyBorder="0" applyAlignment="0" applyProtection="0"/>
    <xf numFmtId="221" fontId="4" fillId="30" borderId="0" applyNumberFormat="0" applyBorder="0" applyAlignment="0" applyProtection="0"/>
    <xf numFmtId="221" fontId="4" fillId="31" borderId="0" applyNumberFormat="0" applyBorder="0" applyAlignment="0" applyProtection="0"/>
    <xf numFmtId="221" fontId="4" fillId="34" borderId="0" applyNumberFormat="0" applyBorder="0" applyAlignment="0" applyProtection="0"/>
    <xf numFmtId="221" fontId="4" fillId="35" borderId="0" applyNumberFormat="0" applyBorder="0" applyAlignment="0" applyProtection="0"/>
    <xf numFmtId="221" fontId="4" fillId="38" borderId="0" applyNumberFormat="0" applyBorder="0" applyAlignment="0" applyProtection="0"/>
    <xf numFmtId="221" fontId="4" fillId="39" borderId="0" applyNumberFormat="0" applyBorder="0" applyAlignment="0" applyProtection="0"/>
    <xf numFmtId="221" fontId="4" fillId="42" borderId="0" applyNumberFormat="0" applyBorder="0" applyAlignment="0" applyProtection="0"/>
    <xf numFmtId="221" fontId="4" fillId="43" borderId="0" applyNumberFormat="0" applyBorder="0" applyAlignment="0" applyProtection="0"/>
    <xf numFmtId="221" fontId="4" fillId="46" borderId="0" applyNumberFormat="0" applyBorder="0" applyAlignment="0" applyProtection="0"/>
    <xf numFmtId="221" fontId="4" fillId="47" borderId="0" applyNumberFormat="0" applyBorder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24" borderId="33" applyNumberFormat="0" applyFont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1" fontId="5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5" fillId="24" borderId="33" applyNumberFormat="0" applyFont="0" applyAlignment="0" applyProtection="0"/>
    <xf numFmtId="0" fontId="5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2" fillId="0" borderId="0" applyFont="0" applyFill="0" applyBorder="0" applyAlignment="0" applyProtection="0"/>
    <xf numFmtId="221" fontId="4" fillId="46" borderId="0" applyNumberFormat="0" applyBorder="0" applyAlignment="0" applyProtection="0"/>
    <xf numFmtId="43" fontId="42" fillId="0" borderId="0" applyFont="0" applyFill="0" applyBorder="0" applyAlignment="0" applyProtection="0"/>
    <xf numFmtId="221" fontId="4" fillId="0" borderId="0"/>
    <xf numFmtId="221" fontId="4" fillId="0" borderId="0"/>
    <xf numFmtId="221" fontId="4" fillId="24" borderId="33" applyNumberFormat="0" applyFont="0" applyAlignment="0" applyProtection="0"/>
    <xf numFmtId="43" fontId="42" fillId="0" borderId="0" applyFont="0" applyFill="0" applyBorder="0" applyAlignment="0" applyProtection="0"/>
    <xf numFmtId="221" fontId="4" fillId="34" borderId="0" applyNumberFormat="0" applyBorder="0" applyAlignment="0" applyProtection="0"/>
    <xf numFmtId="221" fontId="4" fillId="39" borderId="0" applyNumberFormat="0" applyBorder="0" applyAlignment="0" applyProtection="0"/>
    <xf numFmtId="221" fontId="4" fillId="46" borderId="0" applyNumberFormat="0" applyBorder="0" applyAlignment="0" applyProtection="0"/>
    <xf numFmtId="221" fontId="4" fillId="24" borderId="33" applyNumberFormat="0" applyFont="0" applyAlignment="0" applyProtection="0"/>
    <xf numFmtId="221" fontId="4" fillId="47" borderId="0" applyNumberFormat="0" applyBorder="0" applyAlignment="0" applyProtection="0"/>
    <xf numFmtId="221" fontId="4" fillId="38" borderId="0" applyNumberFormat="0" applyBorder="0" applyAlignment="0" applyProtection="0"/>
    <xf numFmtId="221" fontId="4" fillId="42" borderId="0" applyNumberFormat="0" applyBorder="0" applyAlignment="0" applyProtection="0"/>
    <xf numFmtId="221" fontId="4" fillId="43" borderId="0" applyNumberFormat="0" applyBorder="0" applyAlignment="0" applyProtection="0"/>
    <xf numFmtId="221" fontId="4" fillId="39" borderId="0" applyNumberFormat="0" applyBorder="0" applyAlignment="0" applyProtection="0"/>
    <xf numFmtId="221" fontId="4" fillId="30" borderId="0" applyNumberFormat="0" applyBorder="0" applyAlignment="0" applyProtection="0"/>
    <xf numFmtId="221" fontId="4" fillId="34" borderId="0" applyNumberFormat="0" applyBorder="0" applyAlignment="0" applyProtection="0"/>
    <xf numFmtId="221" fontId="4" fillId="35" borderId="0" applyNumberFormat="0" applyBorder="0" applyAlignment="0" applyProtection="0"/>
    <xf numFmtId="221" fontId="4" fillId="31" borderId="0" applyNumberFormat="0" applyBorder="0" applyAlignment="0" applyProtection="0"/>
    <xf numFmtId="221" fontId="4" fillId="26" borderId="0" applyNumberFormat="0" applyBorder="0" applyAlignment="0" applyProtection="0"/>
    <xf numFmtId="221" fontId="4" fillId="27" borderId="0" applyNumberFormat="0" applyBorder="0" applyAlignment="0" applyProtection="0"/>
    <xf numFmtId="221" fontId="4" fillId="0" borderId="0"/>
    <xf numFmtId="221" fontId="4" fillId="0" borderId="0"/>
    <xf numFmtId="221" fontId="4" fillId="0" borderId="0"/>
    <xf numFmtId="43" fontId="42" fillId="0" borderId="0" applyFont="0" applyFill="0" applyBorder="0" applyAlignment="0" applyProtection="0"/>
    <xf numFmtId="221" fontId="5" fillId="0" borderId="0"/>
    <xf numFmtId="221" fontId="4" fillId="0" borderId="0"/>
    <xf numFmtId="221" fontId="5" fillId="0" borderId="0"/>
    <xf numFmtId="221" fontId="4" fillId="0" borderId="0"/>
    <xf numFmtId="221" fontId="4" fillId="0" borderId="0"/>
    <xf numFmtId="221" fontId="5" fillId="0" borderId="0"/>
    <xf numFmtId="221" fontId="5" fillId="0" borderId="0"/>
    <xf numFmtId="221" fontId="4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4" fillId="26" borderId="0" applyNumberFormat="0" applyBorder="0" applyAlignment="0" applyProtection="0"/>
    <xf numFmtId="221" fontId="4" fillId="27" borderId="0" applyNumberFormat="0" applyBorder="0" applyAlignment="0" applyProtection="0"/>
    <xf numFmtId="221" fontId="4" fillId="30" borderId="0" applyNumberFormat="0" applyBorder="0" applyAlignment="0" applyProtection="0"/>
    <xf numFmtId="221" fontId="4" fillId="31" borderId="0" applyNumberFormat="0" applyBorder="0" applyAlignment="0" applyProtection="0"/>
    <xf numFmtId="221" fontId="4" fillId="34" borderId="0" applyNumberFormat="0" applyBorder="0" applyAlignment="0" applyProtection="0"/>
    <xf numFmtId="221" fontId="4" fillId="35" borderId="0" applyNumberFormat="0" applyBorder="0" applyAlignment="0" applyProtection="0"/>
    <xf numFmtId="221" fontId="4" fillId="38" borderId="0" applyNumberFormat="0" applyBorder="0" applyAlignment="0" applyProtection="0"/>
    <xf numFmtId="221" fontId="4" fillId="39" borderId="0" applyNumberFormat="0" applyBorder="0" applyAlignment="0" applyProtection="0"/>
    <xf numFmtId="221" fontId="4" fillId="42" borderId="0" applyNumberFormat="0" applyBorder="0" applyAlignment="0" applyProtection="0"/>
    <xf numFmtId="221" fontId="4" fillId="43" borderId="0" applyNumberFormat="0" applyBorder="0" applyAlignment="0" applyProtection="0"/>
    <xf numFmtId="221" fontId="4" fillId="46" borderId="0" applyNumberFormat="0" applyBorder="0" applyAlignment="0" applyProtection="0"/>
    <xf numFmtId="221" fontId="4" fillId="47" borderId="0" applyNumberFormat="0" applyBorder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24" borderId="33" applyNumberFormat="0" applyFont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1" fontId="5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5" fillId="24" borderId="33" applyNumberFormat="0" applyFont="0" applyAlignment="0" applyProtection="0"/>
    <xf numFmtId="0" fontId="5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221" fontId="5" fillId="0" borderId="0"/>
    <xf numFmtId="221" fontId="4" fillId="0" borderId="0"/>
    <xf numFmtId="221" fontId="5" fillId="0" borderId="0"/>
    <xf numFmtId="221" fontId="4" fillId="0" borderId="0"/>
    <xf numFmtId="221" fontId="4" fillId="0" borderId="0"/>
    <xf numFmtId="221" fontId="5" fillId="0" borderId="0"/>
    <xf numFmtId="221" fontId="5" fillId="0" borderId="0"/>
    <xf numFmtId="221" fontId="4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43" fontId="4" fillId="0" borderId="0" applyFont="0" applyFill="0" applyBorder="0" applyAlignment="0" applyProtection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5" fillId="0" borderId="0"/>
    <xf numFmtId="221" fontId="4" fillId="26" borderId="0" applyNumberFormat="0" applyBorder="0" applyAlignment="0" applyProtection="0"/>
    <xf numFmtId="221" fontId="4" fillId="27" borderId="0" applyNumberFormat="0" applyBorder="0" applyAlignment="0" applyProtection="0"/>
    <xf numFmtId="221" fontId="4" fillId="30" borderId="0" applyNumberFormat="0" applyBorder="0" applyAlignment="0" applyProtection="0"/>
    <xf numFmtId="221" fontId="4" fillId="31" borderId="0" applyNumberFormat="0" applyBorder="0" applyAlignment="0" applyProtection="0"/>
    <xf numFmtId="221" fontId="4" fillId="34" borderId="0" applyNumberFormat="0" applyBorder="0" applyAlignment="0" applyProtection="0"/>
    <xf numFmtId="221" fontId="4" fillId="35" borderId="0" applyNumberFormat="0" applyBorder="0" applyAlignment="0" applyProtection="0"/>
    <xf numFmtId="221" fontId="4" fillId="38" borderId="0" applyNumberFormat="0" applyBorder="0" applyAlignment="0" applyProtection="0"/>
    <xf numFmtId="221" fontId="4" fillId="39" borderId="0" applyNumberFormat="0" applyBorder="0" applyAlignment="0" applyProtection="0"/>
    <xf numFmtId="221" fontId="4" fillId="42" borderId="0" applyNumberFormat="0" applyBorder="0" applyAlignment="0" applyProtection="0"/>
    <xf numFmtId="221" fontId="4" fillId="43" borderId="0" applyNumberFormat="0" applyBorder="0" applyAlignment="0" applyProtection="0"/>
    <xf numFmtId="221" fontId="4" fillId="46" borderId="0" applyNumberFormat="0" applyBorder="0" applyAlignment="0" applyProtection="0"/>
    <xf numFmtId="221" fontId="4" fillId="47" borderId="0" applyNumberFormat="0" applyBorder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24" borderId="33" applyNumberFormat="0" applyFont="0" applyAlignment="0" applyProtection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221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1" fontId="5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5" fillId="24" borderId="33" applyNumberFormat="0" applyFont="0" applyAlignment="0" applyProtection="0"/>
    <xf numFmtId="0" fontId="5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0" fontId="4" fillId="24" borderId="33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221" fontId="4" fillId="46" borderId="0" applyNumberFormat="0" applyBorder="0" applyAlignment="0" applyProtection="0"/>
    <xf numFmtId="221" fontId="4" fillId="34" borderId="0" applyNumberFormat="0" applyBorder="0" applyAlignment="0" applyProtection="0"/>
    <xf numFmtId="221" fontId="4" fillId="39" borderId="0" applyNumberFormat="0" applyBorder="0" applyAlignment="0" applyProtection="0"/>
    <xf numFmtId="221" fontId="4" fillId="27" borderId="0" applyNumberFormat="0" applyBorder="0" applyAlignment="0" applyProtection="0"/>
    <xf numFmtId="221" fontId="4" fillId="38" borderId="0" applyNumberFormat="0" applyBorder="0" applyAlignment="0" applyProtection="0"/>
    <xf numFmtId="221" fontId="4" fillId="35" borderId="0" applyNumberFormat="0" applyBorder="0" applyAlignment="0" applyProtection="0"/>
    <xf numFmtId="221" fontId="4" fillId="42" borderId="0" applyNumberFormat="0" applyBorder="0" applyAlignment="0" applyProtection="0"/>
    <xf numFmtId="221" fontId="4" fillId="0" borderId="0"/>
    <xf numFmtId="221" fontId="4" fillId="27" borderId="0" applyNumberFormat="0" applyBorder="0" applyAlignment="0" applyProtection="0"/>
    <xf numFmtId="221" fontId="4" fillId="0" borderId="0"/>
    <xf numFmtId="221" fontId="4" fillId="42" borderId="0" applyNumberFormat="0" applyBorder="0" applyAlignment="0" applyProtection="0"/>
    <xf numFmtId="221" fontId="4" fillId="47" borderId="0" applyNumberFormat="0" applyBorder="0" applyAlignment="0" applyProtection="0"/>
    <xf numFmtId="221" fontId="4" fillId="30" borderId="0" applyNumberFormat="0" applyBorder="0" applyAlignment="0" applyProtection="0"/>
    <xf numFmtId="221" fontId="4" fillId="35" borderId="0" applyNumberFormat="0" applyBorder="0" applyAlignment="0" applyProtection="0"/>
    <xf numFmtId="221" fontId="4" fillId="0" borderId="0"/>
    <xf numFmtId="221" fontId="4" fillId="26" borderId="0" applyNumberFormat="0" applyBorder="0" applyAlignment="0" applyProtection="0"/>
    <xf numFmtId="221" fontId="4" fillId="43" borderId="0" applyNumberFormat="0" applyBorder="0" applyAlignment="0" applyProtection="0"/>
    <xf numFmtId="221" fontId="4" fillId="43" borderId="0" applyNumberFormat="0" applyBorder="0" applyAlignment="0" applyProtection="0"/>
    <xf numFmtId="221" fontId="4" fillId="31" borderId="0" applyNumberFormat="0" applyBorder="0" applyAlignment="0" applyProtection="0"/>
    <xf numFmtId="221" fontId="4" fillId="24" borderId="33" applyNumberFormat="0" applyFont="0" applyAlignment="0" applyProtection="0"/>
    <xf numFmtId="221" fontId="4" fillId="47" borderId="0" applyNumberFormat="0" applyBorder="0" applyAlignment="0" applyProtection="0"/>
    <xf numFmtId="221" fontId="4" fillId="0" borderId="0"/>
    <xf numFmtId="221" fontId="4" fillId="24" borderId="33" applyNumberFormat="0" applyFont="0" applyAlignment="0" applyProtection="0"/>
    <xf numFmtId="221" fontId="4" fillId="38" borderId="0" applyNumberFormat="0" applyBorder="0" applyAlignment="0" applyProtection="0"/>
    <xf numFmtId="221" fontId="4" fillId="26" borderId="0" applyNumberFormat="0" applyBorder="0" applyAlignment="0" applyProtection="0"/>
    <xf numFmtId="285" fontId="42" fillId="0" borderId="0" applyFont="0" applyFill="0" applyBorder="0" applyAlignment="0" applyProtection="0"/>
  </cellStyleXfs>
  <cellXfs count="988">
    <xf numFmtId="173" fontId="0" fillId="0" borderId="0" xfId="0"/>
    <xf numFmtId="221" fontId="34" fillId="0" borderId="0" xfId="0" applyNumberFormat="1" applyFont="1"/>
    <xf numFmtId="3" fontId="34" fillId="0" borderId="0" xfId="0" applyNumberFormat="1" applyFont="1"/>
    <xf numFmtId="221" fontId="34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/>
    </xf>
    <xf numFmtId="221" fontId="35" fillId="0" borderId="0" xfId="0" applyNumberFormat="1" applyFont="1" applyAlignment="1">
      <alignment horizontal="center"/>
    </xf>
    <xf numFmtId="3" fontId="35" fillId="0" borderId="0" xfId="0" applyNumberFormat="1" applyFont="1"/>
    <xf numFmtId="221" fontId="36" fillId="0" borderId="0" xfId="0" applyNumberFormat="1" applyFont="1" applyAlignment="1">
      <alignment horizontal="center"/>
    </xf>
    <xf numFmtId="173" fontId="34" fillId="0" borderId="0" xfId="0" applyFont="1"/>
    <xf numFmtId="221" fontId="36" fillId="0" borderId="0" xfId="0" applyNumberFormat="1" applyFont="1"/>
    <xf numFmtId="165" fontId="34" fillId="0" borderId="0" xfId="0" applyNumberFormat="1" applyFont="1"/>
    <xf numFmtId="3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fill"/>
    </xf>
    <xf numFmtId="164" fontId="34" fillId="0" borderId="0" xfId="0" applyNumberFormat="1" applyFont="1" applyAlignment="1">
      <alignment horizontal="center"/>
    </xf>
    <xf numFmtId="166" fontId="34" fillId="0" borderId="0" xfId="0" applyNumberFormat="1" applyFont="1"/>
    <xf numFmtId="49" fontId="34" fillId="0" borderId="0" xfId="0" applyNumberFormat="1" applyFont="1"/>
    <xf numFmtId="4" fontId="34" fillId="0" borderId="0" xfId="0" applyNumberFormat="1" applyFont="1"/>
    <xf numFmtId="169" fontId="34" fillId="0" borderId="0" xfId="0" applyNumberFormat="1" applyFont="1"/>
    <xf numFmtId="3" fontId="34" fillId="0" borderId="0" xfId="0" quotePrefix="1" applyNumberFormat="1" applyFont="1"/>
    <xf numFmtId="172" fontId="34" fillId="0" borderId="0" xfId="0" applyNumberFormat="1" applyFont="1"/>
    <xf numFmtId="164" fontId="34" fillId="0" borderId="0" xfId="0" applyNumberFormat="1" applyFont="1" applyAlignment="1">
      <alignment horizontal="left"/>
    </xf>
    <xf numFmtId="173" fontId="37" fillId="0" borderId="0" xfId="0" applyFont="1"/>
    <xf numFmtId="221" fontId="34" fillId="0" borderId="0" xfId="0" applyNumberFormat="1" applyFont="1" applyProtection="1">
      <protection locked="0"/>
    </xf>
    <xf numFmtId="221" fontId="34" fillId="0" borderId="0" xfId="0" applyNumberFormat="1" applyFont="1" applyAlignment="1" applyProtection="1">
      <alignment horizontal="left"/>
      <protection locked="0"/>
    </xf>
    <xf numFmtId="221" fontId="34" fillId="0" borderId="0" xfId="0" applyNumberFormat="1" applyFont="1" applyAlignment="1" applyProtection="1">
      <alignment horizontal="center"/>
      <protection locked="0"/>
    </xf>
    <xf numFmtId="221" fontId="36" fillId="0" borderId="0" xfId="0" applyNumberFormat="1" applyFont="1" applyAlignment="1" applyProtection="1">
      <alignment horizontal="center"/>
      <protection locked="0"/>
    </xf>
    <xf numFmtId="166" fontId="34" fillId="0" borderId="0" xfId="0" applyNumberFormat="1" applyFont="1" applyAlignment="1" applyProtection="1">
      <alignment horizontal="center"/>
      <protection locked="0"/>
    </xf>
    <xf numFmtId="221" fontId="37" fillId="0" borderId="0" xfId="0" applyNumberFormat="1" applyFont="1" applyProtection="1">
      <protection locked="0"/>
    </xf>
    <xf numFmtId="42" fontId="34" fillId="0" borderId="0" xfId="0" applyNumberFormat="1" applyFont="1"/>
    <xf numFmtId="173" fontId="34" fillId="0" borderId="0" xfId="0" applyFont="1" applyProtection="1">
      <protection locked="0"/>
    </xf>
    <xf numFmtId="221" fontId="34" fillId="0" borderId="1" xfId="0" applyNumberFormat="1" applyFont="1" applyBorder="1" applyAlignment="1" applyProtection="1">
      <alignment horizontal="center"/>
      <protection locked="0"/>
    </xf>
    <xf numFmtId="170" fontId="34" fillId="0" borderId="0" xfId="0" applyNumberFormat="1" applyFont="1" applyProtection="1"/>
    <xf numFmtId="1" fontId="34" fillId="0" borderId="0" xfId="0" applyNumberFormat="1" applyFont="1" applyProtection="1"/>
    <xf numFmtId="3" fontId="34" fillId="0" borderId="1" xfId="0" applyNumberFormat="1" applyFont="1" applyBorder="1"/>
    <xf numFmtId="3" fontId="34" fillId="0" borderId="1" xfId="0" applyNumberFormat="1" applyFont="1" applyBorder="1" applyAlignment="1">
      <alignment horizontal="center"/>
    </xf>
    <xf numFmtId="172" fontId="34" fillId="0" borderId="0" xfId="0" applyNumberFormat="1" applyFont="1" applyProtection="1">
      <protection locked="0"/>
    </xf>
    <xf numFmtId="221" fontId="34" fillId="0" borderId="1" xfId="0" applyNumberFormat="1" applyFont="1" applyBorder="1" applyAlignment="1" applyProtection="1">
      <alignment horizontal="centerContinuous"/>
      <protection locked="0"/>
    </xf>
    <xf numFmtId="42" fontId="34" fillId="0" borderId="2" xfId="0" applyNumberFormat="1" applyFont="1" applyBorder="1" applyAlignment="1" applyProtection="1">
      <alignment horizontal="right"/>
      <protection locked="0"/>
    </xf>
    <xf numFmtId="221" fontId="36" fillId="0" borderId="0" xfId="0" applyNumberFormat="1" applyFont="1" applyProtection="1">
      <protection locked="0"/>
    </xf>
    <xf numFmtId="221" fontId="34" fillId="0" borderId="1" xfId="0" applyNumberFormat="1" applyFont="1" applyBorder="1" applyProtection="1">
      <protection locked="0"/>
    </xf>
    <xf numFmtId="221" fontId="34" fillId="0" borderId="1" xfId="0" applyNumberFormat="1" applyFont="1" applyBorder="1"/>
    <xf numFmtId="9" fontId="34" fillId="0" borderId="0" xfId="0" applyNumberFormat="1" applyFont="1"/>
    <xf numFmtId="173" fontId="34" fillId="0" borderId="1" xfId="0" applyFont="1" applyBorder="1"/>
    <xf numFmtId="168" fontId="34" fillId="0" borderId="0" xfId="0" applyNumberFormat="1" applyFont="1" applyProtection="1">
      <protection locked="0"/>
    </xf>
    <xf numFmtId="38" fontId="34" fillId="0" borderId="0" xfId="0" applyNumberFormat="1" applyFont="1" applyProtection="1"/>
    <xf numFmtId="169" fontId="34" fillId="0" borderId="1" xfId="0" applyNumberFormat="1" applyFont="1" applyBorder="1"/>
    <xf numFmtId="165" fontId="34" fillId="0" borderId="0" xfId="0" applyNumberFormat="1" applyFont="1" applyAlignment="1">
      <alignment horizontal="right"/>
    </xf>
    <xf numFmtId="171" fontId="34" fillId="0" borderId="0" xfId="0" applyNumberFormat="1" applyFont="1" applyAlignment="1">
      <alignment horizontal="left"/>
    </xf>
    <xf numFmtId="221" fontId="34" fillId="0" borderId="0" xfId="0" applyNumberFormat="1" applyFont="1" applyAlignment="1">
      <alignment horizontal="right"/>
    </xf>
    <xf numFmtId="170" fontId="37" fillId="0" borderId="0" xfId="0" applyNumberFormat="1" applyFont="1" applyProtection="1"/>
    <xf numFmtId="173" fontId="42" fillId="0" borderId="0" xfId="0" applyFont="1"/>
    <xf numFmtId="165" fontId="49" fillId="0" borderId="0" xfId="0" applyNumberFormat="1" applyFont="1" applyAlignment="1">
      <alignment horizontal="right"/>
    </xf>
    <xf numFmtId="166" fontId="49" fillId="0" borderId="0" xfId="0" applyNumberFormat="1" applyFont="1" applyAlignment="1">
      <alignment horizontal="right"/>
    </xf>
    <xf numFmtId="4" fontId="49" fillId="0" borderId="0" xfId="0" applyNumberFormat="1" applyFont="1"/>
    <xf numFmtId="221" fontId="42" fillId="0" borderId="0" xfId="8" applyFont="1"/>
    <xf numFmtId="221" fontId="47" fillId="0" borderId="0" xfId="10"/>
    <xf numFmtId="221" fontId="52" fillId="0" borderId="0" xfId="10" applyFont="1" applyAlignment="1">
      <alignment horizontal="center"/>
    </xf>
    <xf numFmtId="221" fontId="53" fillId="0" borderId="0" xfId="10" applyFont="1" applyAlignment="1">
      <alignment horizontal="center"/>
    </xf>
    <xf numFmtId="221" fontId="49" fillId="0" borderId="0" xfId="0" applyNumberFormat="1" applyFont="1" applyAlignment="1" applyProtection="1">
      <alignment horizontal="right"/>
      <protection locked="0"/>
    </xf>
    <xf numFmtId="221" fontId="34" fillId="0" borderId="0" xfId="0" applyNumberFormat="1" applyFont="1" applyAlignment="1" applyProtection="1">
      <alignment horizontal="right"/>
      <protection locked="0"/>
    </xf>
    <xf numFmtId="221" fontId="51" fillId="0" borderId="0" xfId="10" applyFont="1" applyAlignment="1">
      <alignment horizontal="centerContinuous"/>
    </xf>
    <xf numFmtId="221" fontId="43" fillId="0" borderId="0" xfId="10" applyFont="1" applyAlignment="1">
      <alignment horizontal="centerContinuous"/>
    </xf>
    <xf numFmtId="221" fontId="47" fillId="0" borderId="0" xfId="6"/>
    <xf numFmtId="173" fontId="42" fillId="0" borderId="0" xfId="0" applyFont="1" applyAlignment="1">
      <alignment horizontal="centerContinuous"/>
    </xf>
    <xf numFmtId="173" fontId="31" fillId="0" borderId="0" xfId="0" applyFont="1"/>
    <xf numFmtId="173" fontId="34" fillId="0" borderId="0" xfId="0" applyFont="1" applyAlignment="1">
      <alignment horizontal="center"/>
    </xf>
    <xf numFmtId="42" fontId="34" fillId="2" borderId="0" xfId="0" applyNumberFormat="1" applyFont="1" applyFill="1" applyProtection="1"/>
    <xf numFmtId="173" fontId="36" fillId="0" borderId="0" xfId="0" applyFont="1" applyAlignment="1">
      <alignment horizontal="centerContinuous"/>
    </xf>
    <xf numFmtId="173" fontId="34" fillId="0" borderId="0" xfId="0" applyFont="1" applyAlignment="1">
      <alignment horizontal="centerContinuous"/>
    </xf>
    <xf numFmtId="221" fontId="34" fillId="0" borderId="0" xfId="7" applyFont="1"/>
    <xf numFmtId="221" fontId="36" fillId="0" borderId="0" xfId="5" applyFont="1" applyAlignment="1">
      <alignment horizontal="center"/>
    </xf>
    <xf numFmtId="221" fontId="34" fillId="0" borderId="0" xfId="5" applyFont="1" applyAlignment="1">
      <alignment horizontal="centerContinuous"/>
    </xf>
    <xf numFmtId="221" fontId="56" fillId="0" borderId="0" xfId="7" applyFont="1" applyAlignment="1">
      <alignment horizontal="center"/>
    </xf>
    <xf numFmtId="221" fontId="34" fillId="0" borderId="0" xfId="5" applyFont="1" applyAlignment="1">
      <alignment horizontal="left"/>
    </xf>
    <xf numFmtId="221" fontId="34" fillId="0" borderId="0" xfId="7" applyFont="1" applyAlignment="1">
      <alignment horizontal="left"/>
    </xf>
    <xf numFmtId="41" fontId="67" fillId="0" borderId="0" xfId="6" applyNumberFormat="1" applyFont="1"/>
    <xf numFmtId="221" fontId="34" fillId="0" borderId="0" xfId="7" applyFont="1" applyAlignment="1">
      <alignment horizontal="left" vertical="center"/>
    </xf>
    <xf numFmtId="173" fontId="58" fillId="0" borderId="0" xfId="0" applyFont="1" applyAlignment="1">
      <alignment horizontal="centerContinuous"/>
    </xf>
    <xf numFmtId="41" fontId="57" fillId="0" borderId="0" xfId="6" applyNumberFormat="1" applyFont="1"/>
    <xf numFmtId="221" fontId="34" fillId="0" borderId="0" xfId="6" applyFont="1" applyAlignment="1">
      <alignment horizontal="left" vertical="center"/>
    </xf>
    <xf numFmtId="221" fontId="34" fillId="0" borderId="0" xfId="6" applyFont="1"/>
    <xf numFmtId="42" fontId="64" fillId="0" borderId="0" xfId="7" applyNumberFormat="1" applyFont="1" applyAlignment="1">
      <alignment vertical="center"/>
    </xf>
    <xf numFmtId="221" fontId="0" fillId="0" borderId="0" xfId="0" applyNumberFormat="1"/>
    <xf numFmtId="221" fontId="40" fillId="0" borderId="0" xfId="0" applyNumberFormat="1" applyFont="1"/>
    <xf numFmtId="221" fontId="0" fillId="0" borderId="0" xfId="0" applyNumberFormat="1" applyAlignment="1" applyProtection="1">
      <alignment horizontal="center"/>
      <protection locked="0"/>
    </xf>
    <xf numFmtId="3" fontId="0" fillId="0" borderId="0" xfId="0" applyNumberFormat="1"/>
    <xf numFmtId="3" fontId="36" fillId="0" borderId="0" xfId="0" applyNumberFormat="1" applyFont="1" applyAlignment="1">
      <alignment horizontal="center"/>
    </xf>
    <xf numFmtId="221" fontId="0" fillId="0" borderId="0" xfId="0" applyNumberFormat="1" applyAlignment="1">
      <alignment horizontal="center"/>
    </xf>
    <xf numFmtId="221" fontId="70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41" fontId="34" fillId="2" borderId="0" xfId="0" applyNumberFormat="1" applyFont="1" applyFill="1"/>
    <xf numFmtId="10" fontId="34" fillId="0" borderId="0" xfId="0" applyNumberFormat="1" applyFont="1"/>
    <xf numFmtId="10" fontId="0" fillId="0" borderId="0" xfId="11" applyNumberFormat="1" applyFont="1" applyFill="1" applyBorder="1" applyAlignment="1"/>
    <xf numFmtId="10" fontId="36" fillId="0" borderId="0" xfId="0" applyNumberFormat="1" applyFont="1"/>
    <xf numFmtId="3" fontId="39" fillId="0" borderId="0" xfId="0" applyNumberFormat="1" applyFont="1"/>
    <xf numFmtId="49" fontId="0" fillId="0" borderId="0" xfId="0" applyNumberFormat="1" applyAlignment="1">
      <alignment horizontal="center"/>
    </xf>
    <xf numFmtId="49" fontId="39" fillId="0" borderId="0" xfId="0" applyNumberFormat="1" applyFont="1" applyAlignment="1">
      <alignment horizontal="center"/>
    </xf>
    <xf numFmtId="173" fontId="39" fillId="0" borderId="0" xfId="0" applyFont="1"/>
    <xf numFmtId="3" fontId="36" fillId="0" borderId="0" xfId="0" applyNumberFormat="1" applyFont="1"/>
    <xf numFmtId="10" fontId="36" fillId="0" borderId="0" xfId="11" applyNumberFormat="1" applyFont="1" applyFill="1" applyBorder="1" applyAlignment="1"/>
    <xf numFmtId="173" fontId="41" fillId="0" borderId="0" xfId="0" applyFont="1"/>
    <xf numFmtId="10" fontId="34" fillId="0" borderId="0" xfId="11" applyNumberFormat="1" applyFont="1" applyFill="1" applyBorder="1" applyAlignment="1"/>
    <xf numFmtId="49" fontId="32" fillId="0" borderId="0" xfId="0" applyNumberFormat="1" applyFont="1" applyAlignment="1">
      <alignment horizontal="left"/>
    </xf>
    <xf numFmtId="221" fontId="32" fillId="0" borderId="0" xfId="0" applyNumberFormat="1" applyFont="1" applyAlignment="1">
      <alignment horizontal="right"/>
    </xf>
    <xf numFmtId="49" fontId="0" fillId="0" borderId="0" xfId="0" applyNumberFormat="1" applyAlignment="1">
      <alignment horizontal="left"/>
    </xf>
    <xf numFmtId="173" fontId="34" fillId="0" borderId="0" xfId="0" applyFont="1" applyAlignment="1">
      <alignment horizontal="right"/>
    </xf>
    <xf numFmtId="177" fontId="36" fillId="0" borderId="0" xfId="0" applyNumberFormat="1" applyFont="1" applyAlignment="1">
      <alignment horizontal="center"/>
    </xf>
    <xf numFmtId="173" fontId="39" fillId="0" borderId="15" xfId="0" applyFont="1" applyBorder="1" applyAlignment="1">
      <alignment horizontal="center" wrapText="1"/>
    </xf>
    <xf numFmtId="173" fontId="39" fillId="0" borderId="16" xfId="0" applyFont="1" applyBorder="1"/>
    <xf numFmtId="173" fontId="39" fillId="0" borderId="16" xfId="0" applyFont="1" applyBorder="1" applyAlignment="1">
      <alignment horizontal="center" wrapText="1"/>
    </xf>
    <xf numFmtId="221" fontId="36" fillId="0" borderId="16" xfId="0" applyNumberFormat="1" applyFont="1" applyBorder="1" applyAlignment="1">
      <alignment horizontal="center" wrapText="1"/>
    </xf>
    <xf numFmtId="173" fontId="39" fillId="0" borderId="14" xfId="0" applyFont="1" applyBorder="1" applyAlignment="1">
      <alignment horizontal="center" wrapText="1"/>
    </xf>
    <xf numFmtId="3" fontId="36" fillId="0" borderId="14" xfId="0" applyNumberFormat="1" applyFont="1" applyBorder="1" applyAlignment="1">
      <alignment horizontal="center" wrapText="1"/>
    </xf>
    <xf numFmtId="3" fontId="36" fillId="0" borderId="16" xfId="0" applyNumberFormat="1" applyFont="1" applyBorder="1" applyAlignment="1">
      <alignment horizontal="center" wrapText="1"/>
    </xf>
    <xf numFmtId="221" fontId="34" fillId="0" borderId="15" xfId="0" applyNumberFormat="1" applyFont="1" applyBorder="1"/>
    <xf numFmtId="221" fontId="34" fillId="0" borderId="16" xfId="0" applyNumberFormat="1" applyFont="1" applyBorder="1"/>
    <xf numFmtId="221" fontId="34" fillId="0" borderId="16" xfId="0" applyNumberFormat="1" applyFont="1" applyBorder="1" applyAlignment="1">
      <alignment horizontal="center"/>
    </xf>
    <xf numFmtId="221" fontId="34" fillId="0" borderId="14" xfId="0" applyNumberFormat="1" applyFont="1" applyBorder="1" applyAlignment="1">
      <alignment horizontal="center"/>
    </xf>
    <xf numFmtId="3" fontId="34" fillId="0" borderId="16" xfId="0" applyNumberFormat="1" applyFont="1" applyBorder="1" applyAlignment="1">
      <alignment horizontal="center"/>
    </xf>
    <xf numFmtId="3" fontId="34" fillId="0" borderId="14" xfId="0" applyNumberFormat="1" applyFont="1" applyBorder="1" applyAlignment="1">
      <alignment horizontal="center" wrapText="1"/>
    </xf>
    <xf numFmtId="221" fontId="34" fillId="0" borderId="3" xfId="0" applyNumberFormat="1" applyFont="1" applyBorder="1"/>
    <xf numFmtId="221" fontId="34" fillId="0" borderId="17" xfId="0" applyNumberFormat="1" applyFont="1" applyBorder="1"/>
    <xf numFmtId="3" fontId="34" fillId="0" borderId="17" xfId="0" applyNumberFormat="1" applyFont="1" applyBorder="1"/>
    <xf numFmtId="173" fontId="0" fillId="0" borderId="3" xfId="0" applyBorder="1"/>
    <xf numFmtId="175" fontId="0" fillId="2" borderId="0" xfId="12" applyNumberFormat="1" applyFont="1" applyFill="1" applyBorder="1" applyAlignment="1"/>
    <xf numFmtId="173" fontId="0" fillId="0" borderId="17" xfId="0" applyBorder="1"/>
    <xf numFmtId="175" fontId="34" fillId="2" borderId="0" xfId="12" applyNumberFormat="1" applyFont="1" applyFill="1" applyBorder="1" applyAlignment="1"/>
    <xf numFmtId="173" fontId="33" fillId="0" borderId="0" xfId="0" applyFont="1"/>
    <xf numFmtId="173" fontId="33" fillId="0" borderId="17" xfId="0" applyFont="1" applyBorder="1"/>
    <xf numFmtId="173" fontId="0" fillId="0" borderId="5" xfId="0" applyBorder="1"/>
    <xf numFmtId="173" fontId="0" fillId="0" borderId="6" xfId="0" applyBorder="1"/>
    <xf numFmtId="173" fontId="33" fillId="0" borderId="6" xfId="0" applyFont="1" applyBorder="1"/>
    <xf numFmtId="173" fontId="33" fillId="0" borderId="12" xfId="0" applyFont="1" applyBorder="1"/>
    <xf numFmtId="1" fontId="34" fillId="0" borderId="0" xfId="13" applyNumberFormat="1" applyFont="1" applyFill="1" applyBorder="1" applyAlignment="1">
      <alignment horizontal="center"/>
    </xf>
    <xf numFmtId="173" fontId="31" fillId="0" borderId="0" xfId="0" applyFont="1" applyAlignment="1">
      <alignment horizontal="center"/>
    </xf>
    <xf numFmtId="173" fontId="31" fillId="0" borderId="0" xfId="0" applyFont="1" applyAlignment="1">
      <alignment horizontal="center" vertical="top"/>
    </xf>
    <xf numFmtId="173" fontId="32" fillId="0" borderId="0" xfId="0" applyFont="1"/>
    <xf numFmtId="49" fontId="32" fillId="0" borderId="0" xfId="0" applyNumberFormat="1" applyFont="1" applyAlignment="1">
      <alignment horizontal="center"/>
    </xf>
    <xf numFmtId="169" fontId="36" fillId="2" borderId="0" xfId="0" applyNumberFormat="1" applyFont="1" applyFill="1"/>
    <xf numFmtId="221" fontId="36" fillId="0" borderId="0" xfId="7" applyFont="1" applyAlignment="1">
      <alignment horizontal="center"/>
    </xf>
    <xf numFmtId="221" fontId="56" fillId="0" borderId="0" xfId="5" applyFont="1" applyAlignment="1">
      <alignment horizontal="centerContinuous"/>
    </xf>
    <xf numFmtId="42" fontId="34" fillId="0" borderId="0" xfId="7" applyNumberFormat="1" applyFont="1"/>
    <xf numFmtId="221" fontId="34" fillId="0" borderId="0" xfId="0" applyNumberFormat="1" applyFont="1" applyAlignment="1" applyProtection="1">
      <alignment horizontal="centerContinuous"/>
      <protection locked="0"/>
    </xf>
    <xf numFmtId="3" fontId="34" fillId="0" borderId="0" xfId="0" applyNumberFormat="1" applyFont="1" applyAlignment="1">
      <alignment horizontal="centerContinuous"/>
    </xf>
    <xf numFmtId="221" fontId="34" fillId="0" borderId="0" xfId="0" applyNumberFormat="1" applyFont="1" applyAlignment="1">
      <alignment horizontal="centerContinuous"/>
    </xf>
    <xf numFmtId="37" fontId="34" fillId="0" borderId="0" xfId="0" applyNumberFormat="1" applyFont="1"/>
    <xf numFmtId="37" fontId="34" fillId="0" borderId="1" xfId="0" applyNumberFormat="1" applyFont="1" applyBorder="1"/>
    <xf numFmtId="37" fontId="49" fillId="0" borderId="0" xfId="0" applyNumberFormat="1" applyFont="1"/>
    <xf numFmtId="37" fontId="49" fillId="2" borderId="0" xfId="0" applyNumberFormat="1" applyFont="1" applyFill="1"/>
    <xf numFmtId="37" fontId="34" fillId="2" borderId="1" xfId="0" applyNumberFormat="1" applyFont="1" applyFill="1" applyBorder="1"/>
    <xf numFmtId="173" fontId="34" fillId="0" borderId="0" xfId="0" applyFont="1" applyProtection="1"/>
    <xf numFmtId="38" fontId="34" fillId="0" borderId="0" xfId="0" applyNumberFormat="1" applyFont="1"/>
    <xf numFmtId="3" fontId="34" fillId="0" borderId="0" xfId="0" applyNumberFormat="1" applyFont="1" applyProtection="1"/>
    <xf numFmtId="170" fontId="34" fillId="0" borderId="0" xfId="0" applyNumberFormat="1" applyFont="1" applyProtection="1">
      <protection locked="0"/>
    </xf>
    <xf numFmtId="221" fontId="61" fillId="0" borderId="0" xfId="0" applyNumberFormat="1" applyFont="1" applyProtection="1">
      <protection locked="0"/>
    </xf>
    <xf numFmtId="173" fontId="72" fillId="0" borderId="0" xfId="0" applyFont="1"/>
    <xf numFmtId="221" fontId="42" fillId="0" borderId="0" xfId="0" applyNumberFormat="1" applyFont="1"/>
    <xf numFmtId="37" fontId="34" fillId="0" borderId="0" xfId="0" applyNumberFormat="1" applyFont="1" applyProtection="1"/>
    <xf numFmtId="175" fontId="65" fillId="2" borderId="0" xfId="12" applyNumberFormat="1" applyFont="1" applyFill="1" applyBorder="1" applyAlignment="1"/>
    <xf numFmtId="221" fontId="42" fillId="0" borderId="0" xfId="8" applyFont="1" applyAlignment="1">
      <alignment horizontal="right"/>
    </xf>
    <xf numFmtId="41" fontId="42" fillId="0" borderId="0" xfId="8" applyNumberFormat="1" applyFont="1"/>
    <xf numFmtId="221" fontId="42" fillId="0" borderId="0" xfId="8" applyFont="1" applyAlignment="1">
      <alignment horizontal="left"/>
    </xf>
    <xf numFmtId="221" fontId="44" fillId="0" borderId="0" xfId="8" applyFont="1" applyAlignment="1">
      <alignment horizontal="center"/>
    </xf>
    <xf numFmtId="41" fontId="44" fillId="0" borderId="0" xfId="8" applyNumberFormat="1" applyFont="1"/>
    <xf numFmtId="41" fontId="54" fillId="0" borderId="0" xfId="8" applyNumberFormat="1" applyFont="1" applyAlignment="1">
      <alignment vertical="center"/>
    </xf>
    <xf numFmtId="221" fontId="42" fillId="0" borderId="0" xfId="8" applyFont="1" applyAlignment="1">
      <alignment horizontal="center"/>
    </xf>
    <xf numFmtId="37" fontId="42" fillId="0" borderId="0" xfId="8" applyNumberFormat="1" applyFont="1"/>
    <xf numFmtId="41" fontId="42" fillId="0" borderId="0" xfId="13" applyNumberFormat="1" applyFont="1" applyFill="1" applyBorder="1"/>
    <xf numFmtId="221" fontId="38" fillId="0" borderId="0" xfId="15" applyFont="1"/>
    <xf numFmtId="221" fontId="59" fillId="0" borderId="0" xfId="15" applyFont="1"/>
    <xf numFmtId="173" fontId="66" fillId="0" borderId="0" xfId="0" applyFont="1" applyAlignment="1">
      <alignment horizontal="centerContinuous"/>
    </xf>
    <xf numFmtId="173" fontId="34" fillId="0" borderId="0" xfId="0" applyFont="1" applyAlignment="1">
      <alignment horizontal="left"/>
    </xf>
    <xf numFmtId="173" fontId="0" fillId="0" borderId="0" xfId="0" applyAlignment="1">
      <alignment horizontal="centerContinuous"/>
    </xf>
    <xf numFmtId="221" fontId="36" fillId="0" borderId="0" xfId="0" applyNumberFormat="1" applyFont="1" applyAlignment="1">
      <alignment horizontal="centerContinuous"/>
    </xf>
    <xf numFmtId="49" fontId="66" fillId="0" borderId="0" xfId="0" applyNumberFormat="1" applyFont="1" applyAlignment="1">
      <alignment horizontal="centerContinuous"/>
    </xf>
    <xf numFmtId="49" fontId="34" fillId="0" borderId="0" xfId="0" applyNumberFormat="1" applyFont="1" applyAlignment="1">
      <alignment horizontal="centerContinuous"/>
    </xf>
    <xf numFmtId="37" fontId="66" fillId="4" borderId="0" xfId="0" applyNumberFormat="1" applyFont="1" applyFill="1"/>
    <xf numFmtId="221" fontId="42" fillId="0" borderId="0" xfId="10" applyFont="1"/>
    <xf numFmtId="221" fontId="127" fillId="0" borderId="0" xfId="0" applyNumberFormat="1" applyFont="1" applyAlignment="1" applyProtection="1">
      <alignment horizontal="center"/>
      <protection locked="0"/>
    </xf>
    <xf numFmtId="173" fontId="127" fillId="0" borderId="0" xfId="0" applyFont="1"/>
    <xf numFmtId="221" fontId="128" fillId="0" borderId="0" xfId="0" applyNumberFormat="1" applyFont="1" applyAlignment="1" applyProtection="1">
      <alignment horizontal="center"/>
      <protection locked="0"/>
    </xf>
    <xf numFmtId="173" fontId="127" fillId="0" borderId="0" xfId="0" applyFont="1" applyAlignment="1">
      <alignment horizontal="centerContinuous"/>
    </xf>
    <xf numFmtId="221" fontId="127" fillId="0" borderId="0" xfId="0" applyNumberFormat="1" applyFont="1"/>
    <xf numFmtId="221" fontId="66" fillId="0" borderId="0" xfId="0" applyNumberFormat="1" applyFont="1" applyAlignment="1" applyProtection="1">
      <alignment horizontal="centerContinuous"/>
      <protection locked="0"/>
    </xf>
    <xf numFmtId="221" fontId="42" fillId="0" borderId="0" xfId="6" applyFont="1"/>
    <xf numFmtId="173" fontId="34" fillId="0" borderId="0" xfId="325" applyFont="1"/>
    <xf numFmtId="173" fontId="31" fillId="0" borderId="0" xfId="325"/>
    <xf numFmtId="221" fontId="34" fillId="0" borderId="0" xfId="325" applyNumberFormat="1" applyFont="1"/>
    <xf numFmtId="221" fontId="31" fillId="0" borderId="0" xfId="325" applyNumberFormat="1"/>
    <xf numFmtId="221" fontId="129" fillId="0" borderId="0" xfId="326"/>
    <xf numFmtId="221" fontId="34" fillId="0" borderId="0" xfId="325" applyNumberFormat="1" applyFont="1" applyProtection="1">
      <protection locked="0"/>
    </xf>
    <xf numFmtId="221" fontId="31" fillId="0" borderId="0" xfId="325" applyNumberFormat="1" applyProtection="1">
      <protection locked="0"/>
    </xf>
    <xf numFmtId="221" fontId="34" fillId="0" borderId="0" xfId="326" applyFont="1"/>
    <xf numFmtId="173" fontId="34" fillId="0" borderId="0" xfId="325" applyFont="1" applyProtection="1">
      <protection locked="0"/>
    </xf>
    <xf numFmtId="221" fontId="31" fillId="0" borderId="0" xfId="325" applyNumberFormat="1" applyAlignment="1" applyProtection="1">
      <alignment horizontal="center"/>
      <protection locked="0"/>
    </xf>
    <xf numFmtId="272" fontId="34" fillId="0" borderId="0" xfId="325" applyNumberFormat="1" applyFont="1"/>
    <xf numFmtId="221" fontId="34" fillId="0" borderId="0" xfId="326" quotePrefix="1" applyFont="1"/>
    <xf numFmtId="221" fontId="34" fillId="0" borderId="0" xfId="326" applyFont="1" applyAlignment="1">
      <alignment horizontal="center"/>
    </xf>
    <xf numFmtId="43" fontId="34" fillId="0" borderId="0" xfId="89" applyFont="1" applyAlignment="1"/>
    <xf numFmtId="1" fontId="34" fillId="0" borderId="0" xfId="325" applyNumberFormat="1" applyFont="1" applyAlignment="1" applyProtection="1">
      <alignment horizontal="center"/>
      <protection locked="0"/>
    </xf>
    <xf numFmtId="221" fontId="34" fillId="0" borderId="0" xfId="325" applyNumberFormat="1" applyFont="1" applyAlignment="1" applyProtection="1">
      <alignment horizontal="center"/>
      <protection locked="0"/>
    </xf>
    <xf numFmtId="173" fontId="36" fillId="0" borderId="0" xfId="325" applyFont="1" applyAlignment="1">
      <alignment horizontal="center"/>
    </xf>
    <xf numFmtId="170" fontId="34" fillId="0" borderId="0" xfId="325" applyNumberFormat="1" applyFont="1" applyProtection="1">
      <protection locked="0"/>
    </xf>
    <xf numFmtId="42" fontId="34" fillId="0" borderId="0" xfId="325" applyNumberFormat="1" applyFont="1" applyProtection="1">
      <protection locked="0"/>
    </xf>
    <xf numFmtId="42" fontId="34" fillId="0" borderId="22" xfId="325" applyNumberFormat="1" applyFont="1" applyBorder="1" applyProtection="1">
      <protection locked="0"/>
    </xf>
    <xf numFmtId="1" fontId="34" fillId="0" borderId="20" xfId="325" applyNumberFormat="1" applyFont="1" applyBorder="1" applyAlignment="1" applyProtection="1">
      <alignment horizontal="center"/>
      <protection locked="0"/>
    </xf>
    <xf numFmtId="221" fontId="34" fillId="0" borderId="20" xfId="325" applyNumberFormat="1" applyFont="1" applyBorder="1" applyProtection="1">
      <protection locked="0"/>
    </xf>
    <xf numFmtId="221" fontId="34" fillId="0" borderId="23" xfId="326" applyFont="1" applyBorder="1"/>
    <xf numFmtId="42" fontId="34" fillId="0" borderId="0" xfId="325" applyNumberFormat="1" applyFont="1"/>
    <xf numFmtId="221" fontId="36" fillId="0" borderId="0" xfId="325" applyNumberFormat="1" applyFont="1" applyAlignment="1" applyProtection="1">
      <alignment horizontal="center"/>
      <protection locked="0"/>
    </xf>
    <xf numFmtId="49" fontId="34" fillId="0" borderId="0" xfId="325" applyNumberFormat="1" applyFont="1" applyAlignment="1" applyProtection="1">
      <alignment horizontal="center"/>
      <protection locked="0"/>
    </xf>
    <xf numFmtId="49" fontId="50" fillId="0" borderId="0" xfId="325" applyNumberFormat="1" applyFont="1" applyAlignment="1" applyProtection="1">
      <alignment horizontal="center"/>
      <protection locked="0"/>
    </xf>
    <xf numFmtId="49" fontId="50" fillId="0" borderId="0" xfId="325" applyNumberFormat="1" applyFont="1" applyAlignment="1" applyProtection="1">
      <alignment horizontal="left"/>
      <protection locked="0"/>
    </xf>
    <xf numFmtId="49" fontId="50" fillId="0" borderId="0" xfId="325" applyNumberFormat="1" applyFont="1" applyAlignment="1" applyProtection="1">
      <alignment horizontal="centerContinuous"/>
      <protection locked="0"/>
    </xf>
    <xf numFmtId="221" fontId="34" fillId="0" borderId="0" xfId="326" applyFont="1" applyAlignment="1">
      <alignment horizontal="left"/>
    </xf>
    <xf numFmtId="221" fontId="34" fillId="0" borderId="0" xfId="326" applyFont="1" applyAlignment="1">
      <alignment horizontal="centerContinuous"/>
    </xf>
    <xf numFmtId="3" fontId="34" fillId="0" borderId="0" xfId="326" applyNumberFormat="1" applyFont="1" applyAlignment="1">
      <alignment horizontal="left"/>
    </xf>
    <xf numFmtId="3" fontId="34" fillId="0" borderId="0" xfId="326" applyNumberFormat="1" applyFont="1" applyAlignment="1">
      <alignment horizontal="centerContinuous"/>
    </xf>
    <xf numFmtId="174" fontId="34" fillId="0" borderId="0" xfId="89" applyNumberFormat="1" applyFont="1" applyAlignment="1"/>
    <xf numFmtId="221" fontId="0" fillId="0" borderId="0" xfId="325" applyNumberFormat="1" applyFont="1" applyAlignment="1" applyProtection="1">
      <alignment horizontal="center"/>
      <protection locked="0"/>
    </xf>
    <xf numFmtId="221" fontId="130" fillId="0" borderId="0" xfId="325" applyNumberFormat="1" applyFont="1" applyAlignment="1" applyProtection="1">
      <alignment horizontal="center"/>
      <protection locked="0"/>
    </xf>
    <xf numFmtId="221" fontId="0" fillId="0" borderId="0" xfId="326" applyFont="1" applyAlignment="1">
      <alignment horizontal="center"/>
    </xf>
    <xf numFmtId="221" fontId="31" fillId="0" borderId="0" xfId="326" applyFont="1" applyAlignment="1">
      <alignment horizontal="center"/>
    </xf>
    <xf numFmtId="173" fontId="34" fillId="0" borderId="0" xfId="325" applyFont="1" applyAlignment="1">
      <alignment horizontal="center"/>
    </xf>
    <xf numFmtId="221" fontId="66" fillId="0" borderId="0" xfId="0" applyNumberFormat="1" applyFont="1" applyAlignment="1">
      <alignment horizontal="centerContinuous"/>
    </xf>
    <xf numFmtId="42" fontId="34" fillId="0" borderId="2" xfId="0" applyNumberFormat="1" applyFont="1" applyBorder="1"/>
    <xf numFmtId="37" fontId="34" fillId="4" borderId="0" xfId="0" applyNumberFormat="1" applyFont="1" applyFill="1"/>
    <xf numFmtId="49" fontId="42" fillId="0" borderId="0" xfId="0" applyNumberFormat="1" applyFont="1" applyAlignment="1">
      <alignment horizontal="center"/>
    </xf>
    <xf numFmtId="173" fontId="42" fillId="0" borderId="0" xfId="325" applyFont="1"/>
    <xf numFmtId="41" fontId="34" fillId="0" borderId="0" xfId="0" applyNumberFormat="1" applyFont="1"/>
    <xf numFmtId="173" fontId="0" fillId="15" borderId="0" xfId="0" applyFill="1"/>
    <xf numFmtId="221" fontId="34" fillId="0" borderId="0" xfId="5" applyFont="1"/>
    <xf numFmtId="221" fontId="57" fillId="0" borderId="0" xfId="5" applyFont="1" applyAlignment="1">
      <alignment horizontal="centerContinuous"/>
    </xf>
    <xf numFmtId="221" fontId="34" fillId="0" borderId="0" xfId="5" applyFont="1" applyAlignment="1">
      <alignment horizontal="left" indent="1"/>
    </xf>
    <xf numFmtId="221" fontId="34" fillId="0" borderId="0" xfId="7" applyFont="1" applyAlignment="1">
      <alignment horizontal="left" indent="1"/>
    </xf>
    <xf numFmtId="42" fontId="64" fillId="0" borderId="0" xfId="7" applyNumberFormat="1" applyFont="1"/>
    <xf numFmtId="41" fontId="49" fillId="0" borderId="0" xfId="7" applyNumberFormat="1" applyFont="1"/>
    <xf numFmtId="173" fontId="127" fillId="0" borderId="0" xfId="0" applyFont="1" applyAlignment="1">
      <alignment horizontal="center"/>
    </xf>
    <xf numFmtId="3" fontId="127" fillId="0" borderId="0" xfId="0" applyNumberFormat="1" applyFont="1"/>
    <xf numFmtId="221" fontId="127" fillId="0" borderId="0" xfId="0" applyNumberFormat="1" applyFont="1" applyAlignment="1" applyProtection="1">
      <alignment horizontal="centerContinuous"/>
      <protection locked="0"/>
    </xf>
    <xf numFmtId="273" fontId="34" fillId="0" borderId="0" xfId="0" applyNumberFormat="1" applyFont="1" applyAlignment="1">
      <alignment horizontal="right"/>
    </xf>
    <xf numFmtId="37" fontId="49" fillId="0" borderId="0" xfId="0" applyNumberFormat="1" applyFont="1" applyProtection="1">
      <protection locked="0"/>
    </xf>
    <xf numFmtId="37" fontId="49" fillId="0" borderId="1" xfId="0" applyNumberFormat="1" applyFont="1" applyBorder="1" applyProtection="1">
      <protection locked="0"/>
    </xf>
    <xf numFmtId="10" fontId="49" fillId="2" borderId="0" xfId="0" applyNumberFormat="1" applyFont="1" applyFill="1" applyProtection="1">
      <protection locked="0"/>
    </xf>
    <xf numFmtId="10" fontId="34" fillId="0" borderId="0" xfId="0" applyNumberFormat="1" applyFont="1" applyProtection="1">
      <protection locked="0"/>
    </xf>
    <xf numFmtId="221" fontId="130" fillId="0" borderId="0" xfId="325" applyNumberFormat="1" applyFont="1" applyAlignment="1" applyProtection="1">
      <alignment horizontal="left"/>
      <protection locked="0"/>
    </xf>
    <xf numFmtId="221" fontId="31" fillId="0" borderId="6" xfId="325" applyNumberFormat="1" applyBorder="1" applyAlignment="1" applyProtection="1">
      <alignment horizontal="center"/>
      <protection locked="0"/>
    </xf>
    <xf numFmtId="173" fontId="0" fillId="0" borderId="0" xfId="0" applyAlignment="1">
      <alignment horizontal="center"/>
    </xf>
    <xf numFmtId="173" fontId="130" fillId="0" borderId="0" xfId="0" applyFont="1"/>
    <xf numFmtId="221" fontId="0" fillId="0" borderId="0" xfId="0" applyNumberFormat="1" applyAlignment="1" applyProtection="1">
      <alignment horizontal="centerContinuous"/>
      <protection locked="0"/>
    </xf>
    <xf numFmtId="221" fontId="34" fillId="0" borderId="0" xfId="0" quotePrefix="1" applyNumberFormat="1" applyFont="1" applyAlignment="1">
      <alignment horizontal="left" indent="1"/>
    </xf>
    <xf numFmtId="221" fontId="34" fillId="0" borderId="0" xfId="0" quotePrefix="1" applyNumberFormat="1" applyFont="1" applyAlignment="1" applyProtection="1">
      <alignment horizontal="left"/>
      <protection locked="0"/>
    </xf>
    <xf numFmtId="221" fontId="34" fillId="0" borderId="1" xfId="0" quotePrefix="1" applyNumberFormat="1" applyFont="1" applyBorder="1" applyAlignment="1" applyProtection="1">
      <alignment horizontal="left"/>
      <protection locked="0"/>
    </xf>
    <xf numFmtId="221" fontId="36" fillId="0" borderId="0" xfId="0" quotePrefix="1" applyNumberFormat="1" applyFont="1" applyAlignment="1">
      <alignment horizontal="left"/>
    </xf>
    <xf numFmtId="173" fontId="0" fillId="4" borderId="0" xfId="0" applyFill="1"/>
    <xf numFmtId="174" fontId="34" fillId="0" borderId="0" xfId="1" applyNumberFormat="1" applyFont="1"/>
    <xf numFmtId="174" fontId="34" fillId="0" borderId="0" xfId="0" applyNumberFormat="1" applyFont="1"/>
    <xf numFmtId="221" fontId="66" fillId="0" borderId="0" xfId="326" applyFont="1" applyAlignment="1">
      <alignment horizontal="centerContinuous"/>
    </xf>
    <xf numFmtId="172" fontId="34" fillId="0" borderId="0" xfId="0" applyNumberFormat="1" applyFont="1" applyAlignment="1">
      <alignment horizontal="center"/>
    </xf>
    <xf numFmtId="221" fontId="34" fillId="0" borderId="0" xfId="8" applyFont="1" applyAlignment="1">
      <alignment horizontal="right"/>
    </xf>
    <xf numFmtId="41" fontId="34" fillId="0" borderId="0" xfId="7" applyNumberFormat="1" applyFont="1"/>
    <xf numFmtId="49" fontId="50" fillId="4" borderId="0" xfId="0" applyNumberFormat="1" applyFont="1" applyFill="1" applyAlignment="1">
      <alignment horizontal="centerContinuous"/>
    </xf>
    <xf numFmtId="173" fontId="34" fillId="4" borderId="0" xfId="0" applyFont="1" applyFill="1" applyAlignment="1">
      <alignment horizontal="centerContinuous"/>
    </xf>
    <xf numFmtId="221" fontId="34" fillId="4" borderId="0" xfId="0" applyNumberFormat="1" applyFont="1" applyFill="1" applyAlignment="1">
      <alignment horizontal="centerContinuous"/>
    </xf>
    <xf numFmtId="37" fontId="34" fillId="4" borderId="1" xfId="0" applyNumberFormat="1" applyFont="1" applyFill="1" applyBorder="1"/>
    <xf numFmtId="165" fontId="49" fillId="4" borderId="0" xfId="0" applyNumberFormat="1" applyFont="1" applyFill="1"/>
    <xf numFmtId="42" fontId="34" fillId="4" borderId="0" xfId="0" applyNumberFormat="1" applyFont="1" applyFill="1"/>
    <xf numFmtId="38" fontId="49" fillId="4" borderId="0" xfId="0" applyNumberFormat="1" applyFont="1" applyFill="1" applyProtection="1">
      <protection locked="0"/>
    </xf>
    <xf numFmtId="38" fontId="49" fillId="4" borderId="1" xfId="0" applyNumberFormat="1" applyFont="1" applyFill="1" applyBorder="1" applyProtection="1">
      <protection locked="0"/>
    </xf>
    <xf numFmtId="175" fontId="0" fillId="4" borderId="0" xfId="12" applyNumberFormat="1" applyFont="1" applyFill="1" applyBorder="1" applyAlignment="1"/>
    <xf numFmtId="173" fontId="0" fillId="4" borderId="0" xfId="0" quotePrefix="1" applyFill="1" applyAlignment="1">
      <alignment horizontal="left"/>
    </xf>
    <xf numFmtId="221" fontId="38" fillId="0" borderId="0" xfId="9" applyFont="1"/>
    <xf numFmtId="174" fontId="57" fillId="0" borderId="0" xfId="13" applyNumberFormat="1" applyFont="1"/>
    <xf numFmtId="166" fontId="66" fillId="0" borderId="0" xfId="0" applyNumberFormat="1" applyFont="1"/>
    <xf numFmtId="221" fontId="36" fillId="0" borderId="0" xfId="10" applyFont="1" applyAlignment="1">
      <alignment horizontal="centerContinuous"/>
    </xf>
    <xf numFmtId="221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horizontal="left"/>
    </xf>
    <xf numFmtId="221" fontId="30" fillId="0" borderId="0" xfId="328" applyAlignment="1">
      <alignment horizontal="centerContinuous"/>
    </xf>
    <xf numFmtId="221" fontId="30" fillId="0" borderId="0" xfId="328"/>
    <xf numFmtId="221" fontId="30" fillId="0" borderId="0" xfId="328" applyAlignment="1">
      <alignment horizontal="center"/>
    </xf>
    <xf numFmtId="221" fontId="136" fillId="0" borderId="0" xfId="328" quotePrefix="1" applyFont="1"/>
    <xf numFmtId="221" fontId="34" fillId="0" borderId="0" xfId="7" applyFont="1" applyAlignment="1">
      <alignment horizontal="right"/>
    </xf>
    <xf numFmtId="174" fontId="66" fillId="0" borderId="0" xfId="89" applyNumberFormat="1" applyFont="1" applyFill="1"/>
    <xf numFmtId="221" fontId="66" fillId="0" borderId="0" xfId="7" applyFont="1"/>
    <xf numFmtId="174" fontId="34" fillId="0" borderId="0" xfId="7" applyNumberFormat="1" applyFont="1"/>
    <xf numFmtId="174" fontId="67" fillId="0" borderId="0" xfId="89" applyNumberFormat="1" applyFont="1" applyFill="1"/>
    <xf numFmtId="174" fontId="34" fillId="0" borderId="0" xfId="89" applyNumberFormat="1" applyFont="1" applyFill="1"/>
    <xf numFmtId="174" fontId="57" fillId="0" borderId="0" xfId="89" applyNumberFormat="1" applyFont="1" applyFill="1"/>
    <xf numFmtId="41" fontId="38" fillId="0" borderId="0" xfId="16" applyNumberFormat="1" applyFont="1" applyFill="1" applyBorder="1"/>
    <xf numFmtId="41" fontId="137" fillId="0" borderId="0" xfId="16" applyNumberFormat="1" applyFont="1" applyFill="1" applyBorder="1"/>
    <xf numFmtId="175" fontId="59" fillId="0" borderId="0" xfId="16" applyNumberFormat="1" applyFont="1" applyFill="1" applyBorder="1"/>
    <xf numFmtId="221" fontId="60" fillId="0" borderId="0" xfId="9" applyFont="1" applyAlignment="1">
      <alignment horizontal="centerContinuous"/>
    </xf>
    <xf numFmtId="173" fontId="42" fillId="0" borderId="0" xfId="0" applyFont="1" applyProtection="1">
      <protection locked="0"/>
    </xf>
    <xf numFmtId="221" fontId="42" fillId="0" borderId="0" xfId="0" applyNumberFormat="1" applyFont="1" applyProtection="1">
      <protection locked="0"/>
    </xf>
    <xf numFmtId="221" fontId="46" fillId="0" borderId="0" xfId="0" applyNumberFormat="1" applyFont="1" applyProtection="1">
      <protection locked="0"/>
    </xf>
    <xf numFmtId="221" fontId="42" fillId="0" borderId="0" xfId="0" quotePrefix="1" applyNumberFormat="1" applyFont="1" applyAlignment="1" applyProtection="1">
      <alignment horizontal="left"/>
      <protection locked="0"/>
    </xf>
    <xf numFmtId="221" fontId="46" fillId="0" borderId="1" xfId="0" applyNumberFormat="1" applyFont="1" applyBorder="1" applyAlignment="1" applyProtection="1">
      <alignment horizontal="center"/>
      <protection locked="0"/>
    </xf>
    <xf numFmtId="37" fontId="42" fillId="0" borderId="0" xfId="0" applyNumberFormat="1" applyFont="1" applyProtection="1">
      <protection locked="0"/>
    </xf>
    <xf numFmtId="221" fontId="42" fillId="0" borderId="0" xfId="0" applyNumberFormat="1" applyFont="1" applyAlignment="1" applyProtection="1">
      <alignment horizontal="left"/>
      <protection locked="0"/>
    </xf>
    <xf numFmtId="37" fontId="34" fillId="2" borderId="0" xfId="0" applyNumberFormat="1" applyFont="1" applyFill="1" applyProtection="1">
      <protection locked="0"/>
    </xf>
    <xf numFmtId="37" fontId="34" fillId="4" borderId="0" xfId="0" quotePrefix="1" applyNumberFormat="1" applyFont="1" applyFill="1"/>
    <xf numFmtId="273" fontId="34" fillId="4" borderId="0" xfId="0" applyNumberFormat="1" applyFont="1" applyFill="1" applyAlignment="1">
      <alignment horizontal="right"/>
    </xf>
    <xf numFmtId="37" fontId="34" fillId="0" borderId="0" xfId="0" applyNumberFormat="1" applyFont="1" applyProtection="1">
      <protection locked="0"/>
    </xf>
    <xf numFmtId="221" fontId="46" fillId="0" borderId="0" xfId="0" quotePrefix="1" applyNumberFormat="1" applyFont="1" applyAlignment="1" applyProtection="1">
      <alignment horizontal="left"/>
      <protection locked="0"/>
    </xf>
    <xf numFmtId="221" fontId="42" fillId="0" borderId="1" xfId="0" applyNumberFormat="1" applyFont="1" applyBorder="1" applyProtection="1">
      <protection locked="0"/>
    </xf>
    <xf numFmtId="10" fontId="34" fillId="2" borderId="0" xfId="0" applyNumberFormat="1" applyFont="1" applyFill="1" applyProtection="1">
      <protection locked="0"/>
    </xf>
    <xf numFmtId="221" fontId="36" fillId="16" borderId="9" xfId="0" applyNumberFormat="1" applyFont="1" applyFill="1" applyBorder="1" applyAlignment="1" applyProtection="1">
      <alignment horizontal="right"/>
      <protection locked="0"/>
    </xf>
    <xf numFmtId="221" fontId="36" fillId="16" borderId="5" xfId="0" applyNumberFormat="1" applyFont="1" applyFill="1" applyBorder="1" applyAlignment="1" applyProtection="1">
      <alignment horizontal="right"/>
      <protection locked="0"/>
    </xf>
    <xf numFmtId="14" fontId="36" fillId="0" borderId="0" xfId="0" applyNumberFormat="1" applyFont="1" applyAlignment="1" applyProtection="1">
      <alignment horizontal="right"/>
      <protection locked="0"/>
    </xf>
    <xf numFmtId="14" fontId="36" fillId="0" borderId="0" xfId="0" applyNumberFormat="1" applyFont="1" applyProtection="1">
      <protection locked="0"/>
    </xf>
    <xf numFmtId="3" fontId="46" fillId="0" borderId="0" xfId="0" applyNumberFormat="1" applyFont="1" applyAlignment="1" applyProtection="1">
      <alignment horizontal="center"/>
      <protection locked="0"/>
    </xf>
    <xf numFmtId="3" fontId="46" fillId="0" borderId="0" xfId="0" applyNumberFormat="1" applyFont="1" applyProtection="1">
      <protection locked="0"/>
    </xf>
    <xf numFmtId="221" fontId="46" fillId="0" borderId="1" xfId="0" applyNumberFormat="1" applyFont="1" applyBorder="1" applyProtection="1">
      <protection locked="0"/>
    </xf>
    <xf numFmtId="173" fontId="46" fillId="0" borderId="1" xfId="0" applyFont="1" applyBorder="1" applyAlignment="1" applyProtection="1">
      <alignment horizontal="center"/>
      <protection locked="0"/>
    </xf>
    <xf numFmtId="3" fontId="42" fillId="0" borderId="0" xfId="0" applyNumberFormat="1" applyFont="1" applyProtection="1">
      <protection locked="0"/>
    </xf>
    <xf numFmtId="42" fontId="42" fillId="0" borderId="0" xfId="0" applyNumberFormat="1" applyFont="1" applyProtection="1">
      <protection locked="0"/>
    </xf>
    <xf numFmtId="3" fontId="42" fillId="0" borderId="1" xfId="0" applyNumberFormat="1" applyFont="1" applyBorder="1" applyProtection="1">
      <protection locked="0"/>
    </xf>
    <xf numFmtId="37" fontId="42" fillId="0" borderId="1" xfId="0" applyNumberFormat="1" applyFont="1" applyBorder="1" applyProtection="1">
      <protection locked="0"/>
    </xf>
    <xf numFmtId="173" fontId="42" fillId="0" borderId="1" xfId="0" applyFont="1" applyBorder="1" applyProtection="1">
      <protection locked="0"/>
    </xf>
    <xf numFmtId="221" fontId="42" fillId="0" borderId="0" xfId="0" quotePrefix="1" applyNumberFormat="1" applyFont="1" applyAlignment="1" applyProtection="1">
      <alignment horizontal="left" vertical="top" wrapText="1" indent="1"/>
      <protection locked="0"/>
    </xf>
    <xf numFmtId="221" fontId="42" fillId="0" borderId="0" xfId="0" applyNumberFormat="1" applyFont="1" applyAlignment="1" applyProtection="1">
      <alignment horizontal="left" indent="1"/>
      <protection locked="0"/>
    </xf>
    <xf numFmtId="221" fontId="42" fillId="0" borderId="0" xfId="0" applyNumberFormat="1" applyFont="1" applyAlignment="1" applyProtection="1">
      <alignment horizontal="left" indent="3"/>
      <protection locked="0"/>
    </xf>
    <xf numFmtId="37" fontId="69" fillId="0" borderId="0" xfId="0" applyNumberFormat="1" applyFont="1" applyProtection="1">
      <protection locked="0"/>
    </xf>
    <xf numFmtId="173" fontId="46" fillId="0" borderId="0" xfId="0" applyFont="1" applyAlignment="1" applyProtection="1">
      <alignment horizontal="center"/>
      <protection locked="0"/>
    </xf>
    <xf numFmtId="273" fontId="69" fillId="0" borderId="0" xfId="0" applyNumberFormat="1" applyFont="1" applyAlignment="1" applyProtection="1">
      <alignment horizontal="right"/>
      <protection locked="0"/>
    </xf>
    <xf numFmtId="170" fontId="141" fillId="0" borderId="0" xfId="0" applyNumberFormat="1" applyFont="1" applyProtection="1">
      <protection locked="0"/>
    </xf>
    <xf numFmtId="173" fontId="142" fillId="0" borderId="23" xfId="0" applyFont="1" applyBorder="1" applyProtection="1">
      <protection locked="0"/>
    </xf>
    <xf numFmtId="221" fontId="42" fillId="0" borderId="0" xfId="10" applyFont="1" applyAlignment="1">
      <alignment horizontal="left"/>
    </xf>
    <xf numFmtId="42" fontId="42" fillId="0" borderId="0" xfId="0" applyNumberFormat="1" applyFont="1" applyProtection="1"/>
    <xf numFmtId="37" fontId="42" fillId="0" borderId="0" xfId="0" applyNumberFormat="1" applyFont="1" applyProtection="1"/>
    <xf numFmtId="173" fontId="42" fillId="0" borderId="0" xfId="0" applyFont="1" applyProtection="1"/>
    <xf numFmtId="173" fontId="42" fillId="0" borderId="0" xfId="0" applyFont="1" applyAlignment="1" applyProtection="1">
      <alignment vertical="top"/>
      <protection locked="0"/>
    </xf>
    <xf numFmtId="221" fontId="46" fillId="0" borderId="24" xfId="0" applyNumberFormat="1" applyFont="1" applyBorder="1" applyProtection="1">
      <protection locked="0"/>
    </xf>
    <xf numFmtId="3" fontId="42" fillId="0" borderId="24" xfId="0" applyNumberFormat="1" applyFont="1" applyBorder="1" applyProtection="1">
      <protection locked="0"/>
    </xf>
    <xf numFmtId="173" fontId="42" fillId="0" borderId="24" xfId="0" applyFont="1" applyBorder="1" applyProtection="1">
      <protection locked="0"/>
    </xf>
    <xf numFmtId="221" fontId="143" fillId="0" borderId="0" xfId="10" applyFont="1" applyAlignment="1">
      <alignment horizontal="left"/>
    </xf>
    <xf numFmtId="221" fontId="143" fillId="0" borderId="0" xfId="10" applyFont="1" applyAlignment="1">
      <alignment horizontal="center"/>
    </xf>
    <xf numFmtId="221" fontId="42" fillId="0" borderId="0" xfId="0" quotePrefix="1" applyNumberFormat="1" applyFont="1" applyAlignment="1" applyProtection="1">
      <alignment horizontal="left" vertical="top" wrapText="1"/>
      <protection locked="0"/>
    </xf>
    <xf numFmtId="221" fontId="56" fillId="0" borderId="0" xfId="7" quotePrefix="1" applyFont="1" applyAlignment="1">
      <alignment horizontal="center"/>
    </xf>
    <xf numFmtId="42" fontId="66" fillId="0" borderId="0" xfId="7" applyNumberFormat="1" applyFont="1" applyProtection="1">
      <protection locked="0"/>
    </xf>
    <xf numFmtId="42" fontId="49" fillId="0" borderId="0" xfId="7" applyNumberFormat="1" applyFont="1" applyProtection="1">
      <protection locked="0"/>
    </xf>
    <xf numFmtId="221" fontId="34" fillId="0" borderId="0" xfId="7" applyFont="1" applyProtection="1">
      <protection locked="0"/>
    </xf>
    <xf numFmtId="41" fontId="49" fillId="0" borderId="0" xfId="7" applyNumberFormat="1" applyFont="1" applyProtection="1">
      <protection locked="0"/>
    </xf>
    <xf numFmtId="176" fontId="131" fillId="0" borderId="0" xfId="7" applyNumberFormat="1" applyFont="1" applyProtection="1">
      <protection locked="0"/>
    </xf>
    <xf numFmtId="41" fontId="131" fillId="0" borderId="0" xfId="7" applyNumberFormat="1" applyFont="1" applyProtection="1">
      <protection locked="0"/>
    </xf>
    <xf numFmtId="221" fontId="66" fillId="0" borderId="0" xfId="6" applyFont="1"/>
    <xf numFmtId="37" fontId="66" fillId="0" borderId="0" xfId="6" applyNumberFormat="1" applyFont="1"/>
    <xf numFmtId="41" fontId="67" fillId="0" borderId="0" xfId="6" applyNumberFormat="1" applyFont="1" applyProtection="1">
      <protection locked="0"/>
    </xf>
    <xf numFmtId="221" fontId="42" fillId="0" borderId="0" xfId="0" applyNumberFormat="1" applyFont="1" applyAlignment="1" applyProtection="1">
      <alignment horizontal="left"/>
    </xf>
    <xf numFmtId="221" fontId="42" fillId="0" borderId="0" xfId="0" applyNumberFormat="1" applyFont="1" applyAlignment="1" applyProtection="1">
      <alignment horizontal="right"/>
    </xf>
    <xf numFmtId="173" fontId="58" fillId="0" borderId="0" xfId="0" applyFont="1" applyAlignment="1" applyProtection="1">
      <alignment horizontal="centerContinuous"/>
    </xf>
    <xf numFmtId="221" fontId="34" fillId="0" borderId="0" xfId="0" applyNumberFormat="1" applyFont="1" applyAlignment="1" applyProtection="1">
      <alignment horizontal="right"/>
    </xf>
    <xf numFmtId="173" fontId="34" fillId="0" borderId="0" xfId="0" applyFont="1" applyAlignment="1" applyProtection="1">
      <alignment horizontal="centerContinuous"/>
    </xf>
    <xf numFmtId="173" fontId="36" fillId="0" borderId="0" xfId="0" applyFont="1" applyAlignment="1" applyProtection="1">
      <alignment horizontal="centerContinuous"/>
    </xf>
    <xf numFmtId="221" fontId="36" fillId="0" borderId="8" xfId="7" applyFont="1" applyBorder="1" applyAlignment="1">
      <alignment horizontal="center" vertical="center"/>
    </xf>
    <xf numFmtId="274" fontId="34" fillId="0" borderId="0" xfId="0" applyNumberFormat="1" applyFont="1" applyAlignment="1">
      <alignment horizontal="right"/>
    </xf>
    <xf numFmtId="3" fontId="66" fillId="0" borderId="0" xfId="0" applyNumberFormat="1" applyFont="1"/>
    <xf numFmtId="221" fontId="66" fillId="0" borderId="0" xfId="0" applyNumberFormat="1" applyFont="1"/>
    <xf numFmtId="173" fontId="66" fillId="0" borderId="0" xfId="0" applyFont="1"/>
    <xf numFmtId="221" fontId="34" fillId="0" borderId="0" xfId="0" applyNumberFormat="1" applyFont="1" applyAlignment="1">
      <alignment horizontal="left" indent="1"/>
    </xf>
    <xf numFmtId="221" fontId="34" fillId="0" borderId="0" xfId="0" applyNumberFormat="1" applyFont="1" applyAlignment="1">
      <alignment horizontal="left" indent="3"/>
    </xf>
    <xf numFmtId="221" fontId="34" fillId="0" borderId="0" xfId="0" quotePrefix="1" applyNumberFormat="1" applyFont="1" applyAlignment="1">
      <alignment horizontal="left"/>
    </xf>
    <xf numFmtId="221" fontId="34" fillId="0" borderId="0" xfId="355" applyFont="1" applyAlignment="1">
      <alignment horizontal="left"/>
    </xf>
    <xf numFmtId="221" fontId="34" fillId="0" borderId="0" xfId="355" applyFont="1" applyAlignment="1">
      <alignment horizontal="left" indent="1"/>
    </xf>
    <xf numFmtId="221" fontId="42" fillId="0" borderId="0" xfId="371" applyAlignment="1">
      <alignment horizontal="left" indent="1"/>
    </xf>
    <xf numFmtId="221" fontId="34" fillId="0" borderId="0" xfId="0" applyNumberFormat="1" applyFont="1" applyAlignment="1" applyProtection="1">
      <alignment vertical="center"/>
      <protection locked="0"/>
    </xf>
    <xf numFmtId="3" fontId="34" fillId="0" borderId="0" xfId="0" applyNumberFormat="1" applyFont="1" applyAlignment="1">
      <alignment vertical="center"/>
    </xf>
    <xf numFmtId="173" fontId="0" fillId="4" borderId="0" xfId="0" applyFill="1" applyAlignment="1">
      <alignment vertical="top"/>
    </xf>
    <xf numFmtId="173" fontId="0" fillId="4" borderId="0" xfId="0" applyFill="1" applyAlignment="1">
      <alignment vertical="top" wrapText="1"/>
    </xf>
    <xf numFmtId="221" fontId="0" fillId="4" borderId="0" xfId="0" applyNumberFormat="1" applyFill="1" applyAlignment="1">
      <alignment horizontal="left" vertical="top" wrapText="1"/>
    </xf>
    <xf numFmtId="175" fontId="65" fillId="2" borderId="0" xfId="12" applyNumberFormat="1" applyFont="1" applyFill="1" applyBorder="1" applyAlignment="1">
      <alignment vertical="top"/>
    </xf>
    <xf numFmtId="10" fontId="0" fillId="0" borderId="0" xfId="11" applyNumberFormat="1" applyFont="1" applyFill="1" applyBorder="1" applyAlignment="1">
      <alignment vertical="top"/>
    </xf>
    <xf numFmtId="175" fontId="0" fillId="4" borderId="0" xfId="12" applyNumberFormat="1" applyFont="1" applyFill="1" applyBorder="1" applyAlignment="1">
      <alignment vertical="top"/>
    </xf>
    <xf numFmtId="221" fontId="34" fillId="0" borderId="0" xfId="369" applyFont="1" applyAlignment="1">
      <alignment horizontal="left" vertical="center"/>
    </xf>
    <xf numFmtId="221" fontId="34" fillId="0" borderId="0" xfId="355" applyFont="1" applyAlignment="1">
      <alignment horizontal="left" vertical="center"/>
    </xf>
    <xf numFmtId="174" fontId="67" fillId="0" borderId="0" xfId="13" applyNumberFormat="1" applyFont="1" applyFill="1" applyProtection="1">
      <protection locked="0"/>
    </xf>
    <xf numFmtId="221" fontId="34" fillId="0" borderId="0" xfId="370" applyFont="1" applyAlignment="1">
      <alignment horizontal="left" vertical="center"/>
    </xf>
    <xf numFmtId="174" fontId="66" fillId="0" borderId="0" xfId="13" applyNumberFormat="1" applyFont="1" applyFill="1" applyProtection="1">
      <protection locked="0"/>
    </xf>
    <xf numFmtId="221" fontId="56" fillId="0" borderId="0" xfId="355" applyFont="1" applyAlignment="1">
      <alignment horizontal="center"/>
    </xf>
    <xf numFmtId="3" fontId="42" fillId="0" borderId="1" xfId="0" quotePrefix="1" applyNumberFormat="1" applyFont="1" applyBorder="1" applyProtection="1">
      <protection locked="0"/>
    </xf>
    <xf numFmtId="14" fontId="144" fillId="17" borderId="11" xfId="0" applyNumberFormat="1" applyFont="1" applyFill="1" applyBorder="1" applyProtection="1">
      <protection locked="0"/>
    </xf>
    <xf numFmtId="14" fontId="36" fillId="17" borderId="7" xfId="0" applyNumberFormat="1" applyFont="1" applyFill="1" applyBorder="1" applyProtection="1"/>
    <xf numFmtId="10" fontId="142" fillId="4" borderId="20" xfId="0" applyNumberFormat="1" applyFont="1" applyFill="1" applyBorder="1" applyProtection="1">
      <protection locked="0"/>
    </xf>
    <xf numFmtId="9" fontId="59" fillId="0" borderId="0" xfId="15" applyNumberFormat="1" applyFont="1"/>
    <xf numFmtId="221" fontId="172" fillId="0" borderId="0" xfId="428" applyFont="1" applyAlignment="1">
      <alignment horizontal="right"/>
    </xf>
    <xf numFmtId="221" fontId="20" fillId="0" borderId="0" xfId="554"/>
    <xf numFmtId="221" fontId="38" fillId="0" borderId="0" xfId="428" applyFont="1"/>
    <xf numFmtId="9" fontId="59" fillId="0" borderId="0" xfId="428" applyNumberFormat="1" applyFont="1"/>
    <xf numFmtId="41" fontId="66" fillId="0" borderId="0" xfId="6" applyNumberFormat="1" applyFont="1" applyProtection="1">
      <protection locked="0"/>
    </xf>
    <xf numFmtId="221" fontId="47" fillId="0" borderId="0" xfId="6" applyAlignment="1">
      <alignment horizontal="center"/>
    </xf>
    <xf numFmtId="221" fontId="47" fillId="0" borderId="0" xfId="7" applyAlignment="1">
      <alignment horizontal="center"/>
    </xf>
    <xf numFmtId="221" fontId="36" fillId="0" borderId="0" xfId="371" applyFont="1" applyAlignment="1">
      <alignment horizontal="centerContinuous"/>
    </xf>
    <xf numFmtId="37" fontId="34" fillId="0" borderId="0" xfId="0" applyNumberFormat="1" applyFont="1" applyAlignment="1">
      <alignment horizontal="center" vertical="top"/>
    </xf>
    <xf numFmtId="37" fontId="66" fillId="0" borderId="0" xfId="0" applyNumberFormat="1" applyFont="1"/>
    <xf numFmtId="221" fontId="34" fillId="0" borderId="0" xfId="428" applyFont="1"/>
    <xf numFmtId="41" fontId="47" fillId="0" borderId="0" xfId="1" applyNumberFormat="1" applyFill="1"/>
    <xf numFmtId="221" fontId="46" fillId="53" borderId="23" xfId="0" applyNumberFormat="1" applyFont="1" applyFill="1" applyBorder="1" applyAlignment="1" applyProtection="1">
      <alignment horizontal="centerContinuous"/>
      <protection locked="0"/>
    </xf>
    <xf numFmtId="173" fontId="46" fillId="53" borderId="20" xfId="0" applyFont="1" applyFill="1" applyBorder="1" applyAlignment="1" applyProtection="1">
      <alignment horizontal="centerContinuous"/>
      <protection locked="0"/>
    </xf>
    <xf numFmtId="3" fontId="66" fillId="0" borderId="0" xfId="0" applyNumberFormat="1" applyFont="1" applyAlignment="1">
      <alignment vertical="center"/>
    </xf>
    <xf numFmtId="37" fontId="34" fillId="4" borderId="0" xfId="0" applyNumberFormat="1" applyFont="1" applyFill="1" applyAlignment="1">
      <alignment vertical="center"/>
    </xf>
    <xf numFmtId="37" fontId="34" fillId="0" borderId="0" xfId="0" applyNumberFormat="1" applyFont="1" applyAlignment="1">
      <alignment vertical="center"/>
    </xf>
    <xf numFmtId="221" fontId="34" fillId="0" borderId="0" xfId="0" applyNumberFormat="1" applyFont="1" applyAlignment="1">
      <alignment wrapText="1"/>
    </xf>
    <xf numFmtId="49" fontId="0" fillId="0" borderId="0" xfId="0" applyNumberForma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10" fontId="34" fillId="0" borderId="0" xfId="0" applyNumberFormat="1" applyFont="1" applyAlignment="1">
      <alignment vertical="center"/>
    </xf>
    <xf numFmtId="173" fontId="0" fillId="0" borderId="0" xfId="0" applyAlignment="1">
      <alignment vertical="center"/>
    </xf>
    <xf numFmtId="10" fontId="0" fillId="0" borderId="0" xfId="11" applyNumberFormat="1" applyFont="1" applyFill="1" applyBorder="1" applyAlignment="1">
      <alignment vertical="center"/>
    </xf>
    <xf numFmtId="173" fontId="35" fillId="0" borderId="0" xfId="0" applyFont="1" applyAlignment="1">
      <alignment horizontal="center"/>
    </xf>
    <xf numFmtId="221" fontId="42" fillId="0" borderId="0" xfId="0" applyNumberFormat="1" applyFont="1" applyAlignment="1" applyProtection="1">
      <alignment horizontal="right"/>
      <protection locked="0"/>
    </xf>
    <xf numFmtId="221" fontId="36" fillId="0" borderId="0" xfId="9" applyFont="1" applyAlignment="1">
      <alignment horizontal="center"/>
    </xf>
    <xf numFmtId="221" fontId="34" fillId="0" borderId="0" xfId="9" applyFont="1"/>
    <xf numFmtId="221" fontId="34" fillId="0" borderId="0" xfId="15" applyFont="1"/>
    <xf numFmtId="221" fontId="34" fillId="0" borderId="0" xfId="15" applyFont="1" applyAlignment="1">
      <alignment horizontal="centerContinuous"/>
    </xf>
    <xf numFmtId="15" fontId="34" fillId="0" borderId="0" xfId="15" quotePrefix="1" applyNumberFormat="1" applyFont="1" applyAlignment="1">
      <alignment horizontal="centerContinuous"/>
    </xf>
    <xf numFmtId="15" fontId="34" fillId="0" borderId="0" xfId="15" applyNumberFormat="1" applyFont="1" applyAlignment="1">
      <alignment horizontal="centerContinuous"/>
    </xf>
    <xf numFmtId="15" fontId="34" fillId="0" borderId="0" xfId="15" applyNumberFormat="1" applyFont="1" applyAlignment="1">
      <alignment horizontal="center"/>
    </xf>
    <xf numFmtId="221" fontId="34" fillId="0" borderId="0" xfId="428" applyFont="1" applyAlignment="1">
      <alignment horizontal="center"/>
    </xf>
    <xf numFmtId="221" fontId="173" fillId="0" borderId="0" xfId="554" applyFont="1"/>
    <xf numFmtId="3" fontId="36" fillId="0" borderId="0" xfId="15" applyNumberFormat="1" applyFont="1"/>
    <xf numFmtId="221" fontId="36" fillId="0" borderId="0" xfId="15" applyFont="1"/>
    <xf numFmtId="175" fontId="34" fillId="0" borderId="0" xfId="16" applyNumberFormat="1" applyFont="1" applyFill="1"/>
    <xf numFmtId="175" fontId="66" fillId="0" borderId="0" xfId="16" applyNumberFormat="1" applyFont="1" applyFill="1" applyBorder="1"/>
    <xf numFmtId="175" fontId="34" fillId="0" borderId="0" xfId="16" applyNumberFormat="1" applyFont="1" applyFill="1" applyBorder="1"/>
    <xf numFmtId="175" fontId="66" fillId="0" borderId="0" xfId="16" applyNumberFormat="1" applyFont="1" applyFill="1"/>
    <xf numFmtId="41" fontId="34" fillId="0" borderId="0" xfId="16" applyNumberFormat="1" applyFont="1" applyFill="1"/>
    <xf numFmtId="41" fontId="66" fillId="0" borderId="0" xfId="16" applyNumberFormat="1" applyFont="1" applyFill="1"/>
    <xf numFmtId="41" fontId="66" fillId="0" borderId="0" xfId="15" applyNumberFormat="1" applyFont="1"/>
    <xf numFmtId="9" fontId="36" fillId="0" borderId="0" xfId="428" applyNumberFormat="1" applyFont="1"/>
    <xf numFmtId="221" fontId="66" fillId="0" borderId="1" xfId="0" applyNumberFormat="1" applyFont="1" applyBorder="1"/>
    <xf numFmtId="42" fontId="34" fillId="0" borderId="10" xfId="0" applyNumberFormat="1" applyFont="1" applyBorder="1"/>
    <xf numFmtId="221" fontId="34" fillId="0" borderId="0" xfId="0" applyNumberFormat="1" applyFont="1" applyAlignment="1">
      <alignment horizontal="left" vertical="top" wrapText="1" indent="1"/>
    </xf>
    <xf numFmtId="42" fontId="34" fillId="0" borderId="24" xfId="0" applyNumberFormat="1" applyFont="1" applyBorder="1"/>
    <xf numFmtId="165" fontId="34" fillId="0" borderId="0" xfId="0" applyNumberFormat="1" applyFont="1" applyAlignment="1">
      <alignment vertical="center"/>
    </xf>
    <xf numFmtId="42" fontId="34" fillId="0" borderId="0" xfId="0" applyNumberFormat="1" applyFont="1" applyProtection="1"/>
    <xf numFmtId="221" fontId="66" fillId="0" borderId="0" xfId="0" applyNumberFormat="1" applyFont="1" applyProtection="1">
      <protection locked="0"/>
    </xf>
    <xf numFmtId="173" fontId="66" fillId="0" borderId="0" xfId="0" applyFont="1" applyProtection="1">
      <protection locked="0"/>
    </xf>
    <xf numFmtId="0" fontId="34" fillId="0" borderId="0" xfId="0" applyNumberFormat="1" applyFont="1" applyAlignment="1" applyProtection="1">
      <alignment horizontal="center"/>
      <protection locked="0"/>
    </xf>
    <xf numFmtId="0" fontId="34" fillId="0" borderId="0" xfId="0" applyNumberFormat="1" applyFont="1"/>
    <xf numFmtId="0" fontId="72" fillId="0" borderId="0" xfId="0" applyNumberFormat="1" applyFont="1"/>
    <xf numFmtId="0" fontId="34" fillId="0" borderId="0" xfId="0" applyNumberFormat="1" applyFont="1" applyAlignment="1" applyProtection="1">
      <alignment horizontal="centerContinuous"/>
      <protection locked="0"/>
    </xf>
    <xf numFmtId="0" fontId="34" fillId="0" borderId="0" xfId="0" applyNumberFormat="1" applyFont="1" applyAlignment="1">
      <alignment horizontal="centerContinuous"/>
    </xf>
    <xf numFmtId="0" fontId="36" fillId="0" borderId="0" xfId="0" applyNumberFormat="1" applyFont="1" applyAlignment="1">
      <alignment horizontal="centerContinuous"/>
    </xf>
    <xf numFmtId="0" fontId="127" fillId="0" borderId="0" xfId="0" applyNumberFormat="1" applyFont="1" applyAlignment="1" applyProtection="1">
      <alignment horizontal="center"/>
      <protection locked="0"/>
    </xf>
    <xf numFmtId="0" fontId="34" fillId="0" borderId="0" xfId="0" applyNumberFormat="1" applyFont="1" applyAlignment="1" applyProtection="1">
      <alignment horizontal="center" vertical="center"/>
      <protection locked="0"/>
    </xf>
    <xf numFmtId="0" fontId="34" fillId="0" borderId="0" xfId="0" quotePrefix="1" applyNumberFormat="1" applyFont="1" applyAlignment="1" applyProtection="1">
      <alignment horizontal="center"/>
      <protection locked="0"/>
    </xf>
    <xf numFmtId="0" fontId="66" fillId="0" borderId="0" xfId="0" applyNumberFormat="1" applyFont="1" applyAlignment="1" applyProtection="1">
      <alignment horizontal="centerContinuous"/>
      <protection locked="0"/>
    </xf>
    <xf numFmtId="0" fontId="50" fillId="4" borderId="0" xfId="0" applyNumberFormat="1" applyFont="1" applyFill="1" applyAlignment="1">
      <alignment horizontal="centerContinuous"/>
    </xf>
    <xf numFmtId="0" fontId="50" fillId="0" borderId="0" xfId="0" applyNumberFormat="1" applyFont="1" applyAlignment="1">
      <alignment horizontal="centerContinuous"/>
    </xf>
    <xf numFmtId="0" fontId="34" fillId="0" borderId="0" xfId="0" applyNumberFormat="1" applyFont="1" applyAlignment="1">
      <alignment horizontal="center"/>
    </xf>
    <xf numFmtId="0" fontId="34" fillId="0" borderId="0" xfId="576" applyFont="1"/>
    <xf numFmtId="0" fontId="36" fillId="0" borderId="0" xfId="576" applyFont="1" applyAlignment="1">
      <alignment horizontal="centerContinuous"/>
    </xf>
    <xf numFmtId="0" fontId="34" fillId="0" borderId="0" xfId="577" applyFont="1"/>
    <xf numFmtId="174" fontId="34" fillId="0" borderId="0" xfId="564" applyNumberFormat="1" applyFont="1"/>
    <xf numFmtId="0" fontId="34" fillId="0" borderId="10" xfId="577" applyFont="1" applyBorder="1"/>
    <xf numFmtId="174" fontId="66" fillId="0" borderId="0" xfId="564" applyNumberFormat="1" applyFont="1" applyFill="1" applyBorder="1"/>
    <xf numFmtId="174" fontId="34" fillId="0" borderId="0" xfId="576" applyNumberFormat="1" applyFont="1"/>
    <xf numFmtId="0" fontId="31" fillId="0" borderId="0" xfId="325" applyNumberFormat="1" applyAlignment="1" applyProtection="1">
      <alignment horizontal="center"/>
      <protection locked="0"/>
    </xf>
    <xf numFmtId="0" fontId="130" fillId="0" borderId="0" xfId="325" applyNumberFormat="1" applyFont="1" applyAlignment="1" applyProtection="1">
      <alignment horizontal="left"/>
      <protection locked="0"/>
    </xf>
    <xf numFmtId="173" fontId="36" fillId="0" borderId="0" xfId="0" applyFont="1" applyAlignment="1">
      <alignment horizontal="center"/>
    </xf>
    <xf numFmtId="221" fontId="66" fillId="0" borderId="0" xfId="0" applyNumberFormat="1" applyFont="1" applyAlignment="1">
      <alignment horizontal="right"/>
    </xf>
    <xf numFmtId="221" fontId="66" fillId="0" borderId="0" xfId="0" applyNumberFormat="1" applyFont="1" applyAlignment="1" applyProtection="1">
      <alignment horizontal="right"/>
      <protection locked="0"/>
    </xf>
    <xf numFmtId="173" fontId="230" fillId="0" borderId="0" xfId="0" applyFont="1"/>
    <xf numFmtId="3" fontId="34" fillId="4" borderId="0" xfId="0" applyNumberFormat="1" applyFont="1" applyFill="1" applyAlignment="1">
      <alignment horizontal="left"/>
    </xf>
    <xf numFmtId="37" fontId="34" fillId="4" borderId="6" xfId="0" applyNumberFormat="1" applyFont="1" applyFill="1" applyBorder="1"/>
    <xf numFmtId="221" fontId="66" fillId="0" borderId="0" xfId="0" applyNumberFormat="1" applyFont="1" applyAlignment="1" applyProtection="1">
      <alignment vertical="center"/>
      <protection locked="0"/>
    </xf>
    <xf numFmtId="37" fontId="127" fillId="0" borderId="0" xfId="0" applyNumberFormat="1" applyFont="1"/>
    <xf numFmtId="173" fontId="127" fillId="0" borderId="0" xfId="0" quotePrefix="1" applyFont="1" applyAlignment="1">
      <alignment horizontal="center"/>
    </xf>
    <xf numFmtId="42" fontId="34" fillId="4" borderId="0" xfId="325" applyNumberFormat="1" applyFont="1" applyFill="1" applyProtection="1">
      <protection locked="0"/>
    </xf>
    <xf numFmtId="0" fontId="30" fillId="0" borderId="0" xfId="328" applyNumberFormat="1" applyAlignment="1">
      <alignment horizontal="center"/>
    </xf>
    <xf numFmtId="0" fontId="42" fillId="0" borderId="0" xfId="328" applyNumberFormat="1" applyFont="1" applyAlignment="1">
      <alignment horizontal="center"/>
    </xf>
    <xf numFmtId="0" fontId="34" fillId="0" borderId="0" xfId="329" applyNumberFormat="1" applyFont="1" applyAlignment="1">
      <alignment horizontal="center"/>
    </xf>
    <xf numFmtId="221" fontId="145" fillId="0" borderId="0" xfId="6" applyFont="1"/>
    <xf numFmtId="10" fontId="34" fillId="0" borderId="0" xfId="576" applyNumberFormat="1" applyFont="1"/>
    <xf numFmtId="0" fontId="17" fillId="0" borderId="0" xfId="1622"/>
    <xf numFmtId="0" fontId="17" fillId="0" borderId="0" xfId="1622" applyAlignment="1">
      <alignment horizontal="right"/>
    </xf>
    <xf numFmtId="9" fontId="67" fillId="0" borderId="0" xfId="7" applyNumberFormat="1" applyFont="1" applyProtection="1">
      <protection locked="0"/>
    </xf>
    <xf numFmtId="0" fontId="17" fillId="0" borderId="0" xfId="1622" quotePrefix="1"/>
    <xf numFmtId="0" fontId="170" fillId="0" borderId="0" xfId="1622" applyFont="1" applyAlignment="1">
      <alignment horizontal="centerContinuous"/>
    </xf>
    <xf numFmtId="0" fontId="17" fillId="0" borderId="0" xfId="1622" applyAlignment="1">
      <alignment horizontal="centerContinuous"/>
    </xf>
    <xf numFmtId="0" fontId="231" fillId="0" borderId="0" xfId="1622" applyFont="1" applyAlignment="1">
      <alignment horizontal="center"/>
    </xf>
    <xf numFmtId="37" fontId="232" fillId="0" borderId="0" xfId="1622" applyNumberFormat="1" applyFont="1"/>
    <xf numFmtId="0" fontId="17" fillId="0" borderId="0" xfId="1622" applyAlignment="1">
      <alignment horizontal="center"/>
    </xf>
    <xf numFmtId="37" fontId="17" fillId="0" borderId="0" xfId="1622" applyNumberFormat="1"/>
    <xf numFmtId="10" fontId="17" fillId="0" borderId="0" xfId="1622" applyNumberFormat="1"/>
    <xf numFmtId="221" fontId="34" fillId="0" borderId="0" xfId="8" applyFont="1"/>
    <xf numFmtId="221" fontId="59" fillId="0" borderId="0" xfId="9" applyFont="1"/>
    <xf numFmtId="37" fontId="42" fillId="0" borderId="1" xfId="0" applyNumberFormat="1" applyFont="1" applyBorder="1" applyProtection="1"/>
    <xf numFmtId="3" fontId="42" fillId="0" borderId="0" xfId="0" applyNumberFormat="1" applyFont="1" applyProtection="1"/>
    <xf numFmtId="3" fontId="42" fillId="0" borderId="24" xfId="0" applyNumberFormat="1" applyFont="1" applyBorder="1" applyProtection="1"/>
    <xf numFmtId="273" fontId="42" fillId="0" borderId="0" xfId="0" applyNumberFormat="1" applyFont="1" applyAlignment="1" applyProtection="1">
      <alignment horizontal="right"/>
    </xf>
    <xf numFmtId="221" fontId="42" fillId="0" borderId="0" xfId="0" applyNumberFormat="1" applyFont="1" applyProtection="1"/>
    <xf numFmtId="173" fontId="42" fillId="0" borderId="24" xfId="0" applyFont="1" applyBorder="1" applyProtection="1"/>
    <xf numFmtId="3" fontId="42" fillId="0" borderId="1" xfId="0" applyNumberFormat="1" applyFont="1" applyBorder="1" applyAlignment="1" applyProtection="1">
      <alignment horizontal="center"/>
    </xf>
    <xf numFmtId="3" fontId="42" fillId="0" borderId="0" xfId="0" applyNumberFormat="1" applyFont="1" applyAlignment="1" applyProtection="1">
      <alignment horizontal="center"/>
    </xf>
    <xf numFmtId="221" fontId="42" fillId="0" borderId="1" xfId="0" applyNumberFormat="1" applyFont="1" applyBorder="1" applyAlignment="1" applyProtection="1">
      <alignment horizontal="center"/>
    </xf>
    <xf numFmtId="173" fontId="46" fillId="53" borderId="22" xfId="0" applyFont="1" applyFill="1" applyBorder="1" applyAlignment="1" applyProtection="1">
      <alignment horizontal="centerContinuous"/>
      <protection locked="0"/>
    </xf>
    <xf numFmtId="0" fontId="142" fillId="4" borderId="0" xfId="0" applyNumberFormat="1" applyFont="1" applyFill="1" applyProtection="1">
      <protection locked="0"/>
    </xf>
    <xf numFmtId="173" fontId="46" fillId="53" borderId="0" xfId="0" applyFont="1" applyFill="1" applyAlignment="1" applyProtection="1">
      <alignment horizontal="center"/>
      <protection locked="0"/>
    </xf>
    <xf numFmtId="43" fontId="42" fillId="0" borderId="0" xfId="0" applyNumberFormat="1" applyFont="1"/>
    <xf numFmtId="41" fontId="34" fillId="4" borderId="0" xfId="0" applyNumberFormat="1" applyFont="1" applyFill="1"/>
    <xf numFmtId="41" fontId="66" fillId="4" borderId="0" xfId="0" applyNumberFormat="1" applyFont="1" applyFill="1"/>
    <xf numFmtId="221" fontId="58" fillId="0" borderId="0" xfId="552" applyFont="1" applyAlignment="1">
      <alignment horizontal="centerContinuous"/>
    </xf>
    <xf numFmtId="221" fontId="36" fillId="0" borderId="0" xfId="552" applyFont="1" applyAlignment="1">
      <alignment horizontal="centerContinuous"/>
    </xf>
    <xf numFmtId="173" fontId="230" fillId="0" borderId="0" xfId="0" applyFont="1" applyAlignment="1">
      <alignment horizontal="centerContinuous"/>
    </xf>
    <xf numFmtId="173" fontId="235" fillId="0" borderId="0" xfId="0" applyFont="1" applyAlignment="1">
      <alignment horizontal="centerContinuous"/>
    </xf>
    <xf numFmtId="3" fontId="42" fillId="0" borderId="0" xfId="0" applyNumberFormat="1" applyFont="1" applyAlignment="1" applyProtection="1">
      <alignment horizontal="left"/>
      <protection locked="0"/>
    </xf>
    <xf numFmtId="3" fontId="42" fillId="0" borderId="0" xfId="0" applyNumberFormat="1" applyFont="1" applyAlignment="1" applyProtection="1">
      <alignment horizontal="left" vertical="top"/>
      <protection locked="0"/>
    </xf>
    <xf numFmtId="173" fontId="146" fillId="0" borderId="0" xfId="0" applyFont="1" applyAlignment="1">
      <alignment horizontal="left"/>
    </xf>
    <xf numFmtId="3" fontId="42" fillId="0" borderId="1" xfId="0" applyNumberFormat="1" applyFont="1" applyBorder="1" applyAlignment="1" applyProtection="1">
      <alignment horizontal="left"/>
      <protection locked="0"/>
    </xf>
    <xf numFmtId="173" fontId="42" fillId="0" borderId="0" xfId="0" applyFont="1" applyAlignment="1" applyProtection="1">
      <alignment horizontal="left"/>
      <protection locked="0"/>
    </xf>
    <xf numFmtId="221" fontId="42" fillId="0" borderId="0" xfId="0" applyNumberFormat="1" applyFont="1" applyAlignment="1" applyProtection="1">
      <alignment horizontal="left" vertical="top" wrapText="1"/>
      <protection locked="0"/>
    </xf>
    <xf numFmtId="173" fontId="42" fillId="0" borderId="24" xfId="0" applyFont="1" applyBorder="1" applyAlignment="1" applyProtection="1">
      <alignment horizontal="left"/>
      <protection locked="0"/>
    </xf>
    <xf numFmtId="173" fontId="42" fillId="0" borderId="20" xfId="0" applyFont="1" applyBorder="1" applyAlignment="1" applyProtection="1">
      <alignment horizontal="left"/>
      <protection locked="0"/>
    </xf>
    <xf numFmtId="0" fontId="34" fillId="0" borderId="0" xfId="0" applyNumberFormat="1" applyFont="1" applyAlignment="1" applyProtection="1">
      <alignment horizontal="center" vertical="top"/>
      <protection locked="0"/>
    </xf>
    <xf numFmtId="173" fontId="34" fillId="0" borderId="0" xfId="0" applyFont="1" applyAlignment="1">
      <alignment vertical="top"/>
    </xf>
    <xf numFmtId="221" fontId="34" fillId="0" borderId="0" xfId="0" applyNumberFormat="1" applyFont="1" applyAlignment="1">
      <alignment vertical="top"/>
    </xf>
    <xf numFmtId="172" fontId="34" fillId="0" borderId="0" xfId="0" applyNumberFormat="1" applyFont="1" applyAlignment="1">
      <alignment vertical="top"/>
    </xf>
    <xf numFmtId="221" fontId="34" fillId="0" borderId="0" xfId="0" applyNumberFormat="1" applyFont="1" applyAlignment="1">
      <alignment vertical="top" wrapText="1"/>
    </xf>
    <xf numFmtId="221" fontId="66" fillId="0" borderId="0" xfId="0" applyNumberFormat="1" applyFont="1" applyAlignment="1">
      <alignment vertical="center"/>
    </xf>
    <xf numFmtId="221" fontId="34" fillId="0" borderId="0" xfId="0" applyNumberFormat="1" applyFont="1" applyAlignment="1">
      <alignment vertical="center"/>
    </xf>
    <xf numFmtId="173" fontId="34" fillId="0" borderId="0" xfId="0" applyFont="1" applyAlignment="1">
      <alignment vertical="center"/>
    </xf>
    <xf numFmtId="221" fontId="66" fillId="0" borderId="0" xfId="0" applyNumberFormat="1" applyFont="1" applyAlignment="1">
      <alignment vertical="center" wrapText="1"/>
    </xf>
    <xf numFmtId="173" fontId="66" fillId="0" borderId="0" xfId="0" applyFont="1" applyAlignment="1">
      <alignment vertical="center"/>
    </xf>
    <xf numFmtId="173" fontId="34" fillId="0" borderId="1" xfId="0" applyFont="1" applyBorder="1" applyAlignment="1">
      <alignment horizontal="center"/>
    </xf>
    <xf numFmtId="221" fontId="38" fillId="0" borderId="1" xfId="0" applyNumberFormat="1" applyFont="1" applyBorder="1" applyAlignment="1" applyProtection="1">
      <alignment horizontal="center"/>
      <protection locked="0"/>
    </xf>
    <xf numFmtId="44" fontId="34" fillId="0" borderId="0" xfId="0" applyNumberFormat="1" applyFont="1"/>
    <xf numFmtId="173" fontId="57" fillId="0" borderId="0" xfId="0" applyFont="1"/>
    <xf numFmtId="41" fontId="69" fillId="0" borderId="0" xfId="1" applyNumberFormat="1" applyFont="1" applyFill="1"/>
    <xf numFmtId="3" fontId="42" fillId="0" borderId="1" xfId="0" applyNumberFormat="1" applyFont="1" applyBorder="1" applyAlignment="1" applyProtection="1">
      <alignment horizontal="center"/>
      <protection locked="0"/>
    </xf>
    <xf numFmtId="3" fontId="42" fillId="0" borderId="0" xfId="0" applyNumberFormat="1" applyFont="1" applyAlignment="1" applyProtection="1">
      <alignment horizontal="center"/>
      <protection locked="0"/>
    </xf>
    <xf numFmtId="221" fontId="42" fillId="0" borderId="1" xfId="0" applyNumberFormat="1" applyFont="1" applyBorder="1" applyAlignment="1" applyProtection="1">
      <alignment horizontal="center"/>
      <protection locked="0"/>
    </xf>
    <xf numFmtId="42" fontId="34" fillId="0" borderId="0" xfId="7" applyNumberFormat="1" applyFont="1" applyAlignment="1">
      <alignment vertical="top"/>
    </xf>
    <xf numFmtId="173" fontId="39" fillId="0" borderId="0" xfId="0" applyFont="1" applyAlignment="1">
      <alignment horizontal="centerContinuous"/>
    </xf>
    <xf numFmtId="2" fontId="30" fillId="0" borderId="0" xfId="328" applyNumberFormat="1" applyAlignment="1">
      <alignment horizontal="right"/>
    </xf>
    <xf numFmtId="3" fontId="66" fillId="0" borderId="0" xfId="0" applyNumberFormat="1" applyFont="1" applyAlignment="1">
      <alignment horizontal="center" vertical="center"/>
    </xf>
    <xf numFmtId="221" fontId="34" fillId="0" borderId="0" xfId="0" applyNumberFormat="1" applyFont="1" applyAlignment="1">
      <alignment horizontal="center" vertical="center"/>
    </xf>
    <xf numFmtId="173" fontId="34" fillId="0" borderId="0" xfId="0" applyFont="1" applyAlignment="1">
      <alignment horizontal="center" vertical="center"/>
    </xf>
    <xf numFmtId="221" fontId="66" fillId="0" borderId="0" xfId="0" applyNumberFormat="1" applyFont="1" applyAlignment="1">
      <alignment horizontal="center" vertical="center"/>
    </xf>
    <xf numFmtId="173" fontId="34" fillId="0" borderId="0" xfId="0" quotePrefix="1" applyFont="1"/>
    <xf numFmtId="49" fontId="50" fillId="0" borderId="0" xfId="0" applyNumberFormat="1" applyFont="1" applyAlignment="1">
      <alignment horizontal="centerContinuous"/>
    </xf>
    <xf numFmtId="221" fontId="34" fillId="0" borderId="0" xfId="0" quotePrefix="1" applyNumberFormat="1" applyFont="1" applyAlignment="1">
      <alignment horizontal="center"/>
    </xf>
    <xf numFmtId="2" fontId="69" fillId="0" borderId="0" xfId="328" applyNumberFormat="1" applyFont="1"/>
    <xf numFmtId="221" fontId="16" fillId="0" borderId="0" xfId="328" applyFont="1"/>
    <xf numFmtId="221" fontId="42" fillId="0" borderId="24" xfId="0" applyNumberFormat="1" applyFont="1" applyBorder="1" applyAlignment="1" applyProtection="1">
      <alignment horizontal="left" vertical="top" wrapText="1"/>
      <protection locked="0"/>
    </xf>
    <xf numFmtId="173" fontId="34" fillId="0" borderId="0" xfId="0" applyFont="1" applyAlignment="1">
      <alignment vertical="top" wrapText="1"/>
    </xf>
    <xf numFmtId="174" fontId="34" fillId="4" borderId="0" xfId="89" quotePrefix="1" applyNumberFormat="1" applyFont="1" applyFill="1" applyAlignment="1"/>
    <xf numFmtId="174" fontId="34" fillId="0" borderId="0" xfId="89" quotePrefix="1" applyNumberFormat="1" applyFont="1" applyFill="1" applyAlignment="1"/>
    <xf numFmtId="221" fontId="36" fillId="0" borderId="0" xfId="8" applyFont="1" applyAlignment="1">
      <alignment horizontal="centerContinuous"/>
    </xf>
    <xf numFmtId="221" fontId="36" fillId="0" borderId="0" xfId="9" applyFont="1" applyAlignment="1">
      <alignment horizontal="centerContinuous"/>
    </xf>
    <xf numFmtId="221" fontId="36" fillId="0" borderId="0" xfId="15" applyFont="1" applyAlignment="1">
      <alignment horizontal="centerContinuous" vertical="center"/>
    </xf>
    <xf numFmtId="221" fontId="36" fillId="0" borderId="0" xfId="15" applyFont="1" applyAlignment="1">
      <alignment horizontal="centerContinuous"/>
    </xf>
    <xf numFmtId="15" fontId="36" fillId="0" borderId="0" xfId="15" quotePrefix="1" applyNumberFormat="1" applyFont="1" applyAlignment="1">
      <alignment horizontal="centerContinuous"/>
    </xf>
    <xf numFmtId="15" fontId="36" fillId="0" borderId="0" xfId="15" applyNumberFormat="1" applyFont="1" applyAlignment="1">
      <alignment horizontal="centerContinuous"/>
    </xf>
    <xf numFmtId="173" fontId="70" fillId="0" borderId="0" xfId="0" applyFont="1" applyAlignment="1">
      <alignment horizontal="center"/>
    </xf>
    <xf numFmtId="173" fontId="235" fillId="0" borderId="0" xfId="0" applyFont="1" applyAlignment="1">
      <alignment horizontal="center"/>
    </xf>
    <xf numFmtId="49" fontId="36" fillId="0" borderId="0" xfId="428" applyNumberFormat="1" applyFont="1" applyAlignment="1">
      <alignment horizontal="center"/>
    </xf>
    <xf numFmtId="2" fontId="69" fillId="0" borderId="0" xfId="328" applyNumberFormat="1" applyFont="1" applyAlignment="1">
      <alignment horizontal="center"/>
    </xf>
    <xf numFmtId="221" fontId="235" fillId="0" borderId="0" xfId="328" applyFont="1" applyAlignment="1">
      <alignment horizontal="centerContinuous"/>
    </xf>
    <xf numFmtId="0" fontId="233" fillId="0" borderId="0" xfId="1622" applyFont="1" applyAlignment="1">
      <alignment horizontal="center"/>
    </xf>
    <xf numFmtId="0" fontId="17" fillId="0" borderId="0" xfId="1622" applyAlignment="1">
      <alignment horizontal="left"/>
    </xf>
    <xf numFmtId="0" fontId="17" fillId="0" borderId="0" xfId="1622" applyAlignment="1">
      <alignment horizontal="left" indent="1"/>
    </xf>
    <xf numFmtId="0" fontId="17" fillId="0" borderId="0" xfId="1622" applyAlignment="1">
      <alignment horizontal="left" indent="2"/>
    </xf>
    <xf numFmtId="0" fontId="232" fillId="0" borderId="0" xfId="1622" applyFont="1"/>
    <xf numFmtId="173" fontId="52" fillId="0" borderId="0" xfId="0" applyFont="1"/>
    <xf numFmtId="221" fontId="44" fillId="0" borderId="0" xfId="6" applyFont="1" applyAlignment="1">
      <alignment horizontal="center"/>
    </xf>
    <xf numFmtId="0" fontId="34" fillId="0" borderId="0" xfId="577" applyFont="1" applyAlignment="1">
      <alignment horizontal="left" wrapText="1" indent="1"/>
    </xf>
    <xf numFmtId="221" fontId="34" fillId="0" borderId="0" xfId="7" applyFont="1" applyAlignment="1">
      <alignment vertical="center"/>
    </xf>
    <xf numFmtId="221" fontId="34" fillId="0" borderId="0" xfId="5" applyFont="1" applyAlignment="1">
      <alignment horizontal="left" vertical="center"/>
    </xf>
    <xf numFmtId="221" fontId="36" fillId="0" borderId="0" xfId="5" applyFont="1" applyAlignment="1">
      <alignment horizontal="center" vertical="center"/>
    </xf>
    <xf numFmtId="221" fontId="23" fillId="0" borderId="0" xfId="455" applyAlignment="1">
      <alignment vertical="center"/>
    </xf>
    <xf numFmtId="221" fontId="34" fillId="0" borderId="0" xfId="355" applyFont="1" applyAlignment="1">
      <alignment vertical="center"/>
    </xf>
    <xf numFmtId="221" fontId="127" fillId="0" borderId="0" xfId="7" applyFont="1" applyAlignment="1">
      <alignment horizontal="center" vertical="center"/>
    </xf>
    <xf numFmtId="221" fontId="34" fillId="0" borderId="0" xfId="7" quotePrefix="1" applyFont="1" applyAlignment="1">
      <alignment horizontal="left"/>
    </xf>
    <xf numFmtId="221" fontId="34" fillId="0" borderId="0" xfId="7" applyFont="1" applyAlignment="1">
      <alignment horizontal="left" vertical="center" wrapText="1"/>
    </xf>
    <xf numFmtId="170" fontId="66" fillId="0" borderId="0" xfId="0" applyNumberFormat="1" applyFont="1"/>
    <xf numFmtId="170" fontId="34" fillId="0" borderId="0" xfId="0" applyNumberFormat="1" applyFont="1"/>
    <xf numFmtId="221" fontId="34" fillId="0" borderId="0" xfId="6" applyFont="1" applyAlignment="1">
      <alignment vertical="center"/>
    </xf>
    <xf numFmtId="221" fontId="34" fillId="0" borderId="0" xfId="8" applyFont="1" applyAlignment="1">
      <alignment horizontal="centerContinuous"/>
    </xf>
    <xf numFmtId="221" fontId="34" fillId="0" borderId="0" xfId="8" quotePrefix="1" applyFont="1"/>
    <xf numFmtId="41" fontId="34" fillId="0" borderId="0" xfId="13" applyNumberFormat="1" applyFont="1" applyBorder="1"/>
    <xf numFmtId="41" fontId="34" fillId="0" borderId="0" xfId="8" applyNumberFormat="1" applyFont="1"/>
    <xf numFmtId="221" fontId="34" fillId="0" borderId="0" xfId="0" applyNumberFormat="1" applyFont="1" applyAlignment="1" applyProtection="1">
      <alignment horizontal="right" vertical="center"/>
      <protection locked="0"/>
    </xf>
    <xf numFmtId="173" fontId="243" fillId="0" borderId="0" xfId="0" applyFont="1"/>
    <xf numFmtId="173" fontId="147" fillId="0" borderId="0" xfId="0" applyFont="1"/>
    <xf numFmtId="221" fontId="15" fillId="0" borderId="0" xfId="328" applyFont="1"/>
    <xf numFmtId="41" fontId="48" fillId="0" borderId="0" xfId="7" applyNumberFormat="1" applyFont="1"/>
    <xf numFmtId="221" fontId="34" fillId="0" borderId="0" xfId="8" applyFont="1" applyAlignment="1">
      <alignment vertical="center"/>
    </xf>
    <xf numFmtId="41" fontId="66" fillId="0" borderId="0" xfId="13" applyNumberFormat="1" applyFont="1" applyFill="1" applyProtection="1">
      <protection locked="0"/>
    </xf>
    <xf numFmtId="41" fontId="67" fillId="0" borderId="0" xfId="13" applyNumberFormat="1" applyFont="1" applyFill="1" applyProtection="1">
      <protection locked="0"/>
    </xf>
    <xf numFmtId="173" fontId="230" fillId="0" borderId="0" xfId="0" applyFont="1" applyAlignment="1">
      <alignment horizontal="center"/>
    </xf>
    <xf numFmtId="173" fontId="237" fillId="0" borderId="0" xfId="0" applyFont="1" applyAlignment="1">
      <alignment horizontal="center"/>
    </xf>
    <xf numFmtId="173" fontId="236" fillId="0" borderId="0" xfId="0" applyFont="1" applyAlignment="1">
      <alignment horizontal="center"/>
    </xf>
    <xf numFmtId="42" fontId="0" fillId="0" borderId="0" xfId="0" applyNumberFormat="1"/>
    <xf numFmtId="10" fontId="69" fillId="4" borderId="0" xfId="0" applyNumberFormat="1" applyFont="1" applyFill="1" applyProtection="1">
      <protection locked="0"/>
    </xf>
    <xf numFmtId="221" fontId="36" fillId="0" borderId="0" xfId="7" applyFont="1" applyAlignment="1">
      <alignment horizontal="center" vertical="center"/>
    </xf>
    <xf numFmtId="175" fontId="36" fillId="0" borderId="0" xfId="16" applyNumberFormat="1" applyFont="1" applyFill="1" applyBorder="1"/>
    <xf numFmtId="37" fontId="34" fillId="0" borderId="0" xfId="0" applyNumberFormat="1" applyFont="1" applyAlignment="1">
      <alignment horizontal="center" vertical="center"/>
    </xf>
    <xf numFmtId="170" fontId="33" fillId="0" borderId="0" xfId="0" applyNumberFormat="1" applyFont="1"/>
    <xf numFmtId="42" fontId="0" fillId="0" borderId="17" xfId="0" applyNumberFormat="1" applyBorder="1"/>
    <xf numFmtId="42" fontId="0" fillId="2" borderId="0" xfId="0" applyNumberFormat="1" applyFill="1"/>
    <xf numFmtId="0" fontId="0" fillId="0" borderId="0" xfId="0" applyNumberFormat="1" applyAlignment="1">
      <alignment horizontal="center"/>
    </xf>
    <xf numFmtId="173" fontId="46" fillId="0" borderId="0" xfId="0" applyFont="1" applyAlignment="1">
      <alignment horizontal="center"/>
    </xf>
    <xf numFmtId="173" fontId="43" fillId="0" borderId="0" xfId="0" applyFont="1" applyAlignment="1">
      <alignment horizontal="center"/>
    </xf>
    <xf numFmtId="0" fontId="47" fillId="0" borderId="0" xfId="10" applyNumberFormat="1" applyAlignment="1">
      <alignment horizontal="center"/>
    </xf>
    <xf numFmtId="221" fontId="56" fillId="0" borderId="0" xfId="15" applyFont="1" applyAlignment="1">
      <alignment horizontal="center"/>
    </xf>
    <xf numFmtId="0" fontId="34" fillId="0" borderId="0" xfId="7" applyNumberFormat="1" applyFont="1" applyAlignment="1">
      <alignment horizontal="center"/>
    </xf>
    <xf numFmtId="0" fontId="34" fillId="0" borderId="0" xfId="6" applyNumberFormat="1" applyFont="1" applyAlignment="1">
      <alignment horizontal="center"/>
    </xf>
    <xf numFmtId="173" fontId="56" fillId="0" borderId="0" xfId="0" applyFont="1" applyAlignment="1">
      <alignment horizontal="center"/>
    </xf>
    <xf numFmtId="173" fontId="56" fillId="0" borderId="0" xfId="0" applyFont="1" applyAlignment="1">
      <alignment horizontal="center" wrapText="1"/>
    </xf>
    <xf numFmtId="221" fontId="56" fillId="0" borderId="0" xfId="423" applyFont="1" applyAlignment="1">
      <alignment horizontal="center"/>
    </xf>
    <xf numFmtId="221" fontId="56" fillId="0" borderId="0" xfId="423" applyFont="1" applyAlignment="1">
      <alignment horizontal="center" wrapText="1"/>
    </xf>
    <xf numFmtId="221" fontId="56" fillId="0" borderId="0" xfId="423" quotePrefix="1" applyFont="1" applyAlignment="1">
      <alignment horizontal="center"/>
    </xf>
    <xf numFmtId="173" fontId="35" fillId="0" borderId="0" xfId="0" applyFont="1" applyAlignment="1">
      <alignment horizontal="center" wrapText="1"/>
    </xf>
    <xf numFmtId="0" fontId="34" fillId="0" borderId="0" xfId="0" applyNumberFormat="1" applyFont="1" applyAlignment="1">
      <alignment horizontal="center" vertical="center" wrapText="1"/>
    </xf>
    <xf numFmtId="0" fontId="230" fillId="0" borderId="0" xfId="1622" applyFont="1" applyAlignment="1">
      <alignment horizontal="center"/>
    </xf>
    <xf numFmtId="43" fontId="56" fillId="0" borderId="0" xfId="355" applyNumberFormat="1" applyFont="1" applyAlignment="1">
      <alignment horizontal="center" wrapText="1"/>
    </xf>
    <xf numFmtId="221" fontId="47" fillId="0" borderId="0" xfId="6" applyAlignment="1">
      <alignment horizontal="centerContinuous"/>
    </xf>
    <xf numFmtId="221" fontId="42" fillId="0" borderId="0" xfId="8" applyFont="1" applyAlignment="1">
      <alignment horizontal="centerContinuous"/>
    </xf>
    <xf numFmtId="221" fontId="34" fillId="0" borderId="0" xfId="6" applyFont="1" applyAlignment="1">
      <alignment horizontal="centerContinuous"/>
    </xf>
    <xf numFmtId="221" fontId="38" fillId="0" borderId="0" xfId="9" applyFont="1" applyAlignment="1">
      <alignment horizontal="centerContinuous"/>
    </xf>
    <xf numFmtId="221" fontId="38" fillId="0" borderId="0" xfId="15" applyFont="1" applyAlignment="1">
      <alignment horizontal="centerContinuous"/>
    </xf>
    <xf numFmtId="221" fontId="47" fillId="0" borderId="0" xfId="10" applyAlignment="1">
      <alignment horizontal="centerContinuous"/>
    </xf>
    <xf numFmtId="221" fontId="46" fillId="0" borderId="0" xfId="10" applyFont="1" applyAlignment="1">
      <alignment horizontal="center"/>
    </xf>
    <xf numFmtId="221" fontId="47" fillId="0" borderId="0" xfId="10" applyAlignment="1">
      <alignment horizontal="left"/>
    </xf>
    <xf numFmtId="221" fontId="52" fillId="0" borderId="0" xfId="10" applyFont="1" applyAlignment="1">
      <alignment horizontal="centerContinuous"/>
    </xf>
    <xf numFmtId="221" fontId="46" fillId="0" borderId="0" xfId="10" applyFont="1" applyAlignment="1">
      <alignment horizontal="centerContinuous"/>
    </xf>
    <xf numFmtId="42" fontId="34" fillId="0" borderId="24" xfId="0" applyNumberFormat="1" applyFont="1" applyBorder="1" applyAlignment="1">
      <alignment horizontal="right"/>
    </xf>
    <xf numFmtId="0" fontId="34" fillId="0" borderId="0" xfId="0" applyNumberFormat="1" applyFont="1" applyAlignment="1">
      <alignment horizontal="center" vertical="center"/>
    </xf>
    <xf numFmtId="41" fontId="67" fillId="0" borderId="0" xfId="6" applyNumberFormat="1" applyFont="1" applyAlignment="1">
      <alignment vertical="center"/>
    </xf>
    <xf numFmtId="170" fontId="34" fillId="0" borderId="0" xfId="0" applyNumberFormat="1" applyFont="1" applyAlignment="1">
      <alignment wrapText="1"/>
    </xf>
    <xf numFmtId="281" fontId="42" fillId="0" borderId="0" xfId="8" applyNumberFormat="1" applyFont="1"/>
    <xf numFmtId="221" fontId="36" fillId="0" borderId="0" xfId="5" applyFont="1" applyAlignment="1">
      <alignment horizontal="left"/>
    </xf>
    <xf numFmtId="221" fontId="36" fillId="0" borderId="0" xfId="7" applyFont="1"/>
    <xf numFmtId="221" fontId="36" fillId="0" borderId="0" xfId="7" applyFont="1" applyAlignment="1">
      <alignment vertical="center"/>
    </xf>
    <xf numFmtId="0" fontId="144" fillId="0" borderId="0" xfId="576" applyFont="1" applyAlignment="1">
      <alignment horizontal="centerContinuous"/>
    </xf>
    <xf numFmtId="221" fontId="34" fillId="0" borderId="0" xfId="423" applyFont="1" applyAlignment="1">
      <alignment vertical="center"/>
    </xf>
    <xf numFmtId="282" fontId="69" fillId="0" borderId="0" xfId="1" applyNumberFormat="1" applyFont="1" applyFill="1"/>
    <xf numFmtId="283" fontId="47" fillId="0" borderId="0" xfId="1" applyNumberFormat="1" applyFill="1"/>
    <xf numFmtId="174" fontId="69" fillId="0" borderId="0" xfId="1" applyNumberFormat="1" applyFont="1" applyFill="1"/>
    <xf numFmtId="174" fontId="69" fillId="0" borderId="0" xfId="1" applyNumberFormat="1" applyFont="1"/>
    <xf numFmtId="174" fontId="10" fillId="0" borderId="0" xfId="1" applyNumberFormat="1" applyFont="1"/>
    <xf numFmtId="0" fontId="10" fillId="0" borderId="0" xfId="0" applyNumberFormat="1" applyFont="1"/>
    <xf numFmtId="10" fontId="69" fillId="0" borderId="0" xfId="2463" applyNumberFormat="1" applyFont="1" applyFill="1" applyAlignment="1">
      <alignment horizontal="center" vertical="center"/>
    </xf>
    <xf numFmtId="37" fontId="10" fillId="0" borderId="0" xfId="0" applyNumberFormat="1" applyFont="1"/>
    <xf numFmtId="0" fontId="10" fillId="0" borderId="0" xfId="0" applyNumberFormat="1" applyFont="1" applyAlignment="1">
      <alignment horizontal="center"/>
    </xf>
    <xf numFmtId="0" fontId="0" fillId="4" borderId="0" xfId="0" applyNumberFormat="1" applyFill="1" applyAlignment="1">
      <alignment horizontal="center"/>
    </xf>
    <xf numFmtId="173" fontId="0" fillId="4" borderId="0" xfId="0" applyFill="1" applyAlignment="1">
      <alignment horizontal="center"/>
    </xf>
    <xf numFmtId="173" fontId="0" fillId="4" borderId="3" xfId="0" applyFill="1" applyBorder="1" applyAlignment="1">
      <alignment horizontal="center" vertical="top"/>
    </xf>
    <xf numFmtId="173" fontId="0" fillId="4" borderId="3" xfId="0" quotePrefix="1" applyFill="1" applyBorder="1" applyAlignment="1">
      <alignment horizontal="center"/>
    </xf>
    <xf numFmtId="173" fontId="0" fillId="4" borderId="3" xfId="0" applyFill="1" applyBorder="1" applyAlignment="1">
      <alignment horizontal="center"/>
    </xf>
    <xf numFmtId="42" fontId="65" fillId="2" borderId="0" xfId="0" applyNumberFormat="1" applyFont="1" applyFill="1"/>
    <xf numFmtId="10" fontId="34" fillId="0" borderId="0" xfId="7" applyNumberFormat="1" applyFont="1" applyProtection="1">
      <protection locked="0"/>
    </xf>
    <xf numFmtId="42" fontId="10" fillId="0" borderId="0" xfId="1" applyNumberFormat="1" applyFont="1"/>
    <xf numFmtId="42" fontId="120" fillId="0" borderId="0" xfId="1" applyNumberFormat="1" applyFont="1" applyFill="1"/>
    <xf numFmtId="10" fontId="66" fillId="0" borderId="0" xfId="0" applyNumberFormat="1" applyFont="1" applyAlignment="1">
      <alignment horizontal="left" vertical="center"/>
    </xf>
    <xf numFmtId="164" fontId="34" fillId="0" borderId="0" xfId="0" applyNumberFormat="1" applyFont="1" applyAlignment="1" applyProtection="1">
      <alignment horizontal="left"/>
      <protection locked="0"/>
    </xf>
    <xf numFmtId="167" fontId="66" fillId="0" borderId="0" xfId="0" applyNumberFormat="1" applyFont="1" applyAlignment="1">
      <alignment vertical="center"/>
    </xf>
    <xf numFmtId="164" fontId="66" fillId="0" borderId="0" xfId="0" applyNumberFormat="1" applyFont="1" applyAlignment="1">
      <alignment horizontal="center" vertical="center"/>
    </xf>
    <xf numFmtId="10" fontId="34" fillId="0" borderId="0" xfId="0" applyNumberFormat="1" applyFont="1" applyAlignment="1">
      <alignment horizontal="left" vertical="center"/>
    </xf>
    <xf numFmtId="167" fontId="34" fillId="0" borderId="0" xfId="0" applyNumberFormat="1" applyFont="1" applyAlignment="1">
      <alignment vertical="center"/>
    </xf>
    <xf numFmtId="164" fontId="34" fillId="0" borderId="0" xfId="0" applyNumberFormat="1" applyFont="1" applyAlignment="1">
      <alignment horizontal="center" vertical="center"/>
    </xf>
    <xf numFmtId="42" fontId="42" fillId="0" borderId="2" xfId="0" applyNumberFormat="1" applyFont="1" applyBorder="1" applyProtection="1">
      <protection locked="0"/>
    </xf>
    <xf numFmtId="42" fontId="42" fillId="0" borderId="2" xfId="0" applyNumberFormat="1" applyFont="1" applyBorder="1" applyProtection="1"/>
    <xf numFmtId="37" fontId="42" fillId="0" borderId="0" xfId="0" applyNumberFormat="1" applyFont="1" applyAlignment="1" applyProtection="1">
      <alignment vertical="top"/>
    </xf>
    <xf numFmtId="37" fontId="42" fillId="0" borderId="24" xfId="0" applyNumberFormat="1" applyFont="1" applyBorder="1" applyProtection="1"/>
    <xf numFmtId="37" fontId="42" fillId="0" borderId="24" xfId="0" quotePrefix="1" applyNumberFormat="1" applyFont="1" applyBorder="1" applyProtection="1"/>
    <xf numFmtId="38" fontId="48" fillId="0" borderId="0" xfId="0" applyNumberFormat="1" applyFont="1" applyProtection="1">
      <protection locked="0"/>
    </xf>
    <xf numFmtId="38" fontId="42" fillId="0" borderId="0" xfId="0" applyNumberFormat="1" applyFont="1" applyProtection="1"/>
    <xf numFmtId="38" fontId="48" fillId="0" borderId="1" xfId="0" applyNumberFormat="1" applyFont="1" applyBorder="1" applyProtection="1">
      <protection locked="0"/>
    </xf>
    <xf numFmtId="38" fontId="42" fillId="0" borderId="1" xfId="0" applyNumberFormat="1" applyFont="1" applyBorder="1" applyProtection="1"/>
    <xf numFmtId="221" fontId="133" fillId="0" borderId="0" xfId="328" applyFont="1" applyAlignment="1">
      <alignment horizontal="center"/>
    </xf>
    <xf numFmtId="221" fontId="241" fillId="0" borderId="0" xfId="328" applyFont="1" applyAlignment="1">
      <alignment horizontal="center"/>
    </xf>
    <xf numFmtId="221" fontId="134" fillId="0" borderId="0" xfId="328" applyFont="1" applyAlignment="1">
      <alignment horizontal="center"/>
    </xf>
    <xf numFmtId="221" fontId="133" fillId="0" borderId="0" xfId="328" quotePrefix="1" applyFont="1" applyAlignment="1">
      <alignment horizontal="center"/>
    </xf>
    <xf numFmtId="221" fontId="30" fillId="0" borderId="0" xfId="328" quotePrefix="1" applyAlignment="1">
      <alignment horizontal="center"/>
    </xf>
    <xf numFmtId="221" fontId="133" fillId="0" borderId="0" xfId="328" applyFont="1" applyAlignment="1">
      <alignment horizontal="centerContinuous"/>
    </xf>
    <xf numFmtId="2" fontId="30" fillId="0" borderId="0" xfId="328" applyNumberFormat="1"/>
    <xf numFmtId="0" fontId="133" fillId="0" borderId="0" xfId="328" applyNumberFormat="1" applyFont="1" applyAlignment="1">
      <alignment horizontal="centerContinuous"/>
    </xf>
    <xf numFmtId="0" fontId="30" fillId="0" borderId="0" xfId="328" applyNumberFormat="1" applyAlignment="1">
      <alignment horizontal="centerContinuous"/>
    </xf>
    <xf numFmtId="2" fontId="69" fillId="0" borderId="0" xfId="328" applyNumberFormat="1" applyFont="1" applyAlignment="1">
      <alignment horizontal="centerContinuous"/>
    </xf>
    <xf numFmtId="221" fontId="30" fillId="0" borderId="0" xfId="328" applyAlignment="1">
      <alignment horizontal="right"/>
    </xf>
    <xf numFmtId="0" fontId="30" fillId="0" borderId="0" xfId="328" applyNumberFormat="1"/>
    <xf numFmtId="221" fontId="69" fillId="0" borderId="0" xfId="328" applyFont="1" applyAlignment="1">
      <alignment horizontal="center"/>
    </xf>
    <xf numFmtId="221" fontId="69" fillId="0" borderId="0" xfId="328" applyFont="1" applyAlignment="1">
      <alignment horizontal="centerContinuous"/>
    </xf>
    <xf numFmtId="2" fontId="30" fillId="0" borderId="0" xfId="328" applyNumberFormat="1" applyAlignment="1">
      <alignment horizontal="center"/>
    </xf>
    <xf numFmtId="221" fontId="13" fillId="0" borderId="0" xfId="328" applyFont="1"/>
    <xf numFmtId="221" fontId="10" fillId="0" borderId="0" xfId="328" applyFont="1" applyAlignment="1">
      <alignment horizontal="right"/>
    </xf>
    <xf numFmtId="221" fontId="6" fillId="0" borderId="0" xfId="328" applyFont="1" applyAlignment="1">
      <alignment horizontal="right"/>
    </xf>
    <xf numFmtId="221" fontId="10" fillId="0" borderId="0" xfId="328" applyFont="1" applyAlignment="1">
      <alignment horizontal="centerContinuous"/>
    </xf>
    <xf numFmtId="173" fontId="133" fillId="0" borderId="0" xfId="0" applyFont="1"/>
    <xf numFmtId="173" fontId="10" fillId="0" borderId="0" xfId="0" applyFont="1"/>
    <xf numFmtId="221" fontId="8" fillId="0" borderId="0" xfId="328" applyFont="1" applyAlignment="1">
      <alignment horizontal="center"/>
    </xf>
    <xf numFmtId="173" fontId="8" fillId="0" borderId="0" xfId="0" quotePrefix="1" applyFont="1" applyAlignment="1">
      <alignment horizontal="center"/>
    </xf>
    <xf numFmtId="173" fontId="42" fillId="0" borderId="0" xfId="0" applyFont="1" applyAlignment="1">
      <alignment horizontal="center"/>
    </xf>
    <xf numFmtId="173" fontId="8" fillId="0" borderId="0" xfId="0" applyFont="1"/>
    <xf numFmtId="173" fontId="8" fillId="0" borderId="0" xfId="0" applyFont="1" applyAlignment="1">
      <alignment horizontal="center"/>
    </xf>
    <xf numFmtId="173" fontId="52" fillId="0" borderId="0" xfId="0" applyFont="1" applyAlignment="1">
      <alignment horizontal="center"/>
    </xf>
    <xf numFmtId="0" fontId="134" fillId="0" borderId="0" xfId="1" applyNumberFormat="1" applyFont="1" applyFill="1" applyAlignment="1">
      <alignment horizontal="center"/>
    </xf>
    <xf numFmtId="0" fontId="134" fillId="0" borderId="0" xfId="0" applyNumberFormat="1" applyFont="1" applyAlignment="1">
      <alignment horizontal="center"/>
    </xf>
    <xf numFmtId="173" fontId="134" fillId="0" borderId="0" xfId="0" applyFont="1" applyAlignment="1">
      <alignment horizontal="center"/>
    </xf>
    <xf numFmtId="173" fontId="9" fillId="0" borderId="0" xfId="0" quotePrefix="1" applyFont="1" applyAlignment="1">
      <alignment horizontal="center"/>
    </xf>
    <xf numFmtId="0" fontId="9" fillId="0" borderId="0" xfId="1" quotePrefix="1" applyNumberFormat="1" applyFont="1" applyFill="1" applyAlignment="1">
      <alignment horizontal="center"/>
    </xf>
    <xf numFmtId="0" fontId="9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left"/>
    </xf>
    <xf numFmtId="42" fontId="69" fillId="0" borderId="0" xfId="1" applyNumberFormat="1" applyFont="1" applyFill="1"/>
    <xf numFmtId="42" fontId="9" fillId="0" borderId="0" xfId="1" applyNumberFormat="1" applyFont="1" applyFill="1"/>
    <xf numFmtId="41" fontId="245" fillId="0" borderId="0" xfId="1" applyNumberFormat="1" applyFont="1" applyFill="1"/>
    <xf numFmtId="41" fontId="247" fillId="0" borderId="0" xfId="1" applyNumberFormat="1" applyFont="1" applyFill="1"/>
    <xf numFmtId="173" fontId="9" fillId="0" borderId="0" xfId="0" applyFont="1"/>
    <xf numFmtId="174" fontId="9" fillId="0" borderId="0" xfId="1" applyNumberFormat="1" applyFont="1" applyFill="1"/>
    <xf numFmtId="42" fontId="245" fillId="0" borderId="0" xfId="1" applyNumberFormat="1" applyFont="1" applyFill="1"/>
    <xf numFmtId="42" fontId="247" fillId="0" borderId="0" xfId="1" applyNumberFormat="1" applyFont="1" applyFill="1"/>
    <xf numFmtId="0" fontId="5" fillId="0" borderId="0" xfId="0" applyNumberFormat="1" applyFont="1" applyAlignment="1">
      <alignment horizontal="left"/>
    </xf>
    <xf numFmtId="174" fontId="9" fillId="0" borderId="0" xfId="0" applyNumberFormat="1" applyFont="1"/>
    <xf numFmtId="174" fontId="10" fillId="0" borderId="0" xfId="1" applyNumberFormat="1" applyFont="1" applyFill="1"/>
    <xf numFmtId="173" fontId="10" fillId="0" borderId="0" xfId="0" applyFont="1" applyAlignment="1">
      <alignment horizontal="center"/>
    </xf>
    <xf numFmtId="173" fontId="5" fillId="0" borderId="0" xfId="0" applyFont="1" applyAlignment="1">
      <alignment horizontal="center"/>
    </xf>
    <xf numFmtId="173" fontId="10" fillId="0" borderId="6" xfId="0" applyFont="1" applyBorder="1" applyAlignment="1">
      <alignment horizontal="center"/>
    </xf>
    <xf numFmtId="173" fontId="5" fillId="0" borderId="6" xfId="0" applyFont="1" applyBorder="1" applyAlignment="1">
      <alignment horizontal="center"/>
    </xf>
    <xf numFmtId="10" fontId="42" fillId="0" borderId="0" xfId="2463" applyNumberFormat="1" applyFont="1" applyFill="1" applyAlignment="1">
      <alignment horizontal="center" vertical="center"/>
    </xf>
    <xf numFmtId="42" fontId="10" fillId="0" borderId="0" xfId="0" applyNumberFormat="1" applyFont="1"/>
    <xf numFmtId="42" fontId="10" fillId="0" borderId="0" xfId="1" applyNumberFormat="1" applyFont="1" applyFill="1"/>
    <xf numFmtId="173" fontId="5" fillId="0" borderId="0" xfId="0" applyFont="1"/>
    <xf numFmtId="173" fontId="5" fillId="0" borderId="0" xfId="0" applyFont="1" applyAlignment="1">
      <alignment vertical="top" wrapText="1"/>
    </xf>
    <xf numFmtId="0" fontId="10" fillId="0" borderId="0" xfId="0" applyNumberFormat="1" applyFont="1" applyAlignment="1">
      <alignment horizontal="center" vertical="center"/>
    </xf>
    <xf numFmtId="173" fontId="120" fillId="0" borderId="0" xfId="0" quotePrefix="1" applyFont="1" applyAlignment="1">
      <alignment horizontal="center"/>
    </xf>
    <xf numFmtId="0" fontId="120" fillId="0" borderId="0" xfId="1" quotePrefix="1" applyNumberFormat="1" applyFont="1" applyFill="1" applyAlignment="1">
      <alignment horizontal="center"/>
    </xf>
    <xf numFmtId="0" fontId="120" fillId="0" borderId="0" xfId="0" applyNumberFormat="1" applyFont="1" applyAlignment="1">
      <alignment horizontal="center"/>
    </xf>
    <xf numFmtId="42" fontId="120" fillId="0" borderId="0" xfId="0" applyNumberFormat="1" applyFont="1"/>
    <xf numFmtId="42" fontId="48" fillId="0" borderId="0" xfId="1" applyNumberFormat="1" applyFont="1" applyFill="1"/>
    <xf numFmtId="42" fontId="34" fillId="0" borderId="0" xfId="7" applyNumberFormat="1" applyFont="1" applyProtection="1">
      <protection locked="0"/>
    </xf>
    <xf numFmtId="42" fontId="64" fillId="0" borderId="0" xfId="7" applyNumberFormat="1" applyFont="1" applyAlignment="1">
      <alignment horizontal="left" vertical="center"/>
    </xf>
    <xf numFmtId="221" fontId="34" fillId="0" borderId="0" xfId="7" applyFont="1" applyAlignment="1">
      <alignment horizontal="left" wrapText="1"/>
    </xf>
    <xf numFmtId="221" fontId="53" fillId="0" borderId="0" xfId="6" applyFont="1" applyAlignment="1">
      <alignment horizontal="center"/>
    </xf>
    <xf numFmtId="221" fontId="34" fillId="0" borderId="0" xfId="8" applyFont="1" applyAlignment="1">
      <alignment horizontal="right" vertical="center"/>
    </xf>
    <xf numFmtId="221" fontId="34" fillId="0" borderId="0" xfId="0" applyNumberFormat="1" applyFont="1" applyAlignment="1" applyProtection="1">
      <alignment horizontal="right" vertical="center"/>
    </xf>
    <xf numFmtId="221" fontId="50" fillId="0" borderId="0" xfId="8" applyFont="1" applyAlignment="1">
      <alignment horizontal="left"/>
    </xf>
    <xf numFmtId="221" fontId="49" fillId="0" borderId="0" xfId="8" applyFont="1" applyAlignment="1">
      <alignment horizontal="left"/>
    </xf>
    <xf numFmtId="221" fontId="34" fillId="0" borderId="0" xfId="8" applyFont="1" applyAlignment="1">
      <alignment horizontal="left"/>
    </xf>
    <xf numFmtId="43" fontId="56" fillId="0" borderId="0" xfId="355" applyNumberFormat="1" applyFont="1" applyAlignment="1">
      <alignment horizontal="center"/>
    </xf>
    <xf numFmtId="221" fontId="36" fillId="0" borderId="0" xfId="8" applyFont="1"/>
    <xf numFmtId="221" fontId="36" fillId="0" borderId="0" xfId="8" applyFont="1" applyAlignment="1">
      <alignment vertical="center"/>
    </xf>
    <xf numFmtId="41" fontId="34" fillId="0" borderId="0" xfId="423" applyNumberFormat="1" applyFont="1" applyAlignment="1">
      <alignment vertical="center"/>
    </xf>
    <xf numFmtId="41" fontId="34" fillId="0" borderId="0" xfId="13" applyNumberFormat="1" applyFont="1" applyFill="1" applyBorder="1" applyAlignment="1">
      <alignment vertical="center"/>
    </xf>
    <xf numFmtId="41" fontId="34" fillId="0" borderId="0" xfId="13" applyNumberFormat="1" applyFont="1" applyFill="1" applyBorder="1"/>
    <xf numFmtId="41" fontId="34" fillId="0" borderId="0" xfId="423" applyNumberFormat="1" applyFont="1"/>
    <xf numFmtId="41" fontId="34" fillId="0" borderId="0" xfId="8" applyNumberFormat="1" applyFont="1" applyAlignment="1">
      <alignment vertical="center"/>
    </xf>
    <xf numFmtId="173" fontId="36" fillId="0" borderId="0" xfId="0" applyFont="1" applyAlignment="1">
      <alignment horizontal="left"/>
    </xf>
    <xf numFmtId="221" fontId="34" fillId="0" borderId="0" xfId="355" applyFont="1"/>
    <xf numFmtId="37" fontId="66" fillId="0" borderId="0" xfId="7" applyNumberFormat="1" applyFont="1" applyAlignment="1" applyProtection="1">
      <alignment vertical="center"/>
      <protection locked="0"/>
    </xf>
    <xf numFmtId="221" fontId="42" fillId="0" borderId="0" xfId="6" quotePrefix="1" applyFont="1" applyAlignment="1">
      <alignment horizontal="center"/>
    </xf>
    <xf numFmtId="0" fontId="11" fillId="0" borderId="0" xfId="1622" applyFont="1"/>
    <xf numFmtId="0" fontId="34" fillId="0" borderId="0" xfId="6" applyNumberFormat="1" applyFont="1" applyAlignment="1">
      <alignment horizontal="center" vertical="center"/>
    </xf>
    <xf numFmtId="221" fontId="34" fillId="0" borderId="0" xfId="7" applyFont="1" applyAlignment="1">
      <alignment wrapText="1"/>
    </xf>
    <xf numFmtId="173" fontId="35" fillId="0" borderId="0" xfId="0" applyFont="1" applyAlignment="1">
      <alignment horizontal="center" vertical="center"/>
    </xf>
    <xf numFmtId="221" fontId="56" fillId="0" borderId="0" xfId="15" applyFont="1" applyAlignment="1">
      <alignment horizontal="center" vertical="center"/>
    </xf>
    <xf numFmtId="221" fontId="56" fillId="0" borderId="0" xfId="7" applyFont="1" applyAlignment="1">
      <alignment horizontal="center" vertical="center"/>
    </xf>
    <xf numFmtId="0" fontId="38" fillId="0" borderId="0" xfId="15" applyNumberFormat="1" applyFont="1" applyAlignment="1">
      <alignment horizontal="center"/>
    </xf>
    <xf numFmtId="221" fontId="173" fillId="0" borderId="0" xfId="555" applyFont="1"/>
    <xf numFmtId="221" fontId="36" fillId="0" borderId="0" xfId="428" applyFont="1"/>
    <xf numFmtId="221" fontId="38" fillId="0" borderId="0" xfId="15" applyFont="1" applyAlignment="1">
      <alignment vertical="center"/>
    </xf>
    <xf numFmtId="0" fontId="34" fillId="0" borderId="14" xfId="577" applyFont="1" applyBorder="1"/>
    <xf numFmtId="0" fontId="36" fillId="0" borderId="15" xfId="577" applyFont="1" applyBorder="1" applyAlignment="1">
      <alignment horizontal="centerContinuous"/>
    </xf>
    <xf numFmtId="0" fontId="36" fillId="0" borderId="16" xfId="577" applyFont="1" applyBorder="1" applyAlignment="1">
      <alignment horizontal="centerContinuous"/>
    </xf>
    <xf numFmtId="0" fontId="36" fillId="0" borderId="25" xfId="577" applyFont="1" applyBorder="1" applyAlignment="1">
      <alignment horizontal="centerContinuous"/>
    </xf>
    <xf numFmtId="0" fontId="36" fillId="0" borderId="14" xfId="577" applyFont="1" applyBorder="1" applyAlignment="1">
      <alignment horizontal="center"/>
    </xf>
    <xf numFmtId="0" fontId="36" fillId="0" borderId="14" xfId="577" applyFont="1" applyBorder="1" applyAlignment="1">
      <alignment horizontal="center" wrapText="1"/>
    </xf>
    <xf numFmtId="0" fontId="34" fillId="0" borderId="16" xfId="577" applyFont="1" applyBorder="1"/>
    <xf numFmtId="0" fontId="34" fillId="0" borderId="25" xfId="577" applyFont="1" applyBorder="1" applyAlignment="1">
      <alignment horizontal="centerContinuous"/>
    </xf>
    <xf numFmtId="0" fontId="34" fillId="0" borderId="17" xfId="577" applyFont="1" applyBorder="1"/>
    <xf numFmtId="0" fontId="36" fillId="0" borderId="17" xfId="577" applyFont="1" applyBorder="1"/>
    <xf numFmtId="0" fontId="36" fillId="0" borderId="0" xfId="577" applyFont="1"/>
    <xf numFmtId="0" fontId="36" fillId="0" borderId="10" xfId="577" applyFont="1" applyBorder="1"/>
    <xf numFmtId="0" fontId="36" fillId="0" borderId="3" xfId="577" applyFont="1" applyBorder="1"/>
    <xf numFmtId="0" fontId="34" fillId="0" borderId="4" xfId="577" applyFont="1" applyBorder="1"/>
    <xf numFmtId="0" fontId="34" fillId="0" borderId="17" xfId="577" applyFont="1" applyBorder="1" applyAlignment="1">
      <alignment horizontal="center"/>
    </xf>
    <xf numFmtId="0" fontId="36" fillId="0" borderId="17" xfId="577" applyFont="1" applyBorder="1" applyAlignment="1">
      <alignment horizontal="center"/>
    </xf>
    <xf numFmtId="0" fontId="34" fillId="0" borderId="3" xfId="577" applyFont="1" applyBorder="1"/>
    <xf numFmtId="0" fontId="34" fillId="0" borderId="0" xfId="577" applyFont="1" applyAlignment="1">
      <alignment horizontal="left" vertical="center" indent="1"/>
    </xf>
    <xf numFmtId="0" fontId="34" fillId="0" borderId="17" xfId="577" applyFont="1" applyBorder="1" applyAlignment="1">
      <alignment horizontal="center" vertical="center"/>
    </xf>
    <xf numFmtId="0" fontId="34" fillId="0" borderId="17" xfId="577" applyFont="1" applyBorder="1" applyAlignment="1">
      <alignment vertical="center"/>
    </xf>
    <xf numFmtId="0" fontId="34" fillId="0" borderId="0" xfId="577" applyFont="1" applyAlignment="1">
      <alignment horizontal="left" vertical="center"/>
    </xf>
    <xf numFmtId="0" fontId="34" fillId="0" borderId="0" xfId="577" applyFont="1" applyAlignment="1">
      <alignment vertical="center"/>
    </xf>
    <xf numFmtId="0" fontId="34" fillId="0" borderId="0" xfId="577" applyFont="1" applyAlignment="1">
      <alignment horizontal="left" indent="1"/>
    </xf>
    <xf numFmtId="174" fontId="34" fillId="0" borderId="0" xfId="564" applyNumberFormat="1" applyFont="1" applyFill="1" applyBorder="1"/>
    <xf numFmtId="0" fontId="34" fillId="0" borderId="3" xfId="577" applyFont="1" applyBorder="1" applyAlignment="1">
      <alignment horizontal="left" indent="1"/>
    </xf>
    <xf numFmtId="0" fontId="34" fillId="0" borderId="4" xfId="577" applyFont="1" applyBorder="1" applyAlignment="1">
      <alignment horizontal="center"/>
    </xf>
    <xf numFmtId="43" fontId="34" fillId="0" borderId="4" xfId="577" applyNumberFormat="1" applyFont="1" applyBorder="1" applyAlignment="1">
      <alignment horizontal="center"/>
    </xf>
    <xf numFmtId="0" fontId="36" fillId="0" borderId="0" xfId="577" applyFont="1" applyAlignment="1">
      <alignment horizontal="left" indent="1"/>
    </xf>
    <xf numFmtId="0" fontId="34" fillId="0" borderId="12" xfId="577" applyFont="1" applyBorder="1"/>
    <xf numFmtId="0" fontId="34" fillId="0" borderId="6" xfId="577" applyFont="1" applyBorder="1"/>
    <xf numFmtId="0" fontId="34" fillId="0" borderId="7" xfId="577" applyFont="1" applyBorder="1" applyAlignment="1">
      <alignment horizontal="center"/>
    </xf>
    <xf numFmtId="173" fontId="230" fillId="0" borderId="0" xfId="0" applyFont="1" applyAlignment="1">
      <alignment vertical="center"/>
    </xf>
    <xf numFmtId="39" fontId="230" fillId="0" borderId="0" xfId="0" applyNumberFormat="1" applyFont="1"/>
    <xf numFmtId="39" fontId="238" fillId="0" borderId="0" xfId="0" applyNumberFormat="1" applyFont="1"/>
    <xf numFmtId="173" fontId="235" fillId="0" borderId="0" xfId="0" applyFont="1" applyAlignment="1">
      <alignment horizontal="left" indent="1"/>
    </xf>
    <xf numFmtId="44" fontId="36" fillId="0" borderId="0" xfId="0" applyNumberFormat="1" applyFont="1"/>
    <xf numFmtId="173" fontId="34" fillId="0" borderId="0" xfId="0" quotePrefix="1" applyFont="1" applyAlignment="1">
      <alignment vertical="center"/>
    </xf>
    <xf numFmtId="42" fontId="65" fillId="0" borderId="0" xfId="0" applyNumberFormat="1" applyFont="1"/>
    <xf numFmtId="41" fontId="239" fillId="0" borderId="0" xfId="0" applyNumberFormat="1" applyFont="1"/>
    <xf numFmtId="190" fontId="34" fillId="0" borderId="0" xfId="0" applyNumberFormat="1" applyFont="1" applyAlignment="1">
      <alignment horizontal="center" vertical="center"/>
    </xf>
    <xf numFmtId="190" fontId="34" fillId="0" borderId="0" xfId="0" applyNumberFormat="1" applyFont="1" applyAlignment="1">
      <alignment vertical="center"/>
    </xf>
    <xf numFmtId="221" fontId="42" fillId="0" borderId="0" xfId="0" quotePrefix="1" applyNumberFormat="1" applyFont="1" applyAlignment="1" applyProtection="1">
      <alignment vertical="top" wrapText="1"/>
      <protection locked="0"/>
    </xf>
    <xf numFmtId="221" fontId="42" fillId="0" borderId="24" xfId="0" quotePrefix="1" applyNumberFormat="1" applyFont="1" applyBorder="1" applyAlignment="1" applyProtection="1">
      <alignment vertical="top" wrapText="1"/>
      <protection locked="0"/>
    </xf>
    <xf numFmtId="41" fontId="45" fillId="0" borderId="0" xfId="1" applyNumberFormat="1" applyFont="1" applyFill="1" applyAlignment="1">
      <alignment vertical="center"/>
    </xf>
    <xf numFmtId="49" fontId="5" fillId="0" borderId="0" xfId="0" quotePrefix="1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42" fontId="255" fillId="0" borderId="0" xfId="1" applyNumberFormat="1" applyFont="1" applyFill="1" applyBorder="1"/>
    <xf numFmtId="42" fontId="255" fillId="0" borderId="0" xfId="0" applyNumberFormat="1" applyFont="1"/>
    <xf numFmtId="173" fontId="5" fillId="0" borderId="0" xfId="0" quotePrefix="1" applyFont="1" applyAlignment="1">
      <alignment horizontal="center" wrapText="1"/>
    </xf>
    <xf numFmtId="173" fontId="5" fillId="0" borderId="0" xfId="0" quotePrefix="1" applyFont="1" applyAlignment="1">
      <alignment horizontal="center"/>
    </xf>
    <xf numFmtId="0" fontId="5" fillId="0" borderId="0" xfId="1" quotePrefix="1" applyNumberFormat="1" applyFont="1" applyFill="1" applyAlignment="1">
      <alignment horizontal="center"/>
    </xf>
    <xf numFmtId="173" fontId="42" fillId="0" borderId="0" xfId="0" applyFont="1" applyAlignment="1">
      <alignment vertical="center"/>
    </xf>
    <xf numFmtId="218" fontId="34" fillId="0" borderId="0" xfId="0" applyNumberFormat="1" applyFont="1" applyAlignment="1">
      <alignment horizontal="center"/>
    </xf>
    <xf numFmtId="42" fontId="66" fillId="0" borderId="0" xfId="0" applyNumberFormat="1" applyFont="1"/>
    <xf numFmtId="42" fontId="66" fillId="0" borderId="0" xfId="0" applyNumberFormat="1" applyFont="1" applyAlignment="1" applyProtection="1">
      <alignment horizontal="right"/>
      <protection locked="0"/>
    </xf>
    <xf numFmtId="41" fontId="66" fillId="0" borderId="0" xfId="0" applyNumberFormat="1" applyFont="1"/>
    <xf numFmtId="172" fontId="66" fillId="0" borderId="0" xfId="0" applyNumberFormat="1" applyFont="1"/>
    <xf numFmtId="44" fontId="34" fillId="0" borderId="0" xfId="6" applyNumberFormat="1" applyFont="1"/>
    <xf numFmtId="0" fontId="3" fillId="0" borderId="0" xfId="1622" applyFont="1"/>
    <xf numFmtId="173" fontId="147" fillId="0" borderId="0" xfId="0" quotePrefix="1" applyFont="1"/>
    <xf numFmtId="0" fontId="2" fillId="0" borderId="0" xfId="1622" applyFont="1"/>
    <xf numFmtId="39" fontId="34" fillId="0" borderId="0" xfId="8" applyNumberFormat="1" applyFont="1"/>
    <xf numFmtId="1" fontId="34" fillId="0" borderId="0" xfId="8" applyNumberFormat="1" applyFont="1"/>
    <xf numFmtId="1" fontId="34" fillId="0" borderId="0" xfId="13" applyNumberFormat="1" applyFont="1" applyFill="1" applyBorder="1" applyAlignment="1">
      <alignment vertical="center"/>
    </xf>
    <xf numFmtId="273" fontId="34" fillId="0" borderId="0" xfId="8" applyNumberFormat="1" applyFont="1"/>
    <xf numFmtId="273" fontId="34" fillId="0" borderId="0" xfId="11" applyNumberFormat="1" applyFont="1" applyFill="1" applyAlignment="1">
      <alignment horizontal="center" vertical="center"/>
    </xf>
    <xf numFmtId="273" fontId="34" fillId="0" borderId="0" xfId="13" applyNumberFormat="1" applyFont="1" applyFill="1" applyBorder="1"/>
    <xf numFmtId="41" fontId="42" fillId="0" borderId="0" xfId="1" applyNumberFormat="1" applyFont="1" applyFill="1"/>
    <xf numFmtId="284" fontId="66" fillId="0" borderId="0" xfId="7" applyNumberFormat="1" applyFont="1"/>
    <xf numFmtId="221" fontId="42" fillId="0" borderId="0" xfId="6" quotePrefix="1" applyFont="1"/>
    <xf numFmtId="173" fontId="5" fillId="0" borderId="0" xfId="0" quotePrefix="1" applyFont="1"/>
    <xf numFmtId="42" fontId="5" fillId="0" borderId="0" xfId="0" applyNumberFormat="1" applyFont="1"/>
    <xf numFmtId="42" fontId="69" fillId="0" borderId="0" xfId="354" applyNumberFormat="1" applyFont="1"/>
    <xf numFmtId="42" fontId="5" fillId="0" borderId="0" xfId="354" applyNumberFormat="1" applyFont="1"/>
    <xf numFmtId="42" fontId="48" fillId="0" borderId="0" xfId="354" applyNumberFormat="1" applyFont="1"/>
    <xf numFmtId="42" fontId="120" fillId="0" borderId="0" xfId="354" applyNumberFormat="1" applyFont="1"/>
    <xf numFmtId="37" fontId="42" fillId="0" borderId="0" xfId="0" applyNumberFormat="1" applyFont="1" applyAlignment="1" applyProtection="1">
      <alignment vertical="top"/>
      <protection locked="0"/>
    </xf>
    <xf numFmtId="4" fontId="34" fillId="0" borderId="0" xfId="7" applyNumberFormat="1" applyFont="1"/>
    <xf numFmtId="7" fontId="34" fillId="0" borderId="0" xfId="7" applyNumberFormat="1" applyFont="1"/>
    <xf numFmtId="7" fontId="66" fillId="0" borderId="0" xfId="7" applyNumberFormat="1" applyFont="1"/>
    <xf numFmtId="174" fontId="66" fillId="0" borderId="0" xfId="13" applyNumberFormat="1" applyFont="1" applyFill="1" applyBorder="1" applyProtection="1">
      <protection locked="0"/>
    </xf>
    <xf numFmtId="10" fontId="57" fillId="0" borderId="0" xfId="7" applyNumberFormat="1" applyFont="1" applyProtection="1">
      <protection locked="0"/>
    </xf>
    <xf numFmtId="42" fontId="57" fillId="0" borderId="0" xfId="7" applyNumberFormat="1" applyFont="1"/>
    <xf numFmtId="175" fontId="57" fillId="0" borderId="0" xfId="7" applyNumberFormat="1" applyFont="1"/>
    <xf numFmtId="221" fontId="42" fillId="0" borderId="0" xfId="370"/>
    <xf numFmtId="8" fontId="0" fillId="0" borderId="0" xfId="0" applyNumberFormat="1"/>
    <xf numFmtId="9" fontId="0" fillId="0" borderId="0" xfId="0" applyNumberFormat="1"/>
    <xf numFmtId="8" fontId="208" fillId="0" borderId="0" xfId="0" quotePrefix="1" applyNumberFormat="1" applyFont="1" applyAlignment="1">
      <alignment horizontal="center"/>
    </xf>
    <xf numFmtId="221" fontId="42" fillId="0" borderId="24" xfId="0" applyNumberFormat="1" applyFont="1" applyBorder="1" applyProtection="1">
      <protection locked="0"/>
    </xf>
    <xf numFmtId="221" fontId="42" fillId="0" borderId="24" xfId="0" applyNumberFormat="1" applyFont="1" applyBorder="1" applyAlignment="1" applyProtection="1">
      <alignment horizontal="left"/>
      <protection locked="0"/>
    </xf>
    <xf numFmtId="42" fontId="66" fillId="0" borderId="0" xfId="7" applyNumberFormat="1" applyFont="1"/>
    <xf numFmtId="164" fontId="130" fillId="0" borderId="0" xfId="0" applyNumberFormat="1" applyFont="1"/>
    <xf numFmtId="37" fontId="34" fillId="0" borderId="0" xfId="0" applyNumberFormat="1" applyFont="1" applyAlignment="1">
      <alignment horizontal="center" vertical="top" wrapText="1"/>
    </xf>
    <xf numFmtId="41" fontId="240" fillId="0" borderId="0" xfId="0" applyNumberFormat="1" applyFont="1"/>
    <xf numFmtId="42" fontId="67" fillId="0" borderId="0" xfId="0" applyNumberFormat="1" applyFont="1"/>
    <xf numFmtId="190" fontId="66" fillId="0" borderId="0" xfId="0" applyNumberFormat="1" applyFont="1"/>
    <xf numFmtId="190" fontId="34" fillId="0" borderId="0" xfId="0" applyNumberFormat="1" applyFont="1"/>
    <xf numFmtId="173" fontId="34" fillId="0" borderId="0" xfId="0" applyFont="1" applyAlignment="1">
      <alignment vertical="center" wrapText="1"/>
    </xf>
    <xf numFmtId="42" fontId="57" fillId="0" borderId="0" xfId="0" applyNumberFormat="1" applyFont="1"/>
    <xf numFmtId="174" fontId="67" fillId="0" borderId="0" xfId="13" applyNumberFormat="1" applyFont="1" applyFill="1" applyBorder="1" applyProtection="1">
      <protection locked="0"/>
    </xf>
    <xf numFmtId="37" fontId="34" fillId="0" borderId="0" xfId="7" applyNumberFormat="1" applyFont="1" applyProtection="1">
      <protection locked="0"/>
    </xf>
    <xf numFmtId="174" fontId="34" fillId="0" borderId="0" xfId="13" applyNumberFormat="1" applyFont="1" applyFill="1"/>
    <xf numFmtId="10" fontId="34" fillId="0" borderId="2" xfId="7" applyNumberFormat="1" applyFont="1" applyBorder="1" applyProtection="1">
      <protection locked="0"/>
    </xf>
    <xf numFmtId="173" fontId="230" fillId="0" borderId="0" xfId="0" quotePrefix="1" applyFont="1"/>
    <xf numFmtId="44" fontId="238" fillId="0" borderId="0" xfId="0" applyNumberFormat="1" applyFont="1"/>
    <xf numFmtId="39" fontId="34" fillId="0" borderId="0" xfId="0" applyNumberFormat="1" applyFont="1"/>
    <xf numFmtId="44" fontId="36" fillId="0" borderId="14" xfId="0" applyNumberFormat="1" applyFont="1" applyBorder="1"/>
    <xf numFmtId="37" fontId="230" fillId="0" borderId="45" xfId="0" applyNumberFormat="1" applyFont="1" applyBorder="1"/>
    <xf numFmtId="37" fontId="230" fillId="0" borderId="0" xfId="0" applyNumberFormat="1" applyFont="1"/>
    <xf numFmtId="37" fontId="66" fillId="0" borderId="16" xfId="0" applyNumberFormat="1" applyFont="1" applyBorder="1"/>
    <xf numFmtId="37" fontId="34" fillId="0" borderId="13" xfId="0" applyNumberFormat="1" applyFont="1" applyBorder="1"/>
    <xf numFmtId="0" fontId="36" fillId="0" borderId="6" xfId="577" applyFont="1" applyBorder="1" applyAlignment="1">
      <alignment horizontal="center" wrapText="1"/>
    </xf>
    <xf numFmtId="42" fontId="49" fillId="0" borderId="0" xfId="7" applyNumberFormat="1" applyFont="1" applyAlignment="1" applyProtection="1">
      <alignment vertical="center"/>
      <protection locked="0"/>
    </xf>
    <xf numFmtId="175" fontId="34" fillId="0" borderId="0" xfId="577" applyNumberFormat="1" applyFont="1"/>
    <xf numFmtId="0" fontId="34" fillId="0" borderId="3" xfId="577" applyFont="1" applyBorder="1" applyAlignment="1">
      <alignment horizontal="left" wrapText="1" indent="1"/>
    </xf>
    <xf numFmtId="0" fontId="34" fillId="0" borderId="4" xfId="577" applyFont="1" applyBorder="1" applyAlignment="1">
      <alignment horizontal="center" vertical="center"/>
    </xf>
    <xf numFmtId="174" fontId="66" fillId="0" borderId="0" xfId="564" applyNumberFormat="1" applyFont="1" applyFill="1" applyBorder="1" applyAlignment="1">
      <alignment vertical="center"/>
    </xf>
    <xf numFmtId="174" fontId="34" fillId="0" borderId="0" xfId="564" applyNumberFormat="1" applyFont="1" applyFill="1" applyBorder="1" applyAlignment="1">
      <alignment vertical="center"/>
    </xf>
    <xf numFmtId="174" fontId="66" fillId="0" borderId="6" xfId="564" applyNumberFormat="1" applyFont="1" applyFill="1" applyBorder="1"/>
    <xf numFmtId="42" fontId="34" fillId="0" borderId="2" xfId="7" applyNumberFormat="1" applyFont="1" applyBorder="1"/>
    <xf numFmtId="10" fontId="66" fillId="0" borderId="0" xfId="579" applyNumberFormat="1" applyFont="1" applyFill="1" applyBorder="1" applyAlignment="1">
      <alignment vertical="center"/>
    </xf>
    <xf numFmtId="0" fontId="34" fillId="0" borderId="0" xfId="576" applyFont="1" applyAlignment="1">
      <alignment vertical="center"/>
    </xf>
    <xf numFmtId="10" fontId="66" fillId="0" borderId="0" xfId="579" applyNumberFormat="1" applyFont="1" applyFill="1" applyAlignment="1">
      <alignment vertical="center"/>
    </xf>
    <xf numFmtId="42" fontId="34" fillId="0" borderId="45" xfId="7" applyNumberFormat="1" applyFont="1" applyBorder="1"/>
    <xf numFmtId="42" fontId="34" fillId="0" borderId="16" xfId="7" applyNumberFormat="1" applyFont="1" applyBorder="1"/>
    <xf numFmtId="0" fontId="34" fillId="0" borderId="3" xfId="577" applyFont="1" applyBorder="1" applyAlignment="1">
      <alignment horizontal="left" vertical="center" indent="1"/>
    </xf>
    <xf numFmtId="174" fontId="34" fillId="0" borderId="6" xfId="564" applyNumberFormat="1" applyFont="1" applyFill="1" applyBorder="1"/>
    <xf numFmtId="42" fontId="34" fillId="0" borderId="6" xfId="7" applyNumberFormat="1" applyFont="1" applyBorder="1"/>
    <xf numFmtId="175" fontId="36" fillId="0" borderId="13" xfId="578" applyNumberFormat="1" applyFont="1" applyFill="1" applyBorder="1"/>
    <xf numFmtId="175" fontId="34" fillId="0" borderId="13" xfId="12" applyNumberFormat="1" applyFont="1" applyFill="1" applyBorder="1"/>
    <xf numFmtId="174" fontId="66" fillId="0" borderId="6" xfId="13" applyNumberFormat="1" applyFont="1" applyFill="1" applyBorder="1" applyProtection="1">
      <protection locked="0"/>
    </xf>
    <xf numFmtId="174" fontId="68" fillId="0" borderId="0" xfId="13" applyNumberFormat="1" applyFont="1" applyFill="1"/>
    <xf numFmtId="42" fontId="64" fillId="0" borderId="0" xfId="7" applyNumberFormat="1" applyFont="1" applyAlignment="1">
      <alignment horizontal="left"/>
    </xf>
    <xf numFmtId="10" fontId="66" fillId="0" borderId="0" xfId="0" applyNumberFormat="1" applyFont="1" applyProtection="1">
      <protection locked="0"/>
    </xf>
    <xf numFmtId="41" fontId="66" fillId="0" borderId="0" xfId="6" applyNumberFormat="1" applyFont="1"/>
    <xf numFmtId="42" fontId="66" fillId="0" borderId="0" xfId="7" applyNumberFormat="1" applyFont="1" applyAlignment="1" applyProtection="1">
      <alignment vertical="center"/>
      <protection locked="0"/>
    </xf>
    <xf numFmtId="42" fontId="68" fillId="0" borderId="0" xfId="0" applyNumberFormat="1" applyFont="1" applyProtection="1">
      <protection locked="0"/>
    </xf>
    <xf numFmtId="42" fontId="64" fillId="0" borderId="0" xfId="0" applyNumberFormat="1" applyFont="1"/>
    <xf numFmtId="42" fontId="66" fillId="0" borderId="0" xfId="423" applyNumberFormat="1" applyFont="1" applyAlignment="1" applyProtection="1">
      <alignment vertical="center"/>
      <protection locked="0"/>
    </xf>
    <xf numFmtId="42" fontId="34" fillId="0" borderId="0" xfId="423" applyNumberFormat="1" applyFont="1" applyAlignment="1" applyProtection="1">
      <alignment vertical="center"/>
      <protection locked="0"/>
    </xf>
    <xf numFmtId="41" fontId="66" fillId="0" borderId="0" xfId="423" applyNumberFormat="1" applyFont="1" applyAlignment="1">
      <alignment vertical="center"/>
    </xf>
    <xf numFmtId="10" fontId="34" fillId="0" borderId="0" xfId="11" applyNumberFormat="1" applyFont="1" applyFill="1" applyAlignment="1">
      <alignment horizontal="center" vertical="center"/>
    </xf>
    <xf numFmtId="10" fontId="34" fillId="0" borderId="0" xfId="11" applyNumberFormat="1" applyFont="1" applyFill="1" applyAlignment="1">
      <alignment vertical="center"/>
    </xf>
    <xf numFmtId="42" fontId="34" fillId="0" borderId="0" xfId="423" applyNumberFormat="1" applyFont="1" applyAlignment="1">
      <alignment vertical="center"/>
    </xf>
    <xf numFmtId="221" fontId="34" fillId="0" borderId="0" xfId="423" quotePrefix="1" applyFont="1" applyAlignment="1">
      <alignment vertical="center"/>
    </xf>
    <xf numFmtId="221" fontId="42" fillId="0" borderId="0" xfId="8" applyFont="1" applyAlignment="1">
      <alignment vertical="center"/>
    </xf>
    <xf numFmtId="41" fontId="66" fillId="0" borderId="0" xfId="423" applyNumberFormat="1" applyFont="1" applyAlignment="1" applyProtection="1">
      <alignment vertical="center"/>
      <protection locked="0"/>
    </xf>
    <xf numFmtId="41" fontId="34" fillId="0" borderId="0" xfId="423" applyNumberFormat="1" applyFont="1" applyAlignment="1" applyProtection="1">
      <alignment vertical="center"/>
      <protection locked="0"/>
    </xf>
    <xf numFmtId="10" fontId="57" fillId="0" borderId="0" xfId="11" applyNumberFormat="1" applyFont="1" applyFill="1" applyBorder="1" applyAlignment="1">
      <alignment vertical="center"/>
    </xf>
    <xf numFmtId="42" fontId="34" fillId="0" borderId="0" xfId="423" quotePrefix="1" applyNumberFormat="1" applyFont="1" applyAlignment="1">
      <alignment vertical="center"/>
    </xf>
    <xf numFmtId="10" fontId="49" fillId="0" borderId="0" xfId="8" applyNumberFormat="1" applyFont="1" applyAlignment="1">
      <alignment vertical="center"/>
    </xf>
    <xf numFmtId="41" fontId="67" fillId="0" borderId="0" xfId="423" applyNumberFormat="1" applyFont="1" applyAlignment="1" applyProtection="1">
      <alignment vertical="center"/>
      <protection locked="0"/>
    </xf>
    <xf numFmtId="41" fontId="57" fillId="0" borderId="0" xfId="423" applyNumberFormat="1" applyFont="1" applyAlignment="1" applyProtection="1">
      <alignment vertical="center"/>
      <protection locked="0"/>
    </xf>
    <xf numFmtId="10" fontId="127" fillId="0" borderId="0" xfId="11" applyNumberFormat="1" applyFont="1" applyFill="1" applyBorder="1" applyAlignment="1">
      <alignment horizontal="center" vertical="center"/>
    </xf>
    <xf numFmtId="10" fontId="242" fillId="0" borderId="0" xfId="8" applyNumberFormat="1" applyFont="1" applyAlignment="1">
      <alignment vertical="center"/>
    </xf>
    <xf numFmtId="41" fontId="57" fillId="0" borderId="0" xfId="423" applyNumberFormat="1" applyFont="1" applyAlignment="1">
      <alignment vertical="center"/>
    </xf>
    <xf numFmtId="42" fontId="64" fillId="0" borderId="0" xfId="423" applyNumberFormat="1" applyFont="1" applyAlignment="1">
      <alignment vertical="center"/>
    </xf>
    <xf numFmtId="10" fontId="64" fillId="0" borderId="0" xfId="423" applyNumberFormat="1" applyFont="1" applyAlignment="1">
      <alignment horizontal="center" vertical="center"/>
    </xf>
    <xf numFmtId="221" fontId="34" fillId="0" borderId="0" xfId="8" applyFont="1" applyAlignment="1">
      <alignment horizontal="center" vertical="center"/>
    </xf>
    <xf numFmtId="42" fontId="242" fillId="0" borderId="0" xfId="423" applyNumberFormat="1" applyFont="1" applyAlignment="1" applyProtection="1">
      <alignment vertical="center"/>
      <protection locked="0"/>
    </xf>
    <xf numFmtId="221" fontId="34" fillId="0" borderId="0" xfId="423" applyFont="1" applyAlignment="1">
      <alignment horizontal="center" vertical="center"/>
    </xf>
    <xf numFmtId="37" fontId="34" fillId="0" borderId="0" xfId="8" applyNumberFormat="1" applyFont="1" applyAlignment="1">
      <alignment vertical="center"/>
    </xf>
    <xf numFmtId="37" fontId="34" fillId="0" borderId="0" xfId="423" applyNumberFormat="1" applyFont="1" applyAlignment="1">
      <alignment vertical="center"/>
    </xf>
    <xf numFmtId="37" fontId="34" fillId="0" borderId="0" xfId="423" applyNumberFormat="1" applyFont="1" applyAlignment="1">
      <alignment horizontal="center" vertical="center"/>
    </xf>
    <xf numFmtId="221" fontId="57" fillId="0" borderId="0" xfId="423" applyFont="1" applyAlignment="1">
      <alignment horizontal="center" vertical="center"/>
    </xf>
    <xf numFmtId="41" fontId="67" fillId="0" borderId="0" xfId="423" applyNumberFormat="1" applyFont="1" applyAlignment="1">
      <alignment vertical="center"/>
    </xf>
    <xf numFmtId="10" fontId="57" fillId="0" borderId="0" xfId="11" applyNumberFormat="1" applyFont="1" applyFill="1" applyBorder="1" applyAlignment="1">
      <alignment horizontal="center" vertical="center"/>
    </xf>
    <xf numFmtId="10" fontId="34" fillId="0" borderId="0" xfId="423" applyNumberFormat="1" applyFont="1" applyAlignment="1">
      <alignment vertical="center"/>
    </xf>
    <xf numFmtId="41" fontId="242" fillId="0" borderId="0" xfId="423" applyNumberFormat="1" applyFont="1" applyAlignment="1">
      <alignment vertical="center"/>
    </xf>
    <xf numFmtId="221" fontId="34" fillId="0" borderId="0" xfId="369" applyFont="1" applyAlignment="1">
      <alignment horizontal="left"/>
    </xf>
    <xf numFmtId="221" fontId="66" fillId="0" borderId="0" xfId="7" applyFont="1" applyProtection="1">
      <protection locked="0"/>
    </xf>
    <xf numFmtId="42" fontId="34" fillId="0" borderId="0" xfId="6" applyNumberFormat="1" applyFont="1" applyProtection="1">
      <protection locked="0"/>
    </xf>
    <xf numFmtId="221" fontId="36" fillId="0" borderId="0" xfId="7" applyFont="1" applyAlignment="1">
      <alignment horizontal="left"/>
    </xf>
    <xf numFmtId="221" fontId="34" fillId="0" borderId="0" xfId="7" applyFont="1" applyAlignment="1">
      <alignment horizontal="left" vertical="center" indent="1"/>
    </xf>
    <xf numFmtId="221" fontId="47" fillId="0" borderId="0" xfId="7"/>
    <xf numFmtId="173" fontId="42" fillId="0" borderId="0" xfId="0" quotePrefix="1" applyFont="1"/>
    <xf numFmtId="42" fontId="66" fillId="0" borderId="0" xfId="355" applyNumberFormat="1" applyFont="1" applyProtection="1">
      <protection locked="0"/>
    </xf>
    <xf numFmtId="42" fontId="69" fillId="0" borderId="0" xfId="0" applyNumberFormat="1" applyFont="1" applyProtection="1">
      <protection locked="0"/>
    </xf>
    <xf numFmtId="37" fontId="69" fillId="0" borderId="1" xfId="0" applyNumberFormat="1" applyFont="1" applyBorder="1" applyProtection="1">
      <protection locked="0"/>
    </xf>
    <xf numFmtId="37" fontId="69" fillId="0" borderId="0" xfId="0" applyNumberFormat="1" applyFont="1" applyProtection="1"/>
    <xf numFmtId="37" fontId="69" fillId="0" borderId="1" xfId="0" applyNumberFormat="1" applyFont="1" applyBorder="1" applyProtection="1"/>
    <xf numFmtId="37" fontId="69" fillId="0" borderId="0" xfId="0" applyNumberFormat="1" applyFont="1" applyAlignment="1" applyProtection="1">
      <alignment vertical="top"/>
      <protection locked="0"/>
    </xf>
    <xf numFmtId="273" fontId="42" fillId="0" borderId="0" xfId="0" applyNumberFormat="1" applyFont="1" applyAlignment="1" applyProtection="1">
      <alignment horizontal="right"/>
      <protection locked="0"/>
    </xf>
    <xf numFmtId="273" fontId="140" fillId="0" borderId="0" xfId="0" applyNumberFormat="1" applyFont="1" applyAlignment="1" applyProtection="1">
      <alignment horizontal="right"/>
      <protection locked="0"/>
    </xf>
    <xf numFmtId="37" fontId="42" fillId="0" borderId="24" xfId="0" applyNumberFormat="1" applyFont="1" applyBorder="1" applyProtection="1">
      <protection locked="0"/>
    </xf>
    <xf numFmtId="41" fontId="69" fillId="0" borderId="0" xfId="0" applyNumberFormat="1" applyFont="1" applyProtection="1">
      <protection locked="0"/>
    </xf>
    <xf numFmtId="221" fontId="230" fillId="0" borderId="0" xfId="328" applyFont="1"/>
    <xf numFmtId="0" fontId="1" fillId="0" borderId="0" xfId="1622" applyFont="1"/>
    <xf numFmtId="37" fontId="42" fillId="0" borderId="0" xfId="371" applyNumberFormat="1"/>
    <xf numFmtId="221" fontId="42" fillId="0" borderId="0" xfId="371"/>
    <xf numFmtId="221" fontId="5" fillId="0" borderId="0" xfId="328" applyFont="1"/>
    <xf numFmtId="173" fontId="35" fillId="0" borderId="0" xfId="325" applyFont="1" applyAlignment="1">
      <alignment horizontal="center"/>
    </xf>
    <xf numFmtId="174" fontId="34" fillId="0" borderId="0" xfId="89" applyNumberFormat="1" applyFont="1" applyFill="1" applyBorder="1" applyAlignment="1"/>
    <xf numFmtId="43" fontId="34" fillId="0" borderId="0" xfId="89" applyFont="1" applyFill="1" applyBorder="1" applyAlignment="1"/>
    <xf numFmtId="177" fontId="144" fillId="0" borderId="0" xfId="1" quotePrefix="1" applyNumberFormat="1" applyFont="1" applyFill="1" applyBorder="1" applyAlignment="1">
      <alignment horizontal="center"/>
    </xf>
    <xf numFmtId="173" fontId="36" fillId="0" borderId="0" xfId="325" applyFont="1"/>
    <xf numFmtId="42" fontId="66" fillId="0" borderId="0" xfId="325" applyNumberFormat="1" applyFont="1" applyProtection="1">
      <protection locked="0"/>
    </xf>
    <xf numFmtId="10" fontId="34" fillId="0" borderId="0" xfId="325" applyNumberFormat="1" applyFont="1"/>
    <xf numFmtId="42" fontId="34" fillId="0" borderId="0" xfId="0" applyNumberFormat="1" applyFont="1" applyAlignment="1" applyProtection="1">
      <alignment horizontal="right"/>
      <protection locked="0"/>
    </xf>
    <xf numFmtId="173" fontId="144" fillId="0" borderId="0" xfId="0" applyFont="1" applyAlignment="1">
      <alignment horizontal="centerContinuous"/>
    </xf>
    <xf numFmtId="221" fontId="229" fillId="0" borderId="0" xfId="0" applyNumberFormat="1" applyFont="1" applyAlignment="1">
      <alignment horizontal="center"/>
    </xf>
    <xf numFmtId="37" fontId="66" fillId="0" borderId="0" xfId="0" applyNumberFormat="1" applyFont="1" applyAlignment="1">
      <alignment vertical="center"/>
    </xf>
    <xf numFmtId="42" fontId="66" fillId="0" borderId="0" xfId="0" applyNumberFormat="1" applyFont="1" applyAlignment="1">
      <alignment horizontal="right"/>
    </xf>
    <xf numFmtId="42" fontId="34" fillId="0" borderId="0" xfId="0" applyNumberFormat="1" applyFont="1" applyAlignment="1">
      <alignment horizontal="right"/>
    </xf>
    <xf numFmtId="165" fontId="66" fillId="0" borderId="0" xfId="0" applyNumberFormat="1" applyFont="1" applyAlignment="1">
      <alignment horizontal="right"/>
    </xf>
    <xf numFmtId="165" fontId="66" fillId="0" borderId="0" xfId="0" applyNumberFormat="1" applyFont="1"/>
    <xf numFmtId="3" fontId="66" fillId="0" borderId="0" xfId="0" applyNumberFormat="1" applyFont="1" applyAlignment="1">
      <alignment horizontal="center"/>
    </xf>
    <xf numFmtId="221" fontId="66" fillId="0" borderId="0" xfId="0" applyNumberFormat="1" applyFont="1" applyAlignment="1" applyProtection="1">
      <alignment horizontal="center"/>
      <protection locked="0"/>
    </xf>
    <xf numFmtId="164" fontId="66" fillId="0" borderId="0" xfId="0" applyNumberFormat="1" applyFont="1" applyAlignment="1">
      <alignment horizontal="center"/>
    </xf>
    <xf numFmtId="0" fontId="66" fillId="0" borderId="0" xfId="0" applyNumberFormat="1" applyFont="1" applyAlignment="1" applyProtection="1">
      <alignment horizontal="center"/>
      <protection locked="0"/>
    </xf>
    <xf numFmtId="37" fontId="66" fillId="0" borderId="0" xfId="0" quotePrefix="1" applyNumberFormat="1" applyFont="1"/>
    <xf numFmtId="37" fontId="34" fillId="0" borderId="0" xfId="0" quotePrefix="1" applyNumberFormat="1" applyFont="1"/>
    <xf numFmtId="37" fontId="66" fillId="0" borderId="0" xfId="0" applyNumberFormat="1" applyFont="1" applyProtection="1">
      <protection locked="0"/>
    </xf>
    <xf numFmtId="169" fontId="66" fillId="0" borderId="0" xfId="0" applyNumberFormat="1" applyFont="1"/>
    <xf numFmtId="173" fontId="66" fillId="0" borderId="0" xfId="0" applyFont="1" applyProtection="1"/>
    <xf numFmtId="38" fontId="66" fillId="0" borderId="0" xfId="0" applyNumberFormat="1" applyFont="1" applyProtection="1">
      <protection locked="0"/>
    </xf>
    <xf numFmtId="38" fontId="49" fillId="0" borderId="0" xfId="0" applyNumberFormat="1" applyFont="1" applyProtection="1">
      <protection locked="0"/>
    </xf>
    <xf numFmtId="38" fontId="66" fillId="0" borderId="0" xfId="0" applyNumberFormat="1" applyFont="1" applyProtection="1"/>
    <xf numFmtId="170" fontId="66" fillId="0" borderId="0" xfId="0" applyNumberFormat="1" applyFont="1" applyProtection="1">
      <protection locked="0"/>
    </xf>
    <xf numFmtId="10" fontId="46" fillId="0" borderId="22" xfId="0" applyNumberFormat="1" applyFont="1" applyBorder="1" applyAlignment="1" applyProtection="1">
      <alignment horizontal="center"/>
    </xf>
    <xf numFmtId="173" fontId="0" fillId="0" borderId="0" xfId="0" applyAlignment="1">
      <alignment horizontal="left"/>
    </xf>
    <xf numFmtId="173" fontId="31" fillId="0" borderId="0" xfId="0" applyFont="1" applyAlignment="1">
      <alignment horizontal="left"/>
    </xf>
    <xf numFmtId="173" fontId="31" fillId="0" borderId="0" xfId="0" applyFont="1" applyAlignment="1">
      <alignment horizontal="left" wrapText="1"/>
    </xf>
    <xf numFmtId="173" fontId="34" fillId="0" borderId="0" xfId="0" applyFont="1" applyAlignment="1">
      <alignment wrapText="1"/>
    </xf>
    <xf numFmtId="221" fontId="56" fillId="0" borderId="0" xfId="5" applyFont="1" applyAlignment="1">
      <alignment horizontal="center"/>
    </xf>
  </cellXfs>
  <cellStyles count="9119">
    <cellStyle name="_x0013_" xfId="580" xr:uid="{00000000-0005-0000-0000-000000000000}"/>
    <cellStyle name="¢ Currency [1]" xfId="18" xr:uid="{00000000-0005-0000-0000-000001000000}"/>
    <cellStyle name="¢ Currency [2]" xfId="19" xr:uid="{00000000-0005-0000-0000-000002000000}"/>
    <cellStyle name="¢ Currency [3]" xfId="20" xr:uid="{00000000-0005-0000-0000-000003000000}"/>
    <cellStyle name="£ Currency [0]" xfId="21" xr:uid="{00000000-0005-0000-0000-000004000000}"/>
    <cellStyle name="£ Currency [1]" xfId="22" xr:uid="{00000000-0005-0000-0000-000005000000}"/>
    <cellStyle name="£ Currency [2]" xfId="23" xr:uid="{00000000-0005-0000-0000-000006000000}"/>
    <cellStyle name="=C:\WINNT35\SYSTEM32\COMMAND.COM" xfId="17" xr:uid="{00000000-0005-0000-0000-000007000000}"/>
    <cellStyle name="20% - Accent1" xfId="529" builtinId="30" customBuiltin="1"/>
    <cellStyle name="20% - Accent1 10" xfId="9108" xr:uid="{9A32F82C-A7E8-4645-8BC4-E370BD45C7A2}"/>
    <cellStyle name="20% - Accent1 2" xfId="581" xr:uid="{00000000-0005-0000-0000-000009000000}"/>
    <cellStyle name="20% - Accent1 2 2" xfId="582" xr:uid="{00000000-0005-0000-0000-00000A000000}"/>
    <cellStyle name="20% - Accent1 2 2 2" xfId="583" xr:uid="{00000000-0005-0000-0000-00000B000000}"/>
    <cellStyle name="20% - Accent1 2 2 2 2" xfId="584" xr:uid="{00000000-0005-0000-0000-00000C000000}"/>
    <cellStyle name="20% - Accent1 2 2 2 2 2" xfId="1744" xr:uid="{00000000-0005-0000-0000-00000D000000}"/>
    <cellStyle name="20% - Accent1 2 2 2 2 2 2" xfId="4994" xr:uid="{37E1CCBC-97E0-4E90-AB43-DE854646DE26}"/>
    <cellStyle name="20% - Accent1 2 2 2 2 2 2 2" xfId="8374" xr:uid="{B6B02C5C-D52F-46EC-86BC-B31DF8AD57BD}"/>
    <cellStyle name="20% - Accent1 2 2 2 2 2 3" xfId="6674" xr:uid="{38A0DA8E-2430-480C-BAE0-D019FB4C1C0F}"/>
    <cellStyle name="20% - Accent1 2 2 2 2 2_DEO ADIT Unprotected" xfId="2468" xr:uid="{DD0F3108-9A46-4E3D-B045-8B0BBB4B2471}"/>
    <cellStyle name="20% - Accent1 2 2 2 2 3" xfId="4157" xr:uid="{642C734E-85AD-4CA7-A44B-B08A62E301B9}"/>
    <cellStyle name="20% - Accent1 2 2 2 2 3 2" xfId="7537" xr:uid="{F9287E7A-AEE4-4FEE-953C-B7ADE16964E9}"/>
    <cellStyle name="20% - Accent1 2 2 2 2 4" xfId="5836" xr:uid="{CF5E652A-7819-4F79-B86A-1F13DE6D8DE4}"/>
    <cellStyle name="20% - Accent1 2 2 2 2_DEO ADIT Unprotected" xfId="2467" xr:uid="{F25FF2F8-3491-4CD1-8CC6-4506B33D076E}"/>
    <cellStyle name="20% - Accent1 2 2 2 3" xfId="1743" xr:uid="{00000000-0005-0000-0000-00000E000000}"/>
    <cellStyle name="20% - Accent1 2 2 2 3 2" xfId="4993" xr:uid="{D6FC8089-C5EF-4344-83E5-1A8637F02708}"/>
    <cellStyle name="20% - Accent1 2 2 2 3 2 2" xfId="8373" xr:uid="{A41B3A37-9830-47BF-A8A5-7A3D06BD2AEB}"/>
    <cellStyle name="20% - Accent1 2 2 2 3 3" xfId="6673" xr:uid="{F2AB1DF1-134D-413B-B9AB-DC98347F3177}"/>
    <cellStyle name="20% - Accent1 2 2 2 3_DEO ADIT Unprotected" xfId="2469" xr:uid="{9CFA75B8-D7FC-46F6-ADBD-4A8755F00376}"/>
    <cellStyle name="20% - Accent1 2 2 2 4" xfId="4156" xr:uid="{0B7BEE4F-F7E6-4D66-B3C2-CF9383E4A601}"/>
    <cellStyle name="20% - Accent1 2 2 2 4 2" xfId="7536" xr:uid="{7F1FE66D-7223-401C-B84D-6C44380A8BB4}"/>
    <cellStyle name="20% - Accent1 2 2 2 5" xfId="5835" xr:uid="{B0DA58F2-3294-4896-A72D-411BB2D111F6}"/>
    <cellStyle name="20% - Accent1 2 2 2_DEO ADIT Unprotected" xfId="2466" xr:uid="{5E19EE7C-D028-4542-8FF0-B502CED5B4D4}"/>
    <cellStyle name="20% - Accent1 2 2_DEO ADIT Unprotected" xfId="2465" xr:uid="{6BD8AE26-A22B-4191-A8B5-5267AA1188F2}"/>
    <cellStyle name="20% - Accent1 2 3" xfId="585" xr:uid="{00000000-0005-0000-0000-00000F000000}"/>
    <cellStyle name="20% - Accent1 2_DEO ADIT Unprotected" xfId="2464" xr:uid="{3DF87FA5-E8A8-4F88-BCC0-3A8F3BFDA4CA}"/>
    <cellStyle name="20% - Accent1 3" xfId="586" xr:uid="{00000000-0005-0000-0000-000010000000}"/>
    <cellStyle name="20% - Accent1 3 2" xfId="587" xr:uid="{00000000-0005-0000-0000-000011000000}"/>
    <cellStyle name="20% - Accent1 3 2 2" xfId="588" xr:uid="{00000000-0005-0000-0000-000012000000}"/>
    <cellStyle name="20% - Accent1 3 2 2 2" xfId="1746" xr:uid="{00000000-0005-0000-0000-000013000000}"/>
    <cellStyle name="20% - Accent1 3 2 2 2 2" xfId="4996" xr:uid="{8543D859-3273-43CE-A5E5-282F20BF9CB5}"/>
    <cellStyle name="20% - Accent1 3 2 2 2 2 2" xfId="8376" xr:uid="{C1535853-9077-485A-803D-64C96DF1C660}"/>
    <cellStyle name="20% - Accent1 3 2 2 2 3" xfId="6676" xr:uid="{E21A616B-968E-4F2B-9B28-8C84BE1330B8}"/>
    <cellStyle name="20% - Accent1 3 2 2 2_DEO ADIT Unprotected" xfId="2473" xr:uid="{08BBD79B-4DFA-4DA1-BBD2-BD01B0328164}"/>
    <cellStyle name="20% - Accent1 3 2 2 3" xfId="4159" xr:uid="{1F0C0968-A8E7-41CE-90CC-F0F414475F87}"/>
    <cellStyle name="20% - Accent1 3 2 2 3 2" xfId="7539" xr:uid="{B60E610B-1F9C-4929-88B8-03991C88D7CE}"/>
    <cellStyle name="20% - Accent1 3 2 2 4" xfId="5838" xr:uid="{06E7D9E1-C10E-4921-80AF-13CAD624AC77}"/>
    <cellStyle name="20% - Accent1 3 2 2_DEO ADIT Unprotected" xfId="2472" xr:uid="{15D0D1DF-0102-4CE7-8D51-0B42D12E3E5F}"/>
    <cellStyle name="20% - Accent1 3 2 3" xfId="1745" xr:uid="{00000000-0005-0000-0000-000014000000}"/>
    <cellStyle name="20% - Accent1 3 2 3 2" xfId="4995" xr:uid="{68D8451D-65F9-4D80-8BC8-8560B508DB2A}"/>
    <cellStyle name="20% - Accent1 3 2 3 2 2" xfId="8375" xr:uid="{E9F36210-BF28-4CCE-875F-AAE7A45D59D1}"/>
    <cellStyle name="20% - Accent1 3 2 3 3" xfId="6675" xr:uid="{DD93C664-B9BE-418B-88B7-078386A65E60}"/>
    <cellStyle name="20% - Accent1 3 2 3_DEO ADIT Unprotected" xfId="2474" xr:uid="{E3BF2158-8218-4ABA-8079-8A811E905178}"/>
    <cellStyle name="20% - Accent1 3 2 4" xfId="4158" xr:uid="{F8FEC411-984C-4ACA-8DCB-72296D20C498}"/>
    <cellStyle name="20% - Accent1 3 2 4 2" xfId="7538" xr:uid="{0F22AA04-8B7E-4D04-B28D-9B9CA895C43C}"/>
    <cellStyle name="20% - Accent1 3 2 5" xfId="5837" xr:uid="{360B2FE4-1559-4833-BD79-629DCBC7A68F}"/>
    <cellStyle name="20% - Accent1 3 2_DEO ADIT Unprotected" xfId="2471" xr:uid="{7D6C29E3-77DB-45C0-8AAA-45595C8A75BE}"/>
    <cellStyle name="20% - Accent1 3_DEO ADIT Unprotected" xfId="2470" xr:uid="{FE66E04E-3E44-4876-9104-617CD37F8FB5}"/>
    <cellStyle name="20% - Accent1 4" xfId="589" xr:uid="{00000000-0005-0000-0000-000015000000}"/>
    <cellStyle name="20% - Accent1 4 2" xfId="590" xr:uid="{00000000-0005-0000-0000-000016000000}"/>
    <cellStyle name="20% - Accent1 4 2 2" xfId="1748" xr:uid="{00000000-0005-0000-0000-000017000000}"/>
    <cellStyle name="20% - Accent1 4 2 2 2" xfId="4998" xr:uid="{F6C98B7E-9D47-479D-8768-3F82C94E2D7B}"/>
    <cellStyle name="20% - Accent1 4 2 2 2 2" xfId="8378" xr:uid="{AB7D882E-BBB3-4975-8DF7-6659EB25A73F}"/>
    <cellStyle name="20% - Accent1 4 2 2 3" xfId="6678" xr:uid="{39D70D69-AD4C-46A3-85BB-BAB938076501}"/>
    <cellStyle name="20% - Accent1 4 2 2_DEO ADIT Unprotected" xfId="2477" xr:uid="{A4510A9A-DD3E-4655-9B81-40945E140E7F}"/>
    <cellStyle name="20% - Accent1 4 2 3" xfId="4161" xr:uid="{E6EDC3EC-D4BC-4EAC-8CD6-338CF5E27720}"/>
    <cellStyle name="20% - Accent1 4 2 3 2" xfId="7541" xr:uid="{D3A1CF80-345B-48E2-B231-D0CA72F4F984}"/>
    <cellStyle name="20% - Accent1 4 2 4" xfId="5840" xr:uid="{B4F59FD1-6305-4C13-8AC0-036FF99EE7FF}"/>
    <cellStyle name="20% - Accent1 4 2_DEO ADIT Unprotected" xfId="2476" xr:uid="{0B33D6D7-77A5-43D4-A535-7896386E506D}"/>
    <cellStyle name="20% - Accent1 4 3" xfId="1747" xr:uid="{00000000-0005-0000-0000-000018000000}"/>
    <cellStyle name="20% - Accent1 4 3 2" xfId="4997" xr:uid="{59041279-59CC-47EE-9BE6-F24675C8BC7F}"/>
    <cellStyle name="20% - Accent1 4 3 2 2" xfId="8377" xr:uid="{B38F94E3-5885-457B-AE8F-D480416EB985}"/>
    <cellStyle name="20% - Accent1 4 3 3" xfId="6677" xr:uid="{0369328C-0D9B-4253-9F90-F8CA96B0A64D}"/>
    <cellStyle name="20% - Accent1 4 3_DEO ADIT Unprotected" xfId="2478" xr:uid="{5177CA25-45C2-44D9-BD91-35E6BA106955}"/>
    <cellStyle name="20% - Accent1 4 4" xfId="4160" xr:uid="{57A1C21E-B9DE-4B84-8561-6AAD4B80D080}"/>
    <cellStyle name="20% - Accent1 4 4 2" xfId="7540" xr:uid="{A309AA3F-192E-4910-898D-6523F44417C7}"/>
    <cellStyle name="20% - Accent1 4 5" xfId="5839" xr:uid="{0B7AC0DF-6395-4388-8474-7D64CDEE3CD1}"/>
    <cellStyle name="20% - Accent1 4_DEO ADIT Unprotected" xfId="2475" xr:uid="{B80197FF-0965-4CAF-8749-64D75528BD9A}"/>
    <cellStyle name="20% - Accent1 5" xfId="1704" xr:uid="{00000000-0005-0000-0000-000019000000}"/>
    <cellStyle name="20% - Accent1 5 2" xfId="4954" xr:uid="{6FFC1B83-A5F9-4279-B0CA-E043EE7A1BB2}"/>
    <cellStyle name="20% - Accent1 5 2 2" xfId="8334" xr:uid="{3E4724B5-1399-4959-B49B-5A9312C59FCE}"/>
    <cellStyle name="20% - Accent1 5 3" xfId="6634" xr:uid="{04C1D522-CD90-4128-BB42-91A0D61615B9}"/>
    <cellStyle name="20% - Accent1 5_DEO ADIT Unprotected" xfId="2479" xr:uid="{42CEDD2B-E80F-44EA-BBE6-B7E026C1B12E}"/>
    <cellStyle name="20% - Accent1 6" xfId="4117" xr:uid="{37981157-C925-4DD6-AA08-D7BE8886A863}"/>
    <cellStyle name="20% - Accent1 6 2" xfId="7497" xr:uid="{D45B4954-72C5-458F-8548-CCDE599B97A4}"/>
    <cellStyle name="20% - Accent1 7" xfId="5796" xr:uid="{A9D73DAB-281C-4EBF-969B-C9D5ACFF601C}"/>
    <cellStyle name="20% - Accent1 8" xfId="7413" xr:uid="{2C8FB82A-1857-40C6-9155-BF51C1406A9E}"/>
    <cellStyle name="20% - Accent1 9" xfId="9117" xr:uid="{D80B63B3-7E2F-46DF-BF15-83D1106FE44D}"/>
    <cellStyle name="20% - Accent2" xfId="533" builtinId="34" customBuiltin="1"/>
    <cellStyle name="20% - Accent2 10" xfId="5714" xr:uid="{3ADE4E3E-446D-4604-93B4-4BF5EB61C73C}"/>
    <cellStyle name="20% - Accent2 2" xfId="591" xr:uid="{00000000-0005-0000-0000-00001B000000}"/>
    <cellStyle name="20% - Accent2 2 2" xfId="592" xr:uid="{00000000-0005-0000-0000-00001C000000}"/>
    <cellStyle name="20% - Accent2 2 2 2" xfId="593" xr:uid="{00000000-0005-0000-0000-00001D000000}"/>
    <cellStyle name="20% - Accent2 2 2 2 2" xfId="594" xr:uid="{00000000-0005-0000-0000-00001E000000}"/>
    <cellStyle name="20% - Accent2 2 2 2 2 2" xfId="1750" xr:uid="{00000000-0005-0000-0000-00001F000000}"/>
    <cellStyle name="20% - Accent2 2 2 2 2 2 2" xfId="5000" xr:uid="{1200B762-3415-4208-BDDD-6B737EA6697B}"/>
    <cellStyle name="20% - Accent2 2 2 2 2 2 2 2" xfId="8380" xr:uid="{176E8131-58F5-4C29-836D-BB53D1E2B524}"/>
    <cellStyle name="20% - Accent2 2 2 2 2 2 3" xfId="6680" xr:uid="{DC89DBFF-E151-463A-B298-5DA1579C3093}"/>
    <cellStyle name="20% - Accent2 2 2 2 2 2_DEO ADIT Unprotected" xfId="2484" xr:uid="{A4041F36-F551-48B7-B580-DA9347E00E80}"/>
    <cellStyle name="20% - Accent2 2 2 2 2 3" xfId="4163" xr:uid="{8A8D3BA5-9C52-4033-A47C-3D0335C6701D}"/>
    <cellStyle name="20% - Accent2 2 2 2 2 3 2" xfId="7543" xr:uid="{432F5135-0355-41AC-B169-5C64EDF8A2D5}"/>
    <cellStyle name="20% - Accent2 2 2 2 2 4" xfId="5842" xr:uid="{C652A7D7-2E87-4FFA-A2AD-F764EE490305}"/>
    <cellStyle name="20% - Accent2 2 2 2 2_DEO ADIT Unprotected" xfId="2483" xr:uid="{3E0AE57E-2593-40AE-A646-2393B9F28DA4}"/>
    <cellStyle name="20% - Accent2 2 2 2 3" xfId="1749" xr:uid="{00000000-0005-0000-0000-000020000000}"/>
    <cellStyle name="20% - Accent2 2 2 2 3 2" xfId="4999" xr:uid="{4B384E02-4DB6-4E98-848A-6B0ACCFEAE5D}"/>
    <cellStyle name="20% - Accent2 2 2 2 3 2 2" xfId="8379" xr:uid="{4FF8C83C-21B7-4EAE-B238-A01E0D017080}"/>
    <cellStyle name="20% - Accent2 2 2 2 3 3" xfId="6679" xr:uid="{C9F15B9C-474C-4594-842C-A951F986C905}"/>
    <cellStyle name="20% - Accent2 2 2 2 3_DEO ADIT Unprotected" xfId="2485" xr:uid="{A726FCA0-694E-44B6-80D5-19CB02894F1A}"/>
    <cellStyle name="20% - Accent2 2 2 2 4" xfId="4162" xr:uid="{8FEBFD4C-FD31-4CA6-906D-9150730871C5}"/>
    <cellStyle name="20% - Accent2 2 2 2 4 2" xfId="7542" xr:uid="{5811FE2E-60FA-40CE-8579-04B675C12258}"/>
    <cellStyle name="20% - Accent2 2 2 2 5" xfId="5841" xr:uid="{3B445AC5-D275-48E8-BF4F-B37B2ABB0B3A}"/>
    <cellStyle name="20% - Accent2 2 2 2_DEO ADIT Unprotected" xfId="2482" xr:uid="{D99E804A-C37E-49B2-BCD4-437B7F0A9B80}"/>
    <cellStyle name="20% - Accent2 2 2_DEO ADIT Unprotected" xfId="2481" xr:uid="{B9A7E014-E7DB-4391-9240-A7E6E1C6FDCE}"/>
    <cellStyle name="20% - Accent2 2 3" xfId="595" xr:uid="{00000000-0005-0000-0000-000021000000}"/>
    <cellStyle name="20% - Accent2 2_DEO ADIT Unprotected" xfId="2480" xr:uid="{0F60FFEE-CB21-44F8-BD2F-C3CB68977E14}"/>
    <cellStyle name="20% - Accent2 3" xfId="596" xr:uid="{00000000-0005-0000-0000-000022000000}"/>
    <cellStyle name="20% - Accent2 3 2" xfId="597" xr:uid="{00000000-0005-0000-0000-000023000000}"/>
    <cellStyle name="20% - Accent2 3 2 2" xfId="598" xr:uid="{00000000-0005-0000-0000-000024000000}"/>
    <cellStyle name="20% - Accent2 3 2 2 2" xfId="1752" xr:uid="{00000000-0005-0000-0000-000025000000}"/>
    <cellStyle name="20% - Accent2 3 2 2 2 2" xfId="5002" xr:uid="{8FDAFD19-E178-4190-B98C-E71165DF7C5A}"/>
    <cellStyle name="20% - Accent2 3 2 2 2 2 2" xfId="8382" xr:uid="{3173B248-7075-490C-9085-77E90728A8D0}"/>
    <cellStyle name="20% - Accent2 3 2 2 2 3" xfId="6682" xr:uid="{DEB273A6-329D-433C-A37D-1340BF6D01DC}"/>
    <cellStyle name="20% - Accent2 3 2 2 2_DEO ADIT Unprotected" xfId="2489" xr:uid="{EA21B0F5-060D-4096-9AD9-9D38F0B17492}"/>
    <cellStyle name="20% - Accent2 3 2 2 3" xfId="4165" xr:uid="{B31B3FAE-2C52-4FA1-953F-3C06B126702F}"/>
    <cellStyle name="20% - Accent2 3 2 2 3 2" xfId="7545" xr:uid="{FD9BF81E-DF0C-4124-B2C3-CA7675EDB04B}"/>
    <cellStyle name="20% - Accent2 3 2 2 4" xfId="5844" xr:uid="{AFD436B1-4C18-4E9C-BD83-9AA0E5E9853C}"/>
    <cellStyle name="20% - Accent2 3 2 2_DEO ADIT Unprotected" xfId="2488" xr:uid="{44FADD86-C5E7-441B-97A2-F32E6F30C237}"/>
    <cellStyle name="20% - Accent2 3 2 3" xfId="1751" xr:uid="{00000000-0005-0000-0000-000026000000}"/>
    <cellStyle name="20% - Accent2 3 2 3 2" xfId="5001" xr:uid="{BEA90590-9ED8-450F-8464-9D31619A86F1}"/>
    <cellStyle name="20% - Accent2 3 2 3 2 2" xfId="8381" xr:uid="{2ED216C8-9794-4517-986A-E255364EC6F6}"/>
    <cellStyle name="20% - Accent2 3 2 3 3" xfId="6681" xr:uid="{934808F4-4E24-434C-A676-9FC2CBB27DBD}"/>
    <cellStyle name="20% - Accent2 3 2 3_DEO ADIT Unprotected" xfId="2490" xr:uid="{8758C905-6A46-49E2-B124-0D05A8BD56B5}"/>
    <cellStyle name="20% - Accent2 3 2 4" xfId="4164" xr:uid="{5B3F6D87-5A19-4A46-AD4B-2FE1F6B3C321}"/>
    <cellStyle name="20% - Accent2 3 2 4 2" xfId="7544" xr:uid="{DF1D8575-75A4-41FD-9540-6101C63AA08C}"/>
    <cellStyle name="20% - Accent2 3 2 5" xfId="5843" xr:uid="{1AC10117-B723-4F91-992E-F63A92E456C8}"/>
    <cellStyle name="20% - Accent2 3 2_DEO ADIT Unprotected" xfId="2487" xr:uid="{1630D4ED-1710-4860-A652-90915C103A09}"/>
    <cellStyle name="20% - Accent2 3_DEO ADIT Unprotected" xfId="2486" xr:uid="{C2FCEC9A-2178-4334-A1AA-E031AD180050}"/>
    <cellStyle name="20% - Accent2 4" xfId="599" xr:uid="{00000000-0005-0000-0000-000027000000}"/>
    <cellStyle name="20% - Accent2 4 2" xfId="600" xr:uid="{00000000-0005-0000-0000-000028000000}"/>
    <cellStyle name="20% - Accent2 4 2 2" xfId="1754" xr:uid="{00000000-0005-0000-0000-000029000000}"/>
    <cellStyle name="20% - Accent2 4 2 2 2" xfId="5004" xr:uid="{BA392A66-1AB6-468A-A6F3-F360D966D0A0}"/>
    <cellStyle name="20% - Accent2 4 2 2 2 2" xfId="8384" xr:uid="{C825F153-17BD-44D2-B3FB-3333FDDEEFCA}"/>
    <cellStyle name="20% - Accent2 4 2 2 3" xfId="6684" xr:uid="{44B9F96D-6750-4A14-9872-6F670D2BF671}"/>
    <cellStyle name="20% - Accent2 4 2 2_DEO ADIT Unprotected" xfId="2493" xr:uid="{C6E9C25F-AE70-4EED-95C0-CC66D9B4E8A8}"/>
    <cellStyle name="20% - Accent2 4 2 3" xfId="4167" xr:uid="{B8B0E05D-F5E9-4143-8719-1AA7269537D9}"/>
    <cellStyle name="20% - Accent2 4 2 3 2" xfId="7547" xr:uid="{7A11E263-8D53-447B-8A9B-BE2F520B64B1}"/>
    <cellStyle name="20% - Accent2 4 2 4" xfId="5846" xr:uid="{0EC81A5D-157D-4CE2-872C-5CEAF445FAB3}"/>
    <cellStyle name="20% - Accent2 4 2_DEO ADIT Unprotected" xfId="2492" xr:uid="{0F4269D3-26DD-4C8E-BD3F-EA35ADDFC1AD}"/>
    <cellStyle name="20% - Accent2 4 3" xfId="1753" xr:uid="{00000000-0005-0000-0000-00002A000000}"/>
    <cellStyle name="20% - Accent2 4 3 2" xfId="5003" xr:uid="{324A12B1-451E-46FC-A68F-31CEDBFDA610}"/>
    <cellStyle name="20% - Accent2 4 3 2 2" xfId="8383" xr:uid="{278F37D9-C23E-47C3-A4F1-860978AD47CC}"/>
    <cellStyle name="20% - Accent2 4 3 3" xfId="6683" xr:uid="{E62C0DD3-4AC9-4D51-ADB2-760B4F9CAF7D}"/>
    <cellStyle name="20% - Accent2 4 3_DEO ADIT Unprotected" xfId="2494" xr:uid="{26A2F10E-1530-4A94-A95D-6AC62F933356}"/>
    <cellStyle name="20% - Accent2 4 4" xfId="4166" xr:uid="{CC9CA333-E74B-4C73-A6DB-3EB0E04A5921}"/>
    <cellStyle name="20% - Accent2 4 4 2" xfId="7546" xr:uid="{8A6371C5-DB4F-4FDA-914E-FF6D9E5CF9BE}"/>
    <cellStyle name="20% - Accent2 4 5" xfId="5845" xr:uid="{76167437-BEC3-42C0-8A90-40FC5F16F03E}"/>
    <cellStyle name="20% - Accent2 4_DEO ADIT Unprotected" xfId="2491" xr:uid="{978035E3-8B4A-4404-995F-9E7DA19714AF}"/>
    <cellStyle name="20% - Accent2 5" xfId="1706" xr:uid="{00000000-0005-0000-0000-00002B000000}"/>
    <cellStyle name="20% - Accent2 5 2" xfId="4956" xr:uid="{080414C7-C6F0-4542-8B03-C1893F8ADE9A}"/>
    <cellStyle name="20% - Accent2 5 2 2" xfId="8336" xr:uid="{CEB913B4-9AD1-4779-9C0A-1FA246C1692F}"/>
    <cellStyle name="20% - Accent2 5 3" xfId="6636" xr:uid="{864A7548-1EEA-4C1E-BD4B-4A3D68A3ED1A}"/>
    <cellStyle name="20% - Accent2 5_DEO ADIT Unprotected" xfId="2495" xr:uid="{0A5CD977-D9BA-42B1-83CD-D150F786E316}"/>
    <cellStyle name="20% - Accent2 6" xfId="4119" xr:uid="{D78F690C-2867-4C9E-90DC-02800EF25D2E}"/>
    <cellStyle name="20% - Accent2 6 2" xfId="7499" xr:uid="{934489BB-E52B-489B-B794-04873723878C}"/>
    <cellStyle name="20% - Accent2 7" xfId="5798" xr:uid="{E5DD855C-E806-4468-8BE2-8773F6618791}"/>
    <cellStyle name="20% - Accent2 8" xfId="7409" xr:uid="{6BEFCA8C-CC6C-45A0-81EA-2AF036E8BA44}"/>
    <cellStyle name="20% - Accent2 9" xfId="9105" xr:uid="{3ED8FB73-E878-4D10-B2AA-7FA84DB44EA9}"/>
    <cellStyle name="20% - Accent3" xfId="537" builtinId="38" customBuiltin="1"/>
    <cellStyle name="20% - Accent3 10" xfId="7400" xr:uid="{616081E4-87F3-4333-901E-F36787B7A1E1}"/>
    <cellStyle name="20% - Accent3 2" xfId="601" xr:uid="{00000000-0005-0000-0000-00002D000000}"/>
    <cellStyle name="20% - Accent3 2 2" xfId="602" xr:uid="{00000000-0005-0000-0000-00002E000000}"/>
    <cellStyle name="20% - Accent3 2 2 2" xfId="603" xr:uid="{00000000-0005-0000-0000-00002F000000}"/>
    <cellStyle name="20% - Accent3 2 2 2 2" xfId="604" xr:uid="{00000000-0005-0000-0000-000030000000}"/>
    <cellStyle name="20% - Accent3 2 2 2 2 2" xfId="1756" xr:uid="{00000000-0005-0000-0000-000031000000}"/>
    <cellStyle name="20% - Accent3 2 2 2 2 2 2" xfId="5006" xr:uid="{13778F6A-3C5E-4FE8-8610-CC3F2B813F3D}"/>
    <cellStyle name="20% - Accent3 2 2 2 2 2 2 2" xfId="8386" xr:uid="{CD2392F0-CA38-48CA-B39B-35C96B29FBD8}"/>
    <cellStyle name="20% - Accent3 2 2 2 2 2 3" xfId="6686" xr:uid="{736BF4C3-53A4-48F0-861F-9452CED12505}"/>
    <cellStyle name="20% - Accent3 2 2 2 2 2_DEO ADIT Unprotected" xfId="2500" xr:uid="{EB14DED4-DF83-4648-B345-22A869800187}"/>
    <cellStyle name="20% - Accent3 2 2 2 2 3" xfId="4169" xr:uid="{0105EDD3-6138-4520-AF59-C9CDD7DE2863}"/>
    <cellStyle name="20% - Accent3 2 2 2 2 3 2" xfId="7549" xr:uid="{32E55A82-FCA6-4562-83CF-849FD207E999}"/>
    <cellStyle name="20% - Accent3 2 2 2 2 4" xfId="5848" xr:uid="{B2F0A39C-A1FE-4A26-BCED-ADF8127582BA}"/>
    <cellStyle name="20% - Accent3 2 2 2 2_DEO ADIT Unprotected" xfId="2499" xr:uid="{52B48446-E00A-4F79-9924-9FF0AE0A8EF3}"/>
    <cellStyle name="20% - Accent3 2 2 2 3" xfId="1755" xr:uid="{00000000-0005-0000-0000-000032000000}"/>
    <cellStyle name="20% - Accent3 2 2 2 3 2" xfId="5005" xr:uid="{94C9CE72-08CA-41A5-84D1-78E3EF6554A5}"/>
    <cellStyle name="20% - Accent3 2 2 2 3 2 2" xfId="8385" xr:uid="{BCA932F1-1DDE-46ED-8D3A-4876CE6BC7A0}"/>
    <cellStyle name="20% - Accent3 2 2 2 3 3" xfId="6685" xr:uid="{E9A8E25C-7C9A-4369-99B1-871903C39B06}"/>
    <cellStyle name="20% - Accent3 2 2 2 3_DEO ADIT Unprotected" xfId="2501" xr:uid="{2FAB4F27-EF2B-499F-87C3-1BD04ACE2949}"/>
    <cellStyle name="20% - Accent3 2 2 2 4" xfId="4168" xr:uid="{CB8FEDEB-AF13-4CAB-BF91-E8DA82F52A69}"/>
    <cellStyle name="20% - Accent3 2 2 2 4 2" xfId="7548" xr:uid="{29FADC97-F5C5-43BF-AD27-D21414ED3EB2}"/>
    <cellStyle name="20% - Accent3 2 2 2 5" xfId="5847" xr:uid="{31E1EAD6-3B6C-4661-8216-53674435BF4A}"/>
    <cellStyle name="20% - Accent3 2 2 2_DEO ADIT Unprotected" xfId="2498" xr:uid="{DAEFA827-B233-4C43-AFC0-DFA95DFF5A72}"/>
    <cellStyle name="20% - Accent3 2 2_DEO ADIT Unprotected" xfId="2497" xr:uid="{7CA09962-2F10-4D2A-AE7E-25B2E5F47698}"/>
    <cellStyle name="20% - Accent3 2 3" xfId="605" xr:uid="{00000000-0005-0000-0000-000033000000}"/>
    <cellStyle name="20% - Accent3 2_DEO ADIT Unprotected" xfId="2496" xr:uid="{B02C8CA6-C687-4D58-A27B-1EAAAF7048B5}"/>
    <cellStyle name="20% - Accent3 3" xfId="606" xr:uid="{00000000-0005-0000-0000-000034000000}"/>
    <cellStyle name="20% - Accent3 3 2" xfId="607" xr:uid="{00000000-0005-0000-0000-000035000000}"/>
    <cellStyle name="20% - Accent3 3 2 2" xfId="608" xr:uid="{00000000-0005-0000-0000-000036000000}"/>
    <cellStyle name="20% - Accent3 3 2 2 2" xfId="1758" xr:uid="{00000000-0005-0000-0000-000037000000}"/>
    <cellStyle name="20% - Accent3 3 2 2 2 2" xfId="5008" xr:uid="{F5ADA5E2-008C-417C-A062-0B98A5672CB2}"/>
    <cellStyle name="20% - Accent3 3 2 2 2 2 2" xfId="8388" xr:uid="{73C03B5B-6E40-47D9-9260-45C4CCE2D688}"/>
    <cellStyle name="20% - Accent3 3 2 2 2 3" xfId="6688" xr:uid="{853517BA-2579-4248-B6ED-A8443D72302F}"/>
    <cellStyle name="20% - Accent3 3 2 2 2_DEO ADIT Unprotected" xfId="2505" xr:uid="{7267DA86-0DBB-4D71-8CB3-B25BD85EFFE4}"/>
    <cellStyle name="20% - Accent3 3 2 2 3" xfId="4171" xr:uid="{02705BAC-18E7-4EF2-8262-DC44984EF5A0}"/>
    <cellStyle name="20% - Accent3 3 2 2 3 2" xfId="7551" xr:uid="{F52B51BF-602B-421E-8B46-D8C8C10042E7}"/>
    <cellStyle name="20% - Accent3 3 2 2 4" xfId="5850" xr:uid="{601B78E8-C5C7-4FED-8BDB-26226D2FDD3D}"/>
    <cellStyle name="20% - Accent3 3 2 2_DEO ADIT Unprotected" xfId="2504" xr:uid="{5EA8E780-BE49-4D25-883E-51534CFDBD1F}"/>
    <cellStyle name="20% - Accent3 3 2 3" xfId="1757" xr:uid="{00000000-0005-0000-0000-000038000000}"/>
    <cellStyle name="20% - Accent3 3 2 3 2" xfId="5007" xr:uid="{59CA87AB-DE29-4859-BE23-CDF6915B25C2}"/>
    <cellStyle name="20% - Accent3 3 2 3 2 2" xfId="8387" xr:uid="{15B8927C-69EE-4451-85F3-73004723416D}"/>
    <cellStyle name="20% - Accent3 3 2 3 3" xfId="6687" xr:uid="{4E234BFD-F5F4-4760-B8F6-00811EC766BD}"/>
    <cellStyle name="20% - Accent3 3 2 3_DEO ADIT Unprotected" xfId="2506" xr:uid="{15E14CD3-FBEA-433F-829D-6C07480C5829}"/>
    <cellStyle name="20% - Accent3 3 2 4" xfId="4170" xr:uid="{28FFD4C2-B20D-42D1-BFEE-663F44F0F9F3}"/>
    <cellStyle name="20% - Accent3 3 2 4 2" xfId="7550" xr:uid="{42F616EC-6751-4F63-8A17-5A540F6CA787}"/>
    <cellStyle name="20% - Accent3 3 2 5" xfId="5849" xr:uid="{E35ECF70-B726-4FC3-A4DC-A1A52E0E1632}"/>
    <cellStyle name="20% - Accent3 3 2_DEO ADIT Unprotected" xfId="2503" xr:uid="{8DFE4031-43CA-4BF2-99A6-7B6E64F53FBD}"/>
    <cellStyle name="20% - Accent3 3_DEO ADIT Unprotected" xfId="2502" xr:uid="{CD9AD1A5-C717-4E85-8FF7-4D5348FA62EF}"/>
    <cellStyle name="20% - Accent3 4" xfId="609" xr:uid="{00000000-0005-0000-0000-000039000000}"/>
    <cellStyle name="20% - Accent3 4 2" xfId="610" xr:uid="{00000000-0005-0000-0000-00003A000000}"/>
    <cellStyle name="20% - Accent3 4 2 2" xfId="1760" xr:uid="{00000000-0005-0000-0000-00003B000000}"/>
    <cellStyle name="20% - Accent3 4 2 2 2" xfId="5010" xr:uid="{2CFF09A2-36B6-4A0F-84ED-C9BC0A15872A}"/>
    <cellStyle name="20% - Accent3 4 2 2 2 2" xfId="8390" xr:uid="{7A53DCA9-B733-4371-B0E2-576E916DE868}"/>
    <cellStyle name="20% - Accent3 4 2 2 3" xfId="6690" xr:uid="{07654C31-BCD8-404C-8D6A-DFBACF3335A5}"/>
    <cellStyle name="20% - Accent3 4 2 2_DEO ADIT Unprotected" xfId="2509" xr:uid="{7F537FC8-BA1F-4204-AD4D-90F236FAA78A}"/>
    <cellStyle name="20% - Accent3 4 2 3" xfId="4173" xr:uid="{E0EE990D-3015-4DB7-A0E8-CEA6DF072304}"/>
    <cellStyle name="20% - Accent3 4 2 3 2" xfId="7553" xr:uid="{86251840-B7F4-461B-ABCC-EA12C5BB0597}"/>
    <cellStyle name="20% - Accent3 4 2 4" xfId="5852" xr:uid="{CD069B46-BB63-4A63-84B8-EB653574379F}"/>
    <cellStyle name="20% - Accent3 4 2_DEO ADIT Unprotected" xfId="2508" xr:uid="{B0AE60E8-827E-4AD7-9568-077D78E52D57}"/>
    <cellStyle name="20% - Accent3 4 3" xfId="1759" xr:uid="{00000000-0005-0000-0000-00003C000000}"/>
    <cellStyle name="20% - Accent3 4 3 2" xfId="5009" xr:uid="{6EF42F2F-9092-4EBA-80BC-13EA1305592C}"/>
    <cellStyle name="20% - Accent3 4 3 2 2" xfId="8389" xr:uid="{F4448B8D-C62A-41EC-A694-98FCDC8981D3}"/>
    <cellStyle name="20% - Accent3 4 3 3" xfId="6689" xr:uid="{5A69A29E-9CC6-431A-AADC-AFFFE341427E}"/>
    <cellStyle name="20% - Accent3 4 3_DEO ADIT Unprotected" xfId="2510" xr:uid="{548F15B0-47CE-4471-BE89-BD3415B6FE66}"/>
    <cellStyle name="20% - Accent3 4 4" xfId="4172" xr:uid="{A81C42A7-C6CA-42E8-A1F9-3B4BC2A25A27}"/>
    <cellStyle name="20% - Accent3 4 4 2" xfId="7552" xr:uid="{332C9FFB-53AD-4C4A-B5BB-1C90DABB9273}"/>
    <cellStyle name="20% - Accent3 4 5" xfId="5851" xr:uid="{16F8DB08-C1AF-4FE7-8E41-188E910819BF}"/>
    <cellStyle name="20% - Accent3 4_DEO ADIT Unprotected" xfId="2507" xr:uid="{5411A343-62EB-4664-AD16-57B9E25E6768}"/>
    <cellStyle name="20% - Accent3 5" xfId="1708" xr:uid="{00000000-0005-0000-0000-00003D000000}"/>
    <cellStyle name="20% - Accent3 5 2" xfId="4958" xr:uid="{0AF73F32-5415-4690-8FCD-E41A11924A4E}"/>
    <cellStyle name="20% - Accent3 5 2 2" xfId="8338" xr:uid="{1956022B-5A6E-4813-84EF-CF5066906CBA}"/>
    <cellStyle name="20% - Accent3 5 3" xfId="6638" xr:uid="{8136471A-A62C-4F8E-B7D7-C006AF7FBAB5}"/>
    <cellStyle name="20% - Accent3 5_DEO ADIT Unprotected" xfId="2511" xr:uid="{3CC4A1E4-E624-484F-93E7-0B531C9E6B1F}"/>
    <cellStyle name="20% - Accent3 6" xfId="4121" xr:uid="{CEBBDF5D-69AF-44AA-806D-D2ECF4E8C09A}"/>
    <cellStyle name="20% - Accent3 6 2" xfId="7501" xr:uid="{4B480C45-8EDF-4275-AE00-E4D8BE288E4F}"/>
    <cellStyle name="20% - Accent3 7" xfId="5800" xr:uid="{E9DD4491-79D9-49BC-BD87-EDEE858381B6}"/>
    <cellStyle name="20% - Accent3 8" xfId="7410" xr:uid="{C30140AF-DCD4-4C54-9FF4-B4E7429E19B2}"/>
    <cellStyle name="20% - Accent3 9" xfId="9094" xr:uid="{242C995D-6773-49F8-B0A2-AD76B63990D1}"/>
    <cellStyle name="20% - Accent4" xfId="541" builtinId="42" customBuiltin="1"/>
    <cellStyle name="20% - Accent4 10" xfId="9097" xr:uid="{48318BE3-4097-4DF4-9EAB-00430EB486F0}"/>
    <cellStyle name="20% - Accent4 2" xfId="611" xr:uid="{00000000-0005-0000-0000-00003F000000}"/>
    <cellStyle name="20% - Accent4 2 2" xfId="612" xr:uid="{00000000-0005-0000-0000-000040000000}"/>
    <cellStyle name="20% - Accent4 2 2 2" xfId="613" xr:uid="{00000000-0005-0000-0000-000041000000}"/>
    <cellStyle name="20% - Accent4 2 2 2 2" xfId="614" xr:uid="{00000000-0005-0000-0000-000042000000}"/>
    <cellStyle name="20% - Accent4 2 2 2 2 2" xfId="1762" xr:uid="{00000000-0005-0000-0000-000043000000}"/>
    <cellStyle name="20% - Accent4 2 2 2 2 2 2" xfId="5012" xr:uid="{00ECBD9F-804E-43FE-91D7-A361B4E07145}"/>
    <cellStyle name="20% - Accent4 2 2 2 2 2 2 2" xfId="8392" xr:uid="{E8EF081E-5104-4258-B5A1-B6E95CD04152}"/>
    <cellStyle name="20% - Accent4 2 2 2 2 2 3" xfId="6692" xr:uid="{085EADC1-9483-4E4E-814D-CD63D849AD30}"/>
    <cellStyle name="20% - Accent4 2 2 2 2 2_DEO ADIT Unprotected" xfId="2516" xr:uid="{FA8F696B-BED6-466F-A872-21AA0F1112EF}"/>
    <cellStyle name="20% - Accent4 2 2 2 2 3" xfId="4175" xr:uid="{A8CB7E2C-E745-47D2-8266-A2F4FCB47BF4}"/>
    <cellStyle name="20% - Accent4 2 2 2 2 3 2" xfId="7555" xr:uid="{3FAE922C-4BA8-4DBE-84D6-38A2D1C6AFE7}"/>
    <cellStyle name="20% - Accent4 2 2 2 2 4" xfId="5854" xr:uid="{09A0BECF-8AA3-4F42-B0A0-ADA33FD91867}"/>
    <cellStyle name="20% - Accent4 2 2 2 2_DEO ADIT Unprotected" xfId="2515" xr:uid="{71E13047-CC81-43B1-9BB0-8E8562C3EB54}"/>
    <cellStyle name="20% - Accent4 2 2 2 3" xfId="1761" xr:uid="{00000000-0005-0000-0000-000044000000}"/>
    <cellStyle name="20% - Accent4 2 2 2 3 2" xfId="5011" xr:uid="{1561DA9A-64C6-43B2-AB4E-CD386DD5B81D}"/>
    <cellStyle name="20% - Accent4 2 2 2 3 2 2" xfId="8391" xr:uid="{71493AC0-BF80-47D5-BB14-B2F5042E4079}"/>
    <cellStyle name="20% - Accent4 2 2 2 3 3" xfId="6691" xr:uid="{1FB4CADF-5084-4010-9E1A-BD800D4EA51F}"/>
    <cellStyle name="20% - Accent4 2 2 2 3_DEO ADIT Unprotected" xfId="2517" xr:uid="{A4F3B480-1F2C-46A7-B186-928844BEE527}"/>
    <cellStyle name="20% - Accent4 2 2 2 4" xfId="4174" xr:uid="{35DA1894-65FB-4847-9F8C-25CF50A60225}"/>
    <cellStyle name="20% - Accent4 2 2 2 4 2" xfId="7554" xr:uid="{85D853DF-FD8A-49D5-8AC0-4448B3BA6BD2}"/>
    <cellStyle name="20% - Accent4 2 2 2 5" xfId="5853" xr:uid="{F6C3BCB4-62F8-4596-AA1F-8B22B0626DE9}"/>
    <cellStyle name="20% - Accent4 2 2 2_DEO ADIT Unprotected" xfId="2514" xr:uid="{A2E6089B-F167-4ADC-B0EA-0DB4AD7D38A3}"/>
    <cellStyle name="20% - Accent4 2 2_DEO ADIT Unprotected" xfId="2513" xr:uid="{BEAE30CA-6150-46E6-9944-C5086A689C62}"/>
    <cellStyle name="20% - Accent4 2 3" xfId="615" xr:uid="{00000000-0005-0000-0000-000045000000}"/>
    <cellStyle name="20% - Accent4 2_DEO ADIT Unprotected" xfId="2512" xr:uid="{1DB4C5B3-A470-4179-A399-01AF6B667F8A}"/>
    <cellStyle name="20% - Accent4 3" xfId="616" xr:uid="{00000000-0005-0000-0000-000046000000}"/>
    <cellStyle name="20% - Accent4 3 2" xfId="617" xr:uid="{00000000-0005-0000-0000-000047000000}"/>
    <cellStyle name="20% - Accent4 3 2 2" xfId="618" xr:uid="{00000000-0005-0000-0000-000048000000}"/>
    <cellStyle name="20% - Accent4 3 2 2 2" xfId="1764" xr:uid="{00000000-0005-0000-0000-000049000000}"/>
    <cellStyle name="20% - Accent4 3 2 2 2 2" xfId="5014" xr:uid="{EDBD5ACC-E9E1-45D0-8541-6DDEBD4ECD25}"/>
    <cellStyle name="20% - Accent4 3 2 2 2 2 2" xfId="8394" xr:uid="{9AD649BF-9B7D-4159-948B-0EA8181FA0FC}"/>
    <cellStyle name="20% - Accent4 3 2 2 2 3" xfId="6694" xr:uid="{145FEA20-4DBA-4677-8DCD-61D3EE503E19}"/>
    <cellStyle name="20% - Accent4 3 2 2 2_DEO ADIT Unprotected" xfId="2521" xr:uid="{6F491880-9274-4B6E-B3A1-40DCD6237D19}"/>
    <cellStyle name="20% - Accent4 3 2 2 3" xfId="4177" xr:uid="{01759CE7-5C53-43A5-A9ED-65F9074A3FEC}"/>
    <cellStyle name="20% - Accent4 3 2 2 3 2" xfId="7557" xr:uid="{7867B6AC-1899-4B4D-AA68-D8EEA9BCB307}"/>
    <cellStyle name="20% - Accent4 3 2 2 4" xfId="5856" xr:uid="{5E4BEA86-9CA2-43C2-98D6-FA894F5178C3}"/>
    <cellStyle name="20% - Accent4 3 2 2_DEO ADIT Unprotected" xfId="2520" xr:uid="{56128D2F-60A3-4B85-8552-D7115C91F4A6}"/>
    <cellStyle name="20% - Accent4 3 2 3" xfId="1763" xr:uid="{00000000-0005-0000-0000-00004A000000}"/>
    <cellStyle name="20% - Accent4 3 2 3 2" xfId="5013" xr:uid="{E941CD89-DFD2-4BD0-9C03-CEB5D2AE734A}"/>
    <cellStyle name="20% - Accent4 3 2 3 2 2" xfId="8393" xr:uid="{5584A108-E928-4B29-979A-9120F4F2FC42}"/>
    <cellStyle name="20% - Accent4 3 2 3 3" xfId="6693" xr:uid="{C39225AA-3319-4ABA-A7FE-2EE2EE2F13A4}"/>
    <cellStyle name="20% - Accent4 3 2 3_DEO ADIT Unprotected" xfId="2522" xr:uid="{69DCD0A3-266F-4521-B6D1-24297C519195}"/>
    <cellStyle name="20% - Accent4 3 2 4" xfId="4176" xr:uid="{8B3D9794-D1B5-48AA-B9AB-953EA949ED0E}"/>
    <cellStyle name="20% - Accent4 3 2 4 2" xfId="7556" xr:uid="{8EBDB443-4C6A-472E-BA5E-38C94EA9962A}"/>
    <cellStyle name="20% - Accent4 3 2 5" xfId="5855" xr:uid="{7EBD21F7-1269-4992-91D8-A76EA46C5DD1}"/>
    <cellStyle name="20% - Accent4 3 2_DEO ADIT Unprotected" xfId="2519" xr:uid="{8826C438-4B8D-44BC-BC79-52536ED2786E}"/>
    <cellStyle name="20% - Accent4 3_DEO ADIT Unprotected" xfId="2518" xr:uid="{401199F3-FA48-48F5-B3D7-17D40060021B}"/>
    <cellStyle name="20% - Accent4 4" xfId="619" xr:uid="{00000000-0005-0000-0000-00004B000000}"/>
    <cellStyle name="20% - Accent4 4 2" xfId="620" xr:uid="{00000000-0005-0000-0000-00004C000000}"/>
    <cellStyle name="20% - Accent4 4 2 2" xfId="1766" xr:uid="{00000000-0005-0000-0000-00004D000000}"/>
    <cellStyle name="20% - Accent4 4 2 2 2" xfId="5016" xr:uid="{6679FA42-0C84-4025-8094-B989FC5B5886}"/>
    <cellStyle name="20% - Accent4 4 2 2 2 2" xfId="8396" xr:uid="{A974AB80-6C88-4CC9-A4DC-56BD05457BA1}"/>
    <cellStyle name="20% - Accent4 4 2 2 3" xfId="6696" xr:uid="{D381EE1B-B0F0-4BB3-A96B-197CCBED44FA}"/>
    <cellStyle name="20% - Accent4 4 2 2_DEO ADIT Unprotected" xfId="2525" xr:uid="{876DDD8E-208C-4628-8E05-DDE2A17B6581}"/>
    <cellStyle name="20% - Accent4 4 2 3" xfId="4179" xr:uid="{378059D8-D953-42CF-9008-DCE91A00D15B}"/>
    <cellStyle name="20% - Accent4 4 2 3 2" xfId="7559" xr:uid="{6907970B-D374-45B2-A403-357682ADDA97}"/>
    <cellStyle name="20% - Accent4 4 2 4" xfId="5858" xr:uid="{2239E4E2-83D5-43FE-8789-C9B71A93692B}"/>
    <cellStyle name="20% - Accent4 4 2_DEO ADIT Unprotected" xfId="2524" xr:uid="{52C1F421-2377-4361-8DCF-ED0A57BD62E6}"/>
    <cellStyle name="20% - Accent4 4 3" xfId="1765" xr:uid="{00000000-0005-0000-0000-00004E000000}"/>
    <cellStyle name="20% - Accent4 4 3 2" xfId="5015" xr:uid="{053808E6-ACB6-43DD-8120-35FA2D48DA51}"/>
    <cellStyle name="20% - Accent4 4 3 2 2" xfId="8395" xr:uid="{663208CC-A3A5-46A7-9C24-36799CCDB2BE}"/>
    <cellStyle name="20% - Accent4 4 3 3" xfId="6695" xr:uid="{AABD7C02-94DA-4B9A-BE5D-7F6312C2E409}"/>
    <cellStyle name="20% - Accent4 4 3_DEO ADIT Unprotected" xfId="2526" xr:uid="{7AAA5589-32EC-437E-A765-1B2447021C4A}"/>
    <cellStyle name="20% - Accent4 4 4" xfId="4178" xr:uid="{D99E62C2-71CB-40FD-B959-A8FE9CCC85F4}"/>
    <cellStyle name="20% - Accent4 4 4 2" xfId="7558" xr:uid="{CF56114A-3A84-4FBA-9B1A-53D069C3595C}"/>
    <cellStyle name="20% - Accent4 4 5" xfId="5857" xr:uid="{CEBFB45E-2E0A-4FA7-BC59-4C359C5390C2}"/>
    <cellStyle name="20% - Accent4 4_DEO ADIT Unprotected" xfId="2523" xr:uid="{AC4BCC4F-D1DE-453E-9D18-6DC26BC4A165}"/>
    <cellStyle name="20% - Accent4 5" xfId="1710" xr:uid="{00000000-0005-0000-0000-00004F000000}"/>
    <cellStyle name="20% - Accent4 5 2" xfId="4960" xr:uid="{48FD7015-CF61-4119-9C25-98C1E8C246E1}"/>
    <cellStyle name="20% - Accent4 5 2 2" xfId="8340" xr:uid="{1813B478-6C3A-4FD9-A7EC-202D0D6C989F}"/>
    <cellStyle name="20% - Accent4 5 3" xfId="6640" xr:uid="{BEB85427-9BBF-4D6E-A0F2-97ED1D1823F8}"/>
    <cellStyle name="20% - Accent4 5_DEO ADIT Unprotected" xfId="2527" xr:uid="{2189E838-8767-4A70-A55D-137EF8FF54A1}"/>
    <cellStyle name="20% - Accent4 6" xfId="4123" xr:uid="{222AD56A-B275-4497-A74F-FA2AB698A40D}"/>
    <cellStyle name="20% - Accent4 6 2" xfId="7503" xr:uid="{A2DC7E24-17E6-4819-9EDE-3AD83F09327E}"/>
    <cellStyle name="20% - Accent4 7" xfId="5802" xr:uid="{6A616A5E-CDC9-496F-AD75-B31C8C2235CE}"/>
    <cellStyle name="20% - Accent4 8" xfId="7405" xr:uid="{AD1D14A9-76AF-41D3-A483-EEC976D2CA7D}"/>
    <cellStyle name="20% - Accent4 9" xfId="9116" xr:uid="{1A694720-B0B7-4C28-8F2E-837C00E6FD0E}"/>
    <cellStyle name="20% - Accent5" xfId="545" builtinId="46" customBuiltin="1"/>
    <cellStyle name="20% - Accent5 10" xfId="9099" xr:uid="{8C61FA10-B7D0-4DF2-A1AE-99D03CA9B150}"/>
    <cellStyle name="20% - Accent5 2" xfId="621" xr:uid="{00000000-0005-0000-0000-000051000000}"/>
    <cellStyle name="20% - Accent5 2 2" xfId="622" xr:uid="{00000000-0005-0000-0000-000052000000}"/>
    <cellStyle name="20% - Accent5 2 2 2" xfId="623" xr:uid="{00000000-0005-0000-0000-000053000000}"/>
    <cellStyle name="20% - Accent5 2 2 2 2" xfId="624" xr:uid="{00000000-0005-0000-0000-000054000000}"/>
    <cellStyle name="20% - Accent5 2 2 2 2 2" xfId="1768" xr:uid="{00000000-0005-0000-0000-000055000000}"/>
    <cellStyle name="20% - Accent5 2 2 2 2 2 2" xfId="5018" xr:uid="{AFE4D90E-488D-44B0-AABE-9ECBD654C5F2}"/>
    <cellStyle name="20% - Accent5 2 2 2 2 2 2 2" xfId="8398" xr:uid="{CBCC0BAA-C634-493D-BDA0-18D972852ECF}"/>
    <cellStyle name="20% - Accent5 2 2 2 2 2 3" xfId="6698" xr:uid="{0166C84C-FF18-4D0B-AE76-C2271E9B7BD6}"/>
    <cellStyle name="20% - Accent5 2 2 2 2 2_DEO ADIT Unprotected" xfId="2532" xr:uid="{5EEC24C2-1EA7-4BE1-8F9E-FA877BAFD803}"/>
    <cellStyle name="20% - Accent5 2 2 2 2 3" xfId="4181" xr:uid="{97F42BC0-97C7-4534-9395-BECF07E8B634}"/>
    <cellStyle name="20% - Accent5 2 2 2 2 3 2" xfId="7561" xr:uid="{2D94A3CD-A7EC-42CA-B5C4-B87137A581E4}"/>
    <cellStyle name="20% - Accent5 2 2 2 2 4" xfId="5860" xr:uid="{F53BA81C-78D5-4E3C-B713-2114E969822B}"/>
    <cellStyle name="20% - Accent5 2 2 2 2_DEO ADIT Unprotected" xfId="2531" xr:uid="{57B6FED3-6059-42E3-937E-AB89031B8CD5}"/>
    <cellStyle name="20% - Accent5 2 2 2 3" xfId="1767" xr:uid="{00000000-0005-0000-0000-000056000000}"/>
    <cellStyle name="20% - Accent5 2 2 2 3 2" xfId="5017" xr:uid="{FA828375-16C5-425C-9D62-C0F78DE47149}"/>
    <cellStyle name="20% - Accent5 2 2 2 3 2 2" xfId="8397" xr:uid="{7F6BD35E-AB38-4DA6-9E7A-7C9067ECBE48}"/>
    <cellStyle name="20% - Accent5 2 2 2 3 3" xfId="6697" xr:uid="{576724BD-150A-4511-8E11-DE651202CCDC}"/>
    <cellStyle name="20% - Accent5 2 2 2 3_DEO ADIT Unprotected" xfId="2533" xr:uid="{64F9EE7A-0F98-4901-9689-8F54DE5038D3}"/>
    <cellStyle name="20% - Accent5 2 2 2 4" xfId="4180" xr:uid="{0FE0D0CB-ED5E-40B8-95D7-E357FA536B26}"/>
    <cellStyle name="20% - Accent5 2 2 2 4 2" xfId="7560" xr:uid="{35EAC1C8-B6EE-4ED4-A949-76BA5AD48DC8}"/>
    <cellStyle name="20% - Accent5 2 2 2 5" xfId="5859" xr:uid="{D7AEBD4E-2F16-4CAE-81EB-D5D8162E625C}"/>
    <cellStyle name="20% - Accent5 2 2 2_DEO ADIT Unprotected" xfId="2530" xr:uid="{4DAFFEAE-611C-4819-816B-23A19C1931B3}"/>
    <cellStyle name="20% - Accent5 2 2_DEO ADIT Unprotected" xfId="2529" xr:uid="{6461C487-CCF7-4397-953B-A8BBD4A542A2}"/>
    <cellStyle name="20% - Accent5 2 3" xfId="625" xr:uid="{00000000-0005-0000-0000-000057000000}"/>
    <cellStyle name="20% - Accent5 2_DEO ADIT Unprotected" xfId="2528" xr:uid="{5EC25D20-0B32-4C4B-AF47-66F5DC66BAB1}"/>
    <cellStyle name="20% - Accent5 3" xfId="626" xr:uid="{00000000-0005-0000-0000-000058000000}"/>
    <cellStyle name="20% - Accent5 3 2" xfId="627" xr:uid="{00000000-0005-0000-0000-000059000000}"/>
    <cellStyle name="20% - Accent5 3 2 2" xfId="628" xr:uid="{00000000-0005-0000-0000-00005A000000}"/>
    <cellStyle name="20% - Accent5 3 2 2 2" xfId="1770" xr:uid="{00000000-0005-0000-0000-00005B000000}"/>
    <cellStyle name="20% - Accent5 3 2 2 2 2" xfId="5020" xr:uid="{911E6627-8EB1-46E7-9E15-FB3981EDE2B3}"/>
    <cellStyle name="20% - Accent5 3 2 2 2 2 2" xfId="8400" xr:uid="{B5F7E5E8-29BD-46D5-B8C0-0C0AC651A6D4}"/>
    <cellStyle name="20% - Accent5 3 2 2 2 3" xfId="6700" xr:uid="{F7695753-4F65-4FB5-88FD-423B002429A8}"/>
    <cellStyle name="20% - Accent5 3 2 2 2_DEO ADIT Unprotected" xfId="2537" xr:uid="{F8F34DDC-65BD-4C74-8B23-6EDF07C502E9}"/>
    <cellStyle name="20% - Accent5 3 2 2 3" xfId="4183" xr:uid="{60F08B1B-9EED-40BC-984C-A324848A3803}"/>
    <cellStyle name="20% - Accent5 3 2 2 3 2" xfId="7563" xr:uid="{BB36D64C-01DA-4EE0-A7A2-B104FEA7255E}"/>
    <cellStyle name="20% - Accent5 3 2 2 4" xfId="5862" xr:uid="{1E76D28C-F32B-4BA5-B6DC-7656D738CA18}"/>
    <cellStyle name="20% - Accent5 3 2 2_DEO ADIT Unprotected" xfId="2536" xr:uid="{33539DF2-1DEB-4026-8921-B1BFC2FC3013}"/>
    <cellStyle name="20% - Accent5 3 2 3" xfId="1769" xr:uid="{00000000-0005-0000-0000-00005C000000}"/>
    <cellStyle name="20% - Accent5 3 2 3 2" xfId="5019" xr:uid="{EEC13F69-A604-4B54-AA00-8938CCD940AC}"/>
    <cellStyle name="20% - Accent5 3 2 3 2 2" xfId="8399" xr:uid="{C4BBDABF-C71B-40FA-978A-507DB39D8EC9}"/>
    <cellStyle name="20% - Accent5 3 2 3 3" xfId="6699" xr:uid="{E4BA4CC8-9F77-4043-B972-180EE5F6846C}"/>
    <cellStyle name="20% - Accent5 3 2 3_DEO ADIT Unprotected" xfId="2538" xr:uid="{48F71A80-C0D7-42BE-B678-CF739F116526}"/>
    <cellStyle name="20% - Accent5 3 2 4" xfId="4182" xr:uid="{44DDA7D9-E434-47CB-9514-A1F66DA1B479}"/>
    <cellStyle name="20% - Accent5 3 2 4 2" xfId="7562" xr:uid="{3B7F0531-A8C3-457E-A836-5D9597C7CC8B}"/>
    <cellStyle name="20% - Accent5 3 2 5" xfId="5861" xr:uid="{DFA2CA2D-3249-430B-B737-C3479B91CD4E}"/>
    <cellStyle name="20% - Accent5 3 2_DEO ADIT Unprotected" xfId="2535" xr:uid="{DF4B0DD2-6652-42D3-A924-28361622226A}"/>
    <cellStyle name="20% - Accent5 3_DEO ADIT Unprotected" xfId="2534" xr:uid="{E18565D4-AB13-48C5-9466-59949E237327}"/>
    <cellStyle name="20% - Accent5 4" xfId="629" xr:uid="{00000000-0005-0000-0000-00005D000000}"/>
    <cellStyle name="20% - Accent5 4 2" xfId="630" xr:uid="{00000000-0005-0000-0000-00005E000000}"/>
    <cellStyle name="20% - Accent5 4 2 2" xfId="1772" xr:uid="{00000000-0005-0000-0000-00005F000000}"/>
    <cellStyle name="20% - Accent5 4 2 2 2" xfId="5022" xr:uid="{ABD8CF3F-1808-411A-90A9-0934997B521E}"/>
    <cellStyle name="20% - Accent5 4 2 2 2 2" xfId="8402" xr:uid="{E2DDDFC6-41F9-4FA3-B8BB-ED8E48947EED}"/>
    <cellStyle name="20% - Accent5 4 2 2 3" xfId="6702" xr:uid="{7A3D9CE5-4147-403B-B3AF-B9B241B632ED}"/>
    <cellStyle name="20% - Accent5 4 2 2_DEO ADIT Unprotected" xfId="2541" xr:uid="{302CBAC0-5271-456E-912C-C23DE209558C}"/>
    <cellStyle name="20% - Accent5 4 2 3" xfId="4185" xr:uid="{07F583E5-EB21-4316-8D66-7BB240A2E5C7}"/>
    <cellStyle name="20% - Accent5 4 2 3 2" xfId="7565" xr:uid="{2A1069E2-F5CD-4950-97D1-D6A168126324}"/>
    <cellStyle name="20% - Accent5 4 2 4" xfId="5864" xr:uid="{3DEFE659-05FA-4C73-AA95-BEF1337D614C}"/>
    <cellStyle name="20% - Accent5 4 2_DEO ADIT Unprotected" xfId="2540" xr:uid="{BCF9B95F-0892-48CA-B586-647CD36F9F40}"/>
    <cellStyle name="20% - Accent5 4 3" xfId="1771" xr:uid="{00000000-0005-0000-0000-000060000000}"/>
    <cellStyle name="20% - Accent5 4 3 2" xfId="5021" xr:uid="{B4532601-C689-428F-AD37-89F5E851E5A4}"/>
    <cellStyle name="20% - Accent5 4 3 2 2" xfId="8401" xr:uid="{2B5F9FCF-6A48-4CBD-A19E-671507857D1B}"/>
    <cellStyle name="20% - Accent5 4 3 3" xfId="6701" xr:uid="{CA2501A4-739E-4AE7-880C-C5EB1B532529}"/>
    <cellStyle name="20% - Accent5 4 3_DEO ADIT Unprotected" xfId="2542" xr:uid="{40052F17-AA76-49BB-A04D-1196D0616A68}"/>
    <cellStyle name="20% - Accent5 4 4" xfId="4184" xr:uid="{E5855A9E-6EB4-4CB7-8E13-D38F6F5444AF}"/>
    <cellStyle name="20% - Accent5 4 4 2" xfId="7564" xr:uid="{40659083-C0FB-4A87-AB93-205172CECF40}"/>
    <cellStyle name="20% - Accent5 4 5" xfId="5863" xr:uid="{B1A93C56-D259-44F4-8039-DE62CF59B028}"/>
    <cellStyle name="20% - Accent5 4_DEO ADIT Unprotected" xfId="2539" xr:uid="{7F3CCBE2-37D7-4C32-A487-675F9BD0329B}"/>
    <cellStyle name="20% - Accent5 5" xfId="1712" xr:uid="{00000000-0005-0000-0000-000061000000}"/>
    <cellStyle name="20% - Accent5 5 2" xfId="4962" xr:uid="{18BBD9B9-77E6-4DD0-827A-AFC609E8C8F8}"/>
    <cellStyle name="20% - Accent5 5 2 2" xfId="8342" xr:uid="{878B7ECC-4BC0-4DA8-86A4-9ECC7916180A}"/>
    <cellStyle name="20% - Accent5 5 3" xfId="6642" xr:uid="{683B79C0-712A-4187-B8DE-193D676F3976}"/>
    <cellStyle name="20% - Accent5 5_DEO ADIT Unprotected" xfId="2543" xr:uid="{C8A4889C-3806-4A14-9A0C-128858BF7F0E}"/>
    <cellStyle name="20% - Accent5 6" xfId="4125" xr:uid="{09844859-AF31-4AA9-8998-1B5C11C32B5A}"/>
    <cellStyle name="20% - Accent5 6 2" xfId="7505" xr:uid="{4B5BCF5A-B2E9-4459-9ED8-3427E56B8FFB}"/>
    <cellStyle name="20% - Accent5 7" xfId="5804" xr:uid="{6A1E322D-654B-4E33-8C05-AC941C88DE09}"/>
    <cellStyle name="20% - Accent5 8" xfId="7406" xr:uid="{920A47C1-DAE7-47AD-A22A-F7F8459CF2E4}"/>
    <cellStyle name="20% - Accent5 9" xfId="9103" xr:uid="{DCF5D641-D216-4027-9D46-782305C91417}"/>
    <cellStyle name="20% - Accent6" xfId="549" builtinId="50" customBuiltin="1"/>
    <cellStyle name="20% - Accent6 10" xfId="7394" xr:uid="{8C51A7C9-FCFB-4EAB-858B-9E77F13175F9}"/>
    <cellStyle name="20% - Accent6 2" xfId="631" xr:uid="{00000000-0005-0000-0000-000063000000}"/>
    <cellStyle name="20% - Accent6 2 2" xfId="632" xr:uid="{00000000-0005-0000-0000-000064000000}"/>
    <cellStyle name="20% - Accent6 2 2 2" xfId="633" xr:uid="{00000000-0005-0000-0000-000065000000}"/>
    <cellStyle name="20% - Accent6 2 2 2 2" xfId="634" xr:uid="{00000000-0005-0000-0000-000066000000}"/>
    <cellStyle name="20% - Accent6 2 2 2 2 2" xfId="1774" xr:uid="{00000000-0005-0000-0000-000067000000}"/>
    <cellStyle name="20% - Accent6 2 2 2 2 2 2" xfId="5024" xr:uid="{073BD7DA-1C59-4F7A-B773-2144B7DE63C1}"/>
    <cellStyle name="20% - Accent6 2 2 2 2 2 2 2" xfId="8404" xr:uid="{B9AD4E1B-D728-438E-9FF8-01B8CB215199}"/>
    <cellStyle name="20% - Accent6 2 2 2 2 2 3" xfId="6704" xr:uid="{86CBF6FB-4E61-4F5E-86AA-55D4AFC2B7A6}"/>
    <cellStyle name="20% - Accent6 2 2 2 2 2_DEO ADIT Unprotected" xfId="2548" xr:uid="{875F6570-5C36-4E10-8A69-7FA21223E102}"/>
    <cellStyle name="20% - Accent6 2 2 2 2 3" xfId="4187" xr:uid="{9099C24F-1014-4E6B-A091-B6444C65EB7A}"/>
    <cellStyle name="20% - Accent6 2 2 2 2 3 2" xfId="7567" xr:uid="{C1732AC7-C64F-4452-9EC0-EB0E9CC09B2B}"/>
    <cellStyle name="20% - Accent6 2 2 2 2 4" xfId="5866" xr:uid="{2B74A338-BBCB-4AF3-B5DC-BFC525CE7646}"/>
    <cellStyle name="20% - Accent6 2 2 2 2_DEO ADIT Unprotected" xfId="2547" xr:uid="{ADD9DED0-861B-4D1A-94C8-CEE87B2E159C}"/>
    <cellStyle name="20% - Accent6 2 2 2 3" xfId="1773" xr:uid="{00000000-0005-0000-0000-000068000000}"/>
    <cellStyle name="20% - Accent6 2 2 2 3 2" xfId="5023" xr:uid="{661AD3AE-44D8-4D2D-B169-D0C0BBF9AEFA}"/>
    <cellStyle name="20% - Accent6 2 2 2 3 2 2" xfId="8403" xr:uid="{0B2975DA-4F6E-4E3A-B529-BC3BFCF59A82}"/>
    <cellStyle name="20% - Accent6 2 2 2 3 3" xfId="6703" xr:uid="{D5CFA152-172F-4238-A1D3-DACC19DCDF4C}"/>
    <cellStyle name="20% - Accent6 2 2 2 3_DEO ADIT Unprotected" xfId="2549" xr:uid="{F8E4A3B0-BEEF-4742-B72F-B5C4C482E8BF}"/>
    <cellStyle name="20% - Accent6 2 2 2 4" xfId="4186" xr:uid="{500D3F82-B42C-4C4A-A4D4-9639D161F82E}"/>
    <cellStyle name="20% - Accent6 2 2 2 4 2" xfId="7566" xr:uid="{96FDCAE7-7C09-4DF5-89E0-2743875F230E}"/>
    <cellStyle name="20% - Accent6 2 2 2 5" xfId="5865" xr:uid="{E77DF9F1-FFA1-43D4-81B8-9632B9BC3AEA}"/>
    <cellStyle name="20% - Accent6 2 2 2_DEO ADIT Unprotected" xfId="2546" xr:uid="{43040284-1A6C-4B7F-B883-11C5DCEDFDE7}"/>
    <cellStyle name="20% - Accent6 2 2_DEO ADIT Unprotected" xfId="2545" xr:uid="{F309913C-A0B1-46EE-998A-0064DFFF772B}"/>
    <cellStyle name="20% - Accent6 2 3" xfId="635" xr:uid="{00000000-0005-0000-0000-000069000000}"/>
    <cellStyle name="20% - Accent6 2_DEO ADIT Unprotected" xfId="2544" xr:uid="{BFACDB3F-978F-4897-9C3A-43FC6D95E6BE}"/>
    <cellStyle name="20% - Accent6 3" xfId="636" xr:uid="{00000000-0005-0000-0000-00006A000000}"/>
    <cellStyle name="20% - Accent6 3 2" xfId="637" xr:uid="{00000000-0005-0000-0000-00006B000000}"/>
    <cellStyle name="20% - Accent6 3 2 2" xfId="638" xr:uid="{00000000-0005-0000-0000-00006C000000}"/>
    <cellStyle name="20% - Accent6 3 2 2 2" xfId="1776" xr:uid="{00000000-0005-0000-0000-00006D000000}"/>
    <cellStyle name="20% - Accent6 3 2 2 2 2" xfId="5026" xr:uid="{D29F8F38-23F8-4505-AF48-A7C3CD1BD615}"/>
    <cellStyle name="20% - Accent6 3 2 2 2 2 2" xfId="8406" xr:uid="{CA0CE742-BEEE-4ACD-8EFF-0230E343AAE9}"/>
    <cellStyle name="20% - Accent6 3 2 2 2 3" xfId="6706" xr:uid="{7B43C3F0-F270-4F4E-A73C-C1C32BE825C8}"/>
    <cellStyle name="20% - Accent6 3 2 2 2_DEO ADIT Unprotected" xfId="2553" xr:uid="{88548B35-E125-4933-B9F1-91E50D1AEF7D}"/>
    <cellStyle name="20% - Accent6 3 2 2 3" xfId="4189" xr:uid="{97A2B0EE-0DA0-4708-AECB-7FADAD371CD5}"/>
    <cellStyle name="20% - Accent6 3 2 2 3 2" xfId="7569" xr:uid="{939AF8C9-7D62-4144-82D5-53F1F9A28483}"/>
    <cellStyle name="20% - Accent6 3 2 2 4" xfId="5868" xr:uid="{E487BC1B-0EBD-4349-AA92-6F1EDA749268}"/>
    <cellStyle name="20% - Accent6 3 2 2_DEO ADIT Unprotected" xfId="2552" xr:uid="{6C4D8A1F-A3B5-4716-BA97-0A380BEB4AB8}"/>
    <cellStyle name="20% - Accent6 3 2 3" xfId="1775" xr:uid="{00000000-0005-0000-0000-00006E000000}"/>
    <cellStyle name="20% - Accent6 3 2 3 2" xfId="5025" xr:uid="{2E0AA9FA-D0D6-4357-AC2B-E1514E6F3768}"/>
    <cellStyle name="20% - Accent6 3 2 3 2 2" xfId="8405" xr:uid="{4EAC9391-ED97-4792-8D87-1D99CE5B40B2}"/>
    <cellStyle name="20% - Accent6 3 2 3 3" xfId="6705" xr:uid="{B063CCFF-0050-48CA-8FD6-03916D7A6B6F}"/>
    <cellStyle name="20% - Accent6 3 2 3_DEO ADIT Unprotected" xfId="2554" xr:uid="{76047039-A01F-49C5-B014-6860FFED48AA}"/>
    <cellStyle name="20% - Accent6 3 2 4" xfId="4188" xr:uid="{87EAAD58-1603-4EC3-901B-887031E03D1F}"/>
    <cellStyle name="20% - Accent6 3 2 4 2" xfId="7568" xr:uid="{DE8AA698-D10B-4B1F-95C9-D494D413FE5A}"/>
    <cellStyle name="20% - Accent6 3 2 5" xfId="5867" xr:uid="{058A95D7-5C3E-4642-94C7-EF7CDD584486}"/>
    <cellStyle name="20% - Accent6 3 2_DEO ADIT Unprotected" xfId="2551" xr:uid="{91D14C32-1016-4792-ABF4-E9ABC123495A}"/>
    <cellStyle name="20% - Accent6 3_DEO ADIT Unprotected" xfId="2550" xr:uid="{4A873AC2-4E20-4E52-9B34-1E12CF68FF5E}"/>
    <cellStyle name="20% - Accent6 4" xfId="639" xr:uid="{00000000-0005-0000-0000-00006F000000}"/>
    <cellStyle name="20% - Accent6 4 2" xfId="640" xr:uid="{00000000-0005-0000-0000-000070000000}"/>
    <cellStyle name="20% - Accent6 4 2 2" xfId="1778" xr:uid="{00000000-0005-0000-0000-000071000000}"/>
    <cellStyle name="20% - Accent6 4 2 2 2" xfId="5028" xr:uid="{D0E3669E-961E-4F4D-9D99-3960E5EDCC2B}"/>
    <cellStyle name="20% - Accent6 4 2 2 2 2" xfId="8408" xr:uid="{2BB8C5D5-DAE1-48E5-BA5D-A3946F130FA4}"/>
    <cellStyle name="20% - Accent6 4 2 2 3" xfId="6708" xr:uid="{D5ACA547-9A15-4CBD-8354-D60A03D01967}"/>
    <cellStyle name="20% - Accent6 4 2 2_DEO ADIT Unprotected" xfId="2557" xr:uid="{43906C3D-32D9-4C53-9F9B-77F9CF04C044}"/>
    <cellStyle name="20% - Accent6 4 2 3" xfId="4191" xr:uid="{C182C4CA-DF69-407C-A163-ACB2AD4FDF93}"/>
    <cellStyle name="20% - Accent6 4 2 3 2" xfId="7571" xr:uid="{904CC32D-EF1A-4D97-8A98-856771C16F75}"/>
    <cellStyle name="20% - Accent6 4 2 4" xfId="5870" xr:uid="{AE711209-F671-4311-845F-6563AEA6C8FD}"/>
    <cellStyle name="20% - Accent6 4 2_DEO ADIT Unprotected" xfId="2556" xr:uid="{2E672708-769F-40D5-AEA7-8DC4DD3F89B6}"/>
    <cellStyle name="20% - Accent6 4 3" xfId="1777" xr:uid="{00000000-0005-0000-0000-000072000000}"/>
    <cellStyle name="20% - Accent6 4 3 2" xfId="5027" xr:uid="{E87B5DD6-034C-4AFC-83B5-967E96E0AEBB}"/>
    <cellStyle name="20% - Accent6 4 3 2 2" xfId="8407" xr:uid="{EDE9D123-57F2-4FF0-85D9-A2EDA81C7EB8}"/>
    <cellStyle name="20% - Accent6 4 3 3" xfId="6707" xr:uid="{CC5E6039-D8DB-414E-8BE7-20BC839EBE8D}"/>
    <cellStyle name="20% - Accent6 4 3_DEO ADIT Unprotected" xfId="2558" xr:uid="{1A368919-71B8-420C-A0D8-0E3922921E4B}"/>
    <cellStyle name="20% - Accent6 4 4" xfId="4190" xr:uid="{C3034EBB-080A-4B8A-95AE-F1EE3720534D}"/>
    <cellStyle name="20% - Accent6 4 4 2" xfId="7570" xr:uid="{D1A2FB3D-F94D-4FBD-9D52-09D4EAAF0999}"/>
    <cellStyle name="20% - Accent6 4 5" xfId="5869" xr:uid="{D00A8037-0FF1-4BB6-AEF4-0A7889E87478}"/>
    <cellStyle name="20% - Accent6 4_DEO ADIT Unprotected" xfId="2555" xr:uid="{3ACA0E34-4922-4A8F-830F-3C8EDCFF733F}"/>
    <cellStyle name="20% - Accent6 5" xfId="1714" xr:uid="{00000000-0005-0000-0000-000073000000}"/>
    <cellStyle name="20% - Accent6 5 2" xfId="4964" xr:uid="{27D4DBF9-D08C-4067-BDB0-6A8A37F65F72}"/>
    <cellStyle name="20% - Accent6 5 2 2" xfId="8344" xr:uid="{945123E5-ABBC-4433-BBA7-F628DD4BAD81}"/>
    <cellStyle name="20% - Accent6 5 3" xfId="6644" xr:uid="{A0AD68E2-5EF6-4144-9586-74F99F67EDC9}"/>
    <cellStyle name="20% - Accent6 5_DEO ADIT Unprotected" xfId="2559" xr:uid="{5CFA243D-D6BC-4DFE-92A0-2CD4A39764F3}"/>
    <cellStyle name="20% - Accent6 6" xfId="4127" xr:uid="{D39D1D76-C855-4248-A181-329CCA53F7AA}"/>
    <cellStyle name="20% - Accent6 6 2" xfId="7507" xr:uid="{DB3033EA-D1C3-4CB4-BDC9-FABC791F6207}"/>
    <cellStyle name="20% - Accent6 7" xfId="5806" xr:uid="{0A2668DA-58FB-44E4-95C9-3AA31559119B}"/>
    <cellStyle name="20% - Accent6 8" xfId="7402" xr:uid="{845961A5-470C-4292-BFCF-B94322B1A9EC}"/>
    <cellStyle name="20% - Accent6 9" xfId="9093" xr:uid="{8E38DF21-639D-4C91-BD40-D562C2FF34A2}"/>
    <cellStyle name="40% - Accent1" xfId="530" builtinId="31" customBuiltin="1"/>
    <cellStyle name="40% - Accent1 10" xfId="9101" xr:uid="{482693E8-9948-43F8-B65E-F6B75C0D8AD0}"/>
    <cellStyle name="40% - Accent1 2" xfId="641" xr:uid="{00000000-0005-0000-0000-000075000000}"/>
    <cellStyle name="40% - Accent1 2 2" xfId="642" xr:uid="{00000000-0005-0000-0000-000076000000}"/>
    <cellStyle name="40% - Accent1 2 2 2" xfId="643" xr:uid="{00000000-0005-0000-0000-000077000000}"/>
    <cellStyle name="40% - Accent1 2 2 2 2" xfId="644" xr:uid="{00000000-0005-0000-0000-000078000000}"/>
    <cellStyle name="40% - Accent1 2 2 2 2 2" xfId="1780" xr:uid="{00000000-0005-0000-0000-000079000000}"/>
    <cellStyle name="40% - Accent1 2 2 2 2 2 2" xfId="5030" xr:uid="{DB59C5CD-93B1-40F6-8D79-507133D7AADB}"/>
    <cellStyle name="40% - Accent1 2 2 2 2 2 2 2" xfId="8410" xr:uid="{8D493A99-C72D-4410-90B2-BEC98CD8DC87}"/>
    <cellStyle name="40% - Accent1 2 2 2 2 2 3" xfId="6710" xr:uid="{B043FE78-1DCB-4ABF-8BC6-20EB8CA515FC}"/>
    <cellStyle name="40% - Accent1 2 2 2 2 2_DEO ADIT Unprotected" xfId="2564" xr:uid="{83AB4E3E-7862-43A0-9F9D-D5EDB543FAFE}"/>
    <cellStyle name="40% - Accent1 2 2 2 2 3" xfId="4193" xr:uid="{5408DCC9-4195-4FDC-9458-7FD56C4B8514}"/>
    <cellStyle name="40% - Accent1 2 2 2 2 3 2" xfId="7573" xr:uid="{9837FE29-94B0-4964-B8E5-F74DE235A057}"/>
    <cellStyle name="40% - Accent1 2 2 2 2 4" xfId="5872" xr:uid="{A766BD49-12F3-4E96-A6CA-D6CB6E97425C}"/>
    <cellStyle name="40% - Accent1 2 2 2 2_DEO ADIT Unprotected" xfId="2563" xr:uid="{7C2D8A4D-A322-4AE4-A174-82059C819E14}"/>
    <cellStyle name="40% - Accent1 2 2 2 3" xfId="1779" xr:uid="{00000000-0005-0000-0000-00007A000000}"/>
    <cellStyle name="40% - Accent1 2 2 2 3 2" xfId="5029" xr:uid="{C5BB02DD-9E7B-407F-8E1F-569D190A682F}"/>
    <cellStyle name="40% - Accent1 2 2 2 3 2 2" xfId="8409" xr:uid="{8F3F3A51-0EC1-4BFB-9A42-23A18BD92750}"/>
    <cellStyle name="40% - Accent1 2 2 2 3 3" xfId="6709" xr:uid="{1C6D1B5C-D97E-49AF-8E0A-7A0107EE5C5E}"/>
    <cellStyle name="40% - Accent1 2 2 2 3_DEO ADIT Unprotected" xfId="2565" xr:uid="{2B3B28E3-201A-4F81-9EE7-1AE74F036CDF}"/>
    <cellStyle name="40% - Accent1 2 2 2 4" xfId="4192" xr:uid="{5616DD92-DD39-4515-9200-8EC56C4DCEB2}"/>
    <cellStyle name="40% - Accent1 2 2 2 4 2" xfId="7572" xr:uid="{7928CF19-E11C-4EF1-B900-7AACC14A11B3}"/>
    <cellStyle name="40% - Accent1 2 2 2 5" xfId="5871" xr:uid="{14CD45FE-CF61-471F-AB45-5FE63E32DD4E}"/>
    <cellStyle name="40% - Accent1 2 2 2_DEO ADIT Unprotected" xfId="2562" xr:uid="{81C20DBD-158D-40C3-A139-81841D9977C5}"/>
    <cellStyle name="40% - Accent1 2 2_DEO ADIT Unprotected" xfId="2561" xr:uid="{F939CD5A-A4BF-47EC-B44A-81E8583F4B7D}"/>
    <cellStyle name="40% - Accent1 2 3" xfId="645" xr:uid="{00000000-0005-0000-0000-00007B000000}"/>
    <cellStyle name="40% - Accent1 2_DEO ADIT Unprotected" xfId="2560" xr:uid="{CF4C31DF-6245-4133-8471-CE0B28770667}"/>
    <cellStyle name="40% - Accent1 3" xfId="646" xr:uid="{00000000-0005-0000-0000-00007C000000}"/>
    <cellStyle name="40% - Accent1 3 2" xfId="647" xr:uid="{00000000-0005-0000-0000-00007D000000}"/>
    <cellStyle name="40% - Accent1 3 2 2" xfId="648" xr:uid="{00000000-0005-0000-0000-00007E000000}"/>
    <cellStyle name="40% - Accent1 3 2 2 2" xfId="1782" xr:uid="{00000000-0005-0000-0000-00007F000000}"/>
    <cellStyle name="40% - Accent1 3 2 2 2 2" xfId="5032" xr:uid="{0D83A7C3-D821-4D9C-A6AD-6845244A812A}"/>
    <cellStyle name="40% - Accent1 3 2 2 2 2 2" xfId="8412" xr:uid="{130F1A6C-3AC6-453B-B82B-DF3480076D39}"/>
    <cellStyle name="40% - Accent1 3 2 2 2 3" xfId="6712" xr:uid="{93D5ED36-55D3-4643-B433-F8250451D01C}"/>
    <cellStyle name="40% - Accent1 3 2 2 2_DEO ADIT Unprotected" xfId="2569" xr:uid="{4079178F-2847-4350-AAD6-55C440072B66}"/>
    <cellStyle name="40% - Accent1 3 2 2 3" xfId="4195" xr:uid="{E4E4C01D-216C-4828-A8CE-C05A26E8289B}"/>
    <cellStyle name="40% - Accent1 3 2 2 3 2" xfId="7575" xr:uid="{B5424F18-135E-43EF-BCF5-5813A6D8D298}"/>
    <cellStyle name="40% - Accent1 3 2 2 4" xfId="5874" xr:uid="{707FB70F-62CB-4773-9097-00AC56C0CFAA}"/>
    <cellStyle name="40% - Accent1 3 2 2_DEO ADIT Unprotected" xfId="2568" xr:uid="{36C5E3A3-28E2-4336-97AA-A6E99B47599C}"/>
    <cellStyle name="40% - Accent1 3 2 3" xfId="1781" xr:uid="{00000000-0005-0000-0000-000080000000}"/>
    <cellStyle name="40% - Accent1 3 2 3 2" xfId="5031" xr:uid="{DE9613E1-E772-48AF-B179-CAE2E0223EB8}"/>
    <cellStyle name="40% - Accent1 3 2 3 2 2" xfId="8411" xr:uid="{B24D64DF-FE49-44D9-93A2-3C4ADF82A639}"/>
    <cellStyle name="40% - Accent1 3 2 3 3" xfId="6711" xr:uid="{2CEE9E93-4484-4C40-A06B-3B34E52A2B74}"/>
    <cellStyle name="40% - Accent1 3 2 3_DEO ADIT Unprotected" xfId="2570" xr:uid="{825B3BEC-A066-46E3-A4A4-3D7ED82C3386}"/>
    <cellStyle name="40% - Accent1 3 2 4" xfId="4194" xr:uid="{4CD08253-E70D-489B-B2DF-AD3852E66FB7}"/>
    <cellStyle name="40% - Accent1 3 2 4 2" xfId="7574" xr:uid="{D32C5486-1C81-4A34-9617-13B186F2132A}"/>
    <cellStyle name="40% - Accent1 3 2 5" xfId="5873" xr:uid="{746FA7B7-76D2-4FEA-AB40-6A5859F9A50E}"/>
    <cellStyle name="40% - Accent1 3 2_DEO ADIT Unprotected" xfId="2567" xr:uid="{54D0D37E-981E-495C-A311-3B5BE0E805A3}"/>
    <cellStyle name="40% - Accent1 3_DEO ADIT Unprotected" xfId="2566" xr:uid="{34F900CF-49F3-4068-906B-C6BB18ACC53B}"/>
    <cellStyle name="40% - Accent1 4" xfId="649" xr:uid="{00000000-0005-0000-0000-000081000000}"/>
    <cellStyle name="40% - Accent1 4 2" xfId="650" xr:uid="{00000000-0005-0000-0000-000082000000}"/>
    <cellStyle name="40% - Accent1 4 2 2" xfId="1784" xr:uid="{00000000-0005-0000-0000-000083000000}"/>
    <cellStyle name="40% - Accent1 4 2 2 2" xfId="5034" xr:uid="{FF040EC5-56C9-4BF7-BB62-7E795E9251F8}"/>
    <cellStyle name="40% - Accent1 4 2 2 2 2" xfId="8414" xr:uid="{5199C66B-08E4-490F-A998-037A2E6991FB}"/>
    <cellStyle name="40% - Accent1 4 2 2 3" xfId="6714" xr:uid="{A44157DF-E8A8-4019-A5D8-1AA8AC99F50F}"/>
    <cellStyle name="40% - Accent1 4 2 2_DEO ADIT Unprotected" xfId="2573" xr:uid="{A1816D70-C7E1-4A0D-818D-0BC017E61810}"/>
    <cellStyle name="40% - Accent1 4 2 3" xfId="4197" xr:uid="{83051D2C-06D9-4FE2-9F16-C5AEE21B5B9D}"/>
    <cellStyle name="40% - Accent1 4 2 3 2" xfId="7577" xr:uid="{2E253FFF-217C-42E2-9AC5-DB0E76DBB046}"/>
    <cellStyle name="40% - Accent1 4 2 4" xfId="5876" xr:uid="{561D971C-15F2-4C60-81EC-D7E6554AB909}"/>
    <cellStyle name="40% - Accent1 4 2_DEO ADIT Unprotected" xfId="2572" xr:uid="{4354D7A4-1CC8-4E05-8597-5B8FBDAC7770}"/>
    <cellStyle name="40% - Accent1 4 3" xfId="1783" xr:uid="{00000000-0005-0000-0000-000084000000}"/>
    <cellStyle name="40% - Accent1 4 3 2" xfId="5033" xr:uid="{2257AFBF-600D-4334-9E6C-997CD220685D}"/>
    <cellStyle name="40% - Accent1 4 3 2 2" xfId="8413" xr:uid="{328397E7-39A6-4A4C-BCFA-6C3699ACE1E7}"/>
    <cellStyle name="40% - Accent1 4 3 3" xfId="6713" xr:uid="{9AA9955F-27E8-435B-9525-CC211B43B317}"/>
    <cellStyle name="40% - Accent1 4 3_DEO ADIT Unprotected" xfId="2574" xr:uid="{4349298F-F39D-47D8-9CD3-01D3CB96A17C}"/>
    <cellStyle name="40% - Accent1 4 4" xfId="4196" xr:uid="{70D0658D-CA2F-4333-BAC5-B6750708EA99}"/>
    <cellStyle name="40% - Accent1 4 4 2" xfId="7576" xr:uid="{73B555A2-9A4C-446D-9429-2460295951F8}"/>
    <cellStyle name="40% - Accent1 4 5" xfId="5875" xr:uid="{9F358BA3-327E-4243-8AC7-5F706E0AD00D}"/>
    <cellStyle name="40% - Accent1 4_DEO ADIT Unprotected" xfId="2571" xr:uid="{D4DF145D-A3F3-494B-A50C-E87BFDFAD949}"/>
    <cellStyle name="40% - Accent1 5" xfId="1705" xr:uid="{00000000-0005-0000-0000-000085000000}"/>
    <cellStyle name="40% - Accent1 5 2" xfId="4955" xr:uid="{0165E3B2-DD52-4006-B4D6-1C18241A9BA5}"/>
    <cellStyle name="40% - Accent1 5 2 2" xfId="8335" xr:uid="{F31A5763-3C59-457C-B3C8-418D49DC7C6B}"/>
    <cellStyle name="40% - Accent1 5 3" xfId="6635" xr:uid="{D96E490B-4EC5-4BB7-80AA-4FA2A65B2C7A}"/>
    <cellStyle name="40% - Accent1 5_DEO ADIT Unprotected" xfId="2575" xr:uid="{65B54BE8-DCD9-4ED6-BE31-0E01897249F6}"/>
    <cellStyle name="40% - Accent1 6" xfId="4118" xr:uid="{66DD8BE9-3E81-4D29-AA92-464106BE24BA}"/>
    <cellStyle name="40% - Accent1 6 2" xfId="7498" xr:uid="{C1BE0839-6747-4856-8227-2B9C3EA52850}"/>
    <cellStyle name="40% - Accent1 7" xfId="5797" xr:uid="{EB67A6EF-1A50-4291-9035-6AD77E1F3D31}"/>
    <cellStyle name="40% - Accent1 8" xfId="7414" xr:uid="{4BABDDF3-A2D9-41AF-87BE-1A5651CF5864}"/>
    <cellStyle name="40% - Accent1 9" xfId="9096" xr:uid="{4E2179C1-C9B2-424B-B823-3BBB024E84D6}"/>
    <cellStyle name="40% - Accent2" xfId="534" builtinId="35" customBuiltin="1"/>
    <cellStyle name="40% - Accent2 10" xfId="5721" xr:uid="{394CFEC3-A437-4846-A2AE-F39BFAE15C2A}"/>
    <cellStyle name="40% - Accent2 2" xfId="651" xr:uid="{00000000-0005-0000-0000-000087000000}"/>
    <cellStyle name="40% - Accent2 2 2" xfId="652" xr:uid="{00000000-0005-0000-0000-000088000000}"/>
    <cellStyle name="40% - Accent2 2 2 2" xfId="653" xr:uid="{00000000-0005-0000-0000-000089000000}"/>
    <cellStyle name="40% - Accent2 2 2 2 2" xfId="654" xr:uid="{00000000-0005-0000-0000-00008A000000}"/>
    <cellStyle name="40% - Accent2 2 2 2 2 2" xfId="1786" xr:uid="{00000000-0005-0000-0000-00008B000000}"/>
    <cellStyle name="40% - Accent2 2 2 2 2 2 2" xfId="5036" xr:uid="{9444FF85-6B02-406B-9BB8-E8EC187A7869}"/>
    <cellStyle name="40% - Accent2 2 2 2 2 2 2 2" xfId="8416" xr:uid="{FC6EE748-5FB2-4B2F-B4FC-4E3B57C76C87}"/>
    <cellStyle name="40% - Accent2 2 2 2 2 2 3" xfId="6716" xr:uid="{FA35DC97-F49D-4DD1-BDBF-C968C0FA922F}"/>
    <cellStyle name="40% - Accent2 2 2 2 2 2_DEO ADIT Unprotected" xfId="2580" xr:uid="{C1786E64-DCC2-476E-848C-43E41095AC96}"/>
    <cellStyle name="40% - Accent2 2 2 2 2 3" xfId="4199" xr:uid="{0D860B0E-6BF1-4EB6-B94E-B04FFE9F280F}"/>
    <cellStyle name="40% - Accent2 2 2 2 2 3 2" xfId="7579" xr:uid="{C5EE4E73-F3B4-46E3-822B-31D94FAE0F32}"/>
    <cellStyle name="40% - Accent2 2 2 2 2 4" xfId="5878" xr:uid="{D69A2E1D-5EA7-44FF-9AD4-7BD243156944}"/>
    <cellStyle name="40% - Accent2 2 2 2 2_DEO ADIT Unprotected" xfId="2579" xr:uid="{7F122CAA-394A-4E34-AFF2-29DF0136F227}"/>
    <cellStyle name="40% - Accent2 2 2 2 3" xfId="1785" xr:uid="{00000000-0005-0000-0000-00008C000000}"/>
    <cellStyle name="40% - Accent2 2 2 2 3 2" xfId="5035" xr:uid="{779252C2-A76F-4E70-BF63-B3CD8AB89C56}"/>
    <cellStyle name="40% - Accent2 2 2 2 3 2 2" xfId="8415" xr:uid="{8342F2C8-134E-449A-BDB9-15ACDA3BED58}"/>
    <cellStyle name="40% - Accent2 2 2 2 3 3" xfId="6715" xr:uid="{16556460-4BC5-4325-9684-22E928A6FCAE}"/>
    <cellStyle name="40% - Accent2 2 2 2 3_DEO ADIT Unprotected" xfId="2581" xr:uid="{D247A1A2-0052-46D2-901B-F791D4F2F77B}"/>
    <cellStyle name="40% - Accent2 2 2 2 4" xfId="4198" xr:uid="{FFCFA799-6F27-4F7D-B0C6-CB123751B9CD}"/>
    <cellStyle name="40% - Accent2 2 2 2 4 2" xfId="7578" xr:uid="{CE785163-2018-4BCA-B0A3-AA9D422C3874}"/>
    <cellStyle name="40% - Accent2 2 2 2 5" xfId="5877" xr:uid="{43311901-84A3-4EDC-97E1-5F6AD79C012A}"/>
    <cellStyle name="40% - Accent2 2 2 2_DEO ADIT Unprotected" xfId="2578" xr:uid="{BBBBF921-A08B-4977-985F-53971FD8416B}"/>
    <cellStyle name="40% - Accent2 2 2_DEO ADIT Unprotected" xfId="2577" xr:uid="{DB7EBD47-8320-4DFC-BC76-921B645DCDBC}"/>
    <cellStyle name="40% - Accent2 2 3" xfId="655" xr:uid="{00000000-0005-0000-0000-00008D000000}"/>
    <cellStyle name="40% - Accent2 2_DEO ADIT Unprotected" xfId="2576" xr:uid="{3C13DF69-AB22-445C-ADDD-0726FB9CEE80}"/>
    <cellStyle name="40% - Accent2 3" xfId="656" xr:uid="{00000000-0005-0000-0000-00008E000000}"/>
    <cellStyle name="40% - Accent2 3 2" xfId="657" xr:uid="{00000000-0005-0000-0000-00008F000000}"/>
    <cellStyle name="40% - Accent2 3 2 2" xfId="658" xr:uid="{00000000-0005-0000-0000-000090000000}"/>
    <cellStyle name="40% - Accent2 3 2 2 2" xfId="1788" xr:uid="{00000000-0005-0000-0000-000091000000}"/>
    <cellStyle name="40% - Accent2 3 2 2 2 2" xfId="5038" xr:uid="{F92BF197-5EFE-4945-B589-67752ECCB14A}"/>
    <cellStyle name="40% - Accent2 3 2 2 2 2 2" xfId="8418" xr:uid="{4F53414E-2B9D-4539-AE29-CEA4BE25F111}"/>
    <cellStyle name="40% - Accent2 3 2 2 2 3" xfId="6718" xr:uid="{74A16C1F-5A20-49A8-A715-B9347AFEFC63}"/>
    <cellStyle name="40% - Accent2 3 2 2 2_DEO ADIT Unprotected" xfId="2585" xr:uid="{FB4AB72A-1BFD-4EDF-8062-87CEF13EFAF4}"/>
    <cellStyle name="40% - Accent2 3 2 2 3" xfId="4201" xr:uid="{5C05E0CB-3766-4001-8D35-BA43D67CDEE7}"/>
    <cellStyle name="40% - Accent2 3 2 2 3 2" xfId="7581" xr:uid="{51EBCDE7-2BE3-40E9-A16A-6B86B132AA61}"/>
    <cellStyle name="40% - Accent2 3 2 2 4" xfId="5880" xr:uid="{327EDF43-34A3-4F36-9934-1AC8199D0243}"/>
    <cellStyle name="40% - Accent2 3 2 2_DEO ADIT Unprotected" xfId="2584" xr:uid="{99181E6C-6B0D-49E4-8E83-E8A74BEFF4CF}"/>
    <cellStyle name="40% - Accent2 3 2 3" xfId="1787" xr:uid="{00000000-0005-0000-0000-000092000000}"/>
    <cellStyle name="40% - Accent2 3 2 3 2" xfId="5037" xr:uid="{B2469939-1E9D-4C8C-A42B-31E291CE3C0C}"/>
    <cellStyle name="40% - Accent2 3 2 3 2 2" xfId="8417" xr:uid="{62BBB52F-2996-45E9-A1D0-E2CAD4E4A721}"/>
    <cellStyle name="40% - Accent2 3 2 3 3" xfId="6717" xr:uid="{9174589C-0BE9-4CC2-8CD8-CA33D45A559E}"/>
    <cellStyle name="40% - Accent2 3 2 3_DEO ADIT Unprotected" xfId="2586" xr:uid="{0AEA30DE-8A49-409B-A56E-01185F5AAC3E}"/>
    <cellStyle name="40% - Accent2 3 2 4" xfId="4200" xr:uid="{03592209-1497-475F-8288-D0480FF6DB35}"/>
    <cellStyle name="40% - Accent2 3 2 4 2" xfId="7580" xr:uid="{2E428937-E210-4851-B000-90FD51F09074}"/>
    <cellStyle name="40% - Accent2 3 2 5" xfId="5879" xr:uid="{78029AA4-C85C-42E3-9274-A5635AB22F32}"/>
    <cellStyle name="40% - Accent2 3 2_DEO ADIT Unprotected" xfId="2583" xr:uid="{27A8449A-3FA2-47D9-BB73-DD6C61A839A8}"/>
    <cellStyle name="40% - Accent2 3_DEO ADIT Unprotected" xfId="2582" xr:uid="{4CD11600-BACC-4213-A0B9-7437A37A6125}"/>
    <cellStyle name="40% - Accent2 4" xfId="659" xr:uid="{00000000-0005-0000-0000-000093000000}"/>
    <cellStyle name="40% - Accent2 4 2" xfId="660" xr:uid="{00000000-0005-0000-0000-000094000000}"/>
    <cellStyle name="40% - Accent2 4 2 2" xfId="1790" xr:uid="{00000000-0005-0000-0000-000095000000}"/>
    <cellStyle name="40% - Accent2 4 2 2 2" xfId="5040" xr:uid="{BEBE9EA4-D4EA-4E9C-95DB-285D389C3231}"/>
    <cellStyle name="40% - Accent2 4 2 2 2 2" xfId="8420" xr:uid="{7DF34CE4-A135-4F4C-8F85-A1D48082A7EA}"/>
    <cellStyle name="40% - Accent2 4 2 2 3" xfId="6720" xr:uid="{757F1D4C-2184-4572-8EF9-793FB8ABD8C2}"/>
    <cellStyle name="40% - Accent2 4 2 2_DEO ADIT Unprotected" xfId="2589" xr:uid="{7DC84300-70E8-4E77-B9CB-5F5045078263}"/>
    <cellStyle name="40% - Accent2 4 2 3" xfId="4203" xr:uid="{E3D0A10F-F848-4E18-B75F-387B498B4FB9}"/>
    <cellStyle name="40% - Accent2 4 2 3 2" xfId="7583" xr:uid="{496806D9-468C-4D1D-8F28-628E492C898D}"/>
    <cellStyle name="40% - Accent2 4 2 4" xfId="5882" xr:uid="{37986FB3-1ACA-44CF-90AF-0D1177D952DC}"/>
    <cellStyle name="40% - Accent2 4 2_DEO ADIT Unprotected" xfId="2588" xr:uid="{5FA65CF7-9A20-440B-BE7E-9C3C792DA0C9}"/>
    <cellStyle name="40% - Accent2 4 3" xfId="1789" xr:uid="{00000000-0005-0000-0000-000096000000}"/>
    <cellStyle name="40% - Accent2 4 3 2" xfId="5039" xr:uid="{A5B5E26C-F61B-4A1D-988B-52416041A991}"/>
    <cellStyle name="40% - Accent2 4 3 2 2" xfId="8419" xr:uid="{647D4909-5133-4B23-9942-F171DE3E7180}"/>
    <cellStyle name="40% - Accent2 4 3 3" xfId="6719" xr:uid="{39295171-79F3-47F0-87C0-22FF767F2B9C}"/>
    <cellStyle name="40% - Accent2 4 3_DEO ADIT Unprotected" xfId="2590" xr:uid="{DAD8A612-DF4F-4FA8-B368-53445495FA7B}"/>
    <cellStyle name="40% - Accent2 4 4" xfId="4202" xr:uid="{42F57E1A-A48C-4744-A2FD-C5D435F57C79}"/>
    <cellStyle name="40% - Accent2 4 4 2" xfId="7582" xr:uid="{7246BB3C-C3FF-4092-BB9A-87562C1821D0}"/>
    <cellStyle name="40% - Accent2 4 5" xfId="5881" xr:uid="{24252431-17F8-4B02-8FD4-948C9AAB1933}"/>
    <cellStyle name="40% - Accent2 4_DEO ADIT Unprotected" xfId="2587" xr:uid="{27E569AD-0C8E-4E0B-9731-A264338836AA}"/>
    <cellStyle name="40% - Accent2 5" xfId="1707" xr:uid="{00000000-0005-0000-0000-000097000000}"/>
    <cellStyle name="40% - Accent2 5 2" xfId="4957" xr:uid="{E5196F51-5430-4666-9B0E-2744EC8A162B}"/>
    <cellStyle name="40% - Accent2 5 2 2" xfId="8337" xr:uid="{1B301088-07EB-41BA-8220-EFB23E020DB1}"/>
    <cellStyle name="40% - Accent2 5 3" xfId="6637" xr:uid="{C6F8A1CF-8234-416C-A23B-82FE7024AAD3}"/>
    <cellStyle name="40% - Accent2 5_DEO ADIT Unprotected" xfId="2591" xr:uid="{945327EE-BAB5-4A1F-99D4-429F399657F4}"/>
    <cellStyle name="40% - Accent2 6" xfId="4120" xr:uid="{2339D191-F5CD-45A6-BCB1-809C29B819EE}"/>
    <cellStyle name="40% - Accent2 6 2" xfId="7500" xr:uid="{5BF1F861-03F7-4318-8CC8-6520147AC871}"/>
    <cellStyle name="40% - Accent2 7" xfId="5799" xr:uid="{E6F76AD1-0CCC-4503-B4CF-016CF27683F2}"/>
    <cellStyle name="40% - Accent2 8" xfId="7412" xr:uid="{986EFE0A-DE7B-449C-A446-1F3A095F5D5D}"/>
    <cellStyle name="40% - Accent2 9" xfId="9111" xr:uid="{9245F412-DE21-4E88-BC24-782629502283}"/>
    <cellStyle name="40% - Accent3" xfId="538" builtinId="39" customBuiltin="1"/>
    <cellStyle name="40% - Accent3 10" xfId="9098" xr:uid="{DDC6A00F-F8F2-4B2C-AEB9-B88F8D064201}"/>
    <cellStyle name="40% - Accent3 2" xfId="661" xr:uid="{00000000-0005-0000-0000-000099000000}"/>
    <cellStyle name="40% - Accent3 2 2" xfId="662" xr:uid="{00000000-0005-0000-0000-00009A000000}"/>
    <cellStyle name="40% - Accent3 2 2 2" xfId="663" xr:uid="{00000000-0005-0000-0000-00009B000000}"/>
    <cellStyle name="40% - Accent3 2 2 2 2" xfId="664" xr:uid="{00000000-0005-0000-0000-00009C000000}"/>
    <cellStyle name="40% - Accent3 2 2 2 2 2" xfId="1792" xr:uid="{00000000-0005-0000-0000-00009D000000}"/>
    <cellStyle name="40% - Accent3 2 2 2 2 2 2" xfId="5042" xr:uid="{7E03ADF2-B8FA-4C69-81D7-4BCD6B9FA1A8}"/>
    <cellStyle name="40% - Accent3 2 2 2 2 2 2 2" xfId="8422" xr:uid="{E20C831E-C30A-4D4C-9C3C-32CBFBA3466B}"/>
    <cellStyle name="40% - Accent3 2 2 2 2 2 3" xfId="6722" xr:uid="{4E914398-A12D-43E7-A846-95C29A8140D4}"/>
    <cellStyle name="40% - Accent3 2 2 2 2 2_DEO ADIT Unprotected" xfId="2596" xr:uid="{7932D1A4-C0C2-4E1B-94D5-F792BEF1EE0B}"/>
    <cellStyle name="40% - Accent3 2 2 2 2 3" xfId="4205" xr:uid="{27D95515-7623-43B4-9812-B340944C7660}"/>
    <cellStyle name="40% - Accent3 2 2 2 2 3 2" xfId="7585" xr:uid="{FBA65AAB-F6AB-4114-9D51-4CA576881E0B}"/>
    <cellStyle name="40% - Accent3 2 2 2 2 4" xfId="5884" xr:uid="{60CA85A9-05E7-453E-9DC5-D8F1FFC53471}"/>
    <cellStyle name="40% - Accent3 2 2 2 2_DEO ADIT Unprotected" xfId="2595" xr:uid="{BED38808-0A4E-4CD4-A102-49E705D08AA1}"/>
    <cellStyle name="40% - Accent3 2 2 2 3" xfId="1791" xr:uid="{00000000-0005-0000-0000-00009E000000}"/>
    <cellStyle name="40% - Accent3 2 2 2 3 2" xfId="5041" xr:uid="{794E927F-DDE2-4C80-B63A-93BA05D6D36A}"/>
    <cellStyle name="40% - Accent3 2 2 2 3 2 2" xfId="8421" xr:uid="{9260D171-128B-44DB-9A24-D4EEF3D41186}"/>
    <cellStyle name="40% - Accent3 2 2 2 3 3" xfId="6721" xr:uid="{185D0386-B6C9-4043-AAC2-84A187D52E69}"/>
    <cellStyle name="40% - Accent3 2 2 2 3_DEO ADIT Unprotected" xfId="2597" xr:uid="{674DD770-275E-4D70-B7BB-50FCAE773B18}"/>
    <cellStyle name="40% - Accent3 2 2 2 4" xfId="4204" xr:uid="{C859E78D-B201-4B58-841B-3FD03A66FFE0}"/>
    <cellStyle name="40% - Accent3 2 2 2 4 2" xfId="7584" xr:uid="{3DF5705C-FA87-48D1-9101-367B7BA093F8}"/>
    <cellStyle name="40% - Accent3 2 2 2 5" xfId="5883" xr:uid="{2C863614-2F3F-40B3-899C-C50F2B5A29D6}"/>
    <cellStyle name="40% - Accent3 2 2 2_DEO ADIT Unprotected" xfId="2594" xr:uid="{BF5505C8-022B-491B-A626-858F5D2CEA23}"/>
    <cellStyle name="40% - Accent3 2 2_DEO ADIT Unprotected" xfId="2593" xr:uid="{F29A35A9-040C-4B30-B13D-9E38243407FC}"/>
    <cellStyle name="40% - Accent3 2 3" xfId="665" xr:uid="{00000000-0005-0000-0000-00009F000000}"/>
    <cellStyle name="40% - Accent3 2_DEO ADIT Unprotected" xfId="2592" xr:uid="{5E223A50-2D83-4FBD-B3EB-9FCE0D47AA10}"/>
    <cellStyle name="40% - Accent3 3" xfId="666" xr:uid="{00000000-0005-0000-0000-0000A0000000}"/>
    <cellStyle name="40% - Accent3 3 2" xfId="667" xr:uid="{00000000-0005-0000-0000-0000A1000000}"/>
    <cellStyle name="40% - Accent3 3 2 2" xfId="668" xr:uid="{00000000-0005-0000-0000-0000A2000000}"/>
    <cellStyle name="40% - Accent3 3 2 2 2" xfId="1794" xr:uid="{00000000-0005-0000-0000-0000A3000000}"/>
    <cellStyle name="40% - Accent3 3 2 2 2 2" xfId="5044" xr:uid="{EDE6594F-0223-4670-A1A7-EA2F9817636C}"/>
    <cellStyle name="40% - Accent3 3 2 2 2 2 2" xfId="8424" xr:uid="{507BB588-4623-478B-A954-A9C6A2A308EF}"/>
    <cellStyle name="40% - Accent3 3 2 2 2 3" xfId="6724" xr:uid="{9F788DAC-48F2-4CB4-A7C6-0A4FEF60CA41}"/>
    <cellStyle name="40% - Accent3 3 2 2 2_DEO ADIT Unprotected" xfId="2601" xr:uid="{3A4BA142-D713-4F1D-8CE7-1CB4F4678647}"/>
    <cellStyle name="40% - Accent3 3 2 2 3" xfId="4207" xr:uid="{61C76966-4E74-4F5A-A149-093EA73FF364}"/>
    <cellStyle name="40% - Accent3 3 2 2 3 2" xfId="7587" xr:uid="{D02214A5-0261-4A3C-AC30-8C450FDDDD13}"/>
    <cellStyle name="40% - Accent3 3 2 2 4" xfId="5886" xr:uid="{240E65A1-AEAB-49FC-B478-B30EB2570D07}"/>
    <cellStyle name="40% - Accent3 3 2 2_DEO ADIT Unprotected" xfId="2600" xr:uid="{F5CD159E-8AEE-44D8-BDE5-2038A3E3FBB5}"/>
    <cellStyle name="40% - Accent3 3 2 3" xfId="1793" xr:uid="{00000000-0005-0000-0000-0000A4000000}"/>
    <cellStyle name="40% - Accent3 3 2 3 2" xfId="5043" xr:uid="{73CBC24A-1183-4B23-BCD9-9BABB27C04CB}"/>
    <cellStyle name="40% - Accent3 3 2 3 2 2" xfId="8423" xr:uid="{4F6C34DF-3073-4812-A3A6-BE532C6DC7C8}"/>
    <cellStyle name="40% - Accent3 3 2 3 3" xfId="6723" xr:uid="{26F9A48C-8F72-4F19-AE85-CD7937AE4B7D}"/>
    <cellStyle name="40% - Accent3 3 2 3_DEO ADIT Unprotected" xfId="2602" xr:uid="{546C941C-51D2-414B-9C67-77AA4517C632}"/>
    <cellStyle name="40% - Accent3 3 2 4" xfId="4206" xr:uid="{0C09F045-5034-4AC0-8068-73DEB3DEE837}"/>
    <cellStyle name="40% - Accent3 3 2 4 2" xfId="7586" xr:uid="{EC18EEE1-6357-4545-8AAA-D93DE817F77B}"/>
    <cellStyle name="40% - Accent3 3 2 5" xfId="5885" xr:uid="{E5F7C898-4C4A-43BB-9FAC-04FAD99F29D4}"/>
    <cellStyle name="40% - Accent3 3 2_DEO ADIT Unprotected" xfId="2599" xr:uid="{417D0A87-1647-492A-976C-2380007287F3}"/>
    <cellStyle name="40% - Accent3 3_DEO ADIT Unprotected" xfId="2598" xr:uid="{19DC09E7-966C-4EA3-A810-515D2688A16B}"/>
    <cellStyle name="40% - Accent3 4" xfId="669" xr:uid="{00000000-0005-0000-0000-0000A5000000}"/>
    <cellStyle name="40% - Accent3 4 2" xfId="670" xr:uid="{00000000-0005-0000-0000-0000A6000000}"/>
    <cellStyle name="40% - Accent3 4 2 2" xfId="1796" xr:uid="{00000000-0005-0000-0000-0000A7000000}"/>
    <cellStyle name="40% - Accent3 4 2 2 2" xfId="5046" xr:uid="{A89F2E86-DBA4-4738-BB38-E2CB92C23525}"/>
    <cellStyle name="40% - Accent3 4 2 2 2 2" xfId="8426" xr:uid="{515F0F17-F2A0-4A98-9E60-C64788614E2A}"/>
    <cellStyle name="40% - Accent3 4 2 2 3" xfId="6726" xr:uid="{165CBC7F-708D-4DF1-986B-C1A49399DE74}"/>
    <cellStyle name="40% - Accent3 4 2 2_DEO ADIT Unprotected" xfId="2605" xr:uid="{FCE90FCC-1F63-4AC0-8C53-36BBA3E6E816}"/>
    <cellStyle name="40% - Accent3 4 2 3" xfId="4209" xr:uid="{A07344BC-F007-4419-852B-16F2E0347201}"/>
    <cellStyle name="40% - Accent3 4 2 3 2" xfId="7589" xr:uid="{1F26E292-3B08-4B44-A0DF-570931CF43AA}"/>
    <cellStyle name="40% - Accent3 4 2 4" xfId="5888" xr:uid="{AD9F7CBE-EEAE-49D6-829C-1B00DD42E713}"/>
    <cellStyle name="40% - Accent3 4 2_DEO ADIT Unprotected" xfId="2604" xr:uid="{F2D099A2-76E9-49A1-8B6B-AEB5B7757E17}"/>
    <cellStyle name="40% - Accent3 4 3" xfId="1795" xr:uid="{00000000-0005-0000-0000-0000A8000000}"/>
    <cellStyle name="40% - Accent3 4 3 2" xfId="5045" xr:uid="{5558DD99-EC34-4BC7-89B5-69E2B83B188F}"/>
    <cellStyle name="40% - Accent3 4 3 2 2" xfId="8425" xr:uid="{159800C0-80BB-461D-AAB0-7C199E9727CC}"/>
    <cellStyle name="40% - Accent3 4 3 3" xfId="6725" xr:uid="{309560B0-D882-4D0D-95CB-73EA2F59FD7C}"/>
    <cellStyle name="40% - Accent3 4 3_DEO ADIT Unprotected" xfId="2606" xr:uid="{DB6E1C90-87D0-44E3-9B59-77B4A9648E4B}"/>
    <cellStyle name="40% - Accent3 4 4" xfId="4208" xr:uid="{5E48209C-2592-43D8-A4F6-C86012114A96}"/>
    <cellStyle name="40% - Accent3 4 4 2" xfId="7588" xr:uid="{2885ED2E-B33F-4926-8F4B-4C3873CD2FAA}"/>
    <cellStyle name="40% - Accent3 4 5" xfId="5887" xr:uid="{33FA70EC-0F21-4AE1-845D-F283D74132C2}"/>
    <cellStyle name="40% - Accent3 4_DEO ADIT Unprotected" xfId="2603" xr:uid="{549B29A9-7980-47C6-9726-4CD7C48F4DEE}"/>
    <cellStyle name="40% - Accent3 5" xfId="1709" xr:uid="{00000000-0005-0000-0000-0000A9000000}"/>
    <cellStyle name="40% - Accent3 5 2" xfId="4959" xr:uid="{04CD9E93-DB71-4A3A-99B7-9C1E127B0143}"/>
    <cellStyle name="40% - Accent3 5 2 2" xfId="8339" xr:uid="{8E24F990-9358-40B1-810E-BF0AD1C52310}"/>
    <cellStyle name="40% - Accent3 5 3" xfId="6639" xr:uid="{58F691F2-01BC-48C4-B6A2-E248FBCBF357}"/>
    <cellStyle name="40% - Accent3 5_DEO ADIT Unprotected" xfId="2607" xr:uid="{3EDCC7CD-F998-4544-BD01-6B2E29302A5A}"/>
    <cellStyle name="40% - Accent3 6" xfId="4122" xr:uid="{EDD9755D-6450-4F2D-8E9C-865A85C427EC}"/>
    <cellStyle name="40% - Accent3 6 2" xfId="7502" xr:uid="{CC36C58F-E6F2-4EE8-AFBA-5CB07198E2B0}"/>
    <cellStyle name="40% - Accent3 7" xfId="5801" xr:uid="{FB7BA00C-505D-4393-A3EB-EDBCF425FDAE}"/>
    <cellStyle name="40% - Accent3 8" xfId="7411" xr:uid="{6C3441B5-DF0F-4897-B292-4DFA952106B1}"/>
    <cellStyle name="40% - Accent3 9" xfId="9106" xr:uid="{D71E3FC3-B7D1-4BAF-95FE-78832E4FC3CC}"/>
    <cellStyle name="40% - Accent4" xfId="542" builtinId="43" customBuiltin="1"/>
    <cellStyle name="40% - Accent4 10" xfId="7401" xr:uid="{8741440C-0AB4-4F28-9341-512FC38A7586}"/>
    <cellStyle name="40% - Accent4 2" xfId="671" xr:uid="{00000000-0005-0000-0000-0000AB000000}"/>
    <cellStyle name="40% - Accent4 2 2" xfId="672" xr:uid="{00000000-0005-0000-0000-0000AC000000}"/>
    <cellStyle name="40% - Accent4 2 2 2" xfId="673" xr:uid="{00000000-0005-0000-0000-0000AD000000}"/>
    <cellStyle name="40% - Accent4 2 2 2 2" xfId="674" xr:uid="{00000000-0005-0000-0000-0000AE000000}"/>
    <cellStyle name="40% - Accent4 2 2 2 2 2" xfId="1798" xr:uid="{00000000-0005-0000-0000-0000AF000000}"/>
    <cellStyle name="40% - Accent4 2 2 2 2 2 2" xfId="5048" xr:uid="{7FC95BFE-528C-427F-B269-E6EF0A9C9258}"/>
    <cellStyle name="40% - Accent4 2 2 2 2 2 2 2" xfId="8428" xr:uid="{8178435D-B345-41A8-A96F-11EF2B8B109F}"/>
    <cellStyle name="40% - Accent4 2 2 2 2 2 3" xfId="6728" xr:uid="{79389DA0-77CE-4209-800F-C4419792B90C}"/>
    <cellStyle name="40% - Accent4 2 2 2 2 2_DEO ADIT Unprotected" xfId="2612" xr:uid="{B804C887-87AD-4DE9-B31D-A939883B41B8}"/>
    <cellStyle name="40% - Accent4 2 2 2 2 3" xfId="4211" xr:uid="{4656EEC3-A117-4009-9BB6-99DE5BB186FF}"/>
    <cellStyle name="40% - Accent4 2 2 2 2 3 2" xfId="7591" xr:uid="{F1443E65-48B4-40E6-944B-D6ECE9FD0D0F}"/>
    <cellStyle name="40% - Accent4 2 2 2 2 4" xfId="5890" xr:uid="{90D1B5B8-948A-4202-BC18-190633397070}"/>
    <cellStyle name="40% - Accent4 2 2 2 2_DEO ADIT Unprotected" xfId="2611" xr:uid="{9A7C206B-B750-4553-BAEB-AA71A5A57C46}"/>
    <cellStyle name="40% - Accent4 2 2 2 3" xfId="1797" xr:uid="{00000000-0005-0000-0000-0000B0000000}"/>
    <cellStyle name="40% - Accent4 2 2 2 3 2" xfId="5047" xr:uid="{1C24F461-BD07-45FF-B2C3-C52D979D117A}"/>
    <cellStyle name="40% - Accent4 2 2 2 3 2 2" xfId="8427" xr:uid="{CAE30AA8-BD0F-4F70-86FD-6E6C524C37F3}"/>
    <cellStyle name="40% - Accent4 2 2 2 3 3" xfId="6727" xr:uid="{9D1A421C-6B7A-4801-B890-973CBA030AD6}"/>
    <cellStyle name="40% - Accent4 2 2 2 3_DEO ADIT Unprotected" xfId="2613" xr:uid="{FCFC679D-8A00-4C14-8260-808DB7C149F3}"/>
    <cellStyle name="40% - Accent4 2 2 2 4" xfId="4210" xr:uid="{A5B25A65-717D-43C5-A59C-DD4B1F70CD00}"/>
    <cellStyle name="40% - Accent4 2 2 2 4 2" xfId="7590" xr:uid="{2F371828-F50D-4B30-94A5-42329077F733}"/>
    <cellStyle name="40% - Accent4 2 2 2 5" xfId="5889" xr:uid="{FCC24F73-F18F-4602-8286-C0C68E8BEC9D}"/>
    <cellStyle name="40% - Accent4 2 2 2_DEO ADIT Unprotected" xfId="2610" xr:uid="{7A5A2108-5CF1-4D67-8A4B-F7136534D407}"/>
    <cellStyle name="40% - Accent4 2 2_DEO ADIT Unprotected" xfId="2609" xr:uid="{B2E92750-9285-4A51-8775-2C9852CB7297}"/>
    <cellStyle name="40% - Accent4 2 3" xfId="675" xr:uid="{00000000-0005-0000-0000-0000B1000000}"/>
    <cellStyle name="40% - Accent4 2_DEO ADIT Unprotected" xfId="2608" xr:uid="{766B430C-BCF7-4080-B2D2-7553E4E0FEE8}"/>
    <cellStyle name="40% - Accent4 3" xfId="676" xr:uid="{00000000-0005-0000-0000-0000B2000000}"/>
    <cellStyle name="40% - Accent4 3 2" xfId="677" xr:uid="{00000000-0005-0000-0000-0000B3000000}"/>
    <cellStyle name="40% - Accent4 3 2 2" xfId="678" xr:uid="{00000000-0005-0000-0000-0000B4000000}"/>
    <cellStyle name="40% - Accent4 3 2 2 2" xfId="1800" xr:uid="{00000000-0005-0000-0000-0000B5000000}"/>
    <cellStyle name="40% - Accent4 3 2 2 2 2" xfId="5050" xr:uid="{A741C205-25DD-4DE9-833E-C1F03BB1FB14}"/>
    <cellStyle name="40% - Accent4 3 2 2 2 2 2" xfId="8430" xr:uid="{184241B5-1DF2-4034-911D-8F16893F6390}"/>
    <cellStyle name="40% - Accent4 3 2 2 2 3" xfId="6730" xr:uid="{FA4B1F28-EC06-4053-9BA3-7978A75AD1E7}"/>
    <cellStyle name="40% - Accent4 3 2 2 2_DEO ADIT Unprotected" xfId="2617" xr:uid="{08975AF2-BCD1-4BE4-BEAF-50F420D3F929}"/>
    <cellStyle name="40% - Accent4 3 2 2 3" xfId="4213" xr:uid="{B60AEE14-A77F-4521-899B-C98E82E3D2A3}"/>
    <cellStyle name="40% - Accent4 3 2 2 3 2" xfId="7593" xr:uid="{831ACA35-8C6E-489C-A101-6C0D9B98770C}"/>
    <cellStyle name="40% - Accent4 3 2 2 4" xfId="5892" xr:uid="{2FF46D26-8484-42D1-84BE-76E5C013753D}"/>
    <cellStyle name="40% - Accent4 3 2 2_DEO ADIT Unprotected" xfId="2616" xr:uid="{80034386-7F44-4657-BA7D-1B4191BAC26F}"/>
    <cellStyle name="40% - Accent4 3 2 3" xfId="1799" xr:uid="{00000000-0005-0000-0000-0000B6000000}"/>
    <cellStyle name="40% - Accent4 3 2 3 2" xfId="5049" xr:uid="{55E12686-5428-44D8-9E88-B33089A6B462}"/>
    <cellStyle name="40% - Accent4 3 2 3 2 2" xfId="8429" xr:uid="{DB2CD5A8-0522-427C-8E29-300B94C92280}"/>
    <cellStyle name="40% - Accent4 3 2 3 3" xfId="6729" xr:uid="{48EA84B0-94CA-4C26-BC5D-D4BA8AC742E6}"/>
    <cellStyle name="40% - Accent4 3 2 3_DEO ADIT Unprotected" xfId="2618" xr:uid="{5673BF07-C94C-40A3-AC4E-28927DAF5577}"/>
    <cellStyle name="40% - Accent4 3 2 4" xfId="4212" xr:uid="{D04C4387-E343-466E-BAF0-A03365477DB2}"/>
    <cellStyle name="40% - Accent4 3 2 4 2" xfId="7592" xr:uid="{C6C3CE29-E01B-46D3-A75D-F3F221D145E5}"/>
    <cellStyle name="40% - Accent4 3 2 5" xfId="5891" xr:uid="{5FC796BF-9885-41EC-857D-7E3719DDEF27}"/>
    <cellStyle name="40% - Accent4 3 2_DEO ADIT Unprotected" xfId="2615" xr:uid="{D94261D7-C0CE-4FB0-B723-02824C4330A9}"/>
    <cellStyle name="40% - Accent4 3_DEO ADIT Unprotected" xfId="2614" xr:uid="{665F7ACD-3706-4AC8-8F8E-C16562629421}"/>
    <cellStyle name="40% - Accent4 4" xfId="679" xr:uid="{00000000-0005-0000-0000-0000B7000000}"/>
    <cellStyle name="40% - Accent4 4 2" xfId="680" xr:uid="{00000000-0005-0000-0000-0000B8000000}"/>
    <cellStyle name="40% - Accent4 4 2 2" xfId="1802" xr:uid="{00000000-0005-0000-0000-0000B9000000}"/>
    <cellStyle name="40% - Accent4 4 2 2 2" xfId="5052" xr:uid="{B4ECC7BD-E339-4E0B-AE83-0CC043CBEE93}"/>
    <cellStyle name="40% - Accent4 4 2 2 2 2" xfId="8432" xr:uid="{E58ECF01-B422-49C6-94B4-C2C95940918F}"/>
    <cellStyle name="40% - Accent4 4 2 2 3" xfId="6732" xr:uid="{6DC57D6C-56E3-4D41-89D3-A1BA4E0294B6}"/>
    <cellStyle name="40% - Accent4 4 2 2_DEO ADIT Unprotected" xfId="2621" xr:uid="{839252EE-8EA0-4870-BF48-B4BBCF7E032D}"/>
    <cellStyle name="40% - Accent4 4 2 3" xfId="4215" xr:uid="{7FA89F9A-6F2E-4B09-9E9F-686F55EE9965}"/>
    <cellStyle name="40% - Accent4 4 2 3 2" xfId="7595" xr:uid="{54BDE734-49E5-4AFB-B0CE-2EF21AA80BE1}"/>
    <cellStyle name="40% - Accent4 4 2 4" xfId="5894" xr:uid="{C13F443A-1BD7-4234-BF29-C929B662D27B}"/>
    <cellStyle name="40% - Accent4 4 2_DEO ADIT Unprotected" xfId="2620" xr:uid="{00276B0B-66EB-4B1F-9578-8FA9582634F7}"/>
    <cellStyle name="40% - Accent4 4 3" xfId="1801" xr:uid="{00000000-0005-0000-0000-0000BA000000}"/>
    <cellStyle name="40% - Accent4 4 3 2" xfId="5051" xr:uid="{3D5D9807-9EEF-4994-A8FD-C41FE4A56879}"/>
    <cellStyle name="40% - Accent4 4 3 2 2" xfId="8431" xr:uid="{7CC745B6-4C50-48AB-A8E6-CAFD0AA5CCE8}"/>
    <cellStyle name="40% - Accent4 4 3 3" xfId="6731" xr:uid="{1D898F96-27D6-4BD5-A68B-073F97C1E9C9}"/>
    <cellStyle name="40% - Accent4 4 3_DEO ADIT Unprotected" xfId="2622" xr:uid="{9965F1A5-5A1B-4416-81BB-CDEFDA52D76E}"/>
    <cellStyle name="40% - Accent4 4 4" xfId="4214" xr:uid="{8A35983A-25A8-483E-B2C5-80ED1A7F0B7D}"/>
    <cellStyle name="40% - Accent4 4 4 2" xfId="7594" xr:uid="{1104A314-3FC3-44F9-A59B-5CE04B816B29}"/>
    <cellStyle name="40% - Accent4 4 5" xfId="5893" xr:uid="{2D8C30F6-68FB-43FC-8874-D12D71F0E396}"/>
    <cellStyle name="40% - Accent4 4_DEO ADIT Unprotected" xfId="2619" xr:uid="{02FB49FF-A3F5-48DB-B527-7DD1E3BEF9F4}"/>
    <cellStyle name="40% - Accent4 5" xfId="1711" xr:uid="{00000000-0005-0000-0000-0000BB000000}"/>
    <cellStyle name="40% - Accent4 5 2" xfId="4961" xr:uid="{DF44DAEB-1A43-43F2-9E7C-CBA63924CAE2}"/>
    <cellStyle name="40% - Accent4 5 2 2" xfId="8341" xr:uid="{3DD698B0-F08C-4112-82F6-3F2E253C36AF}"/>
    <cellStyle name="40% - Accent4 5 3" xfId="6641" xr:uid="{45118BD7-11AE-4372-840B-B98DB7C02AB3}"/>
    <cellStyle name="40% - Accent4 5_DEO ADIT Unprotected" xfId="2623" xr:uid="{193D636A-481C-44E8-9914-BC1D740FE1E7}"/>
    <cellStyle name="40% - Accent4 6" xfId="4124" xr:uid="{E81CBCD0-8AA9-45D6-B746-10C543C5018D}"/>
    <cellStyle name="40% - Accent4 6 2" xfId="7504" xr:uid="{8470D330-3DB3-4019-BC61-BBFA12182B2C}"/>
    <cellStyle name="40% - Accent4 7" xfId="5803" xr:uid="{078BB014-D298-49AD-AB6A-F14589A6C43C}"/>
    <cellStyle name="40% - Accent4 8" xfId="7408" xr:uid="{86BCC262-CE0B-469A-89D6-8820B55B5338}"/>
    <cellStyle name="40% - Accent4 9" xfId="9095" xr:uid="{F0D4A5C9-66DE-49DF-83AF-2B8B05B14278}"/>
    <cellStyle name="40% - Accent5" xfId="546" builtinId="47" customBuiltin="1"/>
    <cellStyle name="40% - Accent5 10" xfId="9109" xr:uid="{79E531B2-44E5-4757-B93D-19FA46712F08}"/>
    <cellStyle name="40% - Accent5 2" xfId="681" xr:uid="{00000000-0005-0000-0000-0000BD000000}"/>
    <cellStyle name="40% - Accent5 2 2" xfId="682" xr:uid="{00000000-0005-0000-0000-0000BE000000}"/>
    <cellStyle name="40% - Accent5 2 2 2" xfId="683" xr:uid="{00000000-0005-0000-0000-0000BF000000}"/>
    <cellStyle name="40% - Accent5 2 2 2 2" xfId="684" xr:uid="{00000000-0005-0000-0000-0000C0000000}"/>
    <cellStyle name="40% - Accent5 2 2 2 2 2" xfId="1804" xr:uid="{00000000-0005-0000-0000-0000C1000000}"/>
    <cellStyle name="40% - Accent5 2 2 2 2 2 2" xfId="5054" xr:uid="{8637A570-A183-4C1F-A292-98AE796C2FF8}"/>
    <cellStyle name="40% - Accent5 2 2 2 2 2 2 2" xfId="8434" xr:uid="{17AC8DD8-3041-4D02-AE44-B418D739679D}"/>
    <cellStyle name="40% - Accent5 2 2 2 2 2 3" xfId="6734" xr:uid="{29217059-FF87-4D1B-BCD1-47336A0B124A}"/>
    <cellStyle name="40% - Accent5 2 2 2 2 2_DEO ADIT Unprotected" xfId="2628" xr:uid="{CDFB50E0-2996-45D3-AAE5-A7487FA71B4F}"/>
    <cellStyle name="40% - Accent5 2 2 2 2 3" xfId="4217" xr:uid="{BA2F0D4C-7AD2-4F86-A411-AFF0CBE77B21}"/>
    <cellStyle name="40% - Accent5 2 2 2 2 3 2" xfId="7597" xr:uid="{9DF04011-0776-46E5-8AC4-D7B8AB0F30AB}"/>
    <cellStyle name="40% - Accent5 2 2 2 2 4" xfId="5896" xr:uid="{2A8B6D26-3013-473B-94B3-82AF50FEF1AE}"/>
    <cellStyle name="40% - Accent5 2 2 2 2_DEO ADIT Unprotected" xfId="2627" xr:uid="{C841D15B-C813-4E33-867E-1C3C0109B5EF}"/>
    <cellStyle name="40% - Accent5 2 2 2 3" xfId="1803" xr:uid="{00000000-0005-0000-0000-0000C2000000}"/>
    <cellStyle name="40% - Accent5 2 2 2 3 2" xfId="5053" xr:uid="{77130743-CD0E-4A9B-8E47-631D7CC6889F}"/>
    <cellStyle name="40% - Accent5 2 2 2 3 2 2" xfId="8433" xr:uid="{FE7863D9-3A74-4DA1-99FD-ACD59C06BC75}"/>
    <cellStyle name="40% - Accent5 2 2 2 3 3" xfId="6733" xr:uid="{B9508784-E79C-40F4-A09B-34D0879D058B}"/>
    <cellStyle name="40% - Accent5 2 2 2 3_DEO ADIT Unprotected" xfId="2629" xr:uid="{BEB65002-F6F2-4586-B8D8-58DE73DBC71B}"/>
    <cellStyle name="40% - Accent5 2 2 2 4" xfId="4216" xr:uid="{33559E43-72FE-46A7-BF4C-F299642B393E}"/>
    <cellStyle name="40% - Accent5 2 2 2 4 2" xfId="7596" xr:uid="{0B054310-B43A-450A-8AF5-D6E7E059A32C}"/>
    <cellStyle name="40% - Accent5 2 2 2 5" xfId="5895" xr:uid="{4F010F91-C2C2-440A-A3E8-D45B9A9CBA05}"/>
    <cellStyle name="40% - Accent5 2 2 2_DEO ADIT Unprotected" xfId="2626" xr:uid="{E4659C29-01F7-43B7-9638-D7DE75EFF581}"/>
    <cellStyle name="40% - Accent5 2 2_DEO ADIT Unprotected" xfId="2625" xr:uid="{65C71ECF-965A-4DFB-901A-849578844B15}"/>
    <cellStyle name="40% - Accent5 2 3" xfId="685" xr:uid="{00000000-0005-0000-0000-0000C3000000}"/>
    <cellStyle name="40% - Accent5 2_DEO ADIT Unprotected" xfId="2624" xr:uid="{FECEF60C-1770-475B-B619-9D8E3C5381A8}"/>
    <cellStyle name="40% - Accent5 3" xfId="686" xr:uid="{00000000-0005-0000-0000-0000C4000000}"/>
    <cellStyle name="40% - Accent5 3 2" xfId="687" xr:uid="{00000000-0005-0000-0000-0000C5000000}"/>
    <cellStyle name="40% - Accent5 3 2 2" xfId="688" xr:uid="{00000000-0005-0000-0000-0000C6000000}"/>
    <cellStyle name="40% - Accent5 3 2 2 2" xfId="1806" xr:uid="{00000000-0005-0000-0000-0000C7000000}"/>
    <cellStyle name="40% - Accent5 3 2 2 2 2" xfId="5056" xr:uid="{8150533F-75B6-42C6-A4E9-8895474152B6}"/>
    <cellStyle name="40% - Accent5 3 2 2 2 2 2" xfId="8436" xr:uid="{D8F615CE-4A43-48A4-9BE9-4797A955F13F}"/>
    <cellStyle name="40% - Accent5 3 2 2 2 3" xfId="6736" xr:uid="{84367A0A-C7FC-47A2-BE9E-E5CE34641C28}"/>
    <cellStyle name="40% - Accent5 3 2 2 2_DEO ADIT Unprotected" xfId="2633" xr:uid="{4898F361-866F-44A2-B85C-A1DCD2F3FF66}"/>
    <cellStyle name="40% - Accent5 3 2 2 3" xfId="4219" xr:uid="{C47D498E-2CA9-4048-B663-FC64EEE99A9D}"/>
    <cellStyle name="40% - Accent5 3 2 2 3 2" xfId="7599" xr:uid="{6D72307A-8810-4468-AE5D-7D43B61718D8}"/>
    <cellStyle name="40% - Accent5 3 2 2 4" xfId="5898" xr:uid="{B9C98E57-AFD7-44EA-83DB-FAB32393484E}"/>
    <cellStyle name="40% - Accent5 3 2 2_DEO ADIT Unprotected" xfId="2632" xr:uid="{3E2060B1-1904-4A64-9EE0-F23C22D01279}"/>
    <cellStyle name="40% - Accent5 3 2 3" xfId="1805" xr:uid="{00000000-0005-0000-0000-0000C8000000}"/>
    <cellStyle name="40% - Accent5 3 2 3 2" xfId="5055" xr:uid="{3EBCF8A0-9745-4F5B-9AB8-92EBF95B85C9}"/>
    <cellStyle name="40% - Accent5 3 2 3 2 2" xfId="8435" xr:uid="{C837022F-AE95-4529-BA90-D6B5489FC091}"/>
    <cellStyle name="40% - Accent5 3 2 3 3" xfId="6735" xr:uid="{65EB4BA9-ABC7-46CD-884D-3A20E17466DA}"/>
    <cellStyle name="40% - Accent5 3 2 3_DEO ADIT Unprotected" xfId="2634" xr:uid="{418EEB26-6A5A-43E9-87AE-88E35F8F432E}"/>
    <cellStyle name="40% - Accent5 3 2 4" xfId="4218" xr:uid="{88B8FB12-E8AE-4462-9D82-E0B62694C868}"/>
    <cellStyle name="40% - Accent5 3 2 4 2" xfId="7598" xr:uid="{E4F792EA-957F-4DDB-9C8E-5C961EB1C847}"/>
    <cellStyle name="40% - Accent5 3 2 5" xfId="5897" xr:uid="{9AB95B53-15DA-49A2-928F-46A4F72D5A36}"/>
    <cellStyle name="40% - Accent5 3 2_DEO ADIT Unprotected" xfId="2631" xr:uid="{CE11D170-CB74-4840-B2A3-AE1836004052}"/>
    <cellStyle name="40% - Accent5 3_DEO ADIT Unprotected" xfId="2630" xr:uid="{0B089345-CD0B-49D0-A5DB-3F5F99FC3AD0}"/>
    <cellStyle name="40% - Accent5 4" xfId="689" xr:uid="{00000000-0005-0000-0000-0000C9000000}"/>
    <cellStyle name="40% - Accent5 4 2" xfId="690" xr:uid="{00000000-0005-0000-0000-0000CA000000}"/>
    <cellStyle name="40% - Accent5 4 2 2" xfId="1808" xr:uid="{00000000-0005-0000-0000-0000CB000000}"/>
    <cellStyle name="40% - Accent5 4 2 2 2" xfId="5058" xr:uid="{4F0E26EA-27D0-418B-B18C-04FC76717A31}"/>
    <cellStyle name="40% - Accent5 4 2 2 2 2" xfId="8438" xr:uid="{36588352-006A-42CC-B080-043D27E3C1E9}"/>
    <cellStyle name="40% - Accent5 4 2 2 3" xfId="6738" xr:uid="{0FC933B1-CC78-431B-95E0-3915462623F9}"/>
    <cellStyle name="40% - Accent5 4 2 2_DEO ADIT Unprotected" xfId="2637" xr:uid="{BABADC89-8D06-4E01-A12C-31A5350DF329}"/>
    <cellStyle name="40% - Accent5 4 2 3" xfId="4221" xr:uid="{7F007374-45F4-442A-BF32-96A53A1AF1EF}"/>
    <cellStyle name="40% - Accent5 4 2 3 2" xfId="7601" xr:uid="{C00CCF3B-4CC9-4FFF-8EDB-8FBA9B8D4D62}"/>
    <cellStyle name="40% - Accent5 4 2 4" xfId="5900" xr:uid="{EB875F5A-3CE4-4F14-80B9-E943C40A19FC}"/>
    <cellStyle name="40% - Accent5 4 2_DEO ADIT Unprotected" xfId="2636" xr:uid="{4312E560-9B67-49B6-BCD9-304C4F9CC703}"/>
    <cellStyle name="40% - Accent5 4 3" xfId="1807" xr:uid="{00000000-0005-0000-0000-0000CC000000}"/>
    <cellStyle name="40% - Accent5 4 3 2" xfId="5057" xr:uid="{7A36564E-0D57-41CE-A7C8-9E7E6661CBD7}"/>
    <cellStyle name="40% - Accent5 4 3 2 2" xfId="8437" xr:uid="{542E7701-CB99-4A67-816E-5A550171F72D}"/>
    <cellStyle name="40% - Accent5 4 3 3" xfId="6737" xr:uid="{D2773734-D171-4530-BDB1-D89FD97ED0DB}"/>
    <cellStyle name="40% - Accent5 4 3_DEO ADIT Unprotected" xfId="2638" xr:uid="{776F1083-4D52-4A45-904F-F7409FEBCF1C}"/>
    <cellStyle name="40% - Accent5 4 4" xfId="4220" xr:uid="{956A0BB2-DA4E-4885-B49F-02510F8CF352}"/>
    <cellStyle name="40% - Accent5 4 4 2" xfId="7600" xr:uid="{41E4AA38-DC74-4B6D-8850-1DFBA77CECF7}"/>
    <cellStyle name="40% - Accent5 4 5" xfId="5899" xr:uid="{4C57141F-094E-442B-AEBA-EEBCA08A1743}"/>
    <cellStyle name="40% - Accent5 4_DEO ADIT Unprotected" xfId="2635" xr:uid="{94838DDD-4839-40E2-B0ED-2D809FB03EE4}"/>
    <cellStyle name="40% - Accent5 5" xfId="1713" xr:uid="{00000000-0005-0000-0000-0000CD000000}"/>
    <cellStyle name="40% - Accent5 5 2" xfId="4963" xr:uid="{4C59D531-3F03-4742-84EF-12893118B7D2}"/>
    <cellStyle name="40% - Accent5 5 2 2" xfId="8343" xr:uid="{5F1552F7-A335-40E0-99C3-419D644AFAED}"/>
    <cellStyle name="40% - Accent5 5 3" xfId="6643" xr:uid="{571F8520-5EF1-4EFC-B389-FA2A59764249}"/>
    <cellStyle name="40% - Accent5 5_DEO ADIT Unprotected" xfId="2639" xr:uid="{1A3F2FF3-059F-449E-B659-8D93351A5934}"/>
    <cellStyle name="40% - Accent5 6" xfId="4126" xr:uid="{4A40E182-892E-46C3-9C74-E269C9E65BF8}"/>
    <cellStyle name="40% - Accent5 6 2" xfId="7506" xr:uid="{5C9EA461-7911-4B1A-9A65-3F0C1CF3403F}"/>
    <cellStyle name="40% - Accent5 7" xfId="5805" xr:uid="{FAF6200D-4381-49FF-8D29-0B95AE01EEF8}"/>
    <cellStyle name="40% - Accent5 8" xfId="7407" xr:uid="{98655B17-26B4-46F1-8860-B6BBFD32F79C}"/>
    <cellStyle name="40% - Accent5 9" xfId="9110" xr:uid="{1D37AE03-E372-43D0-BE3E-1B7982A0C7BD}"/>
    <cellStyle name="40% - Accent6" xfId="550" builtinId="51" customBuiltin="1"/>
    <cellStyle name="40% - Accent6 10" xfId="9113" xr:uid="{72BAF237-9AE8-4BD9-9A93-AAD59E95AB62}"/>
    <cellStyle name="40% - Accent6 2" xfId="691" xr:uid="{00000000-0005-0000-0000-0000CF000000}"/>
    <cellStyle name="40% - Accent6 2 2" xfId="692" xr:uid="{00000000-0005-0000-0000-0000D0000000}"/>
    <cellStyle name="40% - Accent6 2 2 2" xfId="693" xr:uid="{00000000-0005-0000-0000-0000D1000000}"/>
    <cellStyle name="40% - Accent6 2 2 2 2" xfId="694" xr:uid="{00000000-0005-0000-0000-0000D2000000}"/>
    <cellStyle name="40% - Accent6 2 2 2 2 2" xfId="1810" xr:uid="{00000000-0005-0000-0000-0000D3000000}"/>
    <cellStyle name="40% - Accent6 2 2 2 2 2 2" xfId="5060" xr:uid="{BA16640B-A4B3-4EC8-8178-70A557A95FE5}"/>
    <cellStyle name="40% - Accent6 2 2 2 2 2 2 2" xfId="8440" xr:uid="{BC8597A6-AB89-4385-B5D3-B60A8E507B22}"/>
    <cellStyle name="40% - Accent6 2 2 2 2 2 3" xfId="6740" xr:uid="{B5CEDC2B-C4FD-4D43-B1C9-60505A250B66}"/>
    <cellStyle name="40% - Accent6 2 2 2 2 2_DEO ADIT Unprotected" xfId="2644" xr:uid="{481010E8-B04B-404C-9CAD-AC108CF940D6}"/>
    <cellStyle name="40% - Accent6 2 2 2 2 3" xfId="4223" xr:uid="{8DC0AFB1-8F2C-4294-A8F8-CE245D082388}"/>
    <cellStyle name="40% - Accent6 2 2 2 2 3 2" xfId="7603" xr:uid="{B5DB4C11-D3F1-4972-A281-CFC06DF54B73}"/>
    <cellStyle name="40% - Accent6 2 2 2 2 4" xfId="5902" xr:uid="{37B8A655-F076-4966-96D9-132F8FD6BABA}"/>
    <cellStyle name="40% - Accent6 2 2 2 2_DEO ADIT Unprotected" xfId="2643" xr:uid="{543A7087-3AC9-4665-B39C-E22C8F56AB38}"/>
    <cellStyle name="40% - Accent6 2 2 2 3" xfId="1809" xr:uid="{00000000-0005-0000-0000-0000D4000000}"/>
    <cellStyle name="40% - Accent6 2 2 2 3 2" xfId="5059" xr:uid="{673117D2-9E05-4BB4-A6B2-54BA92BAE0A3}"/>
    <cellStyle name="40% - Accent6 2 2 2 3 2 2" xfId="8439" xr:uid="{FA548630-9B8B-4ACD-96A0-AF922952EDF3}"/>
    <cellStyle name="40% - Accent6 2 2 2 3 3" xfId="6739" xr:uid="{C3596B13-96BF-42FA-8CDA-117B4434C084}"/>
    <cellStyle name="40% - Accent6 2 2 2 3_DEO ADIT Unprotected" xfId="2645" xr:uid="{A2F63106-4F56-4860-9326-B6D4A103450C}"/>
    <cellStyle name="40% - Accent6 2 2 2 4" xfId="4222" xr:uid="{BE5A87B3-2DA5-4E4C-A2F1-0131DF3743D5}"/>
    <cellStyle name="40% - Accent6 2 2 2 4 2" xfId="7602" xr:uid="{557E017A-78D9-4B51-8E47-076DAE306616}"/>
    <cellStyle name="40% - Accent6 2 2 2 5" xfId="5901" xr:uid="{BE0C00BC-6B61-4F59-B644-ED43E0301129}"/>
    <cellStyle name="40% - Accent6 2 2 2_DEO ADIT Unprotected" xfId="2642" xr:uid="{FF4844D8-3E0C-4DED-A239-55B11DD4942D}"/>
    <cellStyle name="40% - Accent6 2 2_DEO ADIT Unprotected" xfId="2641" xr:uid="{8BBB7064-5BBC-456A-865F-C3EFAB445350}"/>
    <cellStyle name="40% - Accent6 2 3" xfId="695" xr:uid="{00000000-0005-0000-0000-0000D5000000}"/>
    <cellStyle name="40% - Accent6 2_DEO ADIT Unprotected" xfId="2640" xr:uid="{CCD59F22-7389-482D-B533-1C2E44F2DC1A}"/>
    <cellStyle name="40% - Accent6 3" xfId="696" xr:uid="{00000000-0005-0000-0000-0000D6000000}"/>
    <cellStyle name="40% - Accent6 3 2" xfId="697" xr:uid="{00000000-0005-0000-0000-0000D7000000}"/>
    <cellStyle name="40% - Accent6 3 2 2" xfId="698" xr:uid="{00000000-0005-0000-0000-0000D8000000}"/>
    <cellStyle name="40% - Accent6 3 2 2 2" xfId="1812" xr:uid="{00000000-0005-0000-0000-0000D9000000}"/>
    <cellStyle name="40% - Accent6 3 2 2 2 2" xfId="5062" xr:uid="{A682CBC1-3632-4066-A87D-6B72852E6D33}"/>
    <cellStyle name="40% - Accent6 3 2 2 2 2 2" xfId="8442" xr:uid="{7EF81479-0AE1-4364-A24C-AC7979870742}"/>
    <cellStyle name="40% - Accent6 3 2 2 2 3" xfId="6742" xr:uid="{A401AC22-26C9-467B-B4D5-09531C98061B}"/>
    <cellStyle name="40% - Accent6 3 2 2 2_DEO ADIT Unprotected" xfId="2649" xr:uid="{13A52971-4B5B-433E-B1CD-FC290B782EF2}"/>
    <cellStyle name="40% - Accent6 3 2 2 3" xfId="4225" xr:uid="{CA2B4488-3DE4-456B-8AFF-3D7C1B0C39D5}"/>
    <cellStyle name="40% - Accent6 3 2 2 3 2" xfId="7605" xr:uid="{CC233311-0978-46AF-9235-EE7D118097A9}"/>
    <cellStyle name="40% - Accent6 3 2 2 4" xfId="5904" xr:uid="{0D45EDD3-331A-460A-A731-B29B33D1067D}"/>
    <cellStyle name="40% - Accent6 3 2 2_DEO ADIT Unprotected" xfId="2648" xr:uid="{9AFAA7D8-B1D5-4B96-B069-CC5B08575E49}"/>
    <cellStyle name="40% - Accent6 3 2 3" xfId="1811" xr:uid="{00000000-0005-0000-0000-0000DA000000}"/>
    <cellStyle name="40% - Accent6 3 2 3 2" xfId="5061" xr:uid="{EEC28CE4-BF58-4609-8978-23B8A4EEC85E}"/>
    <cellStyle name="40% - Accent6 3 2 3 2 2" xfId="8441" xr:uid="{06B781E0-28A1-4E76-A1A9-6F1F2C146F83}"/>
    <cellStyle name="40% - Accent6 3 2 3 3" xfId="6741" xr:uid="{78027920-D408-489F-B997-DCE87B14F432}"/>
    <cellStyle name="40% - Accent6 3 2 3_DEO ADIT Unprotected" xfId="2650" xr:uid="{69522694-19B5-47F5-AC8B-9B2B7861AA05}"/>
    <cellStyle name="40% - Accent6 3 2 4" xfId="4224" xr:uid="{2CC9DB93-A4A0-431F-94FB-B5CBC86E0BD5}"/>
    <cellStyle name="40% - Accent6 3 2 4 2" xfId="7604" xr:uid="{82099A01-B339-46BC-B651-DADC4FD06924}"/>
    <cellStyle name="40% - Accent6 3 2 5" xfId="5903" xr:uid="{4C7A7B97-33B9-4424-8E2B-EFA3CD55F3B4}"/>
    <cellStyle name="40% - Accent6 3 2_DEO ADIT Unprotected" xfId="2647" xr:uid="{4978B10F-5350-45AB-891C-02FE43BBAB2B}"/>
    <cellStyle name="40% - Accent6 3_DEO ADIT Unprotected" xfId="2646" xr:uid="{5C36D304-2AD3-4C29-BC46-25400BD1EC44}"/>
    <cellStyle name="40% - Accent6 4" xfId="699" xr:uid="{00000000-0005-0000-0000-0000DB000000}"/>
    <cellStyle name="40% - Accent6 4 2" xfId="700" xr:uid="{00000000-0005-0000-0000-0000DC000000}"/>
    <cellStyle name="40% - Accent6 4 2 2" xfId="1814" xr:uid="{00000000-0005-0000-0000-0000DD000000}"/>
    <cellStyle name="40% - Accent6 4 2 2 2" xfId="5064" xr:uid="{5C687042-3CDA-432D-9F8E-353E89A7B44A}"/>
    <cellStyle name="40% - Accent6 4 2 2 2 2" xfId="8444" xr:uid="{4407FFB6-172A-48B3-90AF-FC26373B23B6}"/>
    <cellStyle name="40% - Accent6 4 2 2 3" xfId="6744" xr:uid="{30367712-6C8B-4A39-B90A-8445DAEABEC6}"/>
    <cellStyle name="40% - Accent6 4 2 2_DEO ADIT Unprotected" xfId="2653" xr:uid="{804DF157-08D0-46E5-A1F1-3807CC15BE9B}"/>
    <cellStyle name="40% - Accent6 4 2 3" xfId="4227" xr:uid="{7E8C0342-5C16-4A00-9FC1-22CACDAB2CE0}"/>
    <cellStyle name="40% - Accent6 4 2 3 2" xfId="7607" xr:uid="{C77289D9-1FC6-4FF6-8E26-B5EA58B77AD0}"/>
    <cellStyle name="40% - Accent6 4 2 4" xfId="5906" xr:uid="{D2C491D7-DF61-4DA3-B9D3-CE982AB81F24}"/>
    <cellStyle name="40% - Accent6 4 2_DEO ADIT Unprotected" xfId="2652" xr:uid="{819EF173-A3B2-454B-B973-CD7E72D26E38}"/>
    <cellStyle name="40% - Accent6 4 3" xfId="1813" xr:uid="{00000000-0005-0000-0000-0000DE000000}"/>
    <cellStyle name="40% - Accent6 4 3 2" xfId="5063" xr:uid="{0BE8380F-6775-4CFC-B4FF-25819074A012}"/>
    <cellStyle name="40% - Accent6 4 3 2 2" xfId="8443" xr:uid="{C1CE8750-F242-467D-8B89-6C0E1D3DC788}"/>
    <cellStyle name="40% - Accent6 4 3 3" xfId="6743" xr:uid="{36A30170-B565-48E6-9763-6A9C12043DA5}"/>
    <cellStyle name="40% - Accent6 4 3_DEO ADIT Unprotected" xfId="2654" xr:uid="{459B4624-267C-4321-A3DB-DA7372F9EF80}"/>
    <cellStyle name="40% - Accent6 4 4" xfId="4226" xr:uid="{B03EDA06-42F2-4516-B136-81BB1E0AAC99}"/>
    <cellStyle name="40% - Accent6 4 4 2" xfId="7606" xr:uid="{CF1E6F54-A800-4615-8F2E-4A62F5092D44}"/>
    <cellStyle name="40% - Accent6 4 5" xfId="5905" xr:uid="{BB4965E6-D3B9-46DE-BAD4-3E9892B066D3}"/>
    <cellStyle name="40% - Accent6 4_DEO ADIT Unprotected" xfId="2651" xr:uid="{DAA73FD0-75FA-4510-AC0C-9BFF5FEA0F7C}"/>
    <cellStyle name="40% - Accent6 5" xfId="1715" xr:uid="{00000000-0005-0000-0000-0000DF000000}"/>
    <cellStyle name="40% - Accent6 5 2" xfId="4965" xr:uid="{8CF78768-EA94-49E6-8A0B-1D5CD0BB2AF3}"/>
    <cellStyle name="40% - Accent6 5 2 2" xfId="8345" xr:uid="{6CA5BF2D-5218-473D-98A2-D59642A7256A}"/>
    <cellStyle name="40% - Accent6 5 3" xfId="6645" xr:uid="{E0E2EABE-CCC7-4D92-8222-DDA10F37FCC2}"/>
    <cellStyle name="40% - Accent6 5_DEO ADIT Unprotected" xfId="2655" xr:uid="{5902B1D9-08E9-456E-A052-6800BAEDFD51}"/>
    <cellStyle name="40% - Accent6 6" xfId="4128" xr:uid="{0D590F30-48FF-4622-88E5-A46C7E069D73}"/>
    <cellStyle name="40% - Accent6 6 2" xfId="7508" xr:uid="{3DEAB424-C201-4B9E-A8D7-A811918CDD1D}"/>
    <cellStyle name="40% - Accent6 7" xfId="5807" xr:uid="{45D5086E-27BB-4A75-B18C-A9FAE63CD5F8}"/>
    <cellStyle name="40% - Accent6 8" xfId="7404" xr:uid="{72D60AC6-BE9C-47F4-A35A-0243FF6B4913}"/>
    <cellStyle name="40% - Accent6 9" xfId="9104" xr:uid="{FEE51B75-4AB5-47E1-AD75-6F980776BEC5}"/>
    <cellStyle name="60% - Accent1" xfId="531" builtinId="32" customBuiltin="1"/>
    <cellStyle name="60% - Accent1 2" xfId="701" xr:uid="{00000000-0005-0000-0000-0000E1000000}"/>
    <cellStyle name="60% - Accent1 2 2" xfId="702" xr:uid="{00000000-0005-0000-0000-0000E2000000}"/>
    <cellStyle name="60% - Accent1 2 3" xfId="703" xr:uid="{00000000-0005-0000-0000-0000E3000000}"/>
    <cellStyle name="60% - Accent1 2_DEO ADIT Unprotected" xfId="2656" xr:uid="{5E8E07DC-CB70-40A4-B013-8084647B0358}"/>
    <cellStyle name="60% - Accent1 3" xfId="704" xr:uid="{00000000-0005-0000-0000-0000E4000000}"/>
    <cellStyle name="60% - Accent1 4" xfId="705" xr:uid="{00000000-0005-0000-0000-0000E5000000}"/>
    <cellStyle name="60% - Accent2" xfId="535" builtinId="36" customBuiltin="1"/>
    <cellStyle name="60% - Accent2 2" xfId="706" xr:uid="{00000000-0005-0000-0000-0000E7000000}"/>
    <cellStyle name="60% - Accent2 2 2" xfId="707" xr:uid="{00000000-0005-0000-0000-0000E8000000}"/>
    <cellStyle name="60% - Accent2 2 3" xfId="708" xr:uid="{00000000-0005-0000-0000-0000E9000000}"/>
    <cellStyle name="60% - Accent2 2_DEO ADIT Unprotected" xfId="2657" xr:uid="{BA9A5082-9273-4F2B-A04F-EDF1B21B053A}"/>
    <cellStyle name="60% - Accent2 3" xfId="709" xr:uid="{00000000-0005-0000-0000-0000EA000000}"/>
    <cellStyle name="60% - Accent2 4" xfId="710" xr:uid="{00000000-0005-0000-0000-0000EB000000}"/>
    <cellStyle name="60% - Accent3" xfId="539" builtinId="40" customBuiltin="1"/>
    <cellStyle name="60% - Accent3 2" xfId="711" xr:uid="{00000000-0005-0000-0000-0000ED000000}"/>
    <cellStyle name="60% - Accent3 2 2" xfId="712" xr:uid="{00000000-0005-0000-0000-0000EE000000}"/>
    <cellStyle name="60% - Accent3 2 3" xfId="713" xr:uid="{00000000-0005-0000-0000-0000EF000000}"/>
    <cellStyle name="60% - Accent3 2_DEO ADIT Unprotected" xfId="2658" xr:uid="{97D93E74-D694-44A5-8B8B-141723766E9A}"/>
    <cellStyle name="60% - Accent3 3" xfId="714" xr:uid="{00000000-0005-0000-0000-0000F0000000}"/>
    <cellStyle name="60% - Accent3 4" xfId="715" xr:uid="{00000000-0005-0000-0000-0000F1000000}"/>
    <cellStyle name="60% - Accent4" xfId="543" builtinId="44" customBuiltin="1"/>
    <cellStyle name="60% - Accent4 2" xfId="716" xr:uid="{00000000-0005-0000-0000-0000F3000000}"/>
    <cellStyle name="60% - Accent4 2 2" xfId="717" xr:uid="{00000000-0005-0000-0000-0000F4000000}"/>
    <cellStyle name="60% - Accent4 2 3" xfId="718" xr:uid="{00000000-0005-0000-0000-0000F5000000}"/>
    <cellStyle name="60% - Accent4 2_DEO ADIT Unprotected" xfId="2659" xr:uid="{68018ABD-3168-4B21-A4AE-0B5D5AE1BA9E}"/>
    <cellStyle name="60% - Accent4 3" xfId="719" xr:uid="{00000000-0005-0000-0000-0000F6000000}"/>
    <cellStyle name="60% - Accent4 4" xfId="720" xr:uid="{00000000-0005-0000-0000-0000F7000000}"/>
    <cellStyle name="60% - Accent5" xfId="547" builtinId="48" customBuiltin="1"/>
    <cellStyle name="60% - Accent5 2" xfId="721" xr:uid="{00000000-0005-0000-0000-0000F9000000}"/>
    <cellStyle name="60% - Accent5 2 2" xfId="722" xr:uid="{00000000-0005-0000-0000-0000FA000000}"/>
    <cellStyle name="60% - Accent5 2 3" xfId="723" xr:uid="{00000000-0005-0000-0000-0000FB000000}"/>
    <cellStyle name="60% - Accent5 2_DEO ADIT Unprotected" xfId="2660" xr:uid="{36DC4A44-39C1-487A-BFC9-7929C9E1282C}"/>
    <cellStyle name="60% - Accent5 3" xfId="724" xr:uid="{00000000-0005-0000-0000-0000FC000000}"/>
    <cellStyle name="60% - Accent5 4" xfId="725" xr:uid="{00000000-0005-0000-0000-0000FD000000}"/>
    <cellStyle name="60% - Accent6" xfId="551" builtinId="52" customBuiltin="1"/>
    <cellStyle name="60% - Accent6 2" xfId="726" xr:uid="{00000000-0005-0000-0000-0000FF000000}"/>
    <cellStyle name="60% - Accent6 2 2" xfId="727" xr:uid="{00000000-0005-0000-0000-000000010000}"/>
    <cellStyle name="60% - Accent6 2 3" xfId="728" xr:uid="{00000000-0005-0000-0000-000001010000}"/>
    <cellStyle name="60% - Accent6 2_DEO ADIT Unprotected" xfId="2661" xr:uid="{9F5A0DF7-A830-4D1E-9855-86EFFC1BE746}"/>
    <cellStyle name="60% - Accent6 3" xfId="729" xr:uid="{00000000-0005-0000-0000-000002010000}"/>
    <cellStyle name="60% - Accent6 4" xfId="730" xr:uid="{00000000-0005-0000-0000-000003010000}"/>
    <cellStyle name="Accent1" xfId="528" builtinId="29" customBuiltin="1"/>
    <cellStyle name="Accent1 2" xfId="731" xr:uid="{00000000-0005-0000-0000-000005010000}"/>
    <cellStyle name="Accent1 2 2" xfId="732" xr:uid="{00000000-0005-0000-0000-000006010000}"/>
    <cellStyle name="Accent1 2 3" xfId="733" xr:uid="{00000000-0005-0000-0000-000007010000}"/>
    <cellStyle name="Accent1 2_DEO ADIT Unprotected" xfId="2662" xr:uid="{BCA81B25-7851-4DE8-8007-42358F166EFC}"/>
    <cellStyle name="Accent1 3" xfId="734" xr:uid="{00000000-0005-0000-0000-000008010000}"/>
    <cellStyle name="Accent1 4" xfId="735" xr:uid="{00000000-0005-0000-0000-000009010000}"/>
    <cellStyle name="Accent2" xfId="532" builtinId="33" customBuiltin="1"/>
    <cellStyle name="Accent2 2" xfId="736" xr:uid="{00000000-0005-0000-0000-00000B010000}"/>
    <cellStyle name="Accent2 2 2" xfId="737" xr:uid="{00000000-0005-0000-0000-00000C010000}"/>
    <cellStyle name="Accent2 2 3" xfId="738" xr:uid="{00000000-0005-0000-0000-00000D010000}"/>
    <cellStyle name="Accent2 2_DEO ADIT Unprotected" xfId="2663" xr:uid="{673ABD54-4E9F-466D-A39B-3567BEA14DF6}"/>
    <cellStyle name="Accent2 3" xfId="739" xr:uid="{00000000-0005-0000-0000-00000E010000}"/>
    <cellStyle name="Accent2 4" xfId="740" xr:uid="{00000000-0005-0000-0000-00000F010000}"/>
    <cellStyle name="Accent3" xfId="536" builtinId="37" customBuiltin="1"/>
    <cellStyle name="Accent3 2" xfId="741" xr:uid="{00000000-0005-0000-0000-000011010000}"/>
    <cellStyle name="Accent3 2 2" xfId="742" xr:uid="{00000000-0005-0000-0000-000012010000}"/>
    <cellStyle name="Accent3 2 3" xfId="743" xr:uid="{00000000-0005-0000-0000-000013010000}"/>
    <cellStyle name="Accent3 2_DEO ADIT Unprotected" xfId="2664" xr:uid="{EEC10D77-1562-489A-B033-9EBC7760C0CA}"/>
    <cellStyle name="Accent3 3" xfId="744" xr:uid="{00000000-0005-0000-0000-000014010000}"/>
    <cellStyle name="Accent3 4" xfId="745" xr:uid="{00000000-0005-0000-0000-000015010000}"/>
    <cellStyle name="Accent4" xfId="540" builtinId="41" customBuiltin="1"/>
    <cellStyle name="Accent4 2" xfId="746" xr:uid="{00000000-0005-0000-0000-000017010000}"/>
    <cellStyle name="Accent4 2 2" xfId="747" xr:uid="{00000000-0005-0000-0000-000018010000}"/>
    <cellStyle name="Accent4 2 3" xfId="748" xr:uid="{00000000-0005-0000-0000-000019010000}"/>
    <cellStyle name="Accent4 2_DEO ADIT Unprotected" xfId="2665" xr:uid="{A89C1C69-18E4-4886-BC6C-69F1ECA813BE}"/>
    <cellStyle name="Accent4 3" xfId="749" xr:uid="{00000000-0005-0000-0000-00001A010000}"/>
    <cellStyle name="Accent4 4" xfId="750" xr:uid="{00000000-0005-0000-0000-00001B010000}"/>
    <cellStyle name="Accent5" xfId="544" builtinId="45" customBuiltin="1"/>
    <cellStyle name="Accent5 2" xfId="751" xr:uid="{00000000-0005-0000-0000-00001D010000}"/>
    <cellStyle name="Accent5 2 2" xfId="752" xr:uid="{00000000-0005-0000-0000-00001E010000}"/>
    <cellStyle name="Accent5 2 3" xfId="753" xr:uid="{00000000-0005-0000-0000-00001F010000}"/>
    <cellStyle name="Accent5 2_DEO ADIT Unprotected" xfId="2666" xr:uid="{56185A9B-CB4D-413A-901C-837537249C45}"/>
    <cellStyle name="Accent5 3" xfId="754" xr:uid="{00000000-0005-0000-0000-000020010000}"/>
    <cellStyle name="Accent6" xfId="548" builtinId="49" customBuiltin="1"/>
    <cellStyle name="Accent6 2" xfId="755" xr:uid="{00000000-0005-0000-0000-000022010000}"/>
    <cellStyle name="Accent6 2 2" xfId="756" xr:uid="{00000000-0005-0000-0000-000023010000}"/>
    <cellStyle name="Accent6 2 3" xfId="757" xr:uid="{00000000-0005-0000-0000-000024010000}"/>
    <cellStyle name="Accent6 2_DEO ADIT Unprotected" xfId="2667" xr:uid="{7BCA4E98-25F7-428D-8726-DE8E1CE89F12}"/>
    <cellStyle name="Accent6 3" xfId="758" xr:uid="{00000000-0005-0000-0000-000025010000}"/>
    <cellStyle name="Accent6 4" xfId="759" xr:uid="{00000000-0005-0000-0000-000026010000}"/>
    <cellStyle name="Actual Date" xfId="760" xr:uid="{00000000-0005-0000-0000-000027010000}"/>
    <cellStyle name="Bad" xfId="518" builtinId="27" customBuiltin="1"/>
    <cellStyle name="Bad 2" xfId="761" xr:uid="{00000000-0005-0000-0000-000029010000}"/>
    <cellStyle name="Bad 2 2" xfId="762" xr:uid="{00000000-0005-0000-0000-00002A010000}"/>
    <cellStyle name="Bad 2 3" xfId="763" xr:uid="{00000000-0005-0000-0000-00002B010000}"/>
    <cellStyle name="Bad 2_DEO ADIT Unprotected" xfId="2668" xr:uid="{98013605-CCCB-4D32-92AD-4EFB09C795F0}"/>
    <cellStyle name="Bad 3" xfId="764" xr:uid="{00000000-0005-0000-0000-00002C010000}"/>
    <cellStyle name="Bad 4" xfId="765" xr:uid="{00000000-0005-0000-0000-00002D010000}"/>
    <cellStyle name="Basic" xfId="24" xr:uid="{00000000-0005-0000-0000-00002E010000}"/>
    <cellStyle name="black" xfId="25" xr:uid="{00000000-0005-0000-0000-00002F010000}"/>
    <cellStyle name="blu" xfId="26" xr:uid="{00000000-0005-0000-0000-000030010000}"/>
    <cellStyle name="bot" xfId="27" xr:uid="{00000000-0005-0000-0000-000031010000}"/>
    <cellStyle name="Brand Align Left Text" xfId="766" xr:uid="{00000000-0005-0000-0000-000032010000}"/>
    <cellStyle name="Brand Default" xfId="767" xr:uid="{00000000-0005-0000-0000-000033010000}"/>
    <cellStyle name="Brand Percent" xfId="768" xr:uid="{00000000-0005-0000-0000-000034010000}"/>
    <cellStyle name="Brand Source" xfId="769" xr:uid="{00000000-0005-0000-0000-000035010000}"/>
    <cellStyle name="Brand Subtitle with Underline" xfId="770" xr:uid="{00000000-0005-0000-0000-000036010000}"/>
    <cellStyle name="Brand Subtitle without Underline" xfId="771" xr:uid="{00000000-0005-0000-0000-000037010000}"/>
    <cellStyle name="Brand Title" xfId="772" xr:uid="{00000000-0005-0000-0000-000038010000}"/>
    <cellStyle name="Bullet" xfId="28" xr:uid="{00000000-0005-0000-0000-000039010000}"/>
    <cellStyle name="Bullet [0]" xfId="29" xr:uid="{00000000-0005-0000-0000-00003A010000}"/>
    <cellStyle name="Bullet [2]" xfId="30" xr:uid="{00000000-0005-0000-0000-00003B010000}"/>
    <cellStyle name="Bullet [4]" xfId="31" xr:uid="{00000000-0005-0000-0000-00003C010000}"/>
    <cellStyle name="c" xfId="32" xr:uid="{00000000-0005-0000-0000-00003D010000}"/>
    <cellStyle name="c," xfId="33" xr:uid="{00000000-0005-0000-0000-00003E010000}"/>
    <cellStyle name="c_HardInc " xfId="34" xr:uid="{00000000-0005-0000-0000-00003F010000}"/>
    <cellStyle name="c_HardInc _DEO ADIT Unprotected" xfId="2669" xr:uid="{C86D22AD-7C71-40AA-8130-12CC0FFC7EE3}"/>
    <cellStyle name="c_HardInc _ITC Great Plains Formula 1-12-09a" xfId="35" xr:uid="{00000000-0005-0000-0000-000040010000}"/>
    <cellStyle name="c_HardInc _ITC Great Plains Formula 1-12-09a_DEO ADIT Unprotected" xfId="2670" xr:uid="{D2C9F6ED-00CE-4AD3-AEFF-3235F8152388}"/>
    <cellStyle name="C00A" xfId="36" xr:uid="{00000000-0005-0000-0000-000041010000}"/>
    <cellStyle name="C00B" xfId="37" xr:uid="{00000000-0005-0000-0000-000042010000}"/>
    <cellStyle name="C00L" xfId="38" xr:uid="{00000000-0005-0000-0000-000043010000}"/>
    <cellStyle name="C01A" xfId="39" xr:uid="{00000000-0005-0000-0000-000044010000}"/>
    <cellStyle name="C01B" xfId="40" xr:uid="{00000000-0005-0000-0000-000045010000}"/>
    <cellStyle name="C01H" xfId="41" xr:uid="{00000000-0005-0000-0000-000046010000}"/>
    <cellStyle name="C01L" xfId="42" xr:uid="{00000000-0005-0000-0000-000047010000}"/>
    <cellStyle name="C02A" xfId="43" xr:uid="{00000000-0005-0000-0000-000048010000}"/>
    <cellStyle name="C02A 2" xfId="1624" xr:uid="{00000000-0005-0000-0000-000049010000}"/>
    <cellStyle name="C02A_DEO ADIT Unprotected" xfId="2671" xr:uid="{1D7E4D50-130E-4EB9-86E9-A7E7968E47A3}"/>
    <cellStyle name="C02B" xfId="44" xr:uid="{00000000-0005-0000-0000-00004A010000}"/>
    <cellStyle name="C02H" xfId="45" xr:uid="{00000000-0005-0000-0000-00004B010000}"/>
    <cellStyle name="C02L" xfId="46" xr:uid="{00000000-0005-0000-0000-00004C010000}"/>
    <cellStyle name="C03A" xfId="47" xr:uid="{00000000-0005-0000-0000-00004D010000}"/>
    <cellStyle name="C03B" xfId="48" xr:uid="{00000000-0005-0000-0000-00004E010000}"/>
    <cellStyle name="C03H" xfId="49" xr:uid="{00000000-0005-0000-0000-00004F010000}"/>
    <cellStyle name="C03L" xfId="50" xr:uid="{00000000-0005-0000-0000-000050010000}"/>
    <cellStyle name="C04A" xfId="51" xr:uid="{00000000-0005-0000-0000-000051010000}"/>
    <cellStyle name="C04B" xfId="52" xr:uid="{00000000-0005-0000-0000-000052010000}"/>
    <cellStyle name="C04H" xfId="53" xr:uid="{00000000-0005-0000-0000-000053010000}"/>
    <cellStyle name="C04L" xfId="54" xr:uid="{00000000-0005-0000-0000-000054010000}"/>
    <cellStyle name="C05A" xfId="55" xr:uid="{00000000-0005-0000-0000-000055010000}"/>
    <cellStyle name="C05B" xfId="56" xr:uid="{00000000-0005-0000-0000-000056010000}"/>
    <cellStyle name="C05H" xfId="57" xr:uid="{00000000-0005-0000-0000-000057010000}"/>
    <cellStyle name="C05L" xfId="58" xr:uid="{00000000-0005-0000-0000-000058010000}"/>
    <cellStyle name="C06A" xfId="59" xr:uid="{00000000-0005-0000-0000-000059010000}"/>
    <cellStyle name="C06B" xfId="60" xr:uid="{00000000-0005-0000-0000-00005A010000}"/>
    <cellStyle name="C06H" xfId="61" xr:uid="{00000000-0005-0000-0000-00005B010000}"/>
    <cellStyle name="C06L" xfId="62" xr:uid="{00000000-0005-0000-0000-00005C010000}"/>
    <cellStyle name="C07A" xfId="63" xr:uid="{00000000-0005-0000-0000-00005D010000}"/>
    <cellStyle name="C07B" xfId="64" xr:uid="{00000000-0005-0000-0000-00005E010000}"/>
    <cellStyle name="C07H" xfId="65" xr:uid="{00000000-0005-0000-0000-00005F010000}"/>
    <cellStyle name="C07L" xfId="66" xr:uid="{00000000-0005-0000-0000-000060010000}"/>
    <cellStyle name="c1" xfId="67" xr:uid="{00000000-0005-0000-0000-000061010000}"/>
    <cellStyle name="c1," xfId="68" xr:uid="{00000000-0005-0000-0000-000062010000}"/>
    <cellStyle name="c2" xfId="69" xr:uid="{00000000-0005-0000-0000-000063010000}"/>
    <cellStyle name="c2," xfId="70" xr:uid="{00000000-0005-0000-0000-000064010000}"/>
    <cellStyle name="c3" xfId="71" xr:uid="{00000000-0005-0000-0000-000065010000}"/>
    <cellStyle name="Calculation" xfId="522" builtinId="22" customBuiltin="1"/>
    <cellStyle name="Calculation 2" xfId="773" xr:uid="{00000000-0005-0000-0000-000067010000}"/>
    <cellStyle name="Calculation 2 2" xfId="774" xr:uid="{00000000-0005-0000-0000-000068010000}"/>
    <cellStyle name="Calculation 2 3" xfId="775" xr:uid="{00000000-0005-0000-0000-000069010000}"/>
    <cellStyle name="Calculation 2_DEO ADIT Unprotected" xfId="2672" xr:uid="{6F720188-54ED-4032-B2C2-291D8E119F1B}"/>
    <cellStyle name="Calculation 3" xfId="776" xr:uid="{00000000-0005-0000-0000-00006A010000}"/>
    <cellStyle name="Calculation 4" xfId="777" xr:uid="{00000000-0005-0000-0000-00006B010000}"/>
    <cellStyle name="cas" xfId="72" xr:uid="{00000000-0005-0000-0000-00006C010000}"/>
    <cellStyle name="Centered Heading" xfId="73" xr:uid="{00000000-0005-0000-0000-00006D010000}"/>
    <cellStyle name="ChartingText" xfId="778" xr:uid="{00000000-0005-0000-0000-00006E010000}"/>
    <cellStyle name="Check Cell" xfId="524" builtinId="23" customBuiltin="1"/>
    <cellStyle name="Check Cell 2" xfId="779" xr:uid="{00000000-0005-0000-0000-000070010000}"/>
    <cellStyle name="Check Cell 2 2" xfId="780" xr:uid="{00000000-0005-0000-0000-000071010000}"/>
    <cellStyle name="Check Cell 2 3" xfId="781" xr:uid="{00000000-0005-0000-0000-000072010000}"/>
    <cellStyle name="Check Cell 2_DEO ADIT Unprotected" xfId="2673" xr:uid="{70C1887D-0241-48AA-830E-294A7A68207B}"/>
    <cellStyle name="Check Cell 3" xfId="782" xr:uid="{00000000-0005-0000-0000-000073010000}"/>
    <cellStyle name="column1" xfId="783" xr:uid="{00000000-0005-0000-0000-000074010000}"/>
    <cellStyle name="ColumnHeaderNormal" xfId="784" xr:uid="{00000000-0005-0000-0000-000075010000}"/>
    <cellStyle name="Comma" xfId="1" builtinId="3"/>
    <cellStyle name="Comma  - Style1" xfId="74" xr:uid="{00000000-0005-0000-0000-000077010000}"/>
    <cellStyle name="Comma  - Style2" xfId="75" xr:uid="{00000000-0005-0000-0000-000078010000}"/>
    <cellStyle name="Comma  - Style3" xfId="76" xr:uid="{00000000-0005-0000-0000-000079010000}"/>
    <cellStyle name="Comma  - Style4" xfId="77" xr:uid="{00000000-0005-0000-0000-00007A010000}"/>
    <cellStyle name="Comma  - Style5" xfId="78" xr:uid="{00000000-0005-0000-0000-00007B010000}"/>
    <cellStyle name="Comma  - Style6" xfId="79" xr:uid="{00000000-0005-0000-0000-00007C010000}"/>
    <cellStyle name="Comma  - Style7" xfId="80" xr:uid="{00000000-0005-0000-0000-00007D010000}"/>
    <cellStyle name="Comma  - Style8" xfId="81" xr:uid="{00000000-0005-0000-0000-00007E010000}"/>
    <cellStyle name="Comma [1]" xfId="82" xr:uid="{00000000-0005-0000-0000-00007F010000}"/>
    <cellStyle name="Comma [2]" xfId="83" xr:uid="{00000000-0005-0000-0000-000080010000}"/>
    <cellStyle name="Comma [3]" xfId="84" xr:uid="{00000000-0005-0000-0000-000081010000}"/>
    <cellStyle name="Comma 0.0" xfId="85" xr:uid="{00000000-0005-0000-0000-000082010000}"/>
    <cellStyle name="Comma 0.00" xfId="86" xr:uid="{00000000-0005-0000-0000-000083010000}"/>
    <cellStyle name="Comma 0.000" xfId="87" xr:uid="{00000000-0005-0000-0000-000084010000}"/>
    <cellStyle name="Comma 0.0000" xfId="88" xr:uid="{00000000-0005-0000-0000-000085010000}"/>
    <cellStyle name="Comma 10" xfId="354" xr:uid="{00000000-0005-0000-0000-000086010000}"/>
    <cellStyle name="Comma 10 2" xfId="785" xr:uid="{00000000-0005-0000-0000-000087010000}"/>
    <cellStyle name="Comma 10 2 2" xfId="1815" xr:uid="{00000000-0005-0000-0000-000088010000}"/>
    <cellStyle name="Comma 10 2 2 2" xfId="5065" xr:uid="{3D1B037E-6702-43CA-8F76-83875C7A706E}"/>
    <cellStyle name="Comma 10 2 2 2 2" xfId="8445" xr:uid="{2BC7BABB-005B-431C-BA26-722A170F509D}"/>
    <cellStyle name="Comma 10 2 2 3" xfId="6745" xr:uid="{72045AC9-EDAC-4A96-9A18-878AD5E80577}"/>
    <cellStyle name="Comma 10 2 3" xfId="4228" xr:uid="{EE9D430C-63DC-4334-9CF5-F9E6EA5A2F6B}"/>
    <cellStyle name="Comma 10 2 3 2" xfId="7608" xr:uid="{7EA7825C-36B2-44A1-ADEB-EB0E05EC3945}"/>
    <cellStyle name="Comma 10 2 4" xfId="5907" xr:uid="{E5CB1967-A458-4A28-A2A6-1CBEC779C98F}"/>
    <cellStyle name="Comma 10 3" xfId="786" xr:uid="{00000000-0005-0000-0000-000089010000}"/>
    <cellStyle name="Comma 10 3 2" xfId="1816" xr:uid="{00000000-0005-0000-0000-00008A010000}"/>
    <cellStyle name="Comma 10 3 2 2" xfId="5066" xr:uid="{1C6FF9E9-8742-44DE-8361-C896AFAEF15C}"/>
    <cellStyle name="Comma 10 3 2 2 2" xfId="8446" xr:uid="{D82587C4-1F96-464B-A4B8-4062E802373D}"/>
    <cellStyle name="Comma 10 3 2 3" xfId="6746" xr:uid="{CE6C18C9-A68C-46D2-9660-FB25845CCC2F}"/>
    <cellStyle name="Comma 10 3 3" xfId="4229" xr:uid="{FAB096ED-4675-42E1-BB0A-B5129330671C}"/>
    <cellStyle name="Comma 10 3 3 2" xfId="7609" xr:uid="{CFDA06EE-1A54-4173-9B42-ED7F2E50D018}"/>
    <cellStyle name="Comma 10 3 4" xfId="5908" xr:uid="{F46D7034-E274-4396-9498-BB920BFB76CF}"/>
    <cellStyle name="Comma 10 4" xfId="787" xr:uid="{00000000-0005-0000-0000-00008B010000}"/>
    <cellStyle name="Comma 10 4 2" xfId="1817" xr:uid="{00000000-0005-0000-0000-00008C010000}"/>
    <cellStyle name="Comma 10 4 2 2" xfId="5067" xr:uid="{6369642A-03BF-4A24-8CE5-E73DA8B366FA}"/>
    <cellStyle name="Comma 10 4 2 2 2" xfId="8447" xr:uid="{43912B8E-A9D8-4804-A6F4-98654C67D952}"/>
    <cellStyle name="Comma 10 4 2 3" xfId="6747" xr:uid="{BD8F3549-72D6-4DC6-9949-CA16ECA59098}"/>
    <cellStyle name="Comma 10 4 3" xfId="4230" xr:uid="{97CF6687-B023-46CB-8FB1-378023FB9D49}"/>
    <cellStyle name="Comma 10 4 3 2" xfId="7610" xr:uid="{F4553BB1-C307-4CC5-A596-6AC9317C87F3}"/>
    <cellStyle name="Comma 10 4 4" xfId="5909" xr:uid="{2A4A7CBC-A5A1-4027-B83B-04D80815BE48}"/>
    <cellStyle name="Comma 10 5" xfId="788" xr:uid="{00000000-0005-0000-0000-00008D010000}"/>
    <cellStyle name="Comma 10 5 2" xfId="1818" xr:uid="{00000000-0005-0000-0000-00008E010000}"/>
    <cellStyle name="Comma 10 5 2 2" xfId="5068" xr:uid="{A076CF7C-B08F-4FAB-95B0-88208B92FFB4}"/>
    <cellStyle name="Comma 10 5 2 2 2" xfId="8448" xr:uid="{05DD232A-2B11-41EC-AAF1-CE638BE844F0}"/>
    <cellStyle name="Comma 10 5 2 3" xfId="6748" xr:uid="{C36061C8-A0D3-4B2E-99AB-1D85731A16E6}"/>
    <cellStyle name="Comma 10 5 3" xfId="4231" xr:uid="{3E981716-F0A9-4FD1-BBF0-1380C5C02138}"/>
    <cellStyle name="Comma 10 5 3 2" xfId="7611" xr:uid="{DC61274C-4C6F-42CA-A8D2-D6E0CC87F9E6}"/>
    <cellStyle name="Comma 10 5 4" xfId="5910" xr:uid="{512479B4-EFD6-40F5-9B8B-52DE281EA299}"/>
    <cellStyle name="Comma 10 6" xfId="789" xr:uid="{00000000-0005-0000-0000-00008F010000}"/>
    <cellStyle name="Comma 10 6 2" xfId="1819" xr:uid="{00000000-0005-0000-0000-000090010000}"/>
    <cellStyle name="Comma 10 6 2 2" xfId="5069" xr:uid="{3648ED3E-133D-43BB-A6BB-D2FE55B1227C}"/>
    <cellStyle name="Comma 10 6 2 2 2" xfId="8449" xr:uid="{4EA0FD51-003B-426B-A56D-537D6C2C25DF}"/>
    <cellStyle name="Comma 10 6 2 3" xfId="6749" xr:uid="{5039D9E9-F3A2-44B7-BFF5-B1DD8D57CC8F}"/>
    <cellStyle name="Comma 10 6 3" xfId="4232" xr:uid="{BE5250C5-756B-4AC0-A011-E52402C2089B}"/>
    <cellStyle name="Comma 10 6 3 2" xfId="7612" xr:uid="{A10605C3-0CAC-4964-980F-A1988D6DFF7F}"/>
    <cellStyle name="Comma 10 6 4" xfId="5911" xr:uid="{3F7D0C54-A564-4688-90A7-F399C1992E2D}"/>
    <cellStyle name="Comma 100" xfId="7395" xr:uid="{FCE2B964-7DA9-4DF2-A93D-2432E6605A29}"/>
    <cellStyle name="Comma 101" xfId="7393" xr:uid="{FAEF713D-6F33-4185-BBE9-970A8F9215D9}"/>
    <cellStyle name="Comma 102" xfId="7399" xr:uid="{651018D3-47CC-4304-8990-3018DC182E85}"/>
    <cellStyle name="Comma 103" xfId="6155" xr:uid="{AE73F939-AB6E-4F12-9520-8FF9710C674E}"/>
    <cellStyle name="Comma 11" xfId="356" xr:uid="{00000000-0005-0000-0000-000091010000}"/>
    <cellStyle name="Comma 11 2" xfId="790" xr:uid="{00000000-0005-0000-0000-000092010000}"/>
    <cellStyle name="Comma 11 2 2" xfId="1820" xr:uid="{00000000-0005-0000-0000-000093010000}"/>
    <cellStyle name="Comma 11 2 2 2" xfId="5070" xr:uid="{F03989CA-237A-4908-97C7-432A066A5688}"/>
    <cellStyle name="Comma 11 2 2 2 2" xfId="8450" xr:uid="{8DA5A86A-458D-49FD-B801-E51C3AF4A5D6}"/>
    <cellStyle name="Comma 11 2 2 3" xfId="6750" xr:uid="{9AF89DF1-9A18-4440-B437-215302BB5A5F}"/>
    <cellStyle name="Comma 11 2 3" xfId="4233" xr:uid="{9F0095ED-A88D-419F-8B9B-25B59385648F}"/>
    <cellStyle name="Comma 11 2 3 2" xfId="7613" xr:uid="{341BE1C1-EC7E-4700-A318-84297BAD56A9}"/>
    <cellStyle name="Comma 11 2 4" xfId="5912" xr:uid="{A0570C19-5747-4DDA-A0F3-754C2B0E5F45}"/>
    <cellStyle name="Comma 12" xfId="361" xr:uid="{00000000-0005-0000-0000-000094010000}"/>
    <cellStyle name="Comma 12 2" xfId="791" xr:uid="{00000000-0005-0000-0000-000095010000}"/>
    <cellStyle name="Comma 12 2 2" xfId="1821" xr:uid="{00000000-0005-0000-0000-000096010000}"/>
    <cellStyle name="Comma 12 2 2 2" xfId="5071" xr:uid="{6E997D89-241D-4901-AA39-99F643FD6770}"/>
    <cellStyle name="Comma 12 2 2 2 2" xfId="8451" xr:uid="{0E225F54-B962-440B-A708-7CEAB6689C84}"/>
    <cellStyle name="Comma 12 2 2 3" xfId="6751" xr:uid="{52E9FA14-0808-4121-9491-98088CD7B4D0}"/>
    <cellStyle name="Comma 12 2 3" xfId="4234" xr:uid="{2B97996F-BB3E-4C74-96EE-E02EA6E39732}"/>
    <cellStyle name="Comma 12 2 3 2" xfId="7614" xr:uid="{71909929-3BE4-4D1B-86DA-B3750F22D6D3}"/>
    <cellStyle name="Comma 12 2 4" xfId="5913" xr:uid="{DAF57920-9D3F-428E-B460-9D2D38E7C11F}"/>
    <cellStyle name="Comma 13" xfId="366" xr:uid="{00000000-0005-0000-0000-000097010000}"/>
    <cellStyle name="Comma 14" xfId="362" xr:uid="{00000000-0005-0000-0000-000098010000}"/>
    <cellStyle name="Comma 14 2" xfId="792" xr:uid="{00000000-0005-0000-0000-000099010000}"/>
    <cellStyle name="Comma 14 2 2" xfId="1822" xr:uid="{00000000-0005-0000-0000-00009A010000}"/>
    <cellStyle name="Comma 14 2 2 2" xfId="5072" xr:uid="{F0F126A2-3307-40F2-8D3B-022F0EF14966}"/>
    <cellStyle name="Comma 14 2 2 2 2" xfId="8452" xr:uid="{46EC1A31-FFD3-4A0F-B325-AE5534EE9F51}"/>
    <cellStyle name="Comma 14 2 2 3" xfId="6752" xr:uid="{00F5D50D-BF66-4071-B947-3595BE5C4B8F}"/>
    <cellStyle name="Comma 14 2 3" xfId="4235" xr:uid="{2BA53B79-2B9E-4BDA-BC2E-ED62394407D7}"/>
    <cellStyle name="Comma 14 2 3 2" xfId="7615" xr:uid="{430F13C3-2556-44AC-AFE2-8209706F077C}"/>
    <cellStyle name="Comma 14 2 4" xfId="5914" xr:uid="{E30D39A5-AA42-4C4A-9BE7-32D5F1611431}"/>
    <cellStyle name="Comma 15" xfId="365" xr:uid="{00000000-0005-0000-0000-00009B010000}"/>
    <cellStyle name="Comma 15 2" xfId="793" xr:uid="{00000000-0005-0000-0000-00009C010000}"/>
    <cellStyle name="Comma 15 2 2" xfId="1823" xr:uid="{00000000-0005-0000-0000-00009D010000}"/>
    <cellStyle name="Comma 15 2 2 2" xfId="5073" xr:uid="{F1438D80-EB41-414B-88E4-CC556D25F407}"/>
    <cellStyle name="Comma 15 2 2 2 2" xfId="8453" xr:uid="{9FE8A92E-C335-4649-ADB8-64A15AB7D506}"/>
    <cellStyle name="Comma 15 2 2 3" xfId="6753" xr:uid="{25E9EA60-BE0E-43D3-AC97-194FBD21C377}"/>
    <cellStyle name="Comma 15 2 3" xfId="4236" xr:uid="{264B56FB-EE09-4529-927F-4ACD7E634908}"/>
    <cellStyle name="Comma 15 2 3 2" xfId="7616" xr:uid="{ED025144-A67F-4D06-844C-B636E62355E7}"/>
    <cellStyle name="Comma 15 2 4" xfId="5915" xr:uid="{17F93C0C-F8EC-4809-BBA1-D583C642902E}"/>
    <cellStyle name="Comma 16" xfId="363" xr:uid="{00000000-0005-0000-0000-00009E010000}"/>
    <cellStyle name="Comma 17" xfId="364" xr:uid="{00000000-0005-0000-0000-00009F010000}"/>
    <cellStyle name="Comma 18" xfId="368" xr:uid="{00000000-0005-0000-0000-0000A0010000}"/>
    <cellStyle name="Comma 19" xfId="414" xr:uid="{00000000-0005-0000-0000-0000A1010000}"/>
    <cellStyle name="Comma 2" xfId="2" xr:uid="{00000000-0005-0000-0000-0000A2010000}"/>
    <cellStyle name="Comma 2 2" xfId="89" xr:uid="{00000000-0005-0000-0000-0000A3010000}"/>
    <cellStyle name="Comma 2 2 2" xfId="794" xr:uid="{00000000-0005-0000-0000-0000A4010000}"/>
    <cellStyle name="Comma 2 2 2 2" xfId="795" xr:uid="{00000000-0005-0000-0000-0000A5010000}"/>
    <cellStyle name="Comma 2 2 2 2 2" xfId="1825" xr:uid="{00000000-0005-0000-0000-0000A6010000}"/>
    <cellStyle name="Comma 2 2 2 2 2 2" xfId="5075" xr:uid="{DB230F69-E5EC-4544-B422-551DDE8AA39F}"/>
    <cellStyle name="Comma 2 2 2 2 2 2 2" xfId="8455" xr:uid="{CCAADF0D-D952-430B-896D-557F419CED9D}"/>
    <cellStyle name="Comma 2 2 2 2 2 3" xfId="6755" xr:uid="{803DF3CD-7E5E-412F-98C6-6FC3D597FC06}"/>
    <cellStyle name="Comma 2 2 2 2 3" xfId="4238" xr:uid="{A9B5A11E-60DB-4685-9257-255E78D3E43D}"/>
    <cellStyle name="Comma 2 2 2 2 3 2" xfId="7618" xr:uid="{DAFD641D-6F86-4EEF-AF32-0C9CEE3D50B8}"/>
    <cellStyle name="Comma 2 2 2 2 4" xfId="5917" xr:uid="{653DC9A4-9ED6-41B1-8F11-C308426F468D}"/>
    <cellStyle name="Comma 2 2 2 3" xfId="1824" xr:uid="{00000000-0005-0000-0000-0000A7010000}"/>
    <cellStyle name="Comma 2 2 2 3 2" xfId="5074" xr:uid="{ADE05559-A63D-4699-84A6-B800A87E1301}"/>
    <cellStyle name="Comma 2 2 2 3 2 2" xfId="8454" xr:uid="{9535CC8D-DE9A-4423-A7B7-643787B70E56}"/>
    <cellStyle name="Comma 2 2 2 3 3" xfId="6754" xr:uid="{48535C0A-6A30-44A4-A297-39D5DE0DAF05}"/>
    <cellStyle name="Comma 2 2 2 4" xfId="4237" xr:uid="{8716579F-1E26-4970-BE5F-874F66392640}"/>
    <cellStyle name="Comma 2 2 2 4 2" xfId="7617" xr:uid="{33BE8F2D-E5A8-43EE-B9D9-A961C87AF5CF}"/>
    <cellStyle name="Comma 2 2 2 5" xfId="5916" xr:uid="{F94C8068-90F3-4F0B-823E-AA2D55B5471D}"/>
    <cellStyle name="Comma 2 3" xfId="444" xr:uid="{00000000-0005-0000-0000-0000A8010000}"/>
    <cellStyle name="Comma 2 3 2" xfId="796" xr:uid="{00000000-0005-0000-0000-0000A9010000}"/>
    <cellStyle name="Comma 2 3 2 2" xfId="1826" xr:uid="{00000000-0005-0000-0000-0000AA010000}"/>
    <cellStyle name="Comma 2 3 2 2 2" xfId="5076" xr:uid="{D24B8E54-9CDA-4083-AE98-5B78D4430E48}"/>
    <cellStyle name="Comma 2 3 2 2 2 2" xfId="8456" xr:uid="{70DA855B-9D1F-4729-AEFD-6E9667FCBD35}"/>
    <cellStyle name="Comma 2 3 2 2 3" xfId="6756" xr:uid="{00F20B44-2555-4232-B108-34BF8F2AE2D8}"/>
    <cellStyle name="Comma 2 3 2 3" xfId="4239" xr:uid="{03918184-C26A-4735-A7B1-6A74B9F31449}"/>
    <cellStyle name="Comma 2 3 2 3 2" xfId="7619" xr:uid="{869F01EB-2CE1-4661-9553-07550C38B5B3}"/>
    <cellStyle name="Comma 2 3 2 4" xfId="5918" xr:uid="{48A93086-47B6-40DB-AD26-ABA7F4400BB6}"/>
    <cellStyle name="Comma 2 4" xfId="797" xr:uid="{00000000-0005-0000-0000-0000AB010000}"/>
    <cellStyle name="Comma 2 4 2" xfId="798" xr:uid="{00000000-0005-0000-0000-0000AC010000}"/>
    <cellStyle name="Comma 2 4 2 2" xfId="1828" xr:uid="{00000000-0005-0000-0000-0000AD010000}"/>
    <cellStyle name="Comma 2 4 2 2 2" xfId="5078" xr:uid="{6EED95EE-9751-4395-A9DC-0D7B9B42D14E}"/>
    <cellStyle name="Comma 2 4 2 2 2 2" xfId="8458" xr:uid="{0303D151-560F-4C2E-BCB0-8FF634CB899B}"/>
    <cellStyle name="Comma 2 4 2 2 3" xfId="6758" xr:uid="{3C091A2C-352B-40F4-9E60-4E81CBE17F32}"/>
    <cellStyle name="Comma 2 4 2 3" xfId="4241" xr:uid="{159ED598-7D61-418F-A188-C393C72A81DB}"/>
    <cellStyle name="Comma 2 4 2 3 2" xfId="7621" xr:uid="{692B6898-BAED-455B-BFDB-CF3145383CD3}"/>
    <cellStyle name="Comma 2 4 2 4" xfId="5920" xr:uid="{0F55A78A-B117-4DF8-A6B5-182E29946350}"/>
    <cellStyle name="Comma 2 4 3" xfId="1827" xr:uid="{00000000-0005-0000-0000-0000AE010000}"/>
    <cellStyle name="Comma 2 4 3 2" xfId="5077" xr:uid="{3DED0FE6-4F8D-4EA3-823E-DE2F5809FE6E}"/>
    <cellStyle name="Comma 2 4 3 2 2" xfId="8457" xr:uid="{22A7B653-C63A-4E42-86EA-2F05133FBA75}"/>
    <cellStyle name="Comma 2 4 3 3" xfId="6757" xr:uid="{08CEB8A0-72AB-484B-AEC6-D14A5541E607}"/>
    <cellStyle name="Comma 2 4 4" xfId="4240" xr:uid="{5A580542-6245-4812-9612-446FC22C6038}"/>
    <cellStyle name="Comma 2 4 4 2" xfId="7620" xr:uid="{22D5F942-4655-48E4-B9D3-6BDEED634AC8}"/>
    <cellStyle name="Comma 2 4 5" xfId="5919" xr:uid="{9D0644AC-8599-4CC9-99D2-BAE17B435ECF}"/>
    <cellStyle name="Comma 20" xfId="373" xr:uid="{00000000-0005-0000-0000-0000AF010000}"/>
    <cellStyle name="Comma 21" xfId="410" xr:uid="{00000000-0005-0000-0000-0000B0010000}"/>
    <cellStyle name="Comma 22" xfId="377" xr:uid="{00000000-0005-0000-0000-0000B1010000}"/>
    <cellStyle name="Comma 23" xfId="406" xr:uid="{00000000-0005-0000-0000-0000B2010000}"/>
    <cellStyle name="Comma 24" xfId="380" xr:uid="{00000000-0005-0000-0000-0000B3010000}"/>
    <cellStyle name="Comma 25" xfId="403" xr:uid="{00000000-0005-0000-0000-0000B4010000}"/>
    <cellStyle name="Comma 26" xfId="372" xr:uid="{00000000-0005-0000-0000-0000B5010000}"/>
    <cellStyle name="Comma 27" xfId="400" xr:uid="{00000000-0005-0000-0000-0000B6010000}"/>
    <cellStyle name="Comma 28" xfId="385" xr:uid="{00000000-0005-0000-0000-0000B7010000}"/>
    <cellStyle name="Comma 29" xfId="398" xr:uid="{00000000-0005-0000-0000-0000B8010000}"/>
    <cellStyle name="Comma 3" xfId="13" xr:uid="{00000000-0005-0000-0000-0000B9010000}"/>
    <cellStyle name="Comma 3 2" xfId="90" xr:uid="{00000000-0005-0000-0000-0000BA010000}"/>
    <cellStyle name="Comma 3 2 2" xfId="432" xr:uid="{00000000-0005-0000-0000-0000BB010000}"/>
    <cellStyle name="Comma 3 2 2 2" xfId="1639" xr:uid="{00000000-0005-0000-0000-0000BC010000}"/>
    <cellStyle name="Comma 3 2 2 2 2" xfId="4889" xr:uid="{0AA90CE0-5818-41D9-B7E4-89158E5F34C3}"/>
    <cellStyle name="Comma 3 2 2 2 2 2" xfId="8269" xr:uid="{FF4734C1-B7EE-40A0-ADE1-D3E9824DC20A}"/>
    <cellStyle name="Comma 3 2 2 2 3" xfId="6569" xr:uid="{0B54F10B-B185-42C3-AEB0-437299B7F998}"/>
    <cellStyle name="Comma 3 2 2 3" xfId="4052" xr:uid="{17A21AF5-C8B3-442E-9EDF-7EF72654E18E}"/>
    <cellStyle name="Comma 3 2 2 3 2" xfId="7432" xr:uid="{6403E09A-E0FA-46FF-937A-75039BA20EF4}"/>
    <cellStyle name="Comma 3 2 2 4" xfId="5731" xr:uid="{58EB8AAB-E739-4299-AF4B-7A01671D50FC}"/>
    <cellStyle name="Comma 30" xfId="387" xr:uid="{00000000-0005-0000-0000-0000BD010000}"/>
    <cellStyle name="Comma 31" xfId="396" xr:uid="{00000000-0005-0000-0000-0000BE010000}"/>
    <cellStyle name="Comma 32" xfId="389" xr:uid="{00000000-0005-0000-0000-0000BF010000}"/>
    <cellStyle name="Comma 33" xfId="394" xr:uid="{00000000-0005-0000-0000-0000C0010000}"/>
    <cellStyle name="Comma 34" xfId="391" xr:uid="{00000000-0005-0000-0000-0000C1010000}"/>
    <cellStyle name="Comma 35" xfId="392" xr:uid="{00000000-0005-0000-0000-0000C2010000}"/>
    <cellStyle name="Comma 36" xfId="416" xr:uid="{00000000-0005-0000-0000-0000C3010000}"/>
    <cellStyle name="Comma 37" xfId="411" xr:uid="{00000000-0005-0000-0000-0000C4010000}"/>
    <cellStyle name="Comma 38" xfId="376" xr:uid="{00000000-0005-0000-0000-0000C5010000}"/>
    <cellStyle name="Comma 39" xfId="407" xr:uid="{00000000-0005-0000-0000-0000C6010000}"/>
    <cellStyle name="Comma 4" xfId="14" xr:uid="{00000000-0005-0000-0000-0000C7010000}"/>
    <cellStyle name="Comma 4 2" xfId="91" xr:uid="{00000000-0005-0000-0000-0000C8010000}"/>
    <cellStyle name="Comma 4 3" xfId="360" xr:uid="{00000000-0005-0000-0000-0000C9010000}"/>
    <cellStyle name="Comma 4 3 2" xfId="1634" xr:uid="{00000000-0005-0000-0000-0000CA010000}"/>
    <cellStyle name="Comma 4 3 2 2" xfId="4884" xr:uid="{E8C7D975-7C16-42EA-A5EC-CBCBEEBD865B}"/>
    <cellStyle name="Comma 4 3 2 2 2" xfId="8264" xr:uid="{13411D89-C0AD-4D72-9244-161F1CB67DF4}"/>
    <cellStyle name="Comma 4 3 2 3" xfId="6564" xr:uid="{7A215AD1-152C-4818-80C5-DB5AEB6F02FC}"/>
    <cellStyle name="Comma 4 3 3" xfId="4047" xr:uid="{E39A9D14-B402-4DDA-93C2-455B873F89D8}"/>
    <cellStyle name="Comma 4 3 3 2" xfId="7427" xr:uid="{0B3DF284-6CAD-4434-A71C-9005B7DC6671}"/>
    <cellStyle name="Comma 4 3 4" xfId="5726" xr:uid="{5A931176-AED7-4C4B-9FF6-243CF5A8BD20}"/>
    <cellStyle name="Comma 40" xfId="379" xr:uid="{00000000-0005-0000-0000-0000CB010000}"/>
    <cellStyle name="Comma 41" xfId="404" xr:uid="{00000000-0005-0000-0000-0000CC010000}"/>
    <cellStyle name="Comma 42" xfId="382" xr:uid="{00000000-0005-0000-0000-0000CD010000}"/>
    <cellStyle name="Comma 43" xfId="401" xr:uid="{00000000-0005-0000-0000-0000CE010000}"/>
    <cellStyle name="Comma 44" xfId="384" xr:uid="{00000000-0005-0000-0000-0000CF010000}"/>
    <cellStyle name="Comma 45" xfId="412" xr:uid="{00000000-0005-0000-0000-0000D0010000}"/>
    <cellStyle name="Comma 46" xfId="375" xr:uid="{00000000-0005-0000-0000-0000D1010000}"/>
    <cellStyle name="Comma 47" xfId="408" xr:uid="{00000000-0005-0000-0000-0000D2010000}"/>
    <cellStyle name="Comma 48" xfId="378" xr:uid="{00000000-0005-0000-0000-0000D3010000}"/>
    <cellStyle name="Comma 49" xfId="405" xr:uid="{00000000-0005-0000-0000-0000D4010000}"/>
    <cellStyle name="Comma 5" xfId="92" xr:uid="{00000000-0005-0000-0000-0000D5010000}"/>
    <cellStyle name="Comma 5 2" xfId="799" xr:uid="{00000000-0005-0000-0000-0000D6010000}"/>
    <cellStyle name="Comma 5 2 2" xfId="800" xr:uid="{00000000-0005-0000-0000-0000D7010000}"/>
    <cellStyle name="Comma 5 2 2 2" xfId="801" xr:uid="{00000000-0005-0000-0000-0000D8010000}"/>
    <cellStyle name="Comma 5 2 2 2 2" xfId="1831" xr:uid="{00000000-0005-0000-0000-0000D9010000}"/>
    <cellStyle name="Comma 5 2 2 2 2 2" xfId="5081" xr:uid="{C8D6315B-8488-4950-8F6D-32C21242DFE9}"/>
    <cellStyle name="Comma 5 2 2 2 2 2 2" xfId="8461" xr:uid="{F5E4AC3D-CC86-419D-ACFD-366DF595A2BA}"/>
    <cellStyle name="Comma 5 2 2 2 2 3" xfId="6761" xr:uid="{1C36E9D7-581D-44ED-9EAA-CD33BC972346}"/>
    <cellStyle name="Comma 5 2 2 2 3" xfId="4244" xr:uid="{CFE394B6-4314-420A-BE5D-3E7D9AB11924}"/>
    <cellStyle name="Comma 5 2 2 2 3 2" xfId="7624" xr:uid="{07DDB477-530A-43BC-BAC2-2A413A648266}"/>
    <cellStyle name="Comma 5 2 2 2 4" xfId="5923" xr:uid="{F13617DD-9112-4387-BB71-F48C9563CD37}"/>
    <cellStyle name="Comma 5 2 2 3" xfId="1830" xr:uid="{00000000-0005-0000-0000-0000DA010000}"/>
    <cellStyle name="Comma 5 2 2 3 2" xfId="5080" xr:uid="{BEA5DB9B-71F5-48EB-ADCD-696C2A71CF41}"/>
    <cellStyle name="Comma 5 2 2 3 2 2" xfId="8460" xr:uid="{739FC057-4B2A-48D7-8104-BAC07B13F059}"/>
    <cellStyle name="Comma 5 2 2 3 3" xfId="6760" xr:uid="{0B7DB843-6DAB-4DAC-8DFD-BE341F9002F1}"/>
    <cellStyle name="Comma 5 2 2 4" xfId="4243" xr:uid="{EA29049E-BC8C-4DC1-BA26-30CD667BB8AD}"/>
    <cellStyle name="Comma 5 2 2 4 2" xfId="7623" xr:uid="{662FA839-EBBF-44B4-93A6-9F3EBE37CEA2}"/>
    <cellStyle name="Comma 5 2 2 5" xfId="5922" xr:uid="{71B2C95D-BE99-43E6-8328-62F3CB431F58}"/>
    <cellStyle name="Comma 5 2 3" xfId="1829" xr:uid="{00000000-0005-0000-0000-0000DB010000}"/>
    <cellStyle name="Comma 5 2 3 2" xfId="5079" xr:uid="{5B5EBB71-25DE-4D00-BF13-CDD34EB6D15E}"/>
    <cellStyle name="Comma 5 2 3 2 2" xfId="8459" xr:uid="{D3B246B4-3359-4101-B0F3-A4E07ECFDA49}"/>
    <cellStyle name="Comma 5 2 3 3" xfId="6759" xr:uid="{A37A46CE-565E-4F7E-B24D-8D5838C47762}"/>
    <cellStyle name="Comma 5 2 4" xfId="4242" xr:uid="{538A9A95-E09D-4FD0-A6F0-EBA619161BA7}"/>
    <cellStyle name="Comma 5 2 4 2" xfId="7622" xr:uid="{26FAAACF-99E7-4E2F-BBF4-8A7CAE2CCAD6}"/>
    <cellStyle name="Comma 5 2 5" xfId="5921" xr:uid="{B47019D0-987E-48BE-8960-D0FF727F576A}"/>
    <cellStyle name="Comma 5 3" xfId="802" xr:uid="{00000000-0005-0000-0000-0000DC010000}"/>
    <cellStyle name="Comma 5 4" xfId="803" xr:uid="{00000000-0005-0000-0000-0000DD010000}"/>
    <cellStyle name="Comma 5 4 2" xfId="1832" xr:uid="{00000000-0005-0000-0000-0000DE010000}"/>
    <cellStyle name="Comma 5 4 2 2" xfId="5082" xr:uid="{819311BB-EBE0-4F4B-8872-8993ABDA9C8E}"/>
    <cellStyle name="Comma 5 4 2 2 2" xfId="8462" xr:uid="{961DD4CE-4732-4244-BA83-E8ABD21086D5}"/>
    <cellStyle name="Comma 5 4 2 3" xfId="6762" xr:uid="{763AE47E-FB06-4024-B19B-D83C7AF96B1C}"/>
    <cellStyle name="Comma 5 4 3" xfId="4245" xr:uid="{7E6A72B6-6769-4773-9165-680C02C459E3}"/>
    <cellStyle name="Comma 5 4 3 2" xfId="7625" xr:uid="{28AD958D-077F-4382-B5D6-CDB6948FEEE4}"/>
    <cellStyle name="Comma 5 4 4" xfId="5924" xr:uid="{F21AC555-3EE5-4557-AE7F-B3AAFE69ABE7}"/>
    <cellStyle name="Comma 5 5" xfId="804" xr:uid="{00000000-0005-0000-0000-0000DF010000}"/>
    <cellStyle name="Comma 5 5 2" xfId="1833" xr:uid="{00000000-0005-0000-0000-0000E0010000}"/>
    <cellStyle name="Comma 5 5 2 2" xfId="5083" xr:uid="{12745E09-ABE5-4B99-B3CB-AAF28AC73886}"/>
    <cellStyle name="Comma 5 5 2 2 2" xfId="8463" xr:uid="{E63275A2-46DB-4F6C-BD27-7BD997A4CF2A}"/>
    <cellStyle name="Comma 5 5 2 3" xfId="6763" xr:uid="{B4E4B85A-212D-4F67-8F35-661670C0C232}"/>
    <cellStyle name="Comma 5 5 3" xfId="4246" xr:uid="{CB1B8A4A-6224-4F8D-B51F-9FA9BB229621}"/>
    <cellStyle name="Comma 5 5 3 2" xfId="7626" xr:uid="{B95219DF-B091-476D-BFCA-E7C44ADE8E27}"/>
    <cellStyle name="Comma 5 5 4" xfId="5925" xr:uid="{5BB550C9-8F36-47BB-8012-D8362E56A517}"/>
    <cellStyle name="Comma 50" xfId="381" xr:uid="{00000000-0005-0000-0000-0000E1010000}"/>
    <cellStyle name="Comma 51" xfId="402" xr:uid="{00000000-0005-0000-0000-0000E2010000}"/>
    <cellStyle name="Comma 52" xfId="383" xr:uid="{00000000-0005-0000-0000-0000E3010000}"/>
    <cellStyle name="Comma 53" xfId="399" xr:uid="{00000000-0005-0000-0000-0000E4010000}"/>
    <cellStyle name="Comma 54" xfId="386" xr:uid="{00000000-0005-0000-0000-0000E5010000}"/>
    <cellStyle name="Comma 55" xfId="397" xr:uid="{00000000-0005-0000-0000-0000E6010000}"/>
    <cellStyle name="Comma 56" xfId="388" xr:uid="{00000000-0005-0000-0000-0000E7010000}"/>
    <cellStyle name="Comma 57" xfId="395" xr:uid="{00000000-0005-0000-0000-0000E8010000}"/>
    <cellStyle name="Comma 58" xfId="390" xr:uid="{00000000-0005-0000-0000-0000E9010000}"/>
    <cellStyle name="Comma 59" xfId="393" xr:uid="{00000000-0005-0000-0000-0000EA010000}"/>
    <cellStyle name="Comma 6" xfId="327" xr:uid="{00000000-0005-0000-0000-0000EB010000}"/>
    <cellStyle name="Comma 6 2" xfId="441" xr:uid="{00000000-0005-0000-0000-0000EC010000}"/>
    <cellStyle name="Comma 6 2 2" xfId="805" xr:uid="{00000000-0005-0000-0000-0000ED010000}"/>
    <cellStyle name="Comma 6 2 2 2" xfId="1834" xr:uid="{00000000-0005-0000-0000-0000EE010000}"/>
    <cellStyle name="Comma 6 2 2 2 2" xfId="5084" xr:uid="{431C1BBB-A89D-44F7-8985-97669981F9BD}"/>
    <cellStyle name="Comma 6 2 2 2 2 2" xfId="8464" xr:uid="{3670EE45-9EC7-4F20-910B-47E362D9B044}"/>
    <cellStyle name="Comma 6 2 2 2 3" xfId="6764" xr:uid="{144FE423-0A07-4D76-B2EF-DC7EAC940F5D}"/>
    <cellStyle name="Comma 6 2 2 3" xfId="4247" xr:uid="{F85EA352-9315-4C9E-A1D5-98D1115ED6DB}"/>
    <cellStyle name="Comma 6 2 2 3 2" xfId="7627" xr:uid="{3258345C-75D0-4182-BB64-8527CF665B24}"/>
    <cellStyle name="Comma 6 2 2 4" xfId="5926" xr:uid="{24797411-4307-47DB-B9F3-34B294F25674}"/>
    <cellStyle name="Comma 60" xfId="413" xr:uid="{00000000-0005-0000-0000-0000EF010000}"/>
    <cellStyle name="Comma 61" xfId="374" xr:uid="{00000000-0005-0000-0000-0000F0010000}"/>
    <cellStyle name="Comma 62" xfId="409" xr:uid="{00000000-0005-0000-0000-0000F1010000}"/>
    <cellStyle name="Comma 63" xfId="417" xr:uid="{00000000-0005-0000-0000-0000F2010000}"/>
    <cellStyle name="Comma 64" xfId="418" xr:uid="{00000000-0005-0000-0000-0000F3010000}"/>
    <cellStyle name="Comma 65" xfId="420" xr:uid="{00000000-0005-0000-0000-0000F4010000}"/>
    <cellStyle name="Comma 66" xfId="446" xr:uid="{00000000-0005-0000-0000-0000F5010000}"/>
    <cellStyle name="Comma 67" xfId="460" xr:uid="{00000000-0005-0000-0000-0000F6010000}"/>
    <cellStyle name="Comma 68" xfId="422" xr:uid="{00000000-0005-0000-0000-0000F7010000}"/>
    <cellStyle name="Comma 69" xfId="437" xr:uid="{00000000-0005-0000-0000-0000F8010000}"/>
    <cellStyle name="Comma 7" xfId="331" xr:uid="{00000000-0005-0000-0000-0000F9010000}"/>
    <cellStyle name="Comma 7 2" xfId="806" xr:uid="{00000000-0005-0000-0000-0000FA010000}"/>
    <cellStyle name="Comma 7 2 2" xfId="1835" xr:uid="{00000000-0005-0000-0000-0000FB010000}"/>
    <cellStyle name="Comma 7 2 2 2" xfId="5085" xr:uid="{985E502E-7168-4046-870D-79071A08DFC1}"/>
    <cellStyle name="Comma 7 2 2 2 2" xfId="8465" xr:uid="{1FA285AA-C216-464A-AA4A-8CB0BBD1DF6E}"/>
    <cellStyle name="Comma 7 2 2 3" xfId="6765" xr:uid="{785EB1FA-DF84-4B5E-8CAA-9C85AA5A94F1}"/>
    <cellStyle name="Comma 7 2 3" xfId="4248" xr:uid="{877B56D1-F6BD-4F4A-AA62-78C979AC4D8A}"/>
    <cellStyle name="Comma 7 2 3 2" xfId="7628" xr:uid="{DF040223-748D-4DCB-9FFA-51F74B527647}"/>
    <cellStyle name="Comma 7 2 4" xfId="5927" xr:uid="{2F529CAE-0636-4332-9F00-6F37FEEBCB5A}"/>
    <cellStyle name="Comma 70" xfId="452" xr:uid="{00000000-0005-0000-0000-0000FC010000}"/>
    <cellStyle name="Comma 71" xfId="424" xr:uid="{00000000-0005-0000-0000-0000FD010000}"/>
    <cellStyle name="Comma 72" xfId="436" xr:uid="{00000000-0005-0000-0000-0000FE010000}"/>
    <cellStyle name="Comma 73" xfId="429" xr:uid="{00000000-0005-0000-0000-0000FF010000}"/>
    <cellStyle name="Comma 74" xfId="434" xr:uid="{00000000-0005-0000-0000-000000020000}"/>
    <cellStyle name="Comma 75" xfId="426" xr:uid="{00000000-0005-0000-0000-000001020000}"/>
    <cellStyle name="Comma 76" xfId="435" xr:uid="{00000000-0005-0000-0000-000002020000}"/>
    <cellStyle name="Comma 77" xfId="431" xr:uid="{00000000-0005-0000-0000-000003020000}"/>
    <cellStyle name="Comma 78" xfId="427" xr:uid="{00000000-0005-0000-0000-000004020000}"/>
    <cellStyle name="Comma 79" xfId="425" xr:uid="{00000000-0005-0000-0000-000005020000}"/>
    <cellStyle name="Comma 8" xfId="337" xr:uid="{00000000-0005-0000-0000-000006020000}"/>
    <cellStyle name="Comma 8 2" xfId="807" xr:uid="{00000000-0005-0000-0000-000007020000}"/>
    <cellStyle name="Comma 8 2 2" xfId="1836" xr:uid="{00000000-0005-0000-0000-000008020000}"/>
    <cellStyle name="Comma 8 2 2 2" xfId="5086" xr:uid="{152510F2-7F9D-4422-A87A-8791ECEECF09}"/>
    <cellStyle name="Comma 8 2 2 2 2" xfId="8466" xr:uid="{63EB3C58-47CE-4B03-AA82-6C0FF78479FA}"/>
    <cellStyle name="Comma 8 2 2 3" xfId="6766" xr:uid="{BBF956F7-1291-4724-BBAC-E9470E93C482}"/>
    <cellStyle name="Comma 8 2 3" xfId="4249" xr:uid="{74C6AC26-9F3C-4D4F-B923-2D147342F100}"/>
    <cellStyle name="Comma 8 2 3 2" xfId="7629" xr:uid="{011F31CF-278F-49B5-BA2F-84F36E24AA9E}"/>
    <cellStyle name="Comma 8 2 4" xfId="5928" xr:uid="{73741733-056A-407A-9A57-FE9AEFD98A47}"/>
    <cellStyle name="Comma 80" xfId="454" xr:uid="{00000000-0005-0000-0000-000009020000}"/>
    <cellStyle name="Comma 81" xfId="469" xr:uid="{00000000-0005-0000-0000-00000A020000}"/>
    <cellStyle name="Comma 82" xfId="470" xr:uid="{00000000-0005-0000-0000-00000B020000}"/>
    <cellStyle name="Comma 83" xfId="503" xr:uid="{00000000-0005-0000-0000-00000C020000}"/>
    <cellStyle name="Comma 84" xfId="564" xr:uid="{00000000-0005-0000-0000-00000D020000}"/>
    <cellStyle name="Comma 84 2" xfId="1728" xr:uid="{00000000-0005-0000-0000-00000E020000}"/>
    <cellStyle name="Comma 84 2 2" xfId="4978" xr:uid="{F3EC428B-25EB-4FE6-A2AB-22E61449EE7D}"/>
    <cellStyle name="Comma 84 2 2 2" xfId="8358" xr:uid="{287BE16D-7608-44E5-8F37-6C0B66A32551}"/>
    <cellStyle name="Comma 84 2 3" xfId="6658" xr:uid="{764CB5EF-420A-45F3-8191-589262C3872C}"/>
    <cellStyle name="Comma 84 3" xfId="4141" xr:uid="{395B823F-0C9B-40FD-AA6C-71EF096EB2AB}"/>
    <cellStyle name="Comma 84 3 2" xfId="7521" xr:uid="{D44DA8E3-A1B8-4640-B0B8-757CE18CA918}"/>
    <cellStyle name="Comma 84 4" xfId="5820" xr:uid="{82C18001-03BB-4FF4-9D8A-0B7381728D07}"/>
    <cellStyle name="Comma 85" xfId="565" xr:uid="{00000000-0005-0000-0000-00000F020000}"/>
    <cellStyle name="Comma 85 2" xfId="1729" xr:uid="{00000000-0005-0000-0000-000010020000}"/>
    <cellStyle name="Comma 85 2 2" xfId="4979" xr:uid="{1EAF9100-F2D7-4E22-B285-45D34A5F6C3B}"/>
    <cellStyle name="Comma 85 2 2 2" xfId="8359" xr:uid="{059DF0C7-94E6-483B-86E7-EA3A659AE3A4}"/>
    <cellStyle name="Comma 85 2 3" xfId="6659" xr:uid="{31023AB2-AB26-4AE4-A416-29D950D60404}"/>
    <cellStyle name="Comma 85 3" xfId="4142" xr:uid="{F7379818-BD7E-43F0-BB1B-43E275196CCE}"/>
    <cellStyle name="Comma 85 3 2" xfId="7522" xr:uid="{965DA950-525B-469D-A13F-192302388E37}"/>
    <cellStyle name="Comma 85 4" xfId="5821" xr:uid="{3A747245-0FAD-4651-A65D-5C8091DF24EE}"/>
    <cellStyle name="Comma 86" xfId="566" xr:uid="{00000000-0005-0000-0000-000011020000}"/>
    <cellStyle name="Comma 86 2" xfId="1730" xr:uid="{00000000-0005-0000-0000-000012020000}"/>
    <cellStyle name="Comma 86 2 2" xfId="4980" xr:uid="{CE95A939-9654-4564-A05C-EE9F76A0C6D5}"/>
    <cellStyle name="Comma 86 2 2 2" xfId="8360" xr:uid="{AE20F373-9F97-49FD-A0F6-0A802296B172}"/>
    <cellStyle name="Comma 86 2 3" xfId="6660" xr:uid="{82022BD7-75A7-4CBA-9EB6-46F79BA8EF6C}"/>
    <cellStyle name="Comma 86 3" xfId="4143" xr:uid="{512F807E-7C8D-49BE-8425-1D6E87C1620B}"/>
    <cellStyle name="Comma 86 3 2" xfId="7523" xr:uid="{31E3888A-F612-48A2-BFAD-1427A6921EDF}"/>
    <cellStyle name="Comma 86 4" xfId="5822" xr:uid="{8635EAF6-FA1B-48B7-B1B5-63B8854CBE4D}"/>
    <cellStyle name="Comma 87" xfId="567" xr:uid="{00000000-0005-0000-0000-000013020000}"/>
    <cellStyle name="Comma 87 2" xfId="1731" xr:uid="{00000000-0005-0000-0000-000014020000}"/>
    <cellStyle name="Comma 87 2 2" xfId="4981" xr:uid="{89DB3560-67F9-486B-B2F2-A833257AC815}"/>
    <cellStyle name="Comma 87 2 2 2" xfId="8361" xr:uid="{9CC12CB2-F295-4AB4-ADFD-874DC1DDD9B1}"/>
    <cellStyle name="Comma 87 2 3" xfId="6661" xr:uid="{144A9FCF-E6D1-42BA-AD3D-4DC16A2C2389}"/>
    <cellStyle name="Comma 87 3" xfId="4144" xr:uid="{8C858982-5161-4B0C-A666-372C6283A325}"/>
    <cellStyle name="Comma 87 3 2" xfId="7524" xr:uid="{41F0A3FC-7AED-48C4-96CB-CCA958B03330}"/>
    <cellStyle name="Comma 87 4" xfId="5823" xr:uid="{C8787E9B-198B-40BF-B8E0-3AC5B7295F83}"/>
    <cellStyle name="Comma 88" xfId="568" xr:uid="{00000000-0005-0000-0000-000015020000}"/>
    <cellStyle name="Comma 88 2" xfId="1732" xr:uid="{00000000-0005-0000-0000-000016020000}"/>
    <cellStyle name="Comma 88 2 2" xfId="4982" xr:uid="{EF6A4C9D-8772-4DCC-AB01-2EA4FFBEA86C}"/>
    <cellStyle name="Comma 88 2 2 2" xfId="8362" xr:uid="{E9674F2E-7CD7-4D5E-A07C-45DD65023BF7}"/>
    <cellStyle name="Comma 88 2 3" xfId="6662" xr:uid="{D5D10914-D4D6-4033-A1BE-0F59B5976379}"/>
    <cellStyle name="Comma 88 3" xfId="4145" xr:uid="{3FADB923-40F7-4A49-97C6-2524ECCFC88D}"/>
    <cellStyle name="Comma 88 3 2" xfId="7525" xr:uid="{C364B94A-74B8-4627-A8E5-D6AD9E9EF5E2}"/>
    <cellStyle name="Comma 88 4" xfId="5824" xr:uid="{CB2CE8EB-CFA0-44F0-A34D-681A385A327D}"/>
    <cellStyle name="Comma 89" xfId="569" xr:uid="{00000000-0005-0000-0000-000017020000}"/>
    <cellStyle name="Comma 89 2" xfId="1733" xr:uid="{00000000-0005-0000-0000-000018020000}"/>
    <cellStyle name="Comma 89 2 2" xfId="4983" xr:uid="{217128DF-A010-49B5-90FA-BC5F442076B0}"/>
    <cellStyle name="Comma 89 2 2 2" xfId="8363" xr:uid="{11918334-126F-414F-8D3A-C1D3D0F740BF}"/>
    <cellStyle name="Comma 89 2 3" xfId="6663" xr:uid="{EE49FD65-981A-434D-8695-4FDE3A483919}"/>
    <cellStyle name="Comma 89 3" xfId="4146" xr:uid="{3AFFCE97-7E73-4721-B95D-6D8BA5808E12}"/>
    <cellStyle name="Comma 89 3 2" xfId="7526" xr:uid="{974F47FA-F983-4062-896C-649DB27F60D5}"/>
    <cellStyle name="Comma 89 4" xfId="5825" xr:uid="{918168C3-FA82-459D-A39B-7A96BB2B5712}"/>
    <cellStyle name="Comma 9" xfId="334" xr:uid="{00000000-0005-0000-0000-000019020000}"/>
    <cellStyle name="Comma 90" xfId="570" xr:uid="{00000000-0005-0000-0000-00001A020000}"/>
    <cellStyle name="Comma 90 2" xfId="1734" xr:uid="{00000000-0005-0000-0000-00001B020000}"/>
    <cellStyle name="Comma 90 2 2" xfId="4984" xr:uid="{AFB2DF0C-1FBD-4D1D-B350-2EE5615C1157}"/>
    <cellStyle name="Comma 90 2 2 2" xfId="8364" xr:uid="{880A969A-D4F9-457A-842C-EB4DD2C0CC1E}"/>
    <cellStyle name="Comma 90 2 3" xfId="6664" xr:uid="{7DF73814-AB19-4DBC-A14E-F53600E939A1}"/>
    <cellStyle name="Comma 90 3" xfId="4147" xr:uid="{7F0B7C8C-5BDB-4C9F-B807-787E14DECE87}"/>
    <cellStyle name="Comma 90 3 2" xfId="7527" xr:uid="{8B1007BC-F61C-4ADD-946C-3677EC18CEA5}"/>
    <cellStyle name="Comma 90 4" xfId="5826" xr:uid="{945AA7CF-4B51-4B86-A647-E1AE4FF03075}"/>
    <cellStyle name="Comma 91" xfId="571" xr:uid="{00000000-0005-0000-0000-00001C020000}"/>
    <cellStyle name="Comma 91 2" xfId="1735" xr:uid="{00000000-0005-0000-0000-00001D020000}"/>
    <cellStyle name="Comma 91 2 2" xfId="4985" xr:uid="{8FAA2210-FF6A-44FA-8053-F9B7A01117FE}"/>
    <cellStyle name="Comma 91 2 2 2" xfId="8365" xr:uid="{131CB180-2DE8-45AB-96FB-B6D261981F82}"/>
    <cellStyle name="Comma 91 2 3" xfId="6665" xr:uid="{E575CBD0-D499-4134-9456-3BBD08233771}"/>
    <cellStyle name="Comma 91 3" xfId="4148" xr:uid="{A834A6AF-D064-4D70-B4B7-B7350D88610F}"/>
    <cellStyle name="Comma 91 3 2" xfId="7528" xr:uid="{361F69F5-C44F-40C9-B6C0-1EBE61C249AC}"/>
    <cellStyle name="Comma 91 4" xfId="5827" xr:uid="{A9C01F81-6BE3-41A0-93ED-B9D802999DBF}"/>
    <cellStyle name="Comma 92" xfId="572" xr:uid="{00000000-0005-0000-0000-00001E020000}"/>
    <cellStyle name="Comma 92 2" xfId="1736" xr:uid="{00000000-0005-0000-0000-00001F020000}"/>
    <cellStyle name="Comma 92 2 2" xfId="4986" xr:uid="{DA4A4F56-7CD5-44B2-A480-20367ABEF17D}"/>
    <cellStyle name="Comma 92 2 2 2" xfId="8366" xr:uid="{CF7155CF-F6F8-444E-9286-A4BDDB4FCA82}"/>
    <cellStyle name="Comma 92 2 3" xfId="6666" xr:uid="{683CD6F6-D0E4-45E7-9296-4CAAB205467C}"/>
    <cellStyle name="Comma 92 3" xfId="4149" xr:uid="{8F5AD870-B913-4E33-98CF-2032C0960FF8}"/>
    <cellStyle name="Comma 92 3 2" xfId="7529" xr:uid="{0770A1C4-2193-4150-9134-19BD7FF6576B}"/>
    <cellStyle name="Comma 92 4" xfId="5828" xr:uid="{148DAD1A-F16F-4F5D-8BA7-2F939F3B2511}"/>
    <cellStyle name="Comma 93" xfId="573" xr:uid="{00000000-0005-0000-0000-000020020000}"/>
    <cellStyle name="Comma 93 2" xfId="1737" xr:uid="{00000000-0005-0000-0000-000021020000}"/>
    <cellStyle name="Comma 93 2 2" xfId="4987" xr:uid="{E0599243-7675-4A5F-9360-7957B75659E6}"/>
    <cellStyle name="Comma 93 2 2 2" xfId="8367" xr:uid="{7EB0A5D2-B2B8-4AD9-BF0E-6276A07AEFEC}"/>
    <cellStyle name="Comma 93 2 3" xfId="6667" xr:uid="{9DD23899-E434-44E2-A6C0-7A5C3B042803}"/>
    <cellStyle name="Comma 93 3" xfId="4150" xr:uid="{86B48142-8522-43B0-A0BF-0DE6826BDCB5}"/>
    <cellStyle name="Comma 93 3 2" xfId="7530" xr:uid="{F9F0683B-75E1-478C-9985-FB7376376CE1}"/>
    <cellStyle name="Comma 93 4" xfId="5829" xr:uid="{AC84204E-43A5-4812-8F4B-BB61BC12451F}"/>
    <cellStyle name="Comma 94" xfId="574" xr:uid="{00000000-0005-0000-0000-000022020000}"/>
    <cellStyle name="Comma 94 2" xfId="1738" xr:uid="{00000000-0005-0000-0000-000023020000}"/>
    <cellStyle name="Comma 94 2 2" xfId="4988" xr:uid="{5B4E5CFD-19BD-4AC2-8077-DE0A6B97362D}"/>
    <cellStyle name="Comma 94 2 2 2" xfId="8368" xr:uid="{B5FDDBB7-CFC3-4215-ABBE-F8370B95F9C1}"/>
    <cellStyle name="Comma 94 2 3" xfId="6668" xr:uid="{251D6AE5-BC52-4E5E-9CCB-6B20870F9591}"/>
    <cellStyle name="Comma 94 3" xfId="4151" xr:uid="{3F9C5A09-93F7-41AB-B690-5BC37E2A192D}"/>
    <cellStyle name="Comma 94 3 2" xfId="7531" xr:uid="{593D0F44-66DE-47BC-BCDF-8683E91B39FA}"/>
    <cellStyle name="Comma 94 4" xfId="5830" xr:uid="{40EB73BA-AB80-42E0-A74A-AB0380F9D8E7}"/>
    <cellStyle name="Comma 95" xfId="1623" xr:uid="{00000000-0005-0000-0000-000024020000}"/>
    <cellStyle name="Comma 96" xfId="4038" xr:uid="{8CC3EF42-A1F2-4E0E-A317-E41D7ABB4692}"/>
    <cellStyle name="Comma 97" xfId="5713" xr:uid="{432040AA-4C71-4D54-A28F-6A608618D653}"/>
    <cellStyle name="Comma 98" xfId="5715" xr:uid="{3E915CA3-E48A-41F2-AC8F-28654EACEC95}"/>
    <cellStyle name="Comma 99" xfId="7418" xr:uid="{82A94484-ABB7-4F66-813A-8FDA6A69D034}"/>
    <cellStyle name="Comma Input" xfId="93" xr:uid="{00000000-0005-0000-0000-000025020000}"/>
    <cellStyle name="Comma(1)" xfId="808" xr:uid="{00000000-0005-0000-0000-000026020000}"/>
    <cellStyle name="Comma0" xfId="94" xr:uid="{00000000-0005-0000-0000-000027020000}"/>
    <cellStyle name="Company Name" xfId="95" xr:uid="{00000000-0005-0000-0000-000028020000}"/>
    <cellStyle name="Currency [1]" xfId="96" xr:uid="{00000000-0005-0000-0000-000029020000}"/>
    <cellStyle name="Currency [2]" xfId="97" xr:uid="{00000000-0005-0000-0000-00002A020000}"/>
    <cellStyle name="Currency [3]" xfId="98" xr:uid="{00000000-0005-0000-0000-00002B020000}"/>
    <cellStyle name="Currency 0.0" xfId="99" xr:uid="{00000000-0005-0000-0000-00002C020000}"/>
    <cellStyle name="Currency 0.00" xfId="100" xr:uid="{00000000-0005-0000-0000-00002D020000}"/>
    <cellStyle name="Currency 0.000" xfId="101" xr:uid="{00000000-0005-0000-0000-00002E020000}"/>
    <cellStyle name="Currency 0.0000" xfId="102" xr:uid="{00000000-0005-0000-0000-00002F020000}"/>
    <cellStyle name="Currency 10" xfId="349" xr:uid="{00000000-0005-0000-0000-000030020000}"/>
    <cellStyle name="Currency 11" xfId="351" xr:uid="{00000000-0005-0000-0000-000031020000}"/>
    <cellStyle name="Currency 12" xfId="353" xr:uid="{00000000-0005-0000-0000-000032020000}"/>
    <cellStyle name="Currency 13" xfId="578" xr:uid="{00000000-0005-0000-0000-000033020000}"/>
    <cellStyle name="Currency 13 2" xfId="1741" xr:uid="{00000000-0005-0000-0000-000034020000}"/>
    <cellStyle name="Currency 13 2 2" xfId="4991" xr:uid="{4EDE6039-2374-442D-A997-D16F3C58AECB}"/>
    <cellStyle name="Currency 13 2 2 2" xfId="8371" xr:uid="{D8E4DE30-690D-44E5-8F34-CDD385113CF1}"/>
    <cellStyle name="Currency 13 2 3" xfId="6671" xr:uid="{A0E94E51-8335-4AE4-B414-115CD9F34428}"/>
    <cellStyle name="Currency 13 3" xfId="4154" xr:uid="{AA58B5D7-0EFB-4C86-B080-B2D48C633BE4}"/>
    <cellStyle name="Currency 13 3 2" xfId="7534" xr:uid="{8358A158-9B3C-4702-8FDE-E1839AF3AE7C}"/>
    <cellStyle name="Currency 13 4" xfId="5833" xr:uid="{FC97F844-0970-4A61-9154-73D8BBECCE7F}"/>
    <cellStyle name="Currency 14" xfId="809" xr:uid="{00000000-0005-0000-0000-000035020000}"/>
    <cellStyle name="Currency 14 2" xfId="1837" xr:uid="{00000000-0005-0000-0000-000036020000}"/>
    <cellStyle name="Currency 14 2 2" xfId="5087" xr:uid="{C0B32BE2-A560-4B66-84B3-F543D50B650B}"/>
    <cellStyle name="Currency 14 2 2 2" xfId="8467" xr:uid="{3DACB231-28C7-4288-891B-8C377BB0B4FE}"/>
    <cellStyle name="Currency 14 2 3" xfId="6767" xr:uid="{45185D9C-A4E3-4DBF-8E4F-EB414F04B7E2}"/>
    <cellStyle name="Currency 14 3" xfId="4250" xr:uid="{97E4AF5F-AFFF-4AC2-B519-EDE681EC39F7}"/>
    <cellStyle name="Currency 14 3 2" xfId="7630" xr:uid="{AC4EBEC4-AAC5-42C5-B7E5-513ACFC1ECAB}"/>
    <cellStyle name="Currency 14 4" xfId="5929" xr:uid="{0CA98A41-B958-46BD-AC29-E6524DEEBF5A}"/>
    <cellStyle name="Currency 15" xfId="810" xr:uid="{00000000-0005-0000-0000-000037020000}"/>
    <cellStyle name="Currency 15 2" xfId="1838" xr:uid="{00000000-0005-0000-0000-000038020000}"/>
    <cellStyle name="Currency 15 2 2" xfId="5088" xr:uid="{C909B614-F633-4A8E-BDF1-77D25F4291B3}"/>
    <cellStyle name="Currency 15 2 2 2" xfId="8468" xr:uid="{2D93F2E7-90D0-4F86-892A-B8735226B354}"/>
    <cellStyle name="Currency 15 2 3" xfId="6768" xr:uid="{0FCDF3B0-F8E1-47A8-BEDD-37C44503AF0A}"/>
    <cellStyle name="Currency 15 3" xfId="4251" xr:uid="{3D4345A7-951D-4E9E-8F0B-2CBBFCA9A69C}"/>
    <cellStyle name="Currency 15 3 2" xfId="7631" xr:uid="{87EADD8F-0F93-4AF8-B480-F7D1AAE1B9D6}"/>
    <cellStyle name="Currency 15 4" xfId="5930" xr:uid="{0862E13E-6E13-4553-A9BC-F8E9EA3F865A}"/>
    <cellStyle name="Currency 16" xfId="811" xr:uid="{00000000-0005-0000-0000-000039020000}"/>
    <cellStyle name="Currency 16 2" xfId="1839" xr:uid="{00000000-0005-0000-0000-00003A020000}"/>
    <cellStyle name="Currency 16 2 2" xfId="5089" xr:uid="{541153C2-2C7D-411D-8B65-6A2CB78851B9}"/>
    <cellStyle name="Currency 16 2 2 2" xfId="8469" xr:uid="{D3ADFAF5-E02F-4BF1-B4C5-9ED261D141F3}"/>
    <cellStyle name="Currency 16 2 3" xfId="6769" xr:uid="{29071AA8-E10D-4D7D-8FC7-34825FBD2DD7}"/>
    <cellStyle name="Currency 16 3" xfId="4252" xr:uid="{E99A96F0-B5F7-48AA-9BAD-6C4952364A88}"/>
    <cellStyle name="Currency 16 3 2" xfId="7632" xr:uid="{AE0768B7-3542-4DB6-AD64-5B206CA3D39D}"/>
    <cellStyle name="Currency 16 4" xfId="5931" xr:uid="{9DF95F77-F027-4595-8B9B-5FF9F07D0ECF}"/>
    <cellStyle name="Currency 2" xfId="12" xr:uid="{00000000-0005-0000-0000-00003B020000}"/>
    <cellStyle name="Currency 2 2" xfId="103" xr:uid="{00000000-0005-0000-0000-00003C020000}"/>
    <cellStyle name="Currency 2 2 2" xfId="812" xr:uid="{00000000-0005-0000-0000-00003D020000}"/>
    <cellStyle name="Currency 2 2 2 10" xfId="5932" xr:uid="{FDDB39F3-A8F5-4A3F-BE59-FE873639AE2A}"/>
    <cellStyle name="Currency 2 2 2 2" xfId="813" xr:uid="{00000000-0005-0000-0000-00003E020000}"/>
    <cellStyle name="Currency 2 2 2 2 2" xfId="814" xr:uid="{00000000-0005-0000-0000-00003F020000}"/>
    <cellStyle name="Currency 2 2 2 2 3" xfId="815" xr:uid="{00000000-0005-0000-0000-000040020000}"/>
    <cellStyle name="Currency 2 2 2 2 3 2" xfId="1842" xr:uid="{00000000-0005-0000-0000-000041020000}"/>
    <cellStyle name="Currency 2 2 2 2 3 2 2" xfId="5092" xr:uid="{D25ECF26-41D7-4928-A0EE-95F8A83E50EC}"/>
    <cellStyle name="Currency 2 2 2 2 3 2 2 2" xfId="8472" xr:uid="{19CB4922-6489-41B9-B9F0-940E35EF74D2}"/>
    <cellStyle name="Currency 2 2 2 2 3 2 3" xfId="6772" xr:uid="{414A9ED8-7F2C-41D7-91F5-328D132E8101}"/>
    <cellStyle name="Currency 2 2 2 2 3 3" xfId="4255" xr:uid="{E7455CD5-DCCB-40F5-AF19-52E0F4294AE6}"/>
    <cellStyle name="Currency 2 2 2 2 3 3 2" xfId="7635" xr:uid="{05D824C5-2BB1-490F-BF56-5E6D441EFE50}"/>
    <cellStyle name="Currency 2 2 2 2 3 4" xfId="5934" xr:uid="{5AA06FD6-63AB-4294-AB70-4A10D6D79D60}"/>
    <cellStyle name="Currency 2 2 2 2 4" xfId="1841" xr:uid="{00000000-0005-0000-0000-000042020000}"/>
    <cellStyle name="Currency 2 2 2 2 4 2" xfId="5091" xr:uid="{06BDF00B-0200-4E90-99E1-699879D7F0D3}"/>
    <cellStyle name="Currency 2 2 2 2 4 2 2" xfId="8471" xr:uid="{92337DFC-9D07-4609-9005-37351E553AA5}"/>
    <cellStyle name="Currency 2 2 2 2 4 3" xfId="6771" xr:uid="{82CA3233-64B8-4E1D-A99F-340191FA29AD}"/>
    <cellStyle name="Currency 2 2 2 2 5" xfId="4254" xr:uid="{FB67DEC8-60E0-4847-9DE4-B16E3634896D}"/>
    <cellStyle name="Currency 2 2 2 2 5 2" xfId="7634" xr:uid="{611BBA01-43F2-4BD3-B3D6-42D341A58AAD}"/>
    <cellStyle name="Currency 2 2 2 2 6" xfId="5933" xr:uid="{81F838E3-A800-4420-9EC5-F0C2EDBC24D6}"/>
    <cellStyle name="Currency 2 2 2 3" xfId="816" xr:uid="{00000000-0005-0000-0000-000043020000}"/>
    <cellStyle name="Currency 2 2 2 3 2" xfId="1843" xr:uid="{00000000-0005-0000-0000-000044020000}"/>
    <cellStyle name="Currency 2 2 2 3 2 2" xfId="5093" xr:uid="{B5B77E81-DB7F-48D8-9178-EAE7F8B31463}"/>
    <cellStyle name="Currency 2 2 2 3 2 2 2" xfId="8473" xr:uid="{7A1A0ECE-D051-4EEB-96B9-F932791D4155}"/>
    <cellStyle name="Currency 2 2 2 3 2 3" xfId="6773" xr:uid="{8E931B21-D6A5-4596-84B7-56DF399A8A06}"/>
    <cellStyle name="Currency 2 2 2 3 3" xfId="4256" xr:uid="{511D7A2A-8F85-4D58-86A1-3B7B0EE508BB}"/>
    <cellStyle name="Currency 2 2 2 3 3 2" xfId="7636" xr:uid="{F5B4A3AE-9216-44E7-ADBA-2023463FE03B}"/>
    <cellStyle name="Currency 2 2 2 3 4" xfId="5935" xr:uid="{55B8F958-9B48-4B14-B185-4E2F82D4A50E}"/>
    <cellStyle name="Currency 2 2 2 4" xfId="817" xr:uid="{00000000-0005-0000-0000-000045020000}"/>
    <cellStyle name="Currency 2 2 2 4 2" xfId="1844" xr:uid="{00000000-0005-0000-0000-000046020000}"/>
    <cellStyle name="Currency 2 2 2 4 2 2" xfId="5094" xr:uid="{349F643A-0EBF-4377-BFB2-F0DCFFDD18DA}"/>
    <cellStyle name="Currency 2 2 2 4 2 2 2" xfId="8474" xr:uid="{D951AFA8-EAFC-4A81-8ACB-077B71A325F1}"/>
    <cellStyle name="Currency 2 2 2 4 2 3" xfId="6774" xr:uid="{D503DF29-F01D-4CCF-A0C0-38D2217F4868}"/>
    <cellStyle name="Currency 2 2 2 4 3" xfId="4257" xr:uid="{C4799355-5BB2-425C-9E37-08BCDD03A3E8}"/>
    <cellStyle name="Currency 2 2 2 4 3 2" xfId="7637" xr:uid="{2C522E66-70B7-495D-829F-7ED80E900956}"/>
    <cellStyle name="Currency 2 2 2 4 4" xfId="5936" xr:uid="{F5CA6787-3A82-4A4D-B9E5-8EB2B1EBF485}"/>
    <cellStyle name="Currency 2 2 2 5" xfId="818" xr:uid="{00000000-0005-0000-0000-000047020000}"/>
    <cellStyle name="Currency 2 2 2 5 2" xfId="1845" xr:uid="{00000000-0005-0000-0000-000048020000}"/>
    <cellStyle name="Currency 2 2 2 5 2 2" xfId="5095" xr:uid="{56F60FF1-8631-401B-8D19-FEA0C99245B5}"/>
    <cellStyle name="Currency 2 2 2 5 2 2 2" xfId="8475" xr:uid="{84213254-A952-46C3-960B-5860190ADB76}"/>
    <cellStyle name="Currency 2 2 2 5 2 3" xfId="6775" xr:uid="{680EDBC1-2A3D-41A0-8523-564505DA480E}"/>
    <cellStyle name="Currency 2 2 2 5 3" xfId="4258" xr:uid="{93DEC590-3EE4-44CA-8D7C-5B5ADC70183C}"/>
    <cellStyle name="Currency 2 2 2 5 3 2" xfId="7638" xr:uid="{596BBE39-5823-40BD-84DD-E7769E6D50AE}"/>
    <cellStyle name="Currency 2 2 2 5 4" xfId="5937" xr:uid="{AE627969-D338-4EDC-AFB1-7CFAA517DE15}"/>
    <cellStyle name="Currency 2 2 2 6" xfId="819" xr:uid="{00000000-0005-0000-0000-000049020000}"/>
    <cellStyle name="Currency 2 2 2 6 2" xfId="1846" xr:uid="{00000000-0005-0000-0000-00004A020000}"/>
    <cellStyle name="Currency 2 2 2 6 2 2" xfId="5096" xr:uid="{52ED0419-56A5-4FD6-8328-E36A74CC584B}"/>
    <cellStyle name="Currency 2 2 2 6 2 2 2" xfId="8476" xr:uid="{E05B2780-FE25-42D4-9519-C36107D508EC}"/>
    <cellStyle name="Currency 2 2 2 6 2 3" xfId="6776" xr:uid="{DB8AE09E-A300-4598-B912-B386B2816DE8}"/>
    <cellStyle name="Currency 2 2 2 6 3" xfId="4259" xr:uid="{FBB7490A-FD7E-47C9-9B20-60171ADACB55}"/>
    <cellStyle name="Currency 2 2 2 6 3 2" xfId="7639" xr:uid="{02A23E20-AF8F-45A3-B001-50292413DF1D}"/>
    <cellStyle name="Currency 2 2 2 6 4" xfId="5938" xr:uid="{F46D66A1-3416-4B28-AE4C-A8FF2BF09AFD}"/>
    <cellStyle name="Currency 2 2 2 7" xfId="820" xr:uid="{00000000-0005-0000-0000-00004B020000}"/>
    <cellStyle name="Currency 2 2 2 7 2" xfId="1847" xr:uid="{00000000-0005-0000-0000-00004C020000}"/>
    <cellStyle name="Currency 2 2 2 7 2 2" xfId="5097" xr:uid="{BCE23856-9FD5-47D3-9E65-54FF67C129F8}"/>
    <cellStyle name="Currency 2 2 2 7 2 2 2" xfId="8477" xr:uid="{A1998097-AC49-4127-B351-42288DC95513}"/>
    <cellStyle name="Currency 2 2 2 7 2 3" xfId="6777" xr:uid="{5A66BB7F-8EB2-4646-80FB-4C30942BB1F5}"/>
    <cellStyle name="Currency 2 2 2 7 3" xfId="4260" xr:uid="{E2327161-BE0F-4974-B3FA-518493309F14}"/>
    <cellStyle name="Currency 2 2 2 7 3 2" xfId="7640" xr:uid="{E4CCDA78-539C-4F99-91A7-0D92098C214D}"/>
    <cellStyle name="Currency 2 2 2 7 4" xfId="5939" xr:uid="{28117754-7CDC-4977-BA50-6FFD5A712E0D}"/>
    <cellStyle name="Currency 2 2 2 8" xfId="1840" xr:uid="{00000000-0005-0000-0000-00004D020000}"/>
    <cellStyle name="Currency 2 2 2 8 2" xfId="5090" xr:uid="{711108D9-E7D7-4FF2-A92E-1AD57BAFBDF4}"/>
    <cellStyle name="Currency 2 2 2 8 2 2" xfId="8470" xr:uid="{C84B7FD4-5F7D-4109-8B8D-0DCE8E785C79}"/>
    <cellStyle name="Currency 2 2 2 8 3" xfId="6770" xr:uid="{2946A84A-1261-4E7B-8265-E8D6F39E9D02}"/>
    <cellStyle name="Currency 2 2 2 9" xfId="4253" xr:uid="{49EC36F1-9CD8-49BB-91F4-4418045207E6}"/>
    <cellStyle name="Currency 2 2 2 9 2" xfId="7633" xr:uid="{53E09136-4C37-4408-9759-2571C8810A85}"/>
    <cellStyle name="Currency 2 2 3" xfId="821" xr:uid="{00000000-0005-0000-0000-00004E020000}"/>
    <cellStyle name="Currency 2 2 3 2" xfId="822" xr:uid="{00000000-0005-0000-0000-00004F020000}"/>
    <cellStyle name="Currency 2 2 3 2 2" xfId="1849" xr:uid="{00000000-0005-0000-0000-000050020000}"/>
    <cellStyle name="Currency 2 2 3 2 2 2" xfId="5099" xr:uid="{F4A41119-DE86-4D77-A655-8EC386691140}"/>
    <cellStyle name="Currency 2 2 3 2 2 2 2" xfId="8479" xr:uid="{4BC3DDB8-609E-4D05-8DA3-A0A77AAC8E0B}"/>
    <cellStyle name="Currency 2 2 3 2 2 3" xfId="6779" xr:uid="{613F331C-986D-4774-94D2-95EE26014DD0}"/>
    <cellStyle name="Currency 2 2 3 2 3" xfId="4262" xr:uid="{DB0571F3-21F5-460C-A6F7-39E7E7671A58}"/>
    <cellStyle name="Currency 2 2 3 2 3 2" xfId="7642" xr:uid="{FCBB5507-176A-4F48-B137-E57635ED9A67}"/>
    <cellStyle name="Currency 2 2 3 2 4" xfId="5941" xr:uid="{C7A50970-3A76-4F39-B896-AB05FBDA0DC3}"/>
    <cellStyle name="Currency 2 2 3 3" xfId="1848" xr:uid="{00000000-0005-0000-0000-000051020000}"/>
    <cellStyle name="Currency 2 2 3 3 2" xfId="5098" xr:uid="{D3E6DB21-0A3A-4453-A292-480D95C1E9FB}"/>
    <cellStyle name="Currency 2 2 3 3 2 2" xfId="8478" xr:uid="{E770A0C6-EAF8-4132-9816-AB2FBBFB1774}"/>
    <cellStyle name="Currency 2 2 3 3 3" xfId="6778" xr:uid="{F1CB4ABF-7017-41FF-94D9-2DC1FC34F123}"/>
    <cellStyle name="Currency 2 2 3 4" xfId="4261" xr:uid="{29E6B898-4517-41F8-A21B-A8C004119D82}"/>
    <cellStyle name="Currency 2 2 3 4 2" xfId="7641" xr:uid="{DDC6F50F-A4F2-49E0-9763-F61ECD8EEDE4}"/>
    <cellStyle name="Currency 2 2 3 5" xfId="5940" xr:uid="{928CBB13-8580-42F2-89F5-F7E0AC48423F}"/>
    <cellStyle name="Currency 2 2 4" xfId="823" xr:uid="{00000000-0005-0000-0000-000052020000}"/>
    <cellStyle name="Currency 2 2 4 2" xfId="824" xr:uid="{00000000-0005-0000-0000-000053020000}"/>
    <cellStyle name="Currency 2 2 4 2 2" xfId="1851" xr:uid="{00000000-0005-0000-0000-000054020000}"/>
    <cellStyle name="Currency 2 2 4 2 2 2" xfId="5101" xr:uid="{D3C3C3A2-5FE4-48F0-8FE6-6BEB58A7BA7D}"/>
    <cellStyle name="Currency 2 2 4 2 2 2 2" xfId="8481" xr:uid="{5B931DC0-84EE-43F0-836E-38F5C19CF85B}"/>
    <cellStyle name="Currency 2 2 4 2 2 3" xfId="6781" xr:uid="{DAC076FB-E08A-4F23-B416-E40782375C3A}"/>
    <cellStyle name="Currency 2 2 4 2 3" xfId="4264" xr:uid="{CE2DF621-3762-44BD-AF42-FF693DB89896}"/>
    <cellStyle name="Currency 2 2 4 2 3 2" xfId="7644" xr:uid="{FE71CDB6-C51C-4AE2-A271-78062B662301}"/>
    <cellStyle name="Currency 2 2 4 2 4" xfId="5943" xr:uid="{E79D1850-D39E-40CF-8172-705F4197DCFE}"/>
    <cellStyle name="Currency 2 2 4 3" xfId="1850" xr:uid="{00000000-0005-0000-0000-000055020000}"/>
    <cellStyle name="Currency 2 2 4 3 2" xfId="5100" xr:uid="{7A1C946F-AC73-4712-86C9-295C56C29D3B}"/>
    <cellStyle name="Currency 2 2 4 3 2 2" xfId="8480" xr:uid="{2BBE801E-02FC-4442-8025-44A42240CD11}"/>
    <cellStyle name="Currency 2 2 4 3 3" xfId="6780" xr:uid="{92CA4B6F-FF73-4CDC-815B-F428DD79CE6B}"/>
    <cellStyle name="Currency 2 2 4 4" xfId="4263" xr:uid="{5285772C-0BC5-4D53-A5C9-650106C1AA92}"/>
    <cellStyle name="Currency 2 2 4 4 2" xfId="7643" xr:uid="{1AAAB355-4C03-4F01-B842-FF54BE1D6F60}"/>
    <cellStyle name="Currency 2 2 4 5" xfId="5942" xr:uid="{13A1353F-A3DE-4FB7-99EB-99D1BE3041E6}"/>
    <cellStyle name="Currency 2 3" xfId="430" xr:uid="{00000000-0005-0000-0000-000056020000}"/>
    <cellStyle name="Currency 2 3 2" xfId="825" xr:uid="{00000000-0005-0000-0000-000057020000}"/>
    <cellStyle name="Currency 2 3 2 2" xfId="826" xr:uid="{00000000-0005-0000-0000-000058020000}"/>
    <cellStyle name="Currency 2 3 2 2 2" xfId="1853" xr:uid="{00000000-0005-0000-0000-000059020000}"/>
    <cellStyle name="Currency 2 3 2 2 2 2" xfId="5103" xr:uid="{62518375-77EC-49E8-B2DA-91F74E20F15F}"/>
    <cellStyle name="Currency 2 3 2 2 2 2 2" xfId="8483" xr:uid="{BCC7AF8E-D156-4252-AEB8-D4A89A4111DE}"/>
    <cellStyle name="Currency 2 3 2 2 2 3" xfId="6783" xr:uid="{D61C46AA-C488-4208-94CC-0F9734D48EBA}"/>
    <cellStyle name="Currency 2 3 2 2 3" xfId="4266" xr:uid="{E42A029A-27AB-403A-9ACE-6580A1D4AB05}"/>
    <cellStyle name="Currency 2 3 2 2 3 2" xfId="7646" xr:uid="{B083C7F0-2C74-48E4-921E-C668F496421F}"/>
    <cellStyle name="Currency 2 3 2 2 4" xfId="5945" xr:uid="{1B63315D-7332-4B33-8234-C52FBCC6CFCF}"/>
    <cellStyle name="Currency 2 3 2 3" xfId="1852" xr:uid="{00000000-0005-0000-0000-00005A020000}"/>
    <cellStyle name="Currency 2 3 2 3 2" xfId="5102" xr:uid="{64E47A70-5D03-4F0F-B653-1EA3A28CE5E1}"/>
    <cellStyle name="Currency 2 3 2 3 2 2" xfId="8482" xr:uid="{72C002E3-EAD2-4CDA-A2C2-6ED0991E6F5C}"/>
    <cellStyle name="Currency 2 3 2 3 3" xfId="6782" xr:uid="{1EA1368C-27B2-4475-BAF1-3F857BF3348D}"/>
    <cellStyle name="Currency 2 3 2 4" xfId="4265" xr:uid="{3418567A-92A8-475A-A728-15783D387DAC}"/>
    <cellStyle name="Currency 2 3 2 4 2" xfId="7645" xr:uid="{EFA99465-3A94-4DB0-8AFB-34B8C24C1F6F}"/>
    <cellStyle name="Currency 2 3 2 5" xfId="5944" xr:uid="{BBBC788A-5C95-41E5-B2E9-7D878F4C3F65}"/>
    <cellStyle name="Currency 2 3 3" xfId="827" xr:uid="{00000000-0005-0000-0000-00005B020000}"/>
    <cellStyle name="Currency 2 3 3 2" xfId="1854" xr:uid="{00000000-0005-0000-0000-00005C020000}"/>
    <cellStyle name="Currency 2 3 3 2 2" xfId="5104" xr:uid="{D80149C9-D0FA-48E5-B4AF-27E7305F3DAE}"/>
    <cellStyle name="Currency 2 3 3 2 2 2" xfId="8484" xr:uid="{A2DF35B9-3EF0-4ECE-91E1-BF9E4DFE0D66}"/>
    <cellStyle name="Currency 2 3 3 2 3" xfId="6784" xr:uid="{BF46F602-341F-43BF-B043-DB7DA0BF58B9}"/>
    <cellStyle name="Currency 2 3 3 3" xfId="4267" xr:uid="{EF8C6D9A-F97D-4C40-A1AF-70AD7804E1F7}"/>
    <cellStyle name="Currency 2 3 3 3 2" xfId="7647" xr:uid="{72F6E53C-B900-40D4-AC6E-CB387B6D6927}"/>
    <cellStyle name="Currency 2 3 3 4" xfId="5946" xr:uid="{37D11744-5701-4556-BAFB-A6B1E50E9623}"/>
    <cellStyle name="Currency 2 4" xfId="828" xr:uid="{00000000-0005-0000-0000-00005D020000}"/>
    <cellStyle name="Currency 2 4 2" xfId="829" xr:uid="{00000000-0005-0000-0000-00005E020000}"/>
    <cellStyle name="Currency 2 4 2 2" xfId="1856" xr:uid="{00000000-0005-0000-0000-00005F020000}"/>
    <cellStyle name="Currency 2 4 2 2 2" xfId="5106" xr:uid="{B31FEF7F-0C52-4F47-9CA6-9685CC284B31}"/>
    <cellStyle name="Currency 2 4 2 2 2 2" xfId="8486" xr:uid="{DEDA9048-507F-4080-B660-7A9343406EF2}"/>
    <cellStyle name="Currency 2 4 2 2 3" xfId="6786" xr:uid="{D31C0D91-470B-4665-A3B6-A07EF06427C9}"/>
    <cellStyle name="Currency 2 4 2 3" xfId="4269" xr:uid="{5D27283D-5D1D-4412-A796-F9828970D4B1}"/>
    <cellStyle name="Currency 2 4 2 3 2" xfId="7649" xr:uid="{3517CF80-1584-4CB3-8192-D8FA0C51B492}"/>
    <cellStyle name="Currency 2 4 2 4" xfId="5948" xr:uid="{F842235B-212E-42AC-8279-A197046118D3}"/>
    <cellStyle name="Currency 2 4 3" xfId="1855" xr:uid="{00000000-0005-0000-0000-000060020000}"/>
    <cellStyle name="Currency 2 4 3 2" xfId="5105" xr:uid="{CAA51420-6A40-4B29-A933-D1A0D3DA8CB4}"/>
    <cellStyle name="Currency 2 4 3 2 2" xfId="8485" xr:uid="{21CFF9A2-DA2D-4781-9A11-52C345D1AE3E}"/>
    <cellStyle name="Currency 2 4 3 3" xfId="6785" xr:uid="{6F84187F-7101-4B9D-B043-AB6382E8DAE2}"/>
    <cellStyle name="Currency 2 4 4" xfId="4268" xr:uid="{5FC75E7D-0BC4-4694-86F2-A3525A8E92D9}"/>
    <cellStyle name="Currency 2 4 4 2" xfId="7648" xr:uid="{12689925-7DBE-450A-A88C-3073A2EA73DA}"/>
    <cellStyle name="Currency 2 4 5" xfId="5947" xr:uid="{B78EAD51-6D77-4AC1-96F4-E4E8136C97C0}"/>
    <cellStyle name="Currency 2 5" xfId="830" xr:uid="{00000000-0005-0000-0000-000061020000}"/>
    <cellStyle name="Currency 2 5 2" xfId="831" xr:uid="{00000000-0005-0000-0000-000062020000}"/>
    <cellStyle name="Currency 2 5 2 2" xfId="1858" xr:uid="{00000000-0005-0000-0000-000063020000}"/>
    <cellStyle name="Currency 2 5 2 2 2" xfId="5108" xr:uid="{41C588E1-7A45-4802-8B62-D153E681B890}"/>
    <cellStyle name="Currency 2 5 2 2 2 2" xfId="8488" xr:uid="{39B07B7E-0EE0-4B38-B1E8-3E0F5FAEBDE8}"/>
    <cellStyle name="Currency 2 5 2 2 3" xfId="6788" xr:uid="{1BDCA881-7F8A-4C50-BDE3-0A48F4ECDF91}"/>
    <cellStyle name="Currency 2 5 2 3" xfId="4271" xr:uid="{A5261E97-6809-41D1-AF5B-1711D7A20F07}"/>
    <cellStyle name="Currency 2 5 2 3 2" xfId="7651" xr:uid="{478644A1-529C-40DD-BA1A-C4C3957E5A2C}"/>
    <cellStyle name="Currency 2 5 2 4" xfId="5950" xr:uid="{70909F7D-3FA3-45AC-A8BD-CDE304F82D16}"/>
    <cellStyle name="Currency 2 5 3" xfId="1857" xr:uid="{00000000-0005-0000-0000-000064020000}"/>
    <cellStyle name="Currency 2 5 3 2" xfId="5107" xr:uid="{65257B21-04F6-462B-8474-8F9AFFB93B80}"/>
    <cellStyle name="Currency 2 5 3 2 2" xfId="8487" xr:uid="{E538E3DA-98C7-4A3F-9C26-6E85AF4353DC}"/>
    <cellStyle name="Currency 2 5 3 3" xfId="6787" xr:uid="{506C8B8A-F068-4992-92D1-90E0F19DA684}"/>
    <cellStyle name="Currency 2 5 4" xfId="4270" xr:uid="{3BD99372-8437-4B70-87F9-B3B2D0674869}"/>
    <cellStyle name="Currency 2 5 4 2" xfId="7650" xr:uid="{243F9D73-DDC5-442E-B941-B93584EB71C3}"/>
    <cellStyle name="Currency 2 5 5" xfId="5949" xr:uid="{E9C11255-F0BE-4E22-A495-33B83EF0ADC8}"/>
    <cellStyle name="Currency 2 6" xfId="832" xr:uid="{00000000-0005-0000-0000-000065020000}"/>
    <cellStyle name="Currency 2 6 2" xfId="1859" xr:uid="{00000000-0005-0000-0000-000066020000}"/>
    <cellStyle name="Currency 2 6 2 2" xfId="5109" xr:uid="{D20387E0-DDF8-4FC4-9E43-FA41C98B4123}"/>
    <cellStyle name="Currency 2 6 2 2 2" xfId="8489" xr:uid="{9721B3D3-B5F5-46D8-A65B-07483E1470D6}"/>
    <cellStyle name="Currency 2 6 2 3" xfId="6789" xr:uid="{1FCDF8FB-9B6A-4EA2-9275-F820B952C11F}"/>
    <cellStyle name="Currency 2 6 3" xfId="4272" xr:uid="{7156D635-7D77-441A-87DF-681DE8AE23A5}"/>
    <cellStyle name="Currency 2 6 3 2" xfId="7652" xr:uid="{695E9538-F58C-471F-94DD-AFF9790ED092}"/>
    <cellStyle name="Currency 2 6 4" xfId="5951" xr:uid="{0E7EEBD3-BC42-4EB7-AA99-4E8419D1C5F3}"/>
    <cellStyle name="Currency 3" xfId="104" xr:uid="{00000000-0005-0000-0000-000067020000}"/>
    <cellStyle name="Currency 3 2" xfId="105" xr:uid="{00000000-0005-0000-0000-000068020000}"/>
    <cellStyle name="Currency 3 2 2" xfId="833" xr:uid="{00000000-0005-0000-0000-000069020000}"/>
    <cellStyle name="Currency 3 2 2 2" xfId="834" xr:uid="{00000000-0005-0000-0000-00006A020000}"/>
    <cellStyle name="Currency 3 2 2 2 2" xfId="1861" xr:uid="{00000000-0005-0000-0000-00006B020000}"/>
    <cellStyle name="Currency 3 2 2 2 2 2" xfId="5111" xr:uid="{69F0FD07-9B07-4B5B-BF5D-9E76071B393E}"/>
    <cellStyle name="Currency 3 2 2 2 2 2 2" xfId="8491" xr:uid="{8235DF0A-DD0F-4F42-BD36-174A9DAA7014}"/>
    <cellStyle name="Currency 3 2 2 2 2 3" xfId="6791" xr:uid="{BAB50D19-BA52-4F53-8F3F-3822E5F14462}"/>
    <cellStyle name="Currency 3 2 2 2 3" xfId="4274" xr:uid="{2565A5CB-7270-4A37-A612-9789B92ED733}"/>
    <cellStyle name="Currency 3 2 2 2 3 2" xfId="7654" xr:uid="{E404E2B7-9495-45BB-A609-B1593FEA0958}"/>
    <cellStyle name="Currency 3 2 2 2 4" xfId="5953" xr:uid="{1EC1C6DC-7C1F-4751-8BF7-8F4B83D63405}"/>
    <cellStyle name="Currency 3 2 2 3" xfId="1860" xr:uid="{00000000-0005-0000-0000-00006C020000}"/>
    <cellStyle name="Currency 3 2 2 3 2" xfId="5110" xr:uid="{97EAB721-F367-4AC2-8CC4-85A64792A88A}"/>
    <cellStyle name="Currency 3 2 2 3 2 2" xfId="8490" xr:uid="{042706E2-AD56-4642-98BD-BB6907866B8E}"/>
    <cellStyle name="Currency 3 2 2 3 3" xfId="6790" xr:uid="{F7DBAA6F-3665-40C5-9CE2-DE17DA1EE99E}"/>
    <cellStyle name="Currency 3 2 2 4" xfId="4273" xr:uid="{C39272E3-2C32-431E-8C89-6156CBC791C3}"/>
    <cellStyle name="Currency 3 2 2 4 2" xfId="7653" xr:uid="{63DEF1EC-ECFA-4F43-B136-99016C824F7A}"/>
    <cellStyle name="Currency 3 2 2 5" xfId="5952" xr:uid="{7B9313AA-D608-4EB7-BED6-D0198D46325D}"/>
    <cellStyle name="Currency 3 2 3" xfId="835" xr:uid="{00000000-0005-0000-0000-00006D020000}"/>
    <cellStyle name="Currency 3 2 3 2" xfId="1862" xr:uid="{00000000-0005-0000-0000-00006E020000}"/>
    <cellStyle name="Currency 3 2 3 2 2" xfId="5112" xr:uid="{734E62C3-6D7E-41FC-9A85-680C49F7369C}"/>
    <cellStyle name="Currency 3 2 3 2 2 2" xfId="8492" xr:uid="{6318DDE0-96C6-43CA-98C4-FCE2BDBF3D8A}"/>
    <cellStyle name="Currency 3 2 3 2 3" xfId="6792" xr:uid="{14B94015-9857-4140-B100-E0C7D88CA83E}"/>
    <cellStyle name="Currency 3 2 3 3" xfId="4275" xr:uid="{6DDC7CF4-B3EA-48CB-A03D-3DBD503C9CF0}"/>
    <cellStyle name="Currency 3 2 3 3 2" xfId="7655" xr:uid="{53D7E7D0-2535-49E7-B5AA-B8159D7F8B1B}"/>
    <cellStyle name="Currency 3 2 3 4" xfId="5954" xr:uid="{8E576486-F091-49DF-B836-0C243EA948FB}"/>
    <cellStyle name="Currency 3 2 4" xfId="836" xr:uid="{00000000-0005-0000-0000-00006F020000}"/>
    <cellStyle name="Currency 3 2 4 2" xfId="1863" xr:uid="{00000000-0005-0000-0000-000070020000}"/>
    <cellStyle name="Currency 3 2 4 2 2" xfId="5113" xr:uid="{8B6707DC-AABB-44FA-A55A-370ED27BA399}"/>
    <cellStyle name="Currency 3 2 4 2 2 2" xfId="8493" xr:uid="{6BDF5AB5-C0A6-47D7-AF11-09BC65F31B61}"/>
    <cellStyle name="Currency 3 2 4 2 3" xfId="6793" xr:uid="{8B45753D-EEE5-4E4A-8A5C-CF26B4489D43}"/>
    <cellStyle name="Currency 3 2 4 3" xfId="4276" xr:uid="{DF6C3C79-3DEA-4963-80A4-60A169DE684B}"/>
    <cellStyle name="Currency 3 2 4 3 2" xfId="7656" xr:uid="{449A1548-34A4-4D92-B6EB-9B8FB63DFC51}"/>
    <cellStyle name="Currency 3 2 4 4" xfId="5955" xr:uid="{FA2F5D32-B21A-4D89-936F-646C5DA1DF0C}"/>
    <cellStyle name="Currency 3 3" xfId="837" xr:uid="{00000000-0005-0000-0000-000071020000}"/>
    <cellStyle name="Currency 3 3 2" xfId="838" xr:uid="{00000000-0005-0000-0000-000072020000}"/>
    <cellStyle name="Currency 3 3 2 2" xfId="1865" xr:uid="{00000000-0005-0000-0000-000073020000}"/>
    <cellStyle name="Currency 3 3 2 2 2" xfId="5115" xr:uid="{2E1719C4-8F19-4D5F-A1A2-D6E80503A090}"/>
    <cellStyle name="Currency 3 3 2 2 2 2" xfId="8495" xr:uid="{D92D3D9D-318B-4530-93E0-CE151D526F84}"/>
    <cellStyle name="Currency 3 3 2 2 3" xfId="6795" xr:uid="{19062390-2908-46FD-B3CA-723BF11B4D63}"/>
    <cellStyle name="Currency 3 3 2 3" xfId="4278" xr:uid="{2DF29B15-AE8F-4EAC-B57D-DF23909B6818}"/>
    <cellStyle name="Currency 3 3 2 3 2" xfId="7658" xr:uid="{3263BC97-AED0-40F2-87B3-458B983908CC}"/>
    <cellStyle name="Currency 3 3 2 4" xfId="5957" xr:uid="{AC610ABD-58ED-4751-85D5-502BEC185E55}"/>
    <cellStyle name="Currency 3 3 3" xfId="1864" xr:uid="{00000000-0005-0000-0000-000074020000}"/>
    <cellStyle name="Currency 3 3 3 2" xfId="5114" xr:uid="{51E4D28A-4C18-48F1-8B13-D7C0B4C636EA}"/>
    <cellStyle name="Currency 3 3 3 2 2" xfId="8494" xr:uid="{8BD441D9-761D-4263-8E6F-B0CE6C9DCB81}"/>
    <cellStyle name="Currency 3 3 3 3" xfId="6794" xr:uid="{ED516EFB-6C9A-4CD4-AFD1-A9D83A95548B}"/>
    <cellStyle name="Currency 3 3 4" xfId="4277" xr:uid="{6468ED1E-D673-4D54-9A1D-E9B1A2BFCFD9}"/>
    <cellStyle name="Currency 3 3 4 2" xfId="7657" xr:uid="{CC2D3A23-A8D6-4B72-9317-576B3758A0DD}"/>
    <cellStyle name="Currency 3 3 5" xfId="5956" xr:uid="{BEBF0A39-D19F-45F5-990C-EA8BED181E5A}"/>
    <cellStyle name="Currency 3 4" xfId="839" xr:uid="{00000000-0005-0000-0000-000075020000}"/>
    <cellStyle name="Currency 3 4 2" xfId="840" xr:uid="{00000000-0005-0000-0000-000076020000}"/>
    <cellStyle name="Currency 3 4 2 2" xfId="1867" xr:uid="{00000000-0005-0000-0000-000077020000}"/>
    <cellStyle name="Currency 3 4 2 2 2" xfId="5117" xr:uid="{2CFB7979-6520-424B-9D2D-F4B8D33E7713}"/>
    <cellStyle name="Currency 3 4 2 2 2 2" xfId="8497" xr:uid="{151B6E43-0CD3-46B7-BFB2-F691DE19F91E}"/>
    <cellStyle name="Currency 3 4 2 2 3" xfId="6797" xr:uid="{96AE376A-722B-4AEC-BF13-4173FDC87078}"/>
    <cellStyle name="Currency 3 4 2 3" xfId="4280" xr:uid="{168B9A2B-E158-43BB-B71B-BD311E503F9D}"/>
    <cellStyle name="Currency 3 4 2 3 2" xfId="7660" xr:uid="{483E2ADD-AE3F-4328-A919-73BCE6696D9E}"/>
    <cellStyle name="Currency 3 4 2 4" xfId="5959" xr:uid="{34480114-DA11-47B3-9F5F-A59EDEFC8512}"/>
    <cellStyle name="Currency 3 4 3" xfId="1866" xr:uid="{00000000-0005-0000-0000-000078020000}"/>
    <cellStyle name="Currency 3 4 3 2" xfId="5116" xr:uid="{DE666D91-40FA-4B37-96D1-9F272FF09BBF}"/>
    <cellStyle name="Currency 3 4 3 2 2" xfId="8496" xr:uid="{B260998C-8645-4245-B811-C3D9A077C4D3}"/>
    <cellStyle name="Currency 3 4 3 3" xfId="6796" xr:uid="{85CE798B-05B3-449F-82E3-E896F1313993}"/>
    <cellStyle name="Currency 3 4 4" xfId="4279" xr:uid="{F2F48A9D-6D9C-42AF-90F0-B1E9B3D5D8AC}"/>
    <cellStyle name="Currency 3 4 4 2" xfId="7659" xr:uid="{FBB2CA08-A393-4DA1-B5C5-D2C39C750FCF}"/>
    <cellStyle name="Currency 3 4 5" xfId="5958" xr:uid="{B3DAC95C-93CF-47EE-8C5A-CF26C459F749}"/>
    <cellStyle name="Currency 4" xfId="16" xr:uid="{00000000-0005-0000-0000-000079020000}"/>
    <cellStyle name="Currency 5" xfId="332" xr:uid="{00000000-0005-0000-0000-00007A020000}"/>
    <cellStyle name="Currency 5 2" xfId="841" xr:uid="{00000000-0005-0000-0000-00007B020000}"/>
    <cellStyle name="Currency 5 2 2" xfId="1868" xr:uid="{00000000-0005-0000-0000-00007C020000}"/>
    <cellStyle name="Currency 5 2 2 2" xfId="5118" xr:uid="{ADE278D8-EB71-430B-85B3-8C640358D679}"/>
    <cellStyle name="Currency 5 2 2 2 2" xfId="8498" xr:uid="{02496A4D-59BC-41F6-BEE6-FD01ACE11B18}"/>
    <cellStyle name="Currency 5 2 2 3" xfId="6798" xr:uid="{F2E968C2-3AEF-4B04-86CE-ADEC57033567}"/>
    <cellStyle name="Currency 5 2 3" xfId="4281" xr:uid="{4AD4B12C-6DC3-4486-B8DB-B21770892D62}"/>
    <cellStyle name="Currency 5 2 3 2" xfId="7661" xr:uid="{A063E703-C405-4B97-BC7C-8306245DB9C6}"/>
    <cellStyle name="Currency 5 2 4" xfId="5960" xr:uid="{1541FB0B-220F-4864-9C75-516C7DC8BD91}"/>
    <cellStyle name="Currency 6" xfId="336" xr:uid="{00000000-0005-0000-0000-00007D020000}"/>
    <cellStyle name="Currency 6 2" xfId="842" xr:uid="{00000000-0005-0000-0000-00007E020000}"/>
    <cellStyle name="Currency 6 2 2" xfId="1869" xr:uid="{00000000-0005-0000-0000-00007F020000}"/>
    <cellStyle name="Currency 6 2 2 2" xfId="5119" xr:uid="{8F5A5BA2-9E1F-4E63-B379-2CE36FAF215D}"/>
    <cellStyle name="Currency 6 2 2 2 2" xfId="8499" xr:uid="{0E641968-4EEC-4FB9-854A-8DF628E712FE}"/>
    <cellStyle name="Currency 6 2 2 3" xfId="6799" xr:uid="{9341C218-B005-480D-A0B3-40A5E8D792EB}"/>
    <cellStyle name="Currency 6 2 3" xfId="4282" xr:uid="{D7069F67-6FE6-46DB-AEEB-EC630285ABA1}"/>
    <cellStyle name="Currency 6 2 3 2" xfId="7662" xr:uid="{401CAA9D-8FBE-41C2-A0D1-A2AD70E2C62D}"/>
    <cellStyle name="Currency 6 2 4" xfId="5961" xr:uid="{DB1BD366-DBC8-4E00-8E62-18FB45AF4133}"/>
    <cellStyle name="Currency 7" xfId="343" xr:uid="{00000000-0005-0000-0000-000080020000}"/>
    <cellStyle name="Currency 8" xfId="345" xr:uid="{00000000-0005-0000-0000-000081020000}"/>
    <cellStyle name="Currency 9" xfId="347" xr:uid="{00000000-0005-0000-0000-000082020000}"/>
    <cellStyle name="Currency 9 2" xfId="843" xr:uid="{00000000-0005-0000-0000-000083020000}"/>
    <cellStyle name="Currency Input" xfId="106" xr:uid="{00000000-0005-0000-0000-000084020000}"/>
    <cellStyle name="Currency0" xfId="107" xr:uid="{00000000-0005-0000-0000-000085020000}"/>
    <cellStyle name="d" xfId="108" xr:uid="{00000000-0005-0000-0000-000086020000}"/>
    <cellStyle name="d," xfId="109" xr:uid="{00000000-0005-0000-0000-000087020000}"/>
    <cellStyle name="d1" xfId="110" xr:uid="{00000000-0005-0000-0000-000088020000}"/>
    <cellStyle name="d1," xfId="111" xr:uid="{00000000-0005-0000-0000-000089020000}"/>
    <cellStyle name="d2" xfId="112" xr:uid="{00000000-0005-0000-0000-00008A020000}"/>
    <cellStyle name="d2," xfId="113" xr:uid="{00000000-0005-0000-0000-00008B020000}"/>
    <cellStyle name="d3" xfId="114" xr:uid="{00000000-0005-0000-0000-00008C020000}"/>
    <cellStyle name="Dash" xfId="115" xr:uid="{00000000-0005-0000-0000-00008D020000}"/>
    <cellStyle name="Date" xfId="116" xr:uid="{00000000-0005-0000-0000-00008E020000}"/>
    <cellStyle name="Date [Abbreviated]" xfId="117" xr:uid="{00000000-0005-0000-0000-00008F020000}"/>
    <cellStyle name="Date [Long Europe]" xfId="118" xr:uid="{00000000-0005-0000-0000-000090020000}"/>
    <cellStyle name="Date [Long U.S.]" xfId="119" xr:uid="{00000000-0005-0000-0000-000091020000}"/>
    <cellStyle name="Date [Short Europe]" xfId="120" xr:uid="{00000000-0005-0000-0000-000092020000}"/>
    <cellStyle name="Date [Short U.S.]" xfId="121" xr:uid="{00000000-0005-0000-0000-000093020000}"/>
    <cellStyle name="Date_ITCM 2010 Template" xfId="122" xr:uid="{00000000-0005-0000-0000-000094020000}"/>
    <cellStyle name="Define$0" xfId="123" xr:uid="{00000000-0005-0000-0000-000095020000}"/>
    <cellStyle name="Define$1" xfId="124" xr:uid="{00000000-0005-0000-0000-000096020000}"/>
    <cellStyle name="Define$2" xfId="125" xr:uid="{00000000-0005-0000-0000-000097020000}"/>
    <cellStyle name="Define0" xfId="126" xr:uid="{00000000-0005-0000-0000-000098020000}"/>
    <cellStyle name="Define1" xfId="127" xr:uid="{00000000-0005-0000-0000-000099020000}"/>
    <cellStyle name="Define1x" xfId="128" xr:uid="{00000000-0005-0000-0000-00009A020000}"/>
    <cellStyle name="Define2" xfId="129" xr:uid="{00000000-0005-0000-0000-00009B020000}"/>
    <cellStyle name="Define2x" xfId="130" xr:uid="{00000000-0005-0000-0000-00009C020000}"/>
    <cellStyle name="Detail" xfId="844" xr:uid="{00000000-0005-0000-0000-00009D020000}"/>
    <cellStyle name="Dollar" xfId="131" xr:uid="{00000000-0005-0000-0000-00009E020000}"/>
    <cellStyle name="e" xfId="132" xr:uid="{00000000-0005-0000-0000-00009F020000}"/>
    <cellStyle name="e_DEO ADIT Unprotected" xfId="2674" xr:uid="{65A32FB6-A42C-44E5-8116-7661ACD5B240}"/>
    <cellStyle name="e1" xfId="133" xr:uid="{00000000-0005-0000-0000-0000A0020000}"/>
    <cellStyle name="e2" xfId="134" xr:uid="{00000000-0005-0000-0000-0000A1020000}"/>
    <cellStyle name="Euro" xfId="135" xr:uid="{00000000-0005-0000-0000-0000A2020000}"/>
    <cellStyle name="Explanatory Text" xfId="526" builtinId="53" customBuiltin="1"/>
    <cellStyle name="Explanatory Text 2" xfId="845" xr:uid="{00000000-0005-0000-0000-0000A4020000}"/>
    <cellStyle name="Explanatory Text 2 2" xfId="846" xr:uid="{00000000-0005-0000-0000-0000A5020000}"/>
    <cellStyle name="Explanatory Text 2 3" xfId="847" xr:uid="{00000000-0005-0000-0000-0000A6020000}"/>
    <cellStyle name="Explanatory Text 2_DEO ADIT Unprotected" xfId="2675" xr:uid="{47F8A8DF-0CEA-459A-9EF2-461A88C84ACE}"/>
    <cellStyle name="Explanatory Text 3" xfId="848" xr:uid="{00000000-0005-0000-0000-0000A7020000}"/>
    <cellStyle name="f" xfId="849" xr:uid="{00000000-0005-0000-0000-0000A8020000}"/>
    <cellStyle name="Fixed" xfId="136" xr:uid="{00000000-0005-0000-0000-0000A9020000}"/>
    <cellStyle name="FOOTER - Style1" xfId="137" xr:uid="{00000000-0005-0000-0000-0000AA020000}"/>
    <cellStyle name="g" xfId="138" xr:uid="{00000000-0005-0000-0000-0000AB020000}"/>
    <cellStyle name="general" xfId="139" xr:uid="{00000000-0005-0000-0000-0000AC020000}"/>
    <cellStyle name="General [C]" xfId="140" xr:uid="{00000000-0005-0000-0000-0000AD020000}"/>
    <cellStyle name="General [R]" xfId="141" xr:uid="{00000000-0005-0000-0000-0000AE020000}"/>
    <cellStyle name="general_DEO ADIT Unprotected" xfId="2676" xr:uid="{20BE35F7-1073-472E-A128-29DA5F509D03}"/>
    <cellStyle name="Good" xfId="517" builtinId="26" customBuiltin="1"/>
    <cellStyle name="Good 2" xfId="850" xr:uid="{00000000-0005-0000-0000-0000B0020000}"/>
    <cellStyle name="Good 2 2" xfId="851" xr:uid="{00000000-0005-0000-0000-0000B1020000}"/>
    <cellStyle name="Good 2 3" xfId="852" xr:uid="{00000000-0005-0000-0000-0000B2020000}"/>
    <cellStyle name="Good 2_DEO ADIT Unprotected" xfId="2677" xr:uid="{A3821B0B-5517-4737-98F5-135769A4911D}"/>
    <cellStyle name="Good 3" xfId="853" xr:uid="{00000000-0005-0000-0000-0000B3020000}"/>
    <cellStyle name="Good 4" xfId="854" xr:uid="{00000000-0005-0000-0000-0000B4020000}"/>
    <cellStyle name="Green" xfId="142" xr:uid="{00000000-0005-0000-0000-0000B5020000}"/>
    <cellStyle name="grey" xfId="143" xr:uid="{00000000-0005-0000-0000-0000B6020000}"/>
    <cellStyle name="HEADER" xfId="855" xr:uid="{00000000-0005-0000-0000-0000B7020000}"/>
    <cellStyle name="Header1" xfId="144" xr:uid="{00000000-0005-0000-0000-0000B8020000}"/>
    <cellStyle name="Header2" xfId="145" xr:uid="{00000000-0005-0000-0000-0000B9020000}"/>
    <cellStyle name="Heading" xfId="146" xr:uid="{00000000-0005-0000-0000-0000BA020000}"/>
    <cellStyle name="Heading 1" xfId="513" builtinId="16" customBuiltin="1"/>
    <cellStyle name="Heading 1 2" xfId="856" xr:uid="{00000000-0005-0000-0000-0000BC020000}"/>
    <cellStyle name="Heading 1 2 2" xfId="857" xr:uid="{00000000-0005-0000-0000-0000BD020000}"/>
    <cellStyle name="Heading 1 2 3" xfId="858" xr:uid="{00000000-0005-0000-0000-0000BE020000}"/>
    <cellStyle name="Heading 1 2_DEO ADIT Unprotected" xfId="2678" xr:uid="{5326C98D-CF7D-470A-AB32-CE2F3D25FAB8}"/>
    <cellStyle name="Heading 1 3" xfId="859" xr:uid="{00000000-0005-0000-0000-0000BF020000}"/>
    <cellStyle name="Heading 1 4" xfId="860" xr:uid="{00000000-0005-0000-0000-0000C0020000}"/>
    <cellStyle name="Heading 2" xfId="514" builtinId="17" customBuiltin="1"/>
    <cellStyle name="Heading 2 2" xfId="861" xr:uid="{00000000-0005-0000-0000-0000C2020000}"/>
    <cellStyle name="Heading 2 2 2" xfId="862" xr:uid="{00000000-0005-0000-0000-0000C3020000}"/>
    <cellStyle name="Heading 2 2 3" xfId="863" xr:uid="{00000000-0005-0000-0000-0000C4020000}"/>
    <cellStyle name="Heading 2 2_DEO ADIT Unprotected" xfId="2679" xr:uid="{29846FBF-4A3C-4A92-B908-04AB1C490FEC}"/>
    <cellStyle name="Heading 2 3" xfId="864" xr:uid="{00000000-0005-0000-0000-0000C5020000}"/>
    <cellStyle name="Heading 2 4" xfId="865" xr:uid="{00000000-0005-0000-0000-0000C6020000}"/>
    <cellStyle name="Heading 3" xfId="515" builtinId="18" customBuiltin="1"/>
    <cellStyle name="Heading 3 2" xfId="866" xr:uid="{00000000-0005-0000-0000-0000C8020000}"/>
    <cellStyle name="Heading 3 2 2" xfId="867" xr:uid="{00000000-0005-0000-0000-0000C9020000}"/>
    <cellStyle name="Heading 3 2 3" xfId="868" xr:uid="{00000000-0005-0000-0000-0000CA020000}"/>
    <cellStyle name="Heading 3 2_DEO ADIT Unprotected" xfId="2680" xr:uid="{AFA99649-D538-4AD2-B7C0-51129C029725}"/>
    <cellStyle name="Heading 3 3" xfId="869" xr:uid="{00000000-0005-0000-0000-0000CB020000}"/>
    <cellStyle name="Heading 3 4" xfId="870" xr:uid="{00000000-0005-0000-0000-0000CC020000}"/>
    <cellStyle name="Heading 4" xfId="516" builtinId="19" customBuiltin="1"/>
    <cellStyle name="Heading 4 2" xfId="871" xr:uid="{00000000-0005-0000-0000-0000CE020000}"/>
    <cellStyle name="Heading 4 2 2" xfId="872" xr:uid="{00000000-0005-0000-0000-0000CF020000}"/>
    <cellStyle name="Heading 4 2 3" xfId="873" xr:uid="{00000000-0005-0000-0000-0000D0020000}"/>
    <cellStyle name="Heading 4 2_DEO ADIT Unprotected" xfId="2681" xr:uid="{84E67BDF-3E83-491C-8148-1EE2D66FA0F8}"/>
    <cellStyle name="Heading 4 3" xfId="874" xr:uid="{00000000-0005-0000-0000-0000D1020000}"/>
    <cellStyle name="Heading 4 4" xfId="875" xr:uid="{00000000-0005-0000-0000-0000D2020000}"/>
    <cellStyle name="Heading No Underline" xfId="147" xr:uid="{00000000-0005-0000-0000-0000D3020000}"/>
    <cellStyle name="Heading With Underline" xfId="148" xr:uid="{00000000-0005-0000-0000-0000D4020000}"/>
    <cellStyle name="Heading1" xfId="149" xr:uid="{00000000-0005-0000-0000-0000D5020000}"/>
    <cellStyle name="Heading2" xfId="150" xr:uid="{00000000-0005-0000-0000-0000D6020000}"/>
    <cellStyle name="Headline" xfId="151" xr:uid="{00000000-0005-0000-0000-0000D7020000}"/>
    <cellStyle name="Highlight" xfId="152" xr:uid="{00000000-0005-0000-0000-0000D8020000}"/>
    <cellStyle name="Hyperlink 2" xfId="876" xr:uid="{00000000-0005-0000-0000-0000D9020000}"/>
    <cellStyle name="in" xfId="153" xr:uid="{00000000-0005-0000-0000-0000DA020000}"/>
    <cellStyle name="inc/dec" xfId="877" xr:uid="{00000000-0005-0000-0000-0000DB020000}"/>
    <cellStyle name="Indented [0]" xfId="154" xr:uid="{00000000-0005-0000-0000-0000DC020000}"/>
    <cellStyle name="Indented [2]" xfId="155" xr:uid="{00000000-0005-0000-0000-0000DD020000}"/>
    <cellStyle name="Indented [4]" xfId="156" xr:uid="{00000000-0005-0000-0000-0000DE020000}"/>
    <cellStyle name="Indented [6]" xfId="157" xr:uid="{00000000-0005-0000-0000-0000DF020000}"/>
    <cellStyle name="Input" xfId="520" builtinId="20" customBuiltin="1"/>
    <cellStyle name="Input [yellow]" xfId="158" xr:uid="{00000000-0005-0000-0000-0000E1020000}"/>
    <cellStyle name="Input 2" xfId="878" xr:uid="{00000000-0005-0000-0000-0000E2020000}"/>
    <cellStyle name="Input 2 2" xfId="879" xr:uid="{00000000-0005-0000-0000-0000E3020000}"/>
    <cellStyle name="Input 2 3" xfId="880" xr:uid="{00000000-0005-0000-0000-0000E4020000}"/>
    <cellStyle name="Input 3" xfId="881" xr:uid="{00000000-0005-0000-0000-0000E5020000}"/>
    <cellStyle name="Input 4" xfId="882" xr:uid="{00000000-0005-0000-0000-0000E6020000}"/>
    <cellStyle name="Input$0" xfId="159" xr:uid="{00000000-0005-0000-0000-0000E7020000}"/>
    <cellStyle name="Input$1" xfId="160" xr:uid="{00000000-0005-0000-0000-0000E8020000}"/>
    <cellStyle name="Input$2" xfId="161" xr:uid="{00000000-0005-0000-0000-0000E9020000}"/>
    <cellStyle name="Input0" xfId="162" xr:uid="{00000000-0005-0000-0000-0000EA020000}"/>
    <cellStyle name="Input1" xfId="163" xr:uid="{00000000-0005-0000-0000-0000EB020000}"/>
    <cellStyle name="Input1x" xfId="164" xr:uid="{00000000-0005-0000-0000-0000EC020000}"/>
    <cellStyle name="Input2" xfId="165" xr:uid="{00000000-0005-0000-0000-0000ED020000}"/>
    <cellStyle name="Input2x" xfId="166" xr:uid="{00000000-0005-0000-0000-0000EE020000}"/>
    <cellStyle name="Invisible" xfId="883" xr:uid="{00000000-0005-0000-0000-0000EF020000}"/>
    <cellStyle name="lborder" xfId="167" xr:uid="{00000000-0005-0000-0000-0000F0020000}"/>
    <cellStyle name="LeftSubtitle" xfId="168" xr:uid="{00000000-0005-0000-0000-0000F1020000}"/>
    <cellStyle name="Lines" xfId="884" xr:uid="{00000000-0005-0000-0000-0000F2020000}"/>
    <cellStyle name="Linked Cell" xfId="523" builtinId="24" customBuiltin="1"/>
    <cellStyle name="Linked Cell 2" xfId="885" xr:uid="{00000000-0005-0000-0000-0000F4020000}"/>
    <cellStyle name="Linked Cell 2 2" xfId="886" xr:uid="{00000000-0005-0000-0000-0000F5020000}"/>
    <cellStyle name="Linked Cell 2 3" xfId="887" xr:uid="{00000000-0005-0000-0000-0000F6020000}"/>
    <cellStyle name="Linked Cell 2_DEO ADIT Unprotected" xfId="2682" xr:uid="{341CE1AB-98AC-432D-8833-F29535A9B166}"/>
    <cellStyle name="Linked Cell 3" xfId="888" xr:uid="{00000000-0005-0000-0000-0000F7020000}"/>
    <cellStyle name="Linked Cell 4" xfId="889" xr:uid="{00000000-0005-0000-0000-0000F8020000}"/>
    <cellStyle name="Long Date" xfId="890" xr:uid="{00000000-0005-0000-0000-0000F9020000}"/>
    <cellStyle name="Long Date 2" xfId="891" xr:uid="{00000000-0005-0000-0000-0000FA020000}"/>
    <cellStyle name="m" xfId="169" xr:uid="{00000000-0005-0000-0000-0000FB020000}"/>
    <cellStyle name="m1" xfId="170" xr:uid="{00000000-0005-0000-0000-0000FC020000}"/>
    <cellStyle name="m2" xfId="171" xr:uid="{00000000-0005-0000-0000-0000FD020000}"/>
    <cellStyle name="m3" xfId="172" xr:uid="{00000000-0005-0000-0000-0000FE020000}"/>
    <cellStyle name="Multiple" xfId="173" xr:uid="{00000000-0005-0000-0000-0000FF020000}"/>
    <cellStyle name="Negative" xfId="174" xr:uid="{00000000-0005-0000-0000-000000030000}"/>
    <cellStyle name="Neutral" xfId="519" builtinId="28" customBuiltin="1"/>
    <cellStyle name="Neutral 2" xfId="892" xr:uid="{00000000-0005-0000-0000-000002030000}"/>
    <cellStyle name="Neutral 2 2" xfId="893" xr:uid="{00000000-0005-0000-0000-000003030000}"/>
    <cellStyle name="Neutral 2 3" xfId="894" xr:uid="{00000000-0005-0000-0000-000004030000}"/>
    <cellStyle name="Neutral 2_DEO ADIT Unprotected" xfId="2683" xr:uid="{C6F984A7-BE34-43BA-A90C-65624B90BAAA}"/>
    <cellStyle name="Neutral 3" xfId="895" xr:uid="{00000000-0005-0000-0000-000005030000}"/>
    <cellStyle name="Neutral 4" xfId="896" xr:uid="{00000000-0005-0000-0000-000006030000}"/>
    <cellStyle name="NewColumnHeaderNormal" xfId="897" xr:uid="{00000000-0005-0000-0000-000007030000}"/>
    <cellStyle name="NewSectionHeaderNormal" xfId="898" xr:uid="{00000000-0005-0000-0000-000008030000}"/>
    <cellStyle name="NewTitleNormal" xfId="899" xr:uid="{00000000-0005-0000-0000-000009030000}"/>
    <cellStyle name="no dec" xfId="175" xr:uid="{00000000-0005-0000-0000-00000A030000}"/>
    <cellStyle name="Normal" xfId="0" builtinId="0"/>
    <cellStyle name="Normal - Style1" xfId="176" xr:uid="{00000000-0005-0000-0000-00000C030000}"/>
    <cellStyle name="Normal 10" xfId="340" xr:uid="{00000000-0005-0000-0000-00000D030000}"/>
    <cellStyle name="Normal 10 10" xfId="9100" xr:uid="{4E99D3AE-8FCF-4020-A96F-E76ECEF043D5}"/>
    <cellStyle name="Normal 10 2" xfId="900" xr:uid="{00000000-0005-0000-0000-00000E030000}"/>
    <cellStyle name="Normal 10 2 2" xfId="901" xr:uid="{00000000-0005-0000-0000-00000F030000}"/>
    <cellStyle name="Normal 10 3" xfId="902" xr:uid="{00000000-0005-0000-0000-000010030000}"/>
    <cellStyle name="Normal 10 3 2" xfId="903" xr:uid="{00000000-0005-0000-0000-000011030000}"/>
    <cellStyle name="Normal 10 3 2 2" xfId="1871" xr:uid="{00000000-0005-0000-0000-000012030000}"/>
    <cellStyle name="Normal 10 3 2 2 2" xfId="5121" xr:uid="{680D6A21-EC9D-48CF-A642-6E1677E8F15D}"/>
    <cellStyle name="Normal 10 3 2 2 2 2" xfId="8501" xr:uid="{4D697F38-1D67-4C3F-8FE6-10881B3E8382}"/>
    <cellStyle name="Normal 10 3 2 2 3" xfId="6801" xr:uid="{B8937A36-58F9-4630-A737-9062D228CD53}"/>
    <cellStyle name="Normal 10 3 2 2_DEO ADIT Unprotected" xfId="2687" xr:uid="{A8DAC856-8BCC-4817-9D1A-B46F0D6813EC}"/>
    <cellStyle name="Normal 10 3 2 3" xfId="4284" xr:uid="{02CBE5E3-B2F6-4AE6-921A-87AB4432A894}"/>
    <cellStyle name="Normal 10 3 2 3 2" xfId="7664" xr:uid="{D10F0D15-1FB8-4F4B-AC72-4AA667D553FA}"/>
    <cellStyle name="Normal 10 3 2 4" xfId="5963" xr:uid="{ABD7CF23-1C94-450C-8552-C4CBCD81FECB}"/>
    <cellStyle name="Normal 10 3 2_DEO ADIT Unprotected" xfId="2686" xr:uid="{989659D7-6189-400F-ADCC-2A767C409651}"/>
    <cellStyle name="Normal 10 3 3" xfId="1870" xr:uid="{00000000-0005-0000-0000-000013030000}"/>
    <cellStyle name="Normal 10 3 3 2" xfId="5120" xr:uid="{58C3823B-4DB9-4DEE-9A3A-1A63C72F1FA9}"/>
    <cellStyle name="Normal 10 3 3 2 2" xfId="8500" xr:uid="{77FE2071-4E6E-4D74-83E4-8B0B75B85A7C}"/>
    <cellStyle name="Normal 10 3 3 3" xfId="6800" xr:uid="{C8AAA0C6-B311-40E4-937E-CABBD01F899D}"/>
    <cellStyle name="Normal 10 3 3_DEO ADIT Unprotected" xfId="2688" xr:uid="{B9DC12ED-7375-4737-87D9-A0D3718B285C}"/>
    <cellStyle name="Normal 10 3 4" xfId="4283" xr:uid="{9C5B9AF3-4C68-4EC8-8D80-56BD6ECAAB41}"/>
    <cellStyle name="Normal 10 3 4 2" xfId="7663" xr:uid="{038C0E26-BCB7-4375-A5FE-72263BC6161E}"/>
    <cellStyle name="Normal 10 3 5" xfId="5962" xr:uid="{66386E83-276A-4B38-95A9-F349395E8FC4}"/>
    <cellStyle name="Normal 10 3_DEO ADIT Unprotected" xfId="2685" xr:uid="{F6BB0140-28C3-4E92-9043-236F888235DA}"/>
    <cellStyle name="Normal 10 4" xfId="1629" xr:uid="{00000000-0005-0000-0000-000014030000}"/>
    <cellStyle name="Normal 10 4 2" xfId="4879" xr:uid="{25682BD7-2795-4262-9F53-2CF6779F713B}"/>
    <cellStyle name="Normal 10 4 2 2" xfId="8259" xr:uid="{7922CDF9-E4A6-405E-9063-7EB5F852D58F}"/>
    <cellStyle name="Normal 10 4 3" xfId="6559" xr:uid="{1CC2F7A5-0F74-4DDB-9E96-5BCE892D9D45}"/>
    <cellStyle name="Normal 10 4_DEO ADIT Unprotected" xfId="2689" xr:uid="{5FB2BBC2-C52E-4EDA-B43D-1A55B29F93B1}"/>
    <cellStyle name="Normal 10 5" xfId="4042" xr:uid="{5BBCBF32-80E6-4CD6-8A6D-CE00E23C7222}"/>
    <cellStyle name="Normal 10 5 2" xfId="7422" xr:uid="{34EFD696-EC51-47DE-93EE-49D7F1286DD5}"/>
    <cellStyle name="Normal 10 6" xfId="5719" xr:uid="{0CEEDDF3-395B-4E60-911B-E4B7D4774F04}"/>
    <cellStyle name="Normal 10 7" xfId="7416" xr:uid="{CBAD3A32-2499-40FA-9E4D-CC81451D8609}"/>
    <cellStyle name="Normal 10 8" xfId="7397" xr:uid="{EB83CB3C-0366-445B-80A6-EAE0E7E52DE4}"/>
    <cellStyle name="Normal 10 9" xfId="9102" xr:uid="{C1C596A9-E173-4F4C-9118-10DF13E63ACB}"/>
    <cellStyle name="Normal 10_DEO ADIT Unprotected" xfId="2684" xr:uid="{1657E97D-718A-436D-ACA0-B98F6669BAC2}"/>
    <cellStyle name="Normal 100" xfId="904" xr:uid="{00000000-0005-0000-0000-000015030000}"/>
    <cellStyle name="Normal 100 2" xfId="905" xr:uid="{00000000-0005-0000-0000-000016030000}"/>
    <cellStyle name="Normal 100 2 2" xfId="1873" xr:uid="{00000000-0005-0000-0000-000017030000}"/>
    <cellStyle name="Normal 100 2 2 2" xfId="5123" xr:uid="{4C149679-186D-4C3A-8D9F-BBB8C8084393}"/>
    <cellStyle name="Normal 100 2 2 2 2" xfId="8503" xr:uid="{1F474371-6024-49DB-8015-4D35D7F68DB7}"/>
    <cellStyle name="Normal 100 2 2 3" xfId="6803" xr:uid="{B66D67C1-864E-4943-999A-F171887C1E50}"/>
    <cellStyle name="Normal 100 2 2_DEO ADIT Unprotected" xfId="2692" xr:uid="{C2FB29A9-22ED-4F76-BD27-6B6AB98BDD97}"/>
    <cellStyle name="Normal 100 2 3" xfId="4286" xr:uid="{FBA74E30-9095-4FAD-BE60-09A3EE9CD800}"/>
    <cellStyle name="Normal 100 2 3 2" xfId="7666" xr:uid="{590BF91D-0A1F-416C-A226-51301663BD17}"/>
    <cellStyle name="Normal 100 2 4" xfId="5965" xr:uid="{FAD50B6A-26C3-472B-BF77-D8611DD678EE}"/>
    <cellStyle name="Normal 100 2_DEO ADIT Unprotected" xfId="2691" xr:uid="{43B32043-DD7C-4101-9531-8B6DC930BC8B}"/>
    <cellStyle name="Normal 100 3" xfId="1872" xr:uid="{00000000-0005-0000-0000-000018030000}"/>
    <cellStyle name="Normal 100 3 2" xfId="5122" xr:uid="{2E136DEF-34E2-45BD-AA14-C3BF34831F0C}"/>
    <cellStyle name="Normal 100 3 2 2" xfId="8502" xr:uid="{8FDEFF42-EFA4-4622-9489-46BA0B67E5BE}"/>
    <cellStyle name="Normal 100 3 3" xfId="6802" xr:uid="{568553E6-5180-4ED6-AA17-F59758633BDE}"/>
    <cellStyle name="Normal 100 3_DEO ADIT Unprotected" xfId="2693" xr:uid="{AB589705-D62F-4CFF-8539-3CE6D9FADD63}"/>
    <cellStyle name="Normal 100 4" xfId="4285" xr:uid="{C661D184-1F8B-4DFD-9F8C-2A92FFB3AC58}"/>
    <cellStyle name="Normal 100 4 2" xfId="7665" xr:uid="{A5E17E7E-9156-425E-A0CB-3633C6849B6E}"/>
    <cellStyle name="Normal 100 5" xfId="5964" xr:uid="{F2D1A335-3FF2-4046-B199-BB4AED03E711}"/>
    <cellStyle name="Normal 100_DEO ADIT Unprotected" xfId="2690" xr:uid="{D1D7DB50-07D4-444E-B3F9-4754D9045C8D}"/>
    <cellStyle name="Normal 101" xfId="906" xr:uid="{00000000-0005-0000-0000-000019030000}"/>
    <cellStyle name="Normal 101 2" xfId="907" xr:uid="{00000000-0005-0000-0000-00001A030000}"/>
    <cellStyle name="Normal 101 2 2" xfId="1875" xr:uid="{00000000-0005-0000-0000-00001B030000}"/>
    <cellStyle name="Normal 101 2 2 2" xfId="5125" xr:uid="{DFDAA0C6-34C7-4708-BAE8-99F08A9693D4}"/>
    <cellStyle name="Normal 101 2 2 2 2" xfId="8505" xr:uid="{1FC3019C-496D-4381-A92D-C70F4DCD2280}"/>
    <cellStyle name="Normal 101 2 2 3" xfId="6805" xr:uid="{3FABA14C-322E-421D-AB29-EA140DAF175E}"/>
    <cellStyle name="Normal 101 2 2_DEO ADIT Unprotected" xfId="2696" xr:uid="{EF86BE7B-2149-43F5-9FC5-FC53532B8A14}"/>
    <cellStyle name="Normal 101 2 3" xfId="4288" xr:uid="{80645C30-DB65-4C65-87E6-D1ED29C12CB3}"/>
    <cellStyle name="Normal 101 2 3 2" xfId="7668" xr:uid="{521850F9-286F-4561-9C89-50CA2B976643}"/>
    <cellStyle name="Normal 101 2 4" xfId="5967" xr:uid="{43089532-E332-49F6-96C0-F37B51443E75}"/>
    <cellStyle name="Normal 101 2_DEO ADIT Unprotected" xfId="2695" xr:uid="{C513135B-7E24-489A-A025-467DE6D8FEDA}"/>
    <cellStyle name="Normal 101 3" xfId="1874" xr:uid="{00000000-0005-0000-0000-00001C030000}"/>
    <cellStyle name="Normal 101 3 2" xfId="5124" xr:uid="{89A12EDC-7E5C-4CC2-BD68-C578160A70C1}"/>
    <cellStyle name="Normal 101 3 2 2" xfId="8504" xr:uid="{C4E3DA1B-C8AF-43B9-A8D3-AC111503EF4E}"/>
    <cellStyle name="Normal 101 3 3" xfId="6804" xr:uid="{71705D99-2F96-4207-8D47-FE50D857679F}"/>
    <cellStyle name="Normal 101 3_DEO ADIT Unprotected" xfId="2697" xr:uid="{2894E4C6-F144-4933-8E5C-45CFE78A121B}"/>
    <cellStyle name="Normal 101 4" xfId="4287" xr:uid="{37188F07-9212-444E-BC35-DB6F9D3DEAFB}"/>
    <cellStyle name="Normal 101 4 2" xfId="7667" xr:uid="{CBCD0BD7-0031-4304-86BF-492A3F57550F}"/>
    <cellStyle name="Normal 101 5" xfId="5966" xr:uid="{69E82276-42CF-45AB-9F90-C43C8FA5696E}"/>
    <cellStyle name="Normal 101_DEO ADIT Unprotected" xfId="2694" xr:uid="{D97F2C30-C93F-46BB-A469-13451B57FB8C}"/>
    <cellStyle name="Normal 102" xfId="908" xr:uid="{00000000-0005-0000-0000-00001D030000}"/>
    <cellStyle name="Normal 102 2" xfId="909" xr:uid="{00000000-0005-0000-0000-00001E030000}"/>
    <cellStyle name="Normal 102 2 2" xfId="1877" xr:uid="{00000000-0005-0000-0000-00001F030000}"/>
    <cellStyle name="Normal 102 2 2 2" xfId="5127" xr:uid="{05718887-0D5A-4B08-9F1A-56A9A44A3359}"/>
    <cellStyle name="Normal 102 2 2 2 2" xfId="8507" xr:uid="{8515E80D-7FA1-4338-B2D2-BF5E7A34553F}"/>
    <cellStyle name="Normal 102 2 2 3" xfId="6807" xr:uid="{F0F066AF-28D8-45BD-9282-C6D67F3F7ADB}"/>
    <cellStyle name="Normal 102 2 2_DEO ADIT Unprotected" xfId="2700" xr:uid="{9A49784D-C3FA-43E5-BE2F-8D4DA1AFC441}"/>
    <cellStyle name="Normal 102 2 3" xfId="4290" xr:uid="{F691AC54-1BEE-41FC-A3BC-475CB092BBDB}"/>
    <cellStyle name="Normal 102 2 3 2" xfId="7670" xr:uid="{3B24300D-F4F0-4E1D-8C83-9E86615CF0C6}"/>
    <cellStyle name="Normal 102 2 4" xfId="5969" xr:uid="{E363D869-BD2B-45D8-982E-1FA3966ADD61}"/>
    <cellStyle name="Normal 102 2_DEO ADIT Unprotected" xfId="2699" xr:uid="{8F2E8E2C-C56D-4231-870F-99392FC81242}"/>
    <cellStyle name="Normal 102 3" xfId="1876" xr:uid="{00000000-0005-0000-0000-000020030000}"/>
    <cellStyle name="Normal 102 3 2" xfId="5126" xr:uid="{56B166D8-8374-418A-AB5F-9257262A5A38}"/>
    <cellStyle name="Normal 102 3 2 2" xfId="8506" xr:uid="{84ED5B77-A007-4A05-B190-2BA45E306672}"/>
    <cellStyle name="Normal 102 3 3" xfId="6806" xr:uid="{C8B827DD-542D-4858-A639-A91419E71860}"/>
    <cellStyle name="Normal 102 3_DEO ADIT Unprotected" xfId="2701" xr:uid="{7159661F-7266-49BD-B5AC-293E3F096A80}"/>
    <cellStyle name="Normal 102 4" xfId="4289" xr:uid="{261F5F30-B464-44E4-A179-0BE6F506DC41}"/>
    <cellStyle name="Normal 102 4 2" xfId="7669" xr:uid="{B2B543A7-3DAB-4EEA-8CD3-B0A456D36CE7}"/>
    <cellStyle name="Normal 102 5" xfId="5968" xr:uid="{426211DE-3F19-4969-873E-33F0D643B94D}"/>
    <cellStyle name="Normal 102_DEO ADIT Unprotected" xfId="2698" xr:uid="{06F8D988-F3D9-4A9E-8F88-96A103831C93}"/>
    <cellStyle name="Normal 103" xfId="910" xr:uid="{00000000-0005-0000-0000-000021030000}"/>
    <cellStyle name="Normal 103 2" xfId="911" xr:uid="{00000000-0005-0000-0000-000022030000}"/>
    <cellStyle name="Normal 103 2 2" xfId="1879" xr:uid="{00000000-0005-0000-0000-000023030000}"/>
    <cellStyle name="Normal 103 2 2 2" xfId="5129" xr:uid="{BD25D788-BCD7-4B17-AA44-63DEF0B18E6A}"/>
    <cellStyle name="Normal 103 2 2 2 2" xfId="8509" xr:uid="{F1DFEE55-7644-4FE9-A914-C96BF628A460}"/>
    <cellStyle name="Normal 103 2 2 3" xfId="6809" xr:uid="{B358661F-5032-403D-80FE-CB566F2C3FCD}"/>
    <cellStyle name="Normal 103 2 2_DEO ADIT Unprotected" xfId="2704" xr:uid="{B671C983-FDBD-451C-A5D4-ACA86BA2B28E}"/>
    <cellStyle name="Normal 103 2 3" xfId="4292" xr:uid="{F7772018-7163-4114-8EB1-39D3F42CEBFD}"/>
    <cellStyle name="Normal 103 2 3 2" xfId="7672" xr:uid="{49BAC392-D26E-4859-93B6-E0A8DB0585C1}"/>
    <cellStyle name="Normal 103 2 4" xfId="5971" xr:uid="{5735B6FD-49A4-4584-8105-2E03C0B36BD0}"/>
    <cellStyle name="Normal 103 2_DEO ADIT Unprotected" xfId="2703" xr:uid="{904D7A2E-DA6C-429F-AF87-2DF918464CD4}"/>
    <cellStyle name="Normal 103 3" xfId="1878" xr:uid="{00000000-0005-0000-0000-000024030000}"/>
    <cellStyle name="Normal 103 3 2" xfId="5128" xr:uid="{26625215-3D64-412D-9366-22BF448F1D65}"/>
    <cellStyle name="Normal 103 3 2 2" xfId="8508" xr:uid="{EB22BB3B-B8C8-4417-9A18-629E856CF3F4}"/>
    <cellStyle name="Normal 103 3 3" xfId="6808" xr:uid="{D650E61B-EAEA-4F22-8FE3-4425BF5A9E41}"/>
    <cellStyle name="Normal 103 3_DEO ADIT Unprotected" xfId="2705" xr:uid="{B5A4C0B2-1D52-44F5-80D1-1B2DFB38766A}"/>
    <cellStyle name="Normal 103 4" xfId="4291" xr:uid="{D54BCF1A-A9EA-46C1-AAE3-2E904548CC09}"/>
    <cellStyle name="Normal 103 4 2" xfId="7671" xr:uid="{A4982EF8-AF25-4244-BD12-F2416CB30DBD}"/>
    <cellStyle name="Normal 103 5" xfId="5970" xr:uid="{2309A205-2589-4903-ADC3-1A07B872C35A}"/>
    <cellStyle name="Normal 103_DEO ADIT Unprotected" xfId="2702" xr:uid="{D4FC8667-5157-4C62-8CDF-021F3F039211}"/>
    <cellStyle name="Normal 104" xfId="912" xr:uid="{00000000-0005-0000-0000-000025030000}"/>
    <cellStyle name="Normal 104 2" xfId="913" xr:uid="{00000000-0005-0000-0000-000026030000}"/>
    <cellStyle name="Normal 104 2 2" xfId="1881" xr:uid="{00000000-0005-0000-0000-000027030000}"/>
    <cellStyle name="Normal 104 2 2 2" xfId="5131" xr:uid="{16A2ACEE-A392-4CE0-A39F-9A991F63E215}"/>
    <cellStyle name="Normal 104 2 2 2 2" xfId="8511" xr:uid="{BE367819-106D-4201-9361-10F236137FB6}"/>
    <cellStyle name="Normal 104 2 2 3" xfId="6811" xr:uid="{B9D32201-4997-448C-9002-9B823662CB0A}"/>
    <cellStyle name="Normal 104 2 2_DEO ADIT Unprotected" xfId="2708" xr:uid="{5F13DA89-140B-4298-A0E1-7215D6389799}"/>
    <cellStyle name="Normal 104 2 3" xfId="4294" xr:uid="{40A6E7E8-0AA5-409C-A714-72BEF8CB2F40}"/>
    <cellStyle name="Normal 104 2 3 2" xfId="7674" xr:uid="{98FD7B0F-F341-46BC-ADAB-E57AF66D8C7E}"/>
    <cellStyle name="Normal 104 2 4" xfId="5973" xr:uid="{68E279F0-8DF1-4F27-BAFE-3120A61505CB}"/>
    <cellStyle name="Normal 104 2_DEO ADIT Unprotected" xfId="2707" xr:uid="{5E5E422D-AA64-4D8B-A72E-2885FF6A2B51}"/>
    <cellStyle name="Normal 104 3" xfId="1880" xr:uid="{00000000-0005-0000-0000-000028030000}"/>
    <cellStyle name="Normal 104 3 2" xfId="5130" xr:uid="{2097810F-3FFB-49C8-A8E7-5CC8097AA920}"/>
    <cellStyle name="Normal 104 3 2 2" xfId="8510" xr:uid="{27CDE65C-A482-402E-B331-77F469817C48}"/>
    <cellStyle name="Normal 104 3 3" xfId="6810" xr:uid="{DB118F0F-E3DE-4550-BD40-C8FA96AE0041}"/>
    <cellStyle name="Normal 104 3_DEO ADIT Unprotected" xfId="2709" xr:uid="{6D2B37F8-7115-46A2-9FE2-B0BB017B8C9A}"/>
    <cellStyle name="Normal 104 4" xfId="4293" xr:uid="{576E6E25-D672-48D0-B542-63DEA73711FD}"/>
    <cellStyle name="Normal 104 4 2" xfId="7673" xr:uid="{49A129CF-6EC9-49B0-8346-42A1B3B61A76}"/>
    <cellStyle name="Normal 104 5" xfId="5972" xr:uid="{C3574FDB-A0B5-4532-95A0-FB38196B43DE}"/>
    <cellStyle name="Normal 104_DEO ADIT Unprotected" xfId="2706" xr:uid="{6FE3568E-2F93-40D1-91B6-852F238FB220}"/>
    <cellStyle name="Normal 105" xfId="914" xr:uid="{00000000-0005-0000-0000-000029030000}"/>
    <cellStyle name="Normal 105 2" xfId="915" xr:uid="{00000000-0005-0000-0000-00002A030000}"/>
    <cellStyle name="Normal 105 2 2" xfId="1883" xr:uid="{00000000-0005-0000-0000-00002B030000}"/>
    <cellStyle name="Normal 105 2 2 2" xfId="5133" xr:uid="{008820FC-BC74-4EF0-BDB7-4D4D56BF810D}"/>
    <cellStyle name="Normal 105 2 2 2 2" xfId="8513" xr:uid="{6AA5FE8C-0008-47ED-B1B8-D1B79D77D81F}"/>
    <cellStyle name="Normal 105 2 2 3" xfId="6813" xr:uid="{1FBA8627-6BB6-4141-BCF4-75375F925166}"/>
    <cellStyle name="Normal 105 2 2_DEO ADIT Unprotected" xfId="2712" xr:uid="{009ED20B-3F7C-49E7-8CDC-F1EA8C306533}"/>
    <cellStyle name="Normal 105 2 3" xfId="4296" xr:uid="{5D10F3D1-20E9-415F-B997-AB4EE17CFB97}"/>
    <cellStyle name="Normal 105 2 3 2" xfId="7676" xr:uid="{4AB84F17-05DE-41B0-AB95-7700605ADB7E}"/>
    <cellStyle name="Normal 105 2 4" xfId="5975" xr:uid="{C70F06A1-B0D4-4D48-94CD-961B89183B23}"/>
    <cellStyle name="Normal 105 2_DEO ADIT Unprotected" xfId="2711" xr:uid="{BAFE22D5-EFA7-4574-B0E2-F1C0622A1C5E}"/>
    <cellStyle name="Normal 105 3" xfId="1882" xr:uid="{00000000-0005-0000-0000-00002C030000}"/>
    <cellStyle name="Normal 105 3 2" xfId="5132" xr:uid="{73C428D6-8A12-4E1E-8C07-3D193A2C9882}"/>
    <cellStyle name="Normal 105 3 2 2" xfId="8512" xr:uid="{3D0E4BA4-43A6-4852-902B-E2EA81E35CDE}"/>
    <cellStyle name="Normal 105 3 3" xfId="6812" xr:uid="{6B14C23C-85F4-4D87-9263-8CC1FDBA4702}"/>
    <cellStyle name="Normal 105 3_DEO ADIT Unprotected" xfId="2713" xr:uid="{63183985-52D9-4635-B6C3-7869E42F5974}"/>
    <cellStyle name="Normal 105 4" xfId="4295" xr:uid="{F933167B-61AB-4DB3-AF1E-C80F284ACA39}"/>
    <cellStyle name="Normal 105 4 2" xfId="7675" xr:uid="{178050BA-8C6A-42AE-8E8A-689D0115A295}"/>
    <cellStyle name="Normal 105 5" xfId="5974" xr:uid="{85E30C3F-8323-4688-9469-397C6D2FC82E}"/>
    <cellStyle name="Normal 105_DEO ADIT Unprotected" xfId="2710" xr:uid="{66F38DD5-4CFA-47C3-9CFB-DB1E0CCAC265}"/>
    <cellStyle name="Normal 106" xfId="916" xr:uid="{00000000-0005-0000-0000-00002D030000}"/>
    <cellStyle name="Normal 106 2" xfId="917" xr:uid="{00000000-0005-0000-0000-00002E030000}"/>
    <cellStyle name="Normal 106 2 2" xfId="1885" xr:uid="{00000000-0005-0000-0000-00002F030000}"/>
    <cellStyle name="Normal 106 2 2 2" xfId="5135" xr:uid="{78D7A64D-C017-4C3F-A439-12D0F391AF2D}"/>
    <cellStyle name="Normal 106 2 2 2 2" xfId="8515" xr:uid="{8B1F488A-6C3F-4BC2-A80F-1DBAE06054B8}"/>
    <cellStyle name="Normal 106 2 2 3" xfId="6815" xr:uid="{A79B9D88-FED3-4C04-95C7-2F15391DCD20}"/>
    <cellStyle name="Normal 106 2 2_DEO ADIT Unprotected" xfId="2716" xr:uid="{FDF036E8-141C-4C19-9A9D-522D20382D8E}"/>
    <cellStyle name="Normal 106 2 3" xfId="4298" xr:uid="{B4907149-3EA1-402F-8905-2A8C57554A82}"/>
    <cellStyle name="Normal 106 2 3 2" xfId="7678" xr:uid="{F4996EB6-6C9C-4C66-A78F-E0AFA3DC68F2}"/>
    <cellStyle name="Normal 106 2 4" xfId="5977" xr:uid="{DC0ED591-5751-4BCC-BC4A-693F56D959E1}"/>
    <cellStyle name="Normal 106 2_DEO ADIT Unprotected" xfId="2715" xr:uid="{4A5A8DD0-79C4-4555-AC42-10C54996A01E}"/>
    <cellStyle name="Normal 106 3" xfId="1884" xr:uid="{00000000-0005-0000-0000-000030030000}"/>
    <cellStyle name="Normal 106 3 2" xfId="5134" xr:uid="{253C959B-F96B-42D2-B97B-B117F829B93C}"/>
    <cellStyle name="Normal 106 3 2 2" xfId="8514" xr:uid="{2A2CFFC9-582A-4631-B30E-D8006425C868}"/>
    <cellStyle name="Normal 106 3 3" xfId="6814" xr:uid="{7C5EBD4B-C5D3-4CC4-B390-21E4E898EE03}"/>
    <cellStyle name="Normal 106 3_DEO ADIT Unprotected" xfId="2717" xr:uid="{F7D7C8D9-10DA-4C0A-A241-43F82B0A145A}"/>
    <cellStyle name="Normal 106 4" xfId="4297" xr:uid="{EA50BFEC-098F-4447-BEB4-4D77C2FF6955}"/>
    <cellStyle name="Normal 106 4 2" xfId="7677" xr:uid="{9014137A-1A5F-4FEC-9283-6584BB605382}"/>
    <cellStyle name="Normal 106 5" xfId="5976" xr:uid="{82DAF01C-1710-45C1-8F5A-D25BDFC32958}"/>
    <cellStyle name="Normal 106_DEO ADIT Unprotected" xfId="2714" xr:uid="{6E22F6EE-64AE-4517-8337-6C34F3FCFA27}"/>
    <cellStyle name="Normal 107" xfId="918" xr:uid="{00000000-0005-0000-0000-000031030000}"/>
    <cellStyle name="Normal 107 2" xfId="919" xr:uid="{00000000-0005-0000-0000-000032030000}"/>
    <cellStyle name="Normal 107 2 2" xfId="1887" xr:uid="{00000000-0005-0000-0000-000033030000}"/>
    <cellStyle name="Normal 107 2 2 2" xfId="5137" xr:uid="{A069A695-2B5C-44C1-8AE6-CA46D7A25D59}"/>
    <cellStyle name="Normal 107 2 2 2 2" xfId="8517" xr:uid="{97639D1A-A105-4FEC-812D-0DBFC87870EA}"/>
    <cellStyle name="Normal 107 2 2 3" xfId="6817" xr:uid="{ABB8BCEF-918F-48B9-8E18-66D95BB9E76F}"/>
    <cellStyle name="Normal 107 2 2_DEO ADIT Unprotected" xfId="2720" xr:uid="{AE475A3E-2F76-4B17-BAA9-A22CA3640CD1}"/>
    <cellStyle name="Normal 107 2 3" xfId="4300" xr:uid="{6022A29C-EE43-4616-A681-67B5A7921FFE}"/>
    <cellStyle name="Normal 107 2 3 2" xfId="7680" xr:uid="{157D7449-37B9-4669-9A66-4835B22125EB}"/>
    <cellStyle name="Normal 107 2 4" xfId="5979" xr:uid="{7B9746BB-C60A-4158-9579-50EF674CEBF3}"/>
    <cellStyle name="Normal 107 2_DEO ADIT Unprotected" xfId="2719" xr:uid="{AC939C53-907C-4AA6-BF31-726A44752E58}"/>
    <cellStyle name="Normal 107 3" xfId="1886" xr:uid="{00000000-0005-0000-0000-000034030000}"/>
    <cellStyle name="Normal 107 3 2" xfId="5136" xr:uid="{F3B4B1D5-3554-4AB3-9570-6D4EB275306C}"/>
    <cellStyle name="Normal 107 3 2 2" xfId="8516" xr:uid="{4AD3CBB1-7553-478B-A798-1631AC09C715}"/>
    <cellStyle name="Normal 107 3 3" xfId="6816" xr:uid="{F07F25D5-152A-4FF3-BF7C-A761D1A05C57}"/>
    <cellStyle name="Normal 107 3_DEO ADIT Unprotected" xfId="2721" xr:uid="{CE2F0597-708D-486D-BFA2-DFF76960D99A}"/>
    <cellStyle name="Normal 107 4" xfId="4299" xr:uid="{1E2FD253-09E3-4E60-A20F-CAB81191331C}"/>
    <cellStyle name="Normal 107 4 2" xfId="7679" xr:uid="{F5402ACE-140D-4118-A567-DB27B92DD5A7}"/>
    <cellStyle name="Normal 107 5" xfId="5978" xr:uid="{CFC43939-C3A2-41C0-975C-735737B101E3}"/>
    <cellStyle name="Normal 107_DEO ADIT Unprotected" xfId="2718" xr:uid="{BDE8247B-6415-4729-BF36-CC9FFEEE963A}"/>
    <cellStyle name="Normal 108" xfId="920" xr:uid="{00000000-0005-0000-0000-000035030000}"/>
    <cellStyle name="Normal 108 2" xfId="921" xr:uid="{00000000-0005-0000-0000-000036030000}"/>
    <cellStyle name="Normal 108 2 2" xfId="1889" xr:uid="{00000000-0005-0000-0000-000037030000}"/>
    <cellStyle name="Normal 108 2 2 2" xfId="5139" xr:uid="{9D015AD4-2777-4C6B-AEB4-00816A87D7ED}"/>
    <cellStyle name="Normal 108 2 2 2 2" xfId="8519" xr:uid="{B2E6CCD0-D906-478D-93F2-2EF458B4625D}"/>
    <cellStyle name="Normal 108 2 2 3" xfId="6819" xr:uid="{AF6F045D-F1CB-4950-879F-04ADC19E230D}"/>
    <cellStyle name="Normal 108 2 2_DEO ADIT Unprotected" xfId="2724" xr:uid="{7959907B-801D-402D-9BD4-59102D8B904C}"/>
    <cellStyle name="Normal 108 2 3" xfId="4302" xr:uid="{D6A28EF4-8AC1-4BA0-84CD-C41E47EA9797}"/>
    <cellStyle name="Normal 108 2 3 2" xfId="7682" xr:uid="{E3655EB8-65B5-4C5D-BC59-6C02CF77A703}"/>
    <cellStyle name="Normal 108 2 4" xfId="5981" xr:uid="{59E5D9D3-1F30-4289-B687-E4097FEEF60A}"/>
    <cellStyle name="Normal 108 2_DEO ADIT Unprotected" xfId="2723" xr:uid="{4D891127-ADA3-4161-B28C-0C25789861DC}"/>
    <cellStyle name="Normal 108 3" xfId="1888" xr:uid="{00000000-0005-0000-0000-000038030000}"/>
    <cellStyle name="Normal 108 3 2" xfId="5138" xr:uid="{F08A9CB5-EE3A-4EA4-A68B-88D1FF00E8F9}"/>
    <cellStyle name="Normal 108 3 2 2" xfId="8518" xr:uid="{012E4933-BE92-4BAD-A775-4D98968A7C07}"/>
    <cellStyle name="Normal 108 3 3" xfId="6818" xr:uid="{F35132FA-E679-43B2-9BB7-4B7914789B54}"/>
    <cellStyle name="Normal 108 3_DEO ADIT Unprotected" xfId="2725" xr:uid="{526CA470-869D-4885-9D99-38B366E1C312}"/>
    <cellStyle name="Normal 108 4" xfId="4301" xr:uid="{576B1C91-967C-45DA-AEF1-FC10FCC5CD3D}"/>
    <cellStyle name="Normal 108 4 2" xfId="7681" xr:uid="{BC976F81-5DE4-4452-961E-2DE5AACAFC81}"/>
    <cellStyle name="Normal 108 5" xfId="5980" xr:uid="{C39AA32F-C84B-4B41-A2E1-0ED6318B9A3C}"/>
    <cellStyle name="Normal 108_DEO ADIT Unprotected" xfId="2722" xr:uid="{BD857B79-0700-4790-A4B3-1D88352DC8A0}"/>
    <cellStyle name="Normal 109" xfId="922" xr:uid="{00000000-0005-0000-0000-000039030000}"/>
    <cellStyle name="Normal 109 2" xfId="923" xr:uid="{00000000-0005-0000-0000-00003A030000}"/>
    <cellStyle name="Normal 109 2 2" xfId="1891" xr:uid="{00000000-0005-0000-0000-00003B030000}"/>
    <cellStyle name="Normal 109 2 2 2" xfId="5141" xr:uid="{A7E8EA8A-26D4-4C95-9C02-E4F15FF1C5FB}"/>
    <cellStyle name="Normal 109 2 2 2 2" xfId="8521" xr:uid="{EACE0891-ED50-43A9-A466-3B75E6D596C9}"/>
    <cellStyle name="Normal 109 2 2 3" xfId="6821" xr:uid="{C075D9B3-A662-4D5A-855F-268E1FC28DB2}"/>
    <cellStyle name="Normal 109 2 2_DEO ADIT Unprotected" xfId="2728" xr:uid="{F3334009-0CB8-4504-B28E-1D2FD412A496}"/>
    <cellStyle name="Normal 109 2 3" xfId="4304" xr:uid="{E466A6DE-3252-46E5-8399-890A457933DF}"/>
    <cellStyle name="Normal 109 2 3 2" xfId="7684" xr:uid="{D346875B-6B9A-45F6-99F1-E4AB0ABC6415}"/>
    <cellStyle name="Normal 109 2 4" xfId="5983" xr:uid="{B57DB4B8-FF95-424E-9F2B-AFADFCCDBE63}"/>
    <cellStyle name="Normal 109 2_DEO ADIT Unprotected" xfId="2727" xr:uid="{AED2C25C-E747-4453-AAE8-FA2117484E96}"/>
    <cellStyle name="Normal 109 3" xfId="1890" xr:uid="{00000000-0005-0000-0000-00003C030000}"/>
    <cellStyle name="Normal 109 3 2" xfId="5140" xr:uid="{583B8C07-984B-4950-952F-F69C81369DBC}"/>
    <cellStyle name="Normal 109 3 2 2" xfId="8520" xr:uid="{17322511-A257-41C2-8871-A87E04848EA3}"/>
    <cellStyle name="Normal 109 3 3" xfId="6820" xr:uid="{FCA00B44-7B97-4560-B9D5-1306373C9BA2}"/>
    <cellStyle name="Normal 109 3_DEO ADIT Unprotected" xfId="2729" xr:uid="{96244C2D-CFC1-4B8E-AAF8-3C3ABCB1E5A7}"/>
    <cellStyle name="Normal 109 4" xfId="4303" xr:uid="{4FE84272-6DB7-442F-8860-A3F9AC23112C}"/>
    <cellStyle name="Normal 109 4 2" xfId="7683" xr:uid="{45614189-6D1A-45FA-8194-0BECC7CBDC59}"/>
    <cellStyle name="Normal 109 5" xfId="5982" xr:uid="{1A346383-AF98-4C94-853A-3E2B8C454416}"/>
    <cellStyle name="Normal 109_DEO ADIT Unprotected" xfId="2726" xr:uid="{0E8660EA-B6C2-4D1C-B9CF-C2285BC74E14}"/>
    <cellStyle name="Normal 11" xfId="341" xr:uid="{00000000-0005-0000-0000-00003D030000}"/>
    <cellStyle name="Normal 11 10" xfId="7396" xr:uid="{915A4DAA-4C07-471A-B191-F9E94806F17B}"/>
    <cellStyle name="Normal 11 2" xfId="924" xr:uid="{00000000-0005-0000-0000-00003E030000}"/>
    <cellStyle name="Normal 11 2 2" xfId="925" xr:uid="{00000000-0005-0000-0000-00003F030000}"/>
    <cellStyle name="Normal 11 2 2 2" xfId="926" xr:uid="{00000000-0005-0000-0000-000040030000}"/>
    <cellStyle name="Normal 11 2 2 2 2" xfId="1893" xr:uid="{00000000-0005-0000-0000-000041030000}"/>
    <cellStyle name="Normal 11 2 2 2 2 2" xfId="5143" xr:uid="{1267D558-AB9C-4173-8D3E-4AD4B7E6528E}"/>
    <cellStyle name="Normal 11 2 2 2 2 2 2" xfId="8523" xr:uid="{93A8FE50-4CA7-46AE-97E6-7BDA5B4D61F9}"/>
    <cellStyle name="Normal 11 2 2 2 2 3" xfId="6823" xr:uid="{D72B361E-110A-4368-B802-0898BAF74621}"/>
    <cellStyle name="Normal 11 2 2 2 2_DEO ADIT Unprotected" xfId="2733" xr:uid="{665D2301-4AC1-4108-A345-E6A364B578B0}"/>
    <cellStyle name="Normal 11 2 2 2 3" xfId="4306" xr:uid="{40D7EC91-2C8D-4C5A-8645-67DD0E2E8FE5}"/>
    <cellStyle name="Normal 11 2 2 2 3 2" xfId="7686" xr:uid="{BF5ECA05-5F43-49D3-9C60-362D89CE2989}"/>
    <cellStyle name="Normal 11 2 2 2 4" xfId="5985" xr:uid="{05C12A29-409D-479F-9A43-D283EE2720C1}"/>
    <cellStyle name="Normal 11 2 2 2_DEO ADIT Unprotected" xfId="2732" xr:uid="{471CEC2C-ACDF-4C4D-8A86-765647E2A5F8}"/>
    <cellStyle name="Normal 11 2 2 3" xfId="1892" xr:uid="{00000000-0005-0000-0000-000042030000}"/>
    <cellStyle name="Normal 11 2 2 3 2" xfId="5142" xr:uid="{A3FB8428-DDB3-4FDB-A9BE-ECFBA9005A0F}"/>
    <cellStyle name="Normal 11 2 2 3 2 2" xfId="8522" xr:uid="{3515CA18-DABE-48E9-B988-A48AACD4C925}"/>
    <cellStyle name="Normal 11 2 2 3 3" xfId="6822" xr:uid="{731B6F2D-73BC-4BF9-A557-AB195718810C}"/>
    <cellStyle name="Normal 11 2 2 3_DEO ADIT Unprotected" xfId="2734" xr:uid="{1B1CCBCA-3B0D-4142-BE97-F51DACF9EA70}"/>
    <cellStyle name="Normal 11 2 2 4" xfId="4305" xr:uid="{15D35828-AA86-46E9-8CF8-26AC28E4F841}"/>
    <cellStyle name="Normal 11 2 2 4 2" xfId="7685" xr:uid="{1C457CFA-48C3-4349-B3DE-CB07C47CAD17}"/>
    <cellStyle name="Normal 11 2 2 5" xfId="5984" xr:uid="{CC69AEE9-523D-4888-8B53-99197F9DBFBB}"/>
    <cellStyle name="Normal 11 2 2_DEO ADIT Unprotected" xfId="2731" xr:uid="{EAAB7548-6D5A-4A4C-A139-F2EAFFF67D97}"/>
    <cellStyle name="Normal 11 3" xfId="927" xr:uid="{00000000-0005-0000-0000-000043030000}"/>
    <cellStyle name="Normal 11 4" xfId="928" xr:uid="{00000000-0005-0000-0000-000044030000}"/>
    <cellStyle name="Normal 11 4 2" xfId="1894" xr:uid="{00000000-0005-0000-0000-000045030000}"/>
    <cellStyle name="Normal 11 4 2 2" xfId="5144" xr:uid="{88D30E1C-C8CF-4DC7-88EA-1B16C59C7011}"/>
    <cellStyle name="Normal 11 4 2 2 2" xfId="8524" xr:uid="{AD519734-1D1E-4DC0-84B0-026124969366}"/>
    <cellStyle name="Normal 11 4 2 3" xfId="6824" xr:uid="{0B1549F5-47BB-4241-9E42-13C3FF62094C}"/>
    <cellStyle name="Normal 11 4 2_DEO ADIT Unprotected" xfId="2736" xr:uid="{F4E8B09B-2ABC-427F-8323-B0AE68F69C54}"/>
    <cellStyle name="Normal 11 4 3" xfId="4307" xr:uid="{D5BF127D-CEE7-46DC-BECC-214134CA3965}"/>
    <cellStyle name="Normal 11 4 3 2" xfId="7687" xr:uid="{22ECCEEA-3291-4AD8-97A6-58B79F363D0E}"/>
    <cellStyle name="Normal 11 4 4" xfId="5986" xr:uid="{F471CB87-AA85-44E8-8F11-17BB4B3B1D04}"/>
    <cellStyle name="Normal 11 4_DEO ADIT Unprotected" xfId="2735" xr:uid="{858D901D-D517-443A-BA1F-62B74D26B409}"/>
    <cellStyle name="Normal 11 5" xfId="929" xr:uid="{00000000-0005-0000-0000-000046030000}"/>
    <cellStyle name="Normal 11 5 2" xfId="930" xr:uid="{00000000-0005-0000-0000-000047030000}"/>
    <cellStyle name="Normal 11 5 2 2" xfId="1896" xr:uid="{00000000-0005-0000-0000-000048030000}"/>
    <cellStyle name="Normal 11 5 2 2 2" xfId="5146" xr:uid="{6EF603A2-0C96-447A-8EEB-9C058597DB1B}"/>
    <cellStyle name="Normal 11 5 2 2 2 2" xfId="8526" xr:uid="{26FE1371-12DF-4F36-AFA0-661F9746FD42}"/>
    <cellStyle name="Normal 11 5 2 2 3" xfId="6826" xr:uid="{EC53C5B0-7EAF-42BE-9DB2-486A8B8B0D53}"/>
    <cellStyle name="Normal 11 5 2 2_DEO ADIT Unprotected" xfId="2739" xr:uid="{5DE620A9-A8A1-492E-A322-BEAD0DCEB0E3}"/>
    <cellStyle name="Normal 11 5 2 3" xfId="4309" xr:uid="{7004DA03-B259-4491-904C-2A1AF3FB2083}"/>
    <cellStyle name="Normal 11 5 2 3 2" xfId="7689" xr:uid="{882377AB-5735-4F8F-96F8-CAD5ED63CDED}"/>
    <cellStyle name="Normal 11 5 2 4" xfId="5988" xr:uid="{965F6111-47A5-46BA-8720-567C89136DF1}"/>
    <cellStyle name="Normal 11 5 2_DEO ADIT Unprotected" xfId="2738" xr:uid="{C9400F31-652E-4EE8-A6D6-D0A19C98E707}"/>
    <cellStyle name="Normal 11 5 3" xfId="1895" xr:uid="{00000000-0005-0000-0000-000049030000}"/>
    <cellStyle name="Normal 11 5 3 2" xfId="5145" xr:uid="{9993347B-282D-4A53-B18A-62354F7ADBDB}"/>
    <cellStyle name="Normal 11 5 3 2 2" xfId="8525" xr:uid="{94A49084-D145-4614-B4B1-15C1661971B7}"/>
    <cellStyle name="Normal 11 5 3 3" xfId="6825" xr:uid="{9AA0CD44-1B2C-4CC7-BA80-1541FE1B5CD0}"/>
    <cellStyle name="Normal 11 5 3_DEO ADIT Unprotected" xfId="2740" xr:uid="{5DBED4EB-AA8C-4E37-8C0D-2DB028C3FBD7}"/>
    <cellStyle name="Normal 11 5 4" xfId="4308" xr:uid="{345D62FD-0ECC-44CC-8D98-45BBECB07730}"/>
    <cellStyle name="Normal 11 5 4 2" xfId="7688" xr:uid="{53725DEB-6662-4507-9187-19EA6AAA1861}"/>
    <cellStyle name="Normal 11 5 5" xfId="5987" xr:uid="{04BB6CBF-B38E-430D-B40C-E4E61BD6EA5B}"/>
    <cellStyle name="Normal 11 5_DEO ADIT Unprotected" xfId="2737" xr:uid="{F2C81209-606B-4E65-9628-860A0A8B8E22}"/>
    <cellStyle name="Normal 11 6" xfId="1630" xr:uid="{00000000-0005-0000-0000-00004A030000}"/>
    <cellStyle name="Normal 11 6 2" xfId="4880" xr:uid="{B91B19FC-1F51-4821-B948-2AE5CE011EBD}"/>
    <cellStyle name="Normal 11 6 2 2" xfId="8260" xr:uid="{D849EADA-63B4-4473-89F0-AB037B914E30}"/>
    <cellStyle name="Normal 11 6 3" xfId="6560" xr:uid="{1039ADE0-40CF-43DA-A15F-87D1512336DD}"/>
    <cellStyle name="Normal 11 6_DEO ADIT Unprotected" xfId="2741" xr:uid="{36096999-0EA9-4FFB-897A-69109AC4CC93}"/>
    <cellStyle name="Normal 11 7" xfId="4043" xr:uid="{CA15B3E4-3A0C-4734-8CAD-16DFE97D7AF3}"/>
    <cellStyle name="Normal 11 7 2" xfId="7423" xr:uid="{F2408919-A59F-417C-8530-9D0326872890}"/>
    <cellStyle name="Normal 11 8" xfId="5720" xr:uid="{3DFEA3F1-AC5D-48FC-82BA-C5439E314387}"/>
    <cellStyle name="Normal 11 9" xfId="7415" xr:uid="{72A7FFE5-3810-46DE-8EC5-5B46BCD811FD}"/>
    <cellStyle name="Normal 11_DEO ADIT Unprotected" xfId="2730" xr:uid="{0E431CCF-3547-464F-AD47-36AE7C3F014D}"/>
    <cellStyle name="Normal 110" xfId="931" xr:uid="{00000000-0005-0000-0000-00004B030000}"/>
    <cellStyle name="Normal 110 2" xfId="932" xr:uid="{00000000-0005-0000-0000-00004C030000}"/>
    <cellStyle name="Normal 110 2 2" xfId="1898" xr:uid="{00000000-0005-0000-0000-00004D030000}"/>
    <cellStyle name="Normal 110 2 2 2" xfId="5148" xr:uid="{6B087675-34BE-4832-B641-21133CC5F3FC}"/>
    <cellStyle name="Normal 110 2 2 2 2" xfId="8528" xr:uid="{CBD879B6-BACC-4F7C-A187-22F5D405C9D3}"/>
    <cellStyle name="Normal 110 2 2 3" xfId="6828" xr:uid="{125CBB6F-B5CD-495A-80C8-A29CCA88762C}"/>
    <cellStyle name="Normal 110 2 2_DEO ADIT Unprotected" xfId="2744" xr:uid="{535FE707-0FBC-464F-AE07-2827E8A5228A}"/>
    <cellStyle name="Normal 110 2 3" xfId="4311" xr:uid="{6CF13792-88A4-4CB4-8852-14D62746F3A7}"/>
    <cellStyle name="Normal 110 2 3 2" xfId="7691" xr:uid="{C31F213F-99C5-48D8-A2E2-3175DAABB3F6}"/>
    <cellStyle name="Normal 110 2 4" xfId="5990" xr:uid="{281D7B4A-9F98-4EBC-9E1B-4BF0F4B69529}"/>
    <cellStyle name="Normal 110 2_DEO ADIT Unprotected" xfId="2743" xr:uid="{2C187D7D-7DEB-4E67-89AB-8C9811AD5303}"/>
    <cellStyle name="Normal 110 3" xfId="1897" xr:uid="{00000000-0005-0000-0000-00004E030000}"/>
    <cellStyle name="Normal 110 3 2" xfId="5147" xr:uid="{7C056A57-D8B3-46AE-A1D8-95DB2929B864}"/>
    <cellStyle name="Normal 110 3 2 2" xfId="8527" xr:uid="{5BDFB362-984B-4ADF-811D-EEE8EC9A7C07}"/>
    <cellStyle name="Normal 110 3 3" xfId="6827" xr:uid="{F4D99ACB-CB0C-475C-A69D-9A81637C9C2B}"/>
    <cellStyle name="Normal 110 3_DEO ADIT Unprotected" xfId="2745" xr:uid="{E588ACEC-CCD7-4419-B7BF-53F1BC50C6F0}"/>
    <cellStyle name="Normal 110 4" xfId="4310" xr:uid="{EF0F8642-B2D7-4CF1-8C86-8D45BA8EE67A}"/>
    <cellStyle name="Normal 110 4 2" xfId="7690" xr:uid="{C1C48E84-3129-4D15-A2AD-F0BE5A3C300C}"/>
    <cellStyle name="Normal 110 5" xfId="5989" xr:uid="{FD492695-520B-43C2-A55F-7851D2DC372F}"/>
    <cellStyle name="Normal 110_DEO ADIT Unprotected" xfId="2742" xr:uid="{F1F9DFC1-3B5A-4017-A3F1-785A09FBEE5E}"/>
    <cellStyle name="Normal 111" xfId="933" xr:uid="{00000000-0005-0000-0000-00004F030000}"/>
    <cellStyle name="Normal 111 2" xfId="934" xr:uid="{00000000-0005-0000-0000-000050030000}"/>
    <cellStyle name="Normal 111 2 2" xfId="1900" xr:uid="{00000000-0005-0000-0000-000051030000}"/>
    <cellStyle name="Normal 111 2 2 2" xfId="5150" xr:uid="{A4EDE09C-0386-4F54-8AE6-238B2CC946C4}"/>
    <cellStyle name="Normal 111 2 2 2 2" xfId="8530" xr:uid="{4BF3050D-968F-42AE-8607-D048147293F7}"/>
    <cellStyle name="Normal 111 2 2 3" xfId="6830" xr:uid="{366548B4-9DBF-4053-8CFC-8274565D4D71}"/>
    <cellStyle name="Normal 111 2 2_DEO ADIT Unprotected" xfId="2748" xr:uid="{A5A89069-4F23-4F06-97A8-EF742DF3949D}"/>
    <cellStyle name="Normal 111 2 3" xfId="4313" xr:uid="{CDEB8C02-5031-4F62-B654-DD60FBAD0130}"/>
    <cellStyle name="Normal 111 2 3 2" xfId="7693" xr:uid="{9C5F2D6D-E7F1-476E-89DD-EFA9B2EC7A21}"/>
    <cellStyle name="Normal 111 2 4" xfId="5992" xr:uid="{4207478D-2D38-4D0A-85B6-9101241ADDAE}"/>
    <cellStyle name="Normal 111 2_DEO ADIT Unprotected" xfId="2747" xr:uid="{378870D7-4A59-4749-8B94-851D33DA2CB4}"/>
    <cellStyle name="Normal 111 3" xfId="1899" xr:uid="{00000000-0005-0000-0000-000052030000}"/>
    <cellStyle name="Normal 111 3 2" xfId="5149" xr:uid="{E7794FC2-065D-4A71-9AD4-4C6A7FA03EC3}"/>
    <cellStyle name="Normal 111 3 2 2" xfId="8529" xr:uid="{70E7A9A8-CE23-43A5-A8F5-4641DFE7A907}"/>
    <cellStyle name="Normal 111 3 3" xfId="6829" xr:uid="{0232C1B3-B086-40FA-BE9E-C2449FAFE72D}"/>
    <cellStyle name="Normal 111 3_DEO ADIT Unprotected" xfId="2749" xr:uid="{4194446D-4A6F-4D02-B8FB-7E6757B50D23}"/>
    <cellStyle name="Normal 111 4" xfId="4312" xr:uid="{B7903116-9D61-4240-A850-6754E535D343}"/>
    <cellStyle name="Normal 111 4 2" xfId="7692" xr:uid="{0B40E754-AB29-4AE9-A1E3-061EECE038B8}"/>
    <cellStyle name="Normal 111 5" xfId="5991" xr:uid="{E512E8F4-3C2A-4E50-9C95-74BD3C3BE1B7}"/>
    <cellStyle name="Normal 111_DEO ADIT Unprotected" xfId="2746" xr:uid="{8BA19778-D455-492E-B95E-A353090859F6}"/>
    <cellStyle name="Normal 112" xfId="935" xr:uid="{00000000-0005-0000-0000-000053030000}"/>
    <cellStyle name="Normal 112 2" xfId="936" xr:uid="{00000000-0005-0000-0000-000054030000}"/>
    <cellStyle name="Normal 112 2 2" xfId="1902" xr:uid="{00000000-0005-0000-0000-000055030000}"/>
    <cellStyle name="Normal 112 2 2 2" xfId="5152" xr:uid="{2C5CB67D-CA49-4077-BF14-243398F841EA}"/>
    <cellStyle name="Normal 112 2 2 2 2" xfId="8532" xr:uid="{7BC02E08-FB0A-42C4-88FC-03FEA20C8EA9}"/>
    <cellStyle name="Normal 112 2 2 3" xfId="6832" xr:uid="{21B5EBFC-D904-436C-A8BF-218E9E3ECB0B}"/>
    <cellStyle name="Normal 112 2 2_DEO ADIT Unprotected" xfId="2752" xr:uid="{937309D5-A9EC-494C-B267-99B1CF00911E}"/>
    <cellStyle name="Normal 112 2 3" xfId="4315" xr:uid="{055DACB6-8255-4D20-A227-37FB702B1EFB}"/>
    <cellStyle name="Normal 112 2 3 2" xfId="7695" xr:uid="{65A360CC-DE75-45CB-987B-9E9DEFB2A75E}"/>
    <cellStyle name="Normal 112 2 4" xfId="5994" xr:uid="{575BC7E1-E459-44F4-9FCA-8614312B9305}"/>
    <cellStyle name="Normal 112 2_DEO ADIT Unprotected" xfId="2751" xr:uid="{60522F5C-DC09-49DE-BA85-9A53B1D41A3F}"/>
    <cellStyle name="Normal 112 3" xfId="1901" xr:uid="{00000000-0005-0000-0000-000056030000}"/>
    <cellStyle name="Normal 112 3 2" xfId="5151" xr:uid="{DA09EBE5-8CD5-483C-9938-53F63C65B980}"/>
    <cellStyle name="Normal 112 3 2 2" xfId="8531" xr:uid="{D1652EF6-1D53-41C8-9AEA-AA310AA181E3}"/>
    <cellStyle name="Normal 112 3 3" xfId="6831" xr:uid="{1A58E3B5-B7C1-49EC-A3D9-31E11E46C940}"/>
    <cellStyle name="Normal 112 3_DEO ADIT Unprotected" xfId="2753" xr:uid="{EE836DB6-B734-4D30-A26F-5A3D69C15B50}"/>
    <cellStyle name="Normal 112 4" xfId="4314" xr:uid="{9406588C-C7CC-49B3-B559-554796241979}"/>
    <cellStyle name="Normal 112 4 2" xfId="7694" xr:uid="{468E7DD5-5ED4-4A7C-A6D2-47607EFA395A}"/>
    <cellStyle name="Normal 112 5" xfId="5993" xr:uid="{62FFA5A0-C9EF-421F-847A-F2E438382320}"/>
    <cellStyle name="Normal 112_DEO ADIT Unprotected" xfId="2750" xr:uid="{D99CFC13-D6A4-4B92-9F43-BC9BED76BEC6}"/>
    <cellStyle name="Normal 113" xfId="937" xr:uid="{00000000-0005-0000-0000-000057030000}"/>
    <cellStyle name="Normal 113 2" xfId="938" xr:uid="{00000000-0005-0000-0000-000058030000}"/>
    <cellStyle name="Normal 113 2 2" xfId="1904" xr:uid="{00000000-0005-0000-0000-000059030000}"/>
    <cellStyle name="Normal 113 2 2 2" xfId="5154" xr:uid="{8126B552-7D7F-457B-92D0-29C7CE9734BE}"/>
    <cellStyle name="Normal 113 2 2 2 2" xfId="8534" xr:uid="{4585FF11-8CF7-4DF0-9512-DD9C6B92AAED}"/>
    <cellStyle name="Normal 113 2 2 3" xfId="6834" xr:uid="{B7D633C6-E757-4089-9CE7-26FD71FA8659}"/>
    <cellStyle name="Normal 113 2 2_DEO ADIT Unprotected" xfId="2756" xr:uid="{7867EFC7-2ECA-4A1A-862F-26C9D6F1C2E7}"/>
    <cellStyle name="Normal 113 2 3" xfId="4317" xr:uid="{38B42A8D-8917-4463-AE7B-0C62430F39F6}"/>
    <cellStyle name="Normal 113 2 3 2" xfId="7697" xr:uid="{9825814E-EFE1-4FC3-837D-74D614E7FC15}"/>
    <cellStyle name="Normal 113 2 4" xfId="5996" xr:uid="{B3A8D144-EE15-4E87-9FCC-03073CDE8843}"/>
    <cellStyle name="Normal 113 2_DEO ADIT Unprotected" xfId="2755" xr:uid="{7E4F78D2-5A36-4CFA-A0B5-142F7D50F9DB}"/>
    <cellStyle name="Normal 113 3" xfId="1903" xr:uid="{00000000-0005-0000-0000-00005A030000}"/>
    <cellStyle name="Normal 113 3 2" xfId="5153" xr:uid="{2064BBFA-ED52-474B-8819-4F168C6C105F}"/>
    <cellStyle name="Normal 113 3 2 2" xfId="8533" xr:uid="{017A3A77-B38B-446A-A28F-4E5E2CDB7111}"/>
    <cellStyle name="Normal 113 3 3" xfId="6833" xr:uid="{10306376-5AC9-4098-9709-8443CFF7D321}"/>
    <cellStyle name="Normal 113 3_DEO ADIT Unprotected" xfId="2757" xr:uid="{57CFA2B0-7E05-44B5-B783-8965BF65A30A}"/>
    <cellStyle name="Normal 113 4" xfId="4316" xr:uid="{ED04733B-C2B9-4232-8E94-2F6832918F1D}"/>
    <cellStyle name="Normal 113 4 2" xfId="7696" xr:uid="{120CA6FE-985B-478D-9A53-15F0E77CB068}"/>
    <cellStyle name="Normal 113 5" xfId="5995" xr:uid="{6EE34E9C-369F-4C57-90C9-7576567BD20D}"/>
    <cellStyle name="Normal 113_DEO ADIT Unprotected" xfId="2754" xr:uid="{269D9B8F-9DF3-4939-A139-6DCE5CF4EA6D}"/>
    <cellStyle name="Normal 114" xfId="939" xr:uid="{00000000-0005-0000-0000-00005B030000}"/>
    <cellStyle name="Normal 114 2" xfId="940" xr:uid="{00000000-0005-0000-0000-00005C030000}"/>
    <cellStyle name="Normal 114 2 2" xfId="1906" xr:uid="{00000000-0005-0000-0000-00005D030000}"/>
    <cellStyle name="Normal 114 2 2 2" xfId="5156" xr:uid="{EB4A7326-5B85-4FE5-AC9F-AB875B9981A7}"/>
    <cellStyle name="Normal 114 2 2 2 2" xfId="8536" xr:uid="{50A4E46F-4319-46A5-89E8-D422A9D34984}"/>
    <cellStyle name="Normal 114 2 2 3" xfId="6836" xr:uid="{354FB2EF-3CA3-435F-BFEE-B775642A163C}"/>
    <cellStyle name="Normal 114 2 2_DEO ADIT Unprotected" xfId="2760" xr:uid="{0B5E98DC-26CB-4057-AEE5-1165BD877C5C}"/>
    <cellStyle name="Normal 114 2 3" xfId="4319" xr:uid="{B07A59B1-80E6-48C5-BB9D-B4CEAAC6975E}"/>
    <cellStyle name="Normal 114 2 3 2" xfId="7699" xr:uid="{4CFD03BF-82CD-4C2F-90EC-0620D499D5A8}"/>
    <cellStyle name="Normal 114 2 4" xfId="5998" xr:uid="{1CD44C57-C820-490A-93BF-FD8B9B6554A8}"/>
    <cellStyle name="Normal 114 2_DEO ADIT Unprotected" xfId="2759" xr:uid="{FE1ACB5D-F4E0-403E-B421-D36464C9FC2B}"/>
    <cellStyle name="Normal 114 3" xfId="1905" xr:uid="{00000000-0005-0000-0000-00005E030000}"/>
    <cellStyle name="Normal 114 3 2" xfId="5155" xr:uid="{6034C353-AAA6-4D6E-9CD1-6E266AB9CA72}"/>
    <cellStyle name="Normal 114 3 2 2" xfId="8535" xr:uid="{11A06080-DABD-435E-91ED-24E52E67E6A2}"/>
    <cellStyle name="Normal 114 3 3" xfId="6835" xr:uid="{9061F561-24C2-44C9-9575-0420D8807796}"/>
    <cellStyle name="Normal 114 3_DEO ADIT Unprotected" xfId="2761" xr:uid="{EA1973F1-FB59-4694-878A-0609BDFF61BA}"/>
    <cellStyle name="Normal 114 4" xfId="4318" xr:uid="{7F43EE4F-CBA7-4848-8D34-2F30179AEEBF}"/>
    <cellStyle name="Normal 114 4 2" xfId="7698" xr:uid="{0BC6110A-1447-486E-B817-3C3DE33A9F96}"/>
    <cellStyle name="Normal 114 5" xfId="5997" xr:uid="{D539852F-BD9E-4ABA-BC30-5523B71F766A}"/>
    <cellStyle name="Normal 114_DEO ADIT Unprotected" xfId="2758" xr:uid="{3163940E-4AD2-4777-A612-A971974B5BB2}"/>
    <cellStyle name="Normal 115" xfId="941" xr:uid="{00000000-0005-0000-0000-00005F030000}"/>
    <cellStyle name="Normal 115 2" xfId="942" xr:uid="{00000000-0005-0000-0000-000060030000}"/>
    <cellStyle name="Normal 115 2 2" xfId="1908" xr:uid="{00000000-0005-0000-0000-000061030000}"/>
    <cellStyle name="Normal 115 2 2 2" xfId="5158" xr:uid="{F962FFFF-F346-4ECD-AD7B-DEF8C151B11A}"/>
    <cellStyle name="Normal 115 2 2 2 2" xfId="8538" xr:uid="{88ABBED3-3E4D-4815-8428-2F22BF66E126}"/>
    <cellStyle name="Normal 115 2 2 3" xfId="6838" xr:uid="{11B5B648-A644-4071-A0B4-C9328996F857}"/>
    <cellStyle name="Normal 115 2 2_DEO ADIT Unprotected" xfId="2764" xr:uid="{7B7D8188-9BB2-4745-97F4-9D469B9D1378}"/>
    <cellStyle name="Normal 115 2 3" xfId="4321" xr:uid="{CC540E70-601B-45E3-90FD-32EC7A507D61}"/>
    <cellStyle name="Normal 115 2 3 2" xfId="7701" xr:uid="{E501B575-F53B-4195-A636-246F3A74C02E}"/>
    <cellStyle name="Normal 115 2 4" xfId="6000" xr:uid="{1A6CFF8A-2243-40D4-94E3-67DA116AF4E4}"/>
    <cellStyle name="Normal 115 2_DEO ADIT Unprotected" xfId="2763" xr:uid="{D3A90A33-65FF-4B50-9E99-B4D99473A4EE}"/>
    <cellStyle name="Normal 115 3" xfId="1907" xr:uid="{00000000-0005-0000-0000-000062030000}"/>
    <cellStyle name="Normal 115 3 2" xfId="5157" xr:uid="{49C7BAA4-2F3F-4A31-A473-FE82875FC947}"/>
    <cellStyle name="Normal 115 3 2 2" xfId="8537" xr:uid="{B6B0A1EB-1139-4193-BA0F-821CFCA7EB6D}"/>
    <cellStyle name="Normal 115 3 3" xfId="6837" xr:uid="{DE429CD7-3A79-4EED-9D5B-F7511069EEC0}"/>
    <cellStyle name="Normal 115 3_DEO ADIT Unprotected" xfId="2765" xr:uid="{796FEC5D-690F-4F9C-99F3-11443C842D29}"/>
    <cellStyle name="Normal 115 4" xfId="4320" xr:uid="{EA931F6B-CABC-46D0-9083-F85C34C61006}"/>
    <cellStyle name="Normal 115 4 2" xfId="7700" xr:uid="{3E60FEFC-99C5-490D-8D6D-6F28C54F0B92}"/>
    <cellStyle name="Normal 115 5" xfId="5999" xr:uid="{74B8E884-26DB-45CC-AB2E-710A84DBCE76}"/>
    <cellStyle name="Normal 115_DEO ADIT Unprotected" xfId="2762" xr:uid="{6D98A2E5-9A0D-47FD-A294-29B7BAA0A9F3}"/>
    <cellStyle name="Normal 116" xfId="943" xr:uid="{00000000-0005-0000-0000-000063030000}"/>
    <cellStyle name="Normal 116 2" xfId="944" xr:uid="{00000000-0005-0000-0000-000064030000}"/>
    <cellStyle name="Normal 116 2 2" xfId="1910" xr:uid="{00000000-0005-0000-0000-000065030000}"/>
    <cellStyle name="Normal 116 2 2 2" xfId="5160" xr:uid="{C987CEF9-BA34-4C94-9B65-61AECCF15443}"/>
    <cellStyle name="Normal 116 2 2 2 2" xfId="8540" xr:uid="{7CDF3F47-76FA-4731-A1A8-B3942DAF73AD}"/>
    <cellStyle name="Normal 116 2 2 3" xfId="6840" xr:uid="{626AC3D7-4870-480F-8B32-2F6D281EA361}"/>
    <cellStyle name="Normal 116 2 2_DEO ADIT Unprotected" xfId="2768" xr:uid="{57401641-4D1A-4502-91AD-D584152C9849}"/>
    <cellStyle name="Normal 116 2 3" xfId="4323" xr:uid="{E2BFDA48-09DF-4081-A64B-EDDADD2A0BF7}"/>
    <cellStyle name="Normal 116 2 3 2" xfId="7703" xr:uid="{8C290FB3-2346-4B6D-9659-9A61B197119A}"/>
    <cellStyle name="Normal 116 2 4" xfId="6002" xr:uid="{20971565-7824-4B63-BE84-DDB45FD24860}"/>
    <cellStyle name="Normal 116 2_DEO ADIT Unprotected" xfId="2767" xr:uid="{5DCB8AEC-73DC-4337-8797-5C2296D539EF}"/>
    <cellStyle name="Normal 116 3" xfId="1909" xr:uid="{00000000-0005-0000-0000-000066030000}"/>
    <cellStyle name="Normal 116 3 2" xfId="5159" xr:uid="{DB36E407-A825-458C-B39F-4C9E09BBFE84}"/>
    <cellStyle name="Normal 116 3 2 2" xfId="8539" xr:uid="{29479F8B-9EC3-4A11-B321-C031E62A5E90}"/>
    <cellStyle name="Normal 116 3 3" xfId="6839" xr:uid="{4CC2F9DE-BC00-4CE9-98AF-504E2DD9E33F}"/>
    <cellStyle name="Normal 116 3_DEO ADIT Unprotected" xfId="2769" xr:uid="{EECCFB19-52CE-423A-96D6-B88E0FE3BECF}"/>
    <cellStyle name="Normal 116 4" xfId="4322" xr:uid="{E6B9140D-E0C7-47DC-87E6-FEE515A83E70}"/>
    <cellStyle name="Normal 116 4 2" xfId="7702" xr:uid="{50101159-4362-4A50-A36D-98C8725D5D76}"/>
    <cellStyle name="Normal 116 5" xfId="6001" xr:uid="{A85FAA51-2A33-4FA4-8EB0-D9CCA6829E7E}"/>
    <cellStyle name="Normal 116_DEO ADIT Unprotected" xfId="2766" xr:uid="{AC38E062-EBCA-48EB-8F3B-80BFB7E4DED2}"/>
    <cellStyle name="Normal 117" xfId="945" xr:uid="{00000000-0005-0000-0000-000067030000}"/>
    <cellStyle name="Normal 117 2" xfId="946" xr:uid="{00000000-0005-0000-0000-000068030000}"/>
    <cellStyle name="Normal 117 2 2" xfId="1912" xr:uid="{00000000-0005-0000-0000-000069030000}"/>
    <cellStyle name="Normal 117 2 2 2" xfId="5162" xr:uid="{14A5BBB0-B54B-48B6-84FD-5473E2380702}"/>
    <cellStyle name="Normal 117 2 2 2 2" xfId="8542" xr:uid="{D748024E-FA98-44E1-A543-95B8232EC654}"/>
    <cellStyle name="Normal 117 2 2 3" xfId="6842" xr:uid="{2A9A7272-8538-47DD-94E3-2107447E4C04}"/>
    <cellStyle name="Normal 117 2 2_DEO ADIT Unprotected" xfId="2772" xr:uid="{2033F6C6-A329-463D-AC77-222127724DD2}"/>
    <cellStyle name="Normal 117 2 3" xfId="4325" xr:uid="{7881AE44-F829-4002-BD15-D794BEB16F73}"/>
    <cellStyle name="Normal 117 2 3 2" xfId="7705" xr:uid="{2ECB6286-E004-4ED6-BE12-C3D76FFA21FD}"/>
    <cellStyle name="Normal 117 2 4" xfId="6004" xr:uid="{58C6F641-53E8-4D4F-B162-3FCA65F2595A}"/>
    <cellStyle name="Normal 117 2_DEO ADIT Unprotected" xfId="2771" xr:uid="{7FC1900F-8F83-45E2-9D72-F0AC6D845B6C}"/>
    <cellStyle name="Normal 117 3" xfId="1911" xr:uid="{00000000-0005-0000-0000-00006A030000}"/>
    <cellStyle name="Normal 117 3 2" xfId="5161" xr:uid="{2B0185A6-B836-4B62-93D8-930B1572718B}"/>
    <cellStyle name="Normal 117 3 2 2" xfId="8541" xr:uid="{4E08280F-21DD-41E7-A10E-72F8855E32F1}"/>
    <cellStyle name="Normal 117 3 3" xfId="6841" xr:uid="{046933B3-59F1-4B89-9744-F231D6A7EE65}"/>
    <cellStyle name="Normal 117 3_DEO ADIT Unprotected" xfId="2773" xr:uid="{D7977CD8-048E-4B52-B175-9EC129D86FC7}"/>
    <cellStyle name="Normal 117 4" xfId="4324" xr:uid="{0F4D0A11-11EC-4269-B415-008D72E0B905}"/>
    <cellStyle name="Normal 117 4 2" xfId="7704" xr:uid="{E185228A-C7B7-4484-A03D-A7A0DFAC6833}"/>
    <cellStyle name="Normal 117 5" xfId="6003" xr:uid="{4AE02435-9448-48E1-B737-4155F3B30193}"/>
    <cellStyle name="Normal 117_DEO ADIT Unprotected" xfId="2770" xr:uid="{EE85664D-DA87-4B82-819C-F6CDE46452D0}"/>
    <cellStyle name="Normal 118" xfId="947" xr:uid="{00000000-0005-0000-0000-00006B030000}"/>
    <cellStyle name="Normal 118 2" xfId="948" xr:uid="{00000000-0005-0000-0000-00006C030000}"/>
    <cellStyle name="Normal 118 2 2" xfId="1914" xr:uid="{00000000-0005-0000-0000-00006D030000}"/>
    <cellStyle name="Normal 118 2 2 2" xfId="5164" xr:uid="{FB0D8955-473B-4B9F-9BA0-0193F6FC6345}"/>
    <cellStyle name="Normal 118 2 2 2 2" xfId="8544" xr:uid="{4A120EA5-821A-4BA4-ACA3-3E9785038313}"/>
    <cellStyle name="Normal 118 2 2 3" xfId="6844" xr:uid="{68D4211C-76B2-4B7B-A510-7D5267BECBD1}"/>
    <cellStyle name="Normal 118 2 2_DEO ADIT Unprotected" xfId="2776" xr:uid="{17CFE652-0D49-4268-9628-9F85052C360A}"/>
    <cellStyle name="Normal 118 2 3" xfId="4327" xr:uid="{44A8A3C3-B3D7-4B97-9BE5-547AADFC9996}"/>
    <cellStyle name="Normal 118 2 3 2" xfId="7707" xr:uid="{4BB50943-4E91-4077-B05F-2E6A29865F89}"/>
    <cellStyle name="Normal 118 2 4" xfId="6006" xr:uid="{A22A89C0-F0F5-4D9E-94F7-37AF9B9DEDBE}"/>
    <cellStyle name="Normal 118 2_DEO ADIT Unprotected" xfId="2775" xr:uid="{366C0CE7-37A4-465A-B184-9CFC99841FAC}"/>
    <cellStyle name="Normal 118 3" xfId="1913" xr:uid="{00000000-0005-0000-0000-00006E030000}"/>
    <cellStyle name="Normal 118 3 2" xfId="5163" xr:uid="{6675CB10-0026-4372-A48D-DE51327CAF68}"/>
    <cellStyle name="Normal 118 3 2 2" xfId="8543" xr:uid="{524F59C0-1E38-46A5-B33E-6E5733B28372}"/>
    <cellStyle name="Normal 118 3 3" xfId="6843" xr:uid="{9F0979C6-D533-4ED1-830E-91581EE1B5B1}"/>
    <cellStyle name="Normal 118 3_DEO ADIT Unprotected" xfId="2777" xr:uid="{713E553F-059B-42C7-A64B-79AF03DC3C35}"/>
    <cellStyle name="Normal 118 4" xfId="4326" xr:uid="{DA0F23F3-0B85-4976-B218-93E69F395FEE}"/>
    <cellStyle name="Normal 118 4 2" xfId="7706" xr:uid="{2F094220-C424-4745-B849-CFCD38FE7C01}"/>
    <cellStyle name="Normal 118 5" xfId="6005" xr:uid="{8C649E61-E96D-4631-BCA8-CE1E53A06379}"/>
    <cellStyle name="Normal 118_DEO ADIT Unprotected" xfId="2774" xr:uid="{931BE81D-A4E5-4772-A8F3-EA92DA369A39}"/>
    <cellStyle name="Normal 119" xfId="949" xr:uid="{00000000-0005-0000-0000-00006F030000}"/>
    <cellStyle name="Normal 119 2" xfId="950" xr:uid="{00000000-0005-0000-0000-000070030000}"/>
    <cellStyle name="Normal 119 2 2" xfId="1916" xr:uid="{00000000-0005-0000-0000-000071030000}"/>
    <cellStyle name="Normal 119 2 2 2" xfId="5166" xr:uid="{CCEBEA95-AFAC-4493-B1BF-899FD5363FEA}"/>
    <cellStyle name="Normal 119 2 2 2 2" xfId="8546" xr:uid="{A1838D2B-1D1B-40B3-BC7D-1AB4EE256181}"/>
    <cellStyle name="Normal 119 2 2 3" xfId="6846" xr:uid="{5E7048BF-5C5D-471E-A43F-F4B468C0E8F3}"/>
    <cellStyle name="Normal 119 2 2_DEO ADIT Unprotected" xfId="2780" xr:uid="{B9569A2D-2200-4652-BA7C-64979C1A1FFD}"/>
    <cellStyle name="Normal 119 2 3" xfId="4329" xr:uid="{44488501-C62D-4884-AC9B-3BC4309E0ACE}"/>
    <cellStyle name="Normal 119 2 3 2" xfId="7709" xr:uid="{81FF9875-F134-440B-8188-5973558D3FFC}"/>
    <cellStyle name="Normal 119 2 4" xfId="6008" xr:uid="{BBD88977-112A-41A6-9933-5D0A13A95900}"/>
    <cellStyle name="Normal 119 2_DEO ADIT Unprotected" xfId="2779" xr:uid="{A49B68F0-346E-483E-9B11-C3887926C937}"/>
    <cellStyle name="Normal 119 3" xfId="1915" xr:uid="{00000000-0005-0000-0000-000072030000}"/>
    <cellStyle name="Normal 119 3 2" xfId="5165" xr:uid="{FE3F7EF3-263E-4C04-BC5F-9555BB94B98A}"/>
    <cellStyle name="Normal 119 3 2 2" xfId="8545" xr:uid="{5AEB74A7-7DE0-4F20-BE44-7E4D35D26FBF}"/>
    <cellStyle name="Normal 119 3 3" xfId="6845" xr:uid="{3BA0DF3E-CB48-4667-911F-050FC3FA6943}"/>
    <cellStyle name="Normal 119 3_DEO ADIT Unprotected" xfId="2781" xr:uid="{1EC4EEF6-28FE-4F63-BD38-2BF5B573FAB2}"/>
    <cellStyle name="Normal 119 4" xfId="4328" xr:uid="{7EF5EE2F-84EE-4358-A620-3C14F4E462B9}"/>
    <cellStyle name="Normal 119 4 2" xfId="7708" xr:uid="{F8B55C8C-5C97-4BA3-B89C-1D5C275EB9F2}"/>
    <cellStyle name="Normal 119 5" xfId="6007" xr:uid="{302A0EC5-8802-4A6D-9527-51B30F2D9ACA}"/>
    <cellStyle name="Normal 119_DEO ADIT Unprotected" xfId="2778" xr:uid="{4CD6B9F1-E27F-4B8B-BD54-40DFFBC90D82}"/>
    <cellStyle name="Normal 12" xfId="342" xr:uid="{00000000-0005-0000-0000-000073030000}"/>
    <cellStyle name="Normal 12 2" xfId="951" xr:uid="{00000000-0005-0000-0000-000074030000}"/>
    <cellStyle name="Normal 12 2 2" xfId="952" xr:uid="{00000000-0005-0000-0000-000075030000}"/>
    <cellStyle name="Normal 12 2 2 2" xfId="1918" xr:uid="{00000000-0005-0000-0000-000076030000}"/>
    <cellStyle name="Normal 12 2 2 2 2" xfId="5168" xr:uid="{21C07507-090B-4C24-9E5C-C4341E97D135}"/>
    <cellStyle name="Normal 12 2 2 2 2 2" xfId="8548" xr:uid="{B8D500B5-2168-4DDC-B40D-744B44070DEB}"/>
    <cellStyle name="Normal 12 2 2 2 3" xfId="6848" xr:uid="{5C91770E-EDF1-4C06-BC25-4D8B19B59B03}"/>
    <cellStyle name="Normal 12 2 2 2_DEO ADIT Unprotected" xfId="2785" xr:uid="{FEBC36C7-20A9-4344-9E8A-615D47098709}"/>
    <cellStyle name="Normal 12 2 2 3" xfId="4331" xr:uid="{6CB6B0E5-89CA-4243-ABAF-9334E3C1F3D2}"/>
    <cellStyle name="Normal 12 2 2 3 2" xfId="7711" xr:uid="{E4D88A7D-9247-4DF7-B906-AEC4130530AB}"/>
    <cellStyle name="Normal 12 2 2 4" xfId="6010" xr:uid="{9936BEE2-D680-4786-B613-AE8882D4B4B2}"/>
    <cellStyle name="Normal 12 2 2_DEO ADIT Unprotected" xfId="2784" xr:uid="{B5310386-4E14-48AC-9DDA-5FB685BDAC96}"/>
    <cellStyle name="Normal 12 2 3" xfId="1917" xr:uid="{00000000-0005-0000-0000-000077030000}"/>
    <cellStyle name="Normal 12 2 3 2" xfId="5167" xr:uid="{34B2C749-7DAB-4A8D-B685-7DDA7AF00375}"/>
    <cellStyle name="Normal 12 2 3 2 2" xfId="8547" xr:uid="{3DCC1D13-2FDB-45DB-BB17-E0EBB62DC307}"/>
    <cellStyle name="Normal 12 2 3 3" xfId="6847" xr:uid="{F126DDAA-6D71-4AD2-91A1-DFD56801E654}"/>
    <cellStyle name="Normal 12 2 3_DEO ADIT Unprotected" xfId="2786" xr:uid="{9B68B3C9-3F34-43AA-8C53-8B30E4154C06}"/>
    <cellStyle name="Normal 12 2 4" xfId="4330" xr:uid="{82023B5E-156F-4A5C-AE28-A21585274815}"/>
    <cellStyle name="Normal 12 2 4 2" xfId="7710" xr:uid="{2CA2FDE9-A8CF-4276-9D64-C2F93EE759C2}"/>
    <cellStyle name="Normal 12 2 5" xfId="6009" xr:uid="{22533355-8362-4B28-9A11-ECD4D456B50C}"/>
    <cellStyle name="Normal 12 2_DEO ADIT Unprotected" xfId="2783" xr:uid="{D769D2F7-D4B8-4E9C-A95A-68B4B3017FD0}"/>
    <cellStyle name="Normal 12 3" xfId="953" xr:uid="{00000000-0005-0000-0000-000078030000}"/>
    <cellStyle name="Normal 12 4" xfId="954" xr:uid="{00000000-0005-0000-0000-000079030000}"/>
    <cellStyle name="Normal 12 4 2" xfId="1919" xr:uid="{00000000-0005-0000-0000-00007A030000}"/>
    <cellStyle name="Normal 12 4 2 2" xfId="5169" xr:uid="{D99D76B7-4D54-4C83-BE94-67C8DB12BFC6}"/>
    <cellStyle name="Normal 12 4 2 2 2" xfId="8549" xr:uid="{9FCDDAC0-C36B-4C2C-8234-2C789D17017B}"/>
    <cellStyle name="Normal 12 4 2 3" xfId="6849" xr:uid="{25C03932-251F-4CFB-BBAE-1B2D5D6FDE88}"/>
    <cellStyle name="Normal 12 4 2_DEO ADIT Unprotected" xfId="2788" xr:uid="{70C4F694-1BC1-42B3-AD2D-34ED5B9697A9}"/>
    <cellStyle name="Normal 12 4 3" xfId="4332" xr:uid="{5DCAE784-4C37-4B35-A362-8FABBA7387EA}"/>
    <cellStyle name="Normal 12 4 3 2" xfId="7712" xr:uid="{8767F976-2D52-4133-8CBB-BE52781CDC98}"/>
    <cellStyle name="Normal 12 4 4" xfId="6011" xr:uid="{3516D767-3C25-45FD-9050-89F60ECDEA65}"/>
    <cellStyle name="Normal 12 4_DEO ADIT Unprotected" xfId="2787" xr:uid="{01D124D2-3075-4BAB-90BE-1063135B9DBE}"/>
    <cellStyle name="Normal 12_DEO ADIT Unprotected" xfId="2782" xr:uid="{C940EC2E-8F61-48B6-A4F0-4DE0054D4883}"/>
    <cellStyle name="Normal 120" xfId="955" xr:uid="{00000000-0005-0000-0000-00007B030000}"/>
    <cellStyle name="Normal 120 2" xfId="956" xr:uid="{00000000-0005-0000-0000-00007C030000}"/>
    <cellStyle name="Normal 120 2 2" xfId="1921" xr:uid="{00000000-0005-0000-0000-00007D030000}"/>
    <cellStyle name="Normal 120 2 2 2" xfId="5171" xr:uid="{A372F87E-F54F-430F-8475-C6D3EA0F1DC7}"/>
    <cellStyle name="Normal 120 2 2 2 2" xfId="8551" xr:uid="{82DD5F3E-FFA1-4637-8F47-99C9B9352B48}"/>
    <cellStyle name="Normal 120 2 2 3" xfId="6851" xr:uid="{B4E49FC5-CF69-4878-9812-88DCD1B2B387}"/>
    <cellStyle name="Normal 120 2 2_DEO ADIT Unprotected" xfId="2791" xr:uid="{F9E2EED8-53A2-4609-A28C-E40611C928EA}"/>
    <cellStyle name="Normal 120 2 3" xfId="4334" xr:uid="{1394E51C-6BFA-4F72-9C5A-DCB846F0C73A}"/>
    <cellStyle name="Normal 120 2 3 2" xfId="7714" xr:uid="{18679BF0-D85D-458E-913D-C54342A28F11}"/>
    <cellStyle name="Normal 120 2 4" xfId="6013" xr:uid="{C5E29453-C3D0-4C7E-B26A-8A6E0C00F59D}"/>
    <cellStyle name="Normal 120 2_DEO ADIT Unprotected" xfId="2790" xr:uid="{410C087A-88ED-469C-9255-F2886BA62A22}"/>
    <cellStyle name="Normal 120 3" xfId="1920" xr:uid="{00000000-0005-0000-0000-00007E030000}"/>
    <cellStyle name="Normal 120 3 2" xfId="5170" xr:uid="{28F84F89-E318-43DD-B81C-4494EF0AF767}"/>
    <cellStyle name="Normal 120 3 2 2" xfId="8550" xr:uid="{255D271E-A6AF-4215-A53A-089E5F46E38A}"/>
    <cellStyle name="Normal 120 3 3" xfId="6850" xr:uid="{5B185AE0-442D-4FA8-9BFF-5ADF9504E4F4}"/>
    <cellStyle name="Normal 120 3_DEO ADIT Unprotected" xfId="2792" xr:uid="{BDD0F280-4E47-4201-8B95-3FC6D79E2770}"/>
    <cellStyle name="Normal 120 4" xfId="4333" xr:uid="{99DFD2F9-3918-4918-829F-3C02B79C770C}"/>
    <cellStyle name="Normal 120 4 2" xfId="7713" xr:uid="{7B9D6425-03E4-4CA1-802A-09A26A8A7B8F}"/>
    <cellStyle name="Normal 120 5" xfId="6012" xr:uid="{1AA1336C-B891-4307-848D-F1094C4E4D9E}"/>
    <cellStyle name="Normal 120_DEO ADIT Unprotected" xfId="2789" xr:uid="{26E31C7C-DE0D-45E6-8D46-A2AF707F46ED}"/>
    <cellStyle name="Normal 121" xfId="957" xr:uid="{00000000-0005-0000-0000-00007F030000}"/>
    <cellStyle name="Normal 121 2" xfId="958" xr:uid="{00000000-0005-0000-0000-000080030000}"/>
    <cellStyle name="Normal 121 2 2" xfId="1923" xr:uid="{00000000-0005-0000-0000-000081030000}"/>
    <cellStyle name="Normal 121 2 2 2" xfId="5173" xr:uid="{751B9546-A705-4F2A-8375-934DD39C548D}"/>
    <cellStyle name="Normal 121 2 2 2 2" xfId="8553" xr:uid="{C9CBC687-CB21-4F65-B655-1B06ADACAF14}"/>
    <cellStyle name="Normal 121 2 2 3" xfId="6853" xr:uid="{33DBD380-C5D1-4B8D-8BAD-3A3E3FDDAC7C}"/>
    <cellStyle name="Normal 121 2 2_DEO ADIT Unprotected" xfId="2795" xr:uid="{69B6F03B-A240-4DA6-8AC0-B1F820860186}"/>
    <cellStyle name="Normal 121 2 3" xfId="4336" xr:uid="{EDD37BF3-9DEE-4C77-A6FA-BF0F12BF1B03}"/>
    <cellStyle name="Normal 121 2 3 2" xfId="7716" xr:uid="{3FC66CE2-AF68-4D47-95C9-B10E97859D02}"/>
    <cellStyle name="Normal 121 2 4" xfId="6015" xr:uid="{85A53C41-657F-49D2-8CF0-3D3DA30EF2C6}"/>
    <cellStyle name="Normal 121 2_DEO ADIT Unprotected" xfId="2794" xr:uid="{9375B26C-140E-4830-88CC-6399D7D4323C}"/>
    <cellStyle name="Normal 121 3" xfId="1922" xr:uid="{00000000-0005-0000-0000-000082030000}"/>
    <cellStyle name="Normal 121 3 2" xfId="5172" xr:uid="{66FE4237-D0BC-48F8-BA8C-173375D577C8}"/>
    <cellStyle name="Normal 121 3 2 2" xfId="8552" xr:uid="{1AF4E54F-1C7B-4EB2-A371-0E883FDB0E13}"/>
    <cellStyle name="Normal 121 3 3" xfId="6852" xr:uid="{FC78FE4F-BE56-41F6-B3CF-52A48219A9ED}"/>
    <cellStyle name="Normal 121 3_DEO ADIT Unprotected" xfId="2796" xr:uid="{981DFA0A-8F13-4324-9C56-9F80E8CEC938}"/>
    <cellStyle name="Normal 121 4" xfId="4335" xr:uid="{12DD7380-9DAB-4A19-BBE0-51CEDF12742F}"/>
    <cellStyle name="Normal 121 4 2" xfId="7715" xr:uid="{8A699BEB-6E25-4057-B82F-29888B77B205}"/>
    <cellStyle name="Normal 121 5" xfId="6014" xr:uid="{FA9DA99A-3508-41B7-842E-11A735110988}"/>
    <cellStyle name="Normal 121_DEO ADIT Unprotected" xfId="2793" xr:uid="{E10F97FE-C64A-4306-8A76-AA87B2F42584}"/>
    <cellStyle name="Normal 122" xfId="959" xr:uid="{00000000-0005-0000-0000-000083030000}"/>
    <cellStyle name="Normal 122 2" xfId="960" xr:uid="{00000000-0005-0000-0000-000084030000}"/>
    <cellStyle name="Normal 122 2 2" xfId="1925" xr:uid="{00000000-0005-0000-0000-000085030000}"/>
    <cellStyle name="Normal 122 2 2 2" xfId="5175" xr:uid="{5A829EE1-743C-4160-B942-8050746BDA1E}"/>
    <cellStyle name="Normal 122 2 2 2 2" xfId="8555" xr:uid="{344290E1-DB93-4F85-B80B-083E90F457D9}"/>
    <cellStyle name="Normal 122 2 2 3" xfId="6855" xr:uid="{CBEA3819-FBB8-4887-9F02-5D2CC203D70C}"/>
    <cellStyle name="Normal 122 2 2_DEO ADIT Unprotected" xfId="2799" xr:uid="{E8BE1CB6-3657-4588-AC4C-99BB338C1CF1}"/>
    <cellStyle name="Normal 122 2 3" xfId="4338" xr:uid="{D88F7569-9251-43B3-B296-E0F11777677A}"/>
    <cellStyle name="Normal 122 2 3 2" xfId="7718" xr:uid="{3C8DC721-EC76-46B0-8B59-583A537F76ED}"/>
    <cellStyle name="Normal 122 2 4" xfId="6017" xr:uid="{BF5BFB6B-2485-47AB-A0FF-62D7C5378E74}"/>
    <cellStyle name="Normal 122 2_DEO ADIT Unprotected" xfId="2798" xr:uid="{902D9D5D-0FE5-4C35-9134-03DE0ADA8A68}"/>
    <cellStyle name="Normal 122 3" xfId="1924" xr:uid="{00000000-0005-0000-0000-000086030000}"/>
    <cellStyle name="Normal 122 3 2" xfId="5174" xr:uid="{CEC164BE-774E-46FB-A188-2F4788B31640}"/>
    <cellStyle name="Normal 122 3 2 2" xfId="8554" xr:uid="{DD30D361-2BAA-4D19-857D-C0CD482BF786}"/>
    <cellStyle name="Normal 122 3 3" xfId="6854" xr:uid="{A733FE97-9D84-43DF-A3AF-D0EAA7707B6F}"/>
    <cellStyle name="Normal 122 3_DEO ADIT Unprotected" xfId="2800" xr:uid="{DF7D6295-1F5C-48CF-9217-853EABEF45D8}"/>
    <cellStyle name="Normal 122 4" xfId="4337" xr:uid="{D3AA3D0D-F0C4-4495-A8D8-5D7DD317EFFD}"/>
    <cellStyle name="Normal 122 4 2" xfId="7717" xr:uid="{E0545019-2DA2-4A56-BD1D-10FC113ED691}"/>
    <cellStyle name="Normal 122 5" xfId="6016" xr:uid="{85199384-8731-48B0-83AC-7BDBC6A7E7A0}"/>
    <cellStyle name="Normal 122_DEO ADIT Unprotected" xfId="2797" xr:uid="{366ABC85-7DBE-4254-9B6F-C915DC1D4C31}"/>
    <cellStyle name="Normal 123" xfId="961" xr:uid="{00000000-0005-0000-0000-000087030000}"/>
    <cellStyle name="Normal 123 2" xfId="962" xr:uid="{00000000-0005-0000-0000-000088030000}"/>
    <cellStyle name="Normal 123 2 2" xfId="1927" xr:uid="{00000000-0005-0000-0000-000089030000}"/>
    <cellStyle name="Normal 123 2 2 2" xfId="5177" xr:uid="{2AB2EA9A-C9A2-437A-B541-4B707C6CA72A}"/>
    <cellStyle name="Normal 123 2 2 2 2" xfId="8557" xr:uid="{9783D212-C57C-4D36-8ED3-0485A794F113}"/>
    <cellStyle name="Normal 123 2 2 3" xfId="6857" xr:uid="{A97F07FD-74C9-4DF5-92BE-2EA891563CA6}"/>
    <cellStyle name="Normal 123 2 2_DEO ADIT Unprotected" xfId="2803" xr:uid="{25F789AA-4385-4322-97E7-C2A10BC19852}"/>
    <cellStyle name="Normal 123 2 3" xfId="4340" xr:uid="{BE75A8F9-75F1-4324-B1B0-B4B8274EB552}"/>
    <cellStyle name="Normal 123 2 3 2" xfId="7720" xr:uid="{1F7A671C-E32A-49C2-ADD4-B6D0A08B19EE}"/>
    <cellStyle name="Normal 123 2 4" xfId="6019" xr:uid="{8F3D78AD-8089-4EC3-8EA3-BA855B536AD7}"/>
    <cellStyle name="Normal 123 2_DEO ADIT Unprotected" xfId="2802" xr:uid="{5CCB8FE8-1353-4932-A77D-A30065E945D3}"/>
    <cellStyle name="Normal 123 3" xfId="1926" xr:uid="{00000000-0005-0000-0000-00008A030000}"/>
    <cellStyle name="Normal 123 3 2" xfId="5176" xr:uid="{375509DF-391D-4998-9AC7-32CA7D68A008}"/>
    <cellStyle name="Normal 123 3 2 2" xfId="8556" xr:uid="{85638B68-A439-43F2-9134-BDD1F7B81ADC}"/>
    <cellStyle name="Normal 123 3 3" xfId="6856" xr:uid="{30024A7F-B607-4E4C-A9B5-5B2CEAC8813F}"/>
    <cellStyle name="Normal 123 3_DEO ADIT Unprotected" xfId="2804" xr:uid="{3FBFE53C-AC30-4777-A774-BBBA43E4FCC6}"/>
    <cellStyle name="Normal 123 4" xfId="4339" xr:uid="{39262A0C-944F-4C42-962C-311C052844CE}"/>
    <cellStyle name="Normal 123 4 2" xfId="7719" xr:uid="{022069F5-B284-4860-A35C-4824E55DDF13}"/>
    <cellStyle name="Normal 123 5" xfId="6018" xr:uid="{37AEA7AE-FEB6-42F7-BE94-A71641264043}"/>
    <cellStyle name="Normal 123_DEO ADIT Unprotected" xfId="2801" xr:uid="{BC53DF15-A820-4519-B949-6BEDCA6CA829}"/>
    <cellStyle name="Normal 124" xfId="963" xr:uid="{00000000-0005-0000-0000-00008B030000}"/>
    <cellStyle name="Normal 124 2" xfId="964" xr:uid="{00000000-0005-0000-0000-00008C030000}"/>
    <cellStyle name="Normal 124 2 2" xfId="1929" xr:uid="{00000000-0005-0000-0000-00008D030000}"/>
    <cellStyle name="Normal 124 2 2 2" xfId="5179" xr:uid="{94638989-E47B-49B5-BA28-A860BC5D0E2F}"/>
    <cellStyle name="Normal 124 2 2 2 2" xfId="8559" xr:uid="{0792FA18-C11B-41F2-B985-BFAF962A55DC}"/>
    <cellStyle name="Normal 124 2 2 3" xfId="6859" xr:uid="{112731F2-E626-4492-BEE6-4BE96697FFAB}"/>
    <cellStyle name="Normal 124 2 2_DEO ADIT Unprotected" xfId="2807" xr:uid="{8EEAAC8A-8C47-4146-B1ED-41563552280B}"/>
    <cellStyle name="Normal 124 2 3" xfId="4342" xr:uid="{8A63EE2C-4DAA-461E-9140-05C684028EF5}"/>
    <cellStyle name="Normal 124 2 3 2" xfId="7722" xr:uid="{391A0E5D-B71D-497A-9A23-97565109346E}"/>
    <cellStyle name="Normal 124 2 4" xfId="6021" xr:uid="{29C9F042-FE9F-4142-A833-1597C634C64F}"/>
    <cellStyle name="Normal 124 2_DEO ADIT Unprotected" xfId="2806" xr:uid="{0E31EDB3-7632-4B4C-A571-06FD66F1CFA9}"/>
    <cellStyle name="Normal 124 3" xfId="1928" xr:uid="{00000000-0005-0000-0000-00008E030000}"/>
    <cellStyle name="Normal 124 3 2" xfId="5178" xr:uid="{687B82D3-BB3C-434C-8B73-30F42CAE9B03}"/>
    <cellStyle name="Normal 124 3 2 2" xfId="8558" xr:uid="{00D812D4-EDF9-42B5-A4F3-7AEEEDB95FD8}"/>
    <cellStyle name="Normal 124 3 3" xfId="6858" xr:uid="{FBF3B21B-F8C5-49AA-B040-A684AF4F54B4}"/>
    <cellStyle name="Normal 124 3_DEO ADIT Unprotected" xfId="2808" xr:uid="{F13FD3A5-3842-4320-A9D6-1A94D66F9835}"/>
    <cellStyle name="Normal 124 4" xfId="4341" xr:uid="{DA1D9A1E-3CB2-4311-A3D7-F3BD3766545C}"/>
    <cellStyle name="Normal 124 4 2" xfId="7721" xr:uid="{EE0B0C05-A186-4FA4-A1C5-75C086EEB5CD}"/>
    <cellStyle name="Normal 124 5" xfId="6020" xr:uid="{B490519A-2136-4FF1-8F92-8A1FBAEBDFE7}"/>
    <cellStyle name="Normal 124_DEO ADIT Unprotected" xfId="2805" xr:uid="{E27280A2-2992-4564-9F46-54FC8743D274}"/>
    <cellStyle name="Normal 125" xfId="965" xr:uid="{00000000-0005-0000-0000-00008F030000}"/>
    <cellStyle name="Normal 125 2" xfId="966" xr:uid="{00000000-0005-0000-0000-000090030000}"/>
    <cellStyle name="Normal 125 2 2" xfId="1931" xr:uid="{00000000-0005-0000-0000-000091030000}"/>
    <cellStyle name="Normal 125 2 2 2" xfId="5181" xr:uid="{B78B2638-2D32-475B-9052-3302655F16F4}"/>
    <cellStyle name="Normal 125 2 2 2 2" xfId="8561" xr:uid="{CAF51341-0934-420C-91C4-DEA26A9ED502}"/>
    <cellStyle name="Normal 125 2 2 3" xfId="6861" xr:uid="{A4772B15-98FA-4A9F-A089-6BB5F57AC78A}"/>
    <cellStyle name="Normal 125 2 2_DEO ADIT Unprotected" xfId="2811" xr:uid="{1C6695DB-B5B3-4A73-8BF6-0D04FD8D9726}"/>
    <cellStyle name="Normal 125 2 3" xfId="4344" xr:uid="{58E37576-ED23-4BD9-BE17-9FA27FE6D311}"/>
    <cellStyle name="Normal 125 2 3 2" xfId="7724" xr:uid="{AE4FDBBD-949E-423F-8C3F-173B2599C059}"/>
    <cellStyle name="Normal 125 2 4" xfId="6023" xr:uid="{22CA5295-83DD-4B5F-B987-6C1374A0BC45}"/>
    <cellStyle name="Normal 125 2_DEO ADIT Unprotected" xfId="2810" xr:uid="{E7D23B10-06A7-4817-9DE7-4BC16B1985B0}"/>
    <cellStyle name="Normal 125 3" xfId="1930" xr:uid="{00000000-0005-0000-0000-000092030000}"/>
    <cellStyle name="Normal 125 3 2" xfId="5180" xr:uid="{8EDABF44-1DD1-4E66-B831-41A799B9B2CF}"/>
    <cellStyle name="Normal 125 3 2 2" xfId="8560" xr:uid="{F0D041FC-B449-4865-8CBD-64963525157D}"/>
    <cellStyle name="Normal 125 3 3" xfId="6860" xr:uid="{82620C7F-867F-4633-94ED-3970FE4983AA}"/>
    <cellStyle name="Normal 125 3_DEO ADIT Unprotected" xfId="2812" xr:uid="{87F50CD6-24A0-41CE-846B-D42B2129314D}"/>
    <cellStyle name="Normal 125 4" xfId="4343" xr:uid="{EDE37EEE-3BE3-463F-8730-0CC5DA66E043}"/>
    <cellStyle name="Normal 125 4 2" xfId="7723" xr:uid="{B262AFF5-024C-4532-9F4F-1FF369765864}"/>
    <cellStyle name="Normal 125 5" xfId="6022" xr:uid="{05F1641F-A64E-4218-8644-7F407C58596B}"/>
    <cellStyle name="Normal 125_DEO ADIT Unprotected" xfId="2809" xr:uid="{3B5B4AF6-A3CB-47BC-A306-C4A70D890FCA}"/>
    <cellStyle name="Normal 126" xfId="967" xr:uid="{00000000-0005-0000-0000-000093030000}"/>
    <cellStyle name="Normal 126 2" xfId="968" xr:uid="{00000000-0005-0000-0000-000094030000}"/>
    <cellStyle name="Normal 126 2 2" xfId="1933" xr:uid="{00000000-0005-0000-0000-000095030000}"/>
    <cellStyle name="Normal 126 2 2 2" xfId="5183" xr:uid="{D3AA3339-9AF8-4029-ABAD-1952EAFBBC88}"/>
    <cellStyle name="Normal 126 2 2 2 2" xfId="8563" xr:uid="{91AFBFD9-4937-49C6-BA5D-2936D039C54B}"/>
    <cellStyle name="Normal 126 2 2 3" xfId="6863" xr:uid="{9463B161-7394-4C2D-B785-4E8721F48130}"/>
    <cellStyle name="Normal 126 2 2_DEO ADIT Unprotected" xfId="2815" xr:uid="{79FD0A74-E39A-43C1-AE0D-6CF654C9F366}"/>
    <cellStyle name="Normal 126 2 3" xfId="4346" xr:uid="{5A9AFB46-B470-4F7C-94D1-A8409B7564DF}"/>
    <cellStyle name="Normal 126 2 3 2" xfId="7726" xr:uid="{F68F0895-0D72-4D6C-B3C4-BF5CFD5FF7B8}"/>
    <cellStyle name="Normal 126 2 4" xfId="6025" xr:uid="{F8AA5FF5-CE39-4ADB-BE6D-AFCCAFD28C43}"/>
    <cellStyle name="Normal 126 2_DEO ADIT Unprotected" xfId="2814" xr:uid="{988D22C4-452C-4DC3-9A59-6CE4490FA233}"/>
    <cellStyle name="Normal 126 3" xfId="1932" xr:uid="{00000000-0005-0000-0000-000096030000}"/>
    <cellStyle name="Normal 126 3 2" xfId="5182" xr:uid="{8E27E619-550A-4C67-9F97-1D1E4C592953}"/>
    <cellStyle name="Normal 126 3 2 2" xfId="8562" xr:uid="{F7EBCBC8-06B6-4CEF-8C0C-B697180ED253}"/>
    <cellStyle name="Normal 126 3 3" xfId="6862" xr:uid="{FC52B46C-79DF-4AA8-8E07-C2739FC7F05D}"/>
    <cellStyle name="Normal 126 3_DEO ADIT Unprotected" xfId="2816" xr:uid="{C500B779-FD37-45FA-941E-47FFC56F8458}"/>
    <cellStyle name="Normal 126 4" xfId="4345" xr:uid="{8BCFAE71-33E7-4EFB-A697-5EC59817DCE9}"/>
    <cellStyle name="Normal 126 4 2" xfId="7725" xr:uid="{41A2B828-21E7-4FD4-A4D4-591D48851A7F}"/>
    <cellStyle name="Normal 126 5" xfId="6024" xr:uid="{6D3255EF-A8EB-4246-8DDA-7CBD8B92BEF0}"/>
    <cellStyle name="Normal 126_DEO ADIT Unprotected" xfId="2813" xr:uid="{AF95A116-0223-4CDE-BC08-81C377C2D831}"/>
    <cellStyle name="Normal 127" xfId="969" xr:uid="{00000000-0005-0000-0000-000097030000}"/>
    <cellStyle name="Normal 127 2" xfId="970" xr:uid="{00000000-0005-0000-0000-000098030000}"/>
    <cellStyle name="Normal 127 2 2" xfId="1935" xr:uid="{00000000-0005-0000-0000-000099030000}"/>
    <cellStyle name="Normal 127 2 2 2" xfId="5185" xr:uid="{34AF1FB3-28F2-4AA4-BFC6-4D65C856A9DF}"/>
    <cellStyle name="Normal 127 2 2 2 2" xfId="8565" xr:uid="{BFA6B7D2-357C-40C1-8A52-094196704121}"/>
    <cellStyle name="Normal 127 2 2 3" xfId="6865" xr:uid="{BB10A81F-B756-4239-BA2D-24CA55D83E6E}"/>
    <cellStyle name="Normal 127 2 2_DEO ADIT Unprotected" xfId="2819" xr:uid="{4AEE6953-2B7F-4ABE-AAEB-A8B906E62B16}"/>
    <cellStyle name="Normal 127 2 3" xfId="4348" xr:uid="{9F3628C7-A25F-4121-9268-56C223556F92}"/>
    <cellStyle name="Normal 127 2 3 2" xfId="7728" xr:uid="{72507CE0-1D38-4BF1-AD88-A52A104C03F1}"/>
    <cellStyle name="Normal 127 2 4" xfId="6027" xr:uid="{2B271AB7-A65D-4CA2-A48A-69DDA29167A1}"/>
    <cellStyle name="Normal 127 2_DEO ADIT Unprotected" xfId="2818" xr:uid="{5E47DCC7-54B3-42A8-A494-8D6395543551}"/>
    <cellStyle name="Normal 127 3" xfId="1934" xr:uid="{00000000-0005-0000-0000-00009A030000}"/>
    <cellStyle name="Normal 127 3 2" xfId="5184" xr:uid="{42ABC3A9-7540-4CB4-AFCA-BD5E339D67A7}"/>
    <cellStyle name="Normal 127 3 2 2" xfId="8564" xr:uid="{0F6884E7-189D-4AC1-8F92-9D3F7B8501CE}"/>
    <cellStyle name="Normal 127 3 3" xfId="6864" xr:uid="{97C390AF-925F-472B-A05C-96A7E53603E2}"/>
    <cellStyle name="Normal 127 3_DEO ADIT Unprotected" xfId="2820" xr:uid="{07832A0C-F6CB-4B09-9722-123A4E50D356}"/>
    <cellStyle name="Normal 127 4" xfId="4347" xr:uid="{5216B382-6CCA-4ECC-9C3D-AF109F4BB479}"/>
    <cellStyle name="Normal 127 4 2" xfId="7727" xr:uid="{34B03DEA-2024-455D-9068-F9065B571D61}"/>
    <cellStyle name="Normal 127 5" xfId="6026" xr:uid="{B76BCDC4-897B-48F8-83C5-FB46903880D4}"/>
    <cellStyle name="Normal 127_DEO ADIT Unprotected" xfId="2817" xr:uid="{1DD65A5A-7F2D-4B3C-AEB6-21302F70CC5E}"/>
    <cellStyle name="Normal 128" xfId="971" xr:uid="{00000000-0005-0000-0000-00009B030000}"/>
    <cellStyle name="Normal 128 2" xfId="972" xr:uid="{00000000-0005-0000-0000-00009C030000}"/>
    <cellStyle name="Normal 128 2 2" xfId="1937" xr:uid="{00000000-0005-0000-0000-00009D030000}"/>
    <cellStyle name="Normal 128 2 2 2" xfId="5187" xr:uid="{0FACFC40-7C64-49CB-A4C2-B33799E676E1}"/>
    <cellStyle name="Normal 128 2 2 2 2" xfId="8567" xr:uid="{5A508F2C-1D7C-426B-9398-843F2D9B0464}"/>
    <cellStyle name="Normal 128 2 2 3" xfId="6867" xr:uid="{A13386E0-7CFF-4D89-AA0B-A68AF355CB52}"/>
    <cellStyle name="Normal 128 2 2_DEO ADIT Unprotected" xfId="2823" xr:uid="{62FE38E3-7B3F-4320-9D97-1FF99F5E644A}"/>
    <cellStyle name="Normal 128 2 3" xfId="4350" xr:uid="{52CB3C31-7F29-4A40-ACE7-30B3A36409FF}"/>
    <cellStyle name="Normal 128 2 3 2" xfId="7730" xr:uid="{0CE9A4E5-65AC-4731-BB57-D26B3810BB7F}"/>
    <cellStyle name="Normal 128 2 4" xfId="6029" xr:uid="{2F80A230-7A8E-4EC9-A033-8105D29F9874}"/>
    <cellStyle name="Normal 128 2_DEO ADIT Unprotected" xfId="2822" xr:uid="{9A881C22-C85F-4682-A95B-6659CF4E9CCE}"/>
    <cellStyle name="Normal 128 3" xfId="1936" xr:uid="{00000000-0005-0000-0000-00009E030000}"/>
    <cellStyle name="Normal 128 3 2" xfId="5186" xr:uid="{3FF0636A-B373-47B5-94A4-C4875647BD12}"/>
    <cellStyle name="Normal 128 3 2 2" xfId="8566" xr:uid="{6433F47E-36AA-46C5-8FBF-B4AD4B4128F7}"/>
    <cellStyle name="Normal 128 3 3" xfId="6866" xr:uid="{E7CA385A-0481-48E8-9790-FF7C180796B6}"/>
    <cellStyle name="Normal 128 3_DEO ADIT Unprotected" xfId="2824" xr:uid="{0988362B-B143-4F44-9F32-80ED09A8CE1E}"/>
    <cellStyle name="Normal 128 4" xfId="4349" xr:uid="{6FEAA616-4B72-464F-9BCA-1601B54750CC}"/>
    <cellStyle name="Normal 128 4 2" xfId="7729" xr:uid="{77322E24-2F48-4109-A506-AD7B2A75A5F4}"/>
    <cellStyle name="Normal 128 5" xfId="6028" xr:uid="{DB8959C9-E3A3-4D54-9C32-41DA2A2E8D2D}"/>
    <cellStyle name="Normal 128_DEO ADIT Unprotected" xfId="2821" xr:uid="{3F9CD424-DC7E-41DA-BDAC-FD5A0FBC7A0A}"/>
    <cellStyle name="Normal 129" xfId="973" xr:uid="{00000000-0005-0000-0000-00009F030000}"/>
    <cellStyle name="Normal 129 2" xfId="974" xr:uid="{00000000-0005-0000-0000-0000A0030000}"/>
    <cellStyle name="Normal 129 2 2" xfId="1939" xr:uid="{00000000-0005-0000-0000-0000A1030000}"/>
    <cellStyle name="Normal 129 2 2 2" xfId="5189" xr:uid="{442D69F1-A6F3-4BA2-B0B3-EA46B8D8AF87}"/>
    <cellStyle name="Normal 129 2 2 2 2" xfId="8569" xr:uid="{C1FD37AF-F80B-4DC1-9E46-84139C81DE7C}"/>
    <cellStyle name="Normal 129 2 2 3" xfId="6869" xr:uid="{1C5D963A-5EED-4696-8EBA-D6897EAF6B1B}"/>
    <cellStyle name="Normal 129 2 2_DEO ADIT Unprotected" xfId="2827" xr:uid="{C66C3D53-6BF3-4235-800D-9ADCF836C0FB}"/>
    <cellStyle name="Normal 129 2 3" xfId="4352" xr:uid="{6CA71035-6EA9-468F-B3B4-CFFF02C55A3D}"/>
    <cellStyle name="Normal 129 2 3 2" xfId="7732" xr:uid="{A78E7601-827C-4AF8-8ADC-C2399D7AF5A1}"/>
    <cellStyle name="Normal 129 2 4" xfId="6031" xr:uid="{48C0C0F6-ADA3-4446-AF86-1ED2D27F91C3}"/>
    <cellStyle name="Normal 129 2_DEO ADIT Unprotected" xfId="2826" xr:uid="{0745A79B-E57C-4F41-AA84-9B7AC11BEE96}"/>
    <cellStyle name="Normal 129 3" xfId="1938" xr:uid="{00000000-0005-0000-0000-0000A2030000}"/>
    <cellStyle name="Normal 129 3 2" xfId="5188" xr:uid="{A2AFC788-603A-4818-A6F1-90C064BE741F}"/>
    <cellStyle name="Normal 129 3 2 2" xfId="8568" xr:uid="{7B65797A-ADFA-4BD7-B1DC-F3C67E338A49}"/>
    <cellStyle name="Normal 129 3 3" xfId="6868" xr:uid="{2C2BBF40-7625-4166-9BC1-DA6A197AC4C4}"/>
    <cellStyle name="Normal 129 3_DEO ADIT Unprotected" xfId="2828" xr:uid="{788D2B7C-E39A-4431-8DF5-EF7D56D5D879}"/>
    <cellStyle name="Normal 129 4" xfId="4351" xr:uid="{DF0DC0F8-4959-42BA-9EDB-FAF12A02E566}"/>
    <cellStyle name="Normal 129 4 2" xfId="7731" xr:uid="{FA19ED8A-A2E0-4023-8F15-559061168E5F}"/>
    <cellStyle name="Normal 129 5" xfId="6030" xr:uid="{3BCE8F80-5852-4D8E-99D3-DC8AA34EF603}"/>
    <cellStyle name="Normal 129_DEO ADIT Unprotected" xfId="2825" xr:uid="{68432640-1C69-46E2-BE7B-2ADE277B4FDA}"/>
    <cellStyle name="Normal 13" xfId="344" xr:uid="{00000000-0005-0000-0000-0000A3030000}"/>
    <cellStyle name="Normal 13 2" xfId="975" xr:uid="{00000000-0005-0000-0000-0000A4030000}"/>
    <cellStyle name="Normal 13 2 2" xfId="1940" xr:uid="{00000000-0005-0000-0000-0000A5030000}"/>
    <cellStyle name="Normal 13 2 2 2" xfId="5190" xr:uid="{53219FB1-2B06-4481-B51A-DC8900982757}"/>
    <cellStyle name="Normal 13 2 2 2 2" xfId="8570" xr:uid="{C57DF8CC-49BE-472A-A648-4850D83B9233}"/>
    <cellStyle name="Normal 13 2 2 3" xfId="6870" xr:uid="{459345D0-B72C-4728-A7FF-09D4A25C253D}"/>
    <cellStyle name="Normal 13 2 2_DEO ADIT Unprotected" xfId="2831" xr:uid="{695B45DB-77A1-4580-AA44-A4579C43D619}"/>
    <cellStyle name="Normal 13 2 3" xfId="4353" xr:uid="{7352CFA5-BC51-484E-A89D-C7D052369A16}"/>
    <cellStyle name="Normal 13 2 3 2" xfId="7733" xr:uid="{418E6A4F-0081-4727-8327-9E7630FE170D}"/>
    <cellStyle name="Normal 13 2 4" xfId="6032" xr:uid="{FA11AD3A-F53C-4C1F-B928-6EDACA3BCA38}"/>
    <cellStyle name="Normal 13 2_DEO ADIT Unprotected" xfId="2830" xr:uid="{1DD8AF93-656D-4BBD-A253-28052784E939}"/>
    <cellStyle name="Normal 13_DEO ADIT Unprotected" xfId="2829" xr:uid="{3D80FD95-7446-49EA-8E5B-F5134F76ABB4}"/>
    <cellStyle name="Normal 130" xfId="976" xr:uid="{00000000-0005-0000-0000-0000A6030000}"/>
    <cellStyle name="Normal 130 2" xfId="977" xr:uid="{00000000-0005-0000-0000-0000A7030000}"/>
    <cellStyle name="Normal 130 2 2" xfId="1942" xr:uid="{00000000-0005-0000-0000-0000A8030000}"/>
    <cellStyle name="Normal 130 2 2 2" xfId="5192" xr:uid="{905FEF37-D486-4724-BBAF-D20313A65297}"/>
    <cellStyle name="Normal 130 2 2 2 2" xfId="8572" xr:uid="{B9A5B231-E4BC-41A0-A13B-B951BE96C86D}"/>
    <cellStyle name="Normal 130 2 2 3" xfId="6872" xr:uid="{0F0F9715-2EF0-4B82-898B-D03A0514DE4F}"/>
    <cellStyle name="Normal 130 2 2_DEO ADIT Unprotected" xfId="2834" xr:uid="{28D75151-F695-4717-8435-51F3FA01A7C8}"/>
    <cellStyle name="Normal 130 2 3" xfId="4355" xr:uid="{19BB423F-A4CB-490B-AAC1-69DC7D3E114B}"/>
    <cellStyle name="Normal 130 2 3 2" xfId="7735" xr:uid="{3C26716F-026F-4A5B-9D51-FCFBE808DCBC}"/>
    <cellStyle name="Normal 130 2 4" xfId="6034" xr:uid="{F5843A0E-B173-414A-BDA2-4F18D035F6DC}"/>
    <cellStyle name="Normal 130 2_DEO ADIT Unprotected" xfId="2833" xr:uid="{DDED6243-A714-4825-9903-AD536285A23C}"/>
    <cellStyle name="Normal 130 3" xfId="1941" xr:uid="{00000000-0005-0000-0000-0000A9030000}"/>
    <cellStyle name="Normal 130 3 2" xfId="5191" xr:uid="{85A12E49-3D61-47A7-95D8-283063246325}"/>
    <cellStyle name="Normal 130 3 2 2" xfId="8571" xr:uid="{541BACBB-96C9-41F6-9AF4-134FC07B9EE8}"/>
    <cellStyle name="Normal 130 3 3" xfId="6871" xr:uid="{9D8B2F46-2AD1-4AD4-BD1E-9221BA5E14FE}"/>
    <cellStyle name="Normal 130 3_DEO ADIT Unprotected" xfId="2835" xr:uid="{C2F07046-8E76-4388-B0F3-663AE87540DD}"/>
    <cellStyle name="Normal 130 4" xfId="4354" xr:uid="{F435B203-6A9F-4DDA-A9F4-34F047DBEC28}"/>
    <cellStyle name="Normal 130 4 2" xfId="7734" xr:uid="{81F99406-C68C-4B3C-BDFE-B661E1F97804}"/>
    <cellStyle name="Normal 130 5" xfId="6033" xr:uid="{DA8F1809-774D-4039-BEB3-83E79842D127}"/>
    <cellStyle name="Normal 130_DEO ADIT Unprotected" xfId="2832" xr:uid="{5F3A8FF2-DB58-4FD5-8685-CA45471ECC5D}"/>
    <cellStyle name="Normal 131" xfId="978" xr:uid="{00000000-0005-0000-0000-0000AA030000}"/>
    <cellStyle name="Normal 131 2" xfId="979" xr:uid="{00000000-0005-0000-0000-0000AB030000}"/>
    <cellStyle name="Normal 131 2 2" xfId="1944" xr:uid="{00000000-0005-0000-0000-0000AC030000}"/>
    <cellStyle name="Normal 131 2 2 2" xfId="5194" xr:uid="{73C26FFE-6619-4153-8BD1-5E85F60974C6}"/>
    <cellStyle name="Normal 131 2 2 2 2" xfId="8574" xr:uid="{470A7E91-E69A-4E97-A45B-C41275EC7967}"/>
    <cellStyle name="Normal 131 2 2 3" xfId="6874" xr:uid="{0FACD257-83E8-46D5-8EE7-2F50CDF339D8}"/>
    <cellStyle name="Normal 131 2 2_DEO ADIT Unprotected" xfId="2838" xr:uid="{3EDC0656-837A-43DC-A2AC-2BF0C11555BE}"/>
    <cellStyle name="Normal 131 2 3" xfId="4357" xr:uid="{5D2D1F3A-E2C0-46CB-BBB3-1DC4A80DB263}"/>
    <cellStyle name="Normal 131 2 3 2" xfId="7737" xr:uid="{3071F642-C949-45C9-99B7-A26EA8916512}"/>
    <cellStyle name="Normal 131 2 4" xfId="6036" xr:uid="{EEEFCF08-51C6-4EFE-9576-009AA255C5A4}"/>
    <cellStyle name="Normal 131 2_DEO ADIT Unprotected" xfId="2837" xr:uid="{5EC87899-1B3B-46B2-8EF1-F75F4203485C}"/>
    <cellStyle name="Normal 131 3" xfId="1943" xr:uid="{00000000-0005-0000-0000-0000AD030000}"/>
    <cellStyle name="Normal 131 3 2" xfId="5193" xr:uid="{FFF91CD3-51FA-4955-90D0-879E5D8826E2}"/>
    <cellStyle name="Normal 131 3 2 2" xfId="8573" xr:uid="{5C35049B-6DFD-496A-AC97-D182AD6B585B}"/>
    <cellStyle name="Normal 131 3 3" xfId="6873" xr:uid="{CAA1FE1A-EC39-4B23-A1D3-94BF75F1879F}"/>
    <cellStyle name="Normal 131 3_DEO ADIT Unprotected" xfId="2839" xr:uid="{DDED0C7A-D5E0-4F8E-B21D-578269C69574}"/>
    <cellStyle name="Normal 131 4" xfId="4356" xr:uid="{FBB16D6B-6337-4057-A7BB-0A775DA184A9}"/>
    <cellStyle name="Normal 131 4 2" xfId="7736" xr:uid="{C4C0A9CC-F91E-407C-9EE5-AF4B341BF588}"/>
    <cellStyle name="Normal 131 5" xfId="6035" xr:uid="{517F7B07-5FF9-4E55-978A-E259A0051F06}"/>
    <cellStyle name="Normal 131_DEO ADIT Unprotected" xfId="2836" xr:uid="{FBE62C0C-45E9-408F-A792-C0985F648823}"/>
    <cellStyle name="Normal 132" xfId="980" xr:uid="{00000000-0005-0000-0000-0000AE030000}"/>
    <cellStyle name="Normal 132 2" xfId="981" xr:uid="{00000000-0005-0000-0000-0000AF030000}"/>
    <cellStyle name="Normal 132 2 2" xfId="1946" xr:uid="{00000000-0005-0000-0000-0000B0030000}"/>
    <cellStyle name="Normal 132 2 2 2" xfId="5196" xr:uid="{29738F0C-119B-41AF-BF84-87CCE4A7129E}"/>
    <cellStyle name="Normal 132 2 2 2 2" xfId="8576" xr:uid="{D3191971-1294-412D-A31D-23692D9CAF15}"/>
    <cellStyle name="Normal 132 2 2 3" xfId="6876" xr:uid="{5337204E-0A1B-4EBA-A0B8-7298E9B96BC5}"/>
    <cellStyle name="Normal 132 2 2_DEO ADIT Unprotected" xfId="2842" xr:uid="{7AFBBD25-00E7-4F36-A203-3B2DAB8B5359}"/>
    <cellStyle name="Normal 132 2 3" xfId="4359" xr:uid="{2A8F31C3-8FA5-47A8-9C62-25010D12D091}"/>
    <cellStyle name="Normal 132 2 3 2" xfId="7739" xr:uid="{4BF72489-B6A3-4CA1-B4E9-20A008CC5F03}"/>
    <cellStyle name="Normal 132 2 4" xfId="6038" xr:uid="{1F8C1508-A1C3-403E-AD88-44C411C1B92F}"/>
    <cellStyle name="Normal 132 2_DEO ADIT Unprotected" xfId="2841" xr:uid="{5E38E7F9-925F-49F9-B42E-DC06DC849AE8}"/>
    <cellStyle name="Normal 132 3" xfId="1945" xr:uid="{00000000-0005-0000-0000-0000B1030000}"/>
    <cellStyle name="Normal 132 3 2" xfId="5195" xr:uid="{7B45B9A2-E6B3-4284-908A-F6416D8B3916}"/>
    <cellStyle name="Normal 132 3 2 2" xfId="8575" xr:uid="{552EB44E-9D6F-4F24-8428-80FDFA6A1FFC}"/>
    <cellStyle name="Normal 132 3 3" xfId="6875" xr:uid="{A560D9AC-5627-4B95-8A6F-B80CAB156E6B}"/>
    <cellStyle name="Normal 132 3_DEO ADIT Unprotected" xfId="2843" xr:uid="{6A997C6C-75DB-482A-B0DC-70A2B20F79DD}"/>
    <cellStyle name="Normal 132 4" xfId="4358" xr:uid="{B056603E-7897-45CC-A7B0-EA76F12BAABF}"/>
    <cellStyle name="Normal 132 4 2" xfId="7738" xr:uid="{42EAF627-E3DF-4457-8456-68D899AD4864}"/>
    <cellStyle name="Normal 132 5" xfId="6037" xr:uid="{3D02D8E9-F0B0-422E-953E-FDC86EDE703A}"/>
    <cellStyle name="Normal 132_DEO ADIT Unprotected" xfId="2840" xr:uid="{DFA0AC0E-727E-407D-9680-EE87ED708EF6}"/>
    <cellStyle name="Normal 133" xfId="982" xr:uid="{00000000-0005-0000-0000-0000B2030000}"/>
    <cellStyle name="Normal 133 2" xfId="983" xr:uid="{00000000-0005-0000-0000-0000B3030000}"/>
    <cellStyle name="Normal 133 2 2" xfId="1948" xr:uid="{00000000-0005-0000-0000-0000B4030000}"/>
    <cellStyle name="Normal 133 2 2 2" xfId="5198" xr:uid="{46D9D123-4375-4295-92B2-1A8CD8FDC39F}"/>
    <cellStyle name="Normal 133 2 2 2 2" xfId="8578" xr:uid="{FA45CE57-4E80-4749-92F2-639AA9E5B93E}"/>
    <cellStyle name="Normal 133 2 2 3" xfId="6878" xr:uid="{CE8C9A6E-F1E4-48AA-A307-6F1D0BDC1FE9}"/>
    <cellStyle name="Normal 133 2 2_DEO ADIT Unprotected" xfId="2846" xr:uid="{AEB72191-728F-4046-B615-CA3910C42314}"/>
    <cellStyle name="Normal 133 2 3" xfId="4361" xr:uid="{CCCB78DD-1C41-4AE8-983B-B390E786AF44}"/>
    <cellStyle name="Normal 133 2 3 2" xfId="7741" xr:uid="{C3AAEF7C-FE2B-4391-BF6C-59467E27E3A5}"/>
    <cellStyle name="Normal 133 2 4" xfId="6040" xr:uid="{62CC66DF-CC50-4D82-B647-964FBE656CCF}"/>
    <cellStyle name="Normal 133 2_DEO ADIT Unprotected" xfId="2845" xr:uid="{0E273916-DAA3-4AF6-9205-DADD8F32B951}"/>
    <cellStyle name="Normal 133 3" xfId="1947" xr:uid="{00000000-0005-0000-0000-0000B5030000}"/>
    <cellStyle name="Normal 133 3 2" xfId="5197" xr:uid="{D70D3194-A383-4D78-A6FC-A4D422306F7E}"/>
    <cellStyle name="Normal 133 3 2 2" xfId="8577" xr:uid="{56D34645-C95E-481E-8627-72B9F959B58D}"/>
    <cellStyle name="Normal 133 3 3" xfId="6877" xr:uid="{9A93AE40-0274-43D4-A91B-868983027E51}"/>
    <cellStyle name="Normal 133 3_DEO ADIT Unprotected" xfId="2847" xr:uid="{8117FE74-7ACE-4022-8DD5-219DF816BC41}"/>
    <cellStyle name="Normal 133 4" xfId="4360" xr:uid="{9C24DA8F-2184-4EF4-B93A-DA3AC4406023}"/>
    <cellStyle name="Normal 133 4 2" xfId="7740" xr:uid="{A0BB2D25-21C8-4849-A89A-519AC739686E}"/>
    <cellStyle name="Normal 133 5" xfId="6039" xr:uid="{4E55EF3B-8C42-463E-B9DD-45707C19DA5C}"/>
    <cellStyle name="Normal 133_DEO ADIT Unprotected" xfId="2844" xr:uid="{A357455B-E62E-4A3E-A905-EF8E02A2DEFC}"/>
    <cellStyle name="Normal 134" xfId="984" xr:uid="{00000000-0005-0000-0000-0000B6030000}"/>
    <cellStyle name="Normal 134 2" xfId="985" xr:uid="{00000000-0005-0000-0000-0000B7030000}"/>
    <cellStyle name="Normal 134 2 2" xfId="1950" xr:uid="{00000000-0005-0000-0000-0000B8030000}"/>
    <cellStyle name="Normal 134 2 2 2" xfId="5200" xr:uid="{A9C3C043-C76C-4562-8C19-FC81C02AE6CA}"/>
    <cellStyle name="Normal 134 2 2 2 2" xfId="8580" xr:uid="{1309BE47-5C5F-44E2-BE1D-EFB07A1D6A7C}"/>
    <cellStyle name="Normal 134 2 2 3" xfId="6880" xr:uid="{252A933A-13FD-4797-BF9F-4A1F0B82128F}"/>
    <cellStyle name="Normal 134 2 2_DEO ADIT Unprotected" xfId="2850" xr:uid="{5EFE61E0-297B-401E-A647-E1EA7177A8AF}"/>
    <cellStyle name="Normal 134 2 3" xfId="4363" xr:uid="{609E3A76-4363-4FBE-93E1-1D1CAC6E0DD3}"/>
    <cellStyle name="Normal 134 2 3 2" xfId="7743" xr:uid="{DBEC7D9C-500A-4779-BECB-F2D94F3CE8C2}"/>
    <cellStyle name="Normal 134 2 4" xfId="6042" xr:uid="{E537DA15-47C7-4644-9927-21EE4FBE6206}"/>
    <cellStyle name="Normal 134 2_DEO ADIT Unprotected" xfId="2849" xr:uid="{333ACB3E-1C17-43A4-BFC3-8259B6B0F994}"/>
    <cellStyle name="Normal 134 3" xfId="1949" xr:uid="{00000000-0005-0000-0000-0000B9030000}"/>
    <cellStyle name="Normal 134 3 2" xfId="5199" xr:uid="{39CFA3E4-2EC6-4240-8DBF-3CB0A3414608}"/>
    <cellStyle name="Normal 134 3 2 2" xfId="8579" xr:uid="{7C54F1EA-E168-48EA-9796-ECEC70188C6E}"/>
    <cellStyle name="Normal 134 3 3" xfId="6879" xr:uid="{6121A316-F943-4995-923B-29945CD70DA6}"/>
    <cellStyle name="Normal 134 3_DEO ADIT Unprotected" xfId="2851" xr:uid="{82100040-C597-4C69-833B-94E616FB2406}"/>
    <cellStyle name="Normal 134 4" xfId="4362" xr:uid="{C70ADAEF-1684-4D22-BB1D-23801422DA0C}"/>
    <cellStyle name="Normal 134 4 2" xfId="7742" xr:uid="{B2433BCC-FDFD-4CA6-8D8D-AD1B9365D289}"/>
    <cellStyle name="Normal 134 5" xfId="6041" xr:uid="{E612D980-020A-4D48-A4CA-52880E8F89D7}"/>
    <cellStyle name="Normal 134_DEO ADIT Unprotected" xfId="2848" xr:uid="{D7A601BC-54FC-4D7F-9C46-66627A821537}"/>
    <cellStyle name="Normal 135" xfId="986" xr:uid="{00000000-0005-0000-0000-0000BA030000}"/>
    <cellStyle name="Normal 135 2" xfId="987" xr:uid="{00000000-0005-0000-0000-0000BB030000}"/>
    <cellStyle name="Normal 135 2 2" xfId="1952" xr:uid="{00000000-0005-0000-0000-0000BC030000}"/>
    <cellStyle name="Normal 135 2 2 2" xfId="5202" xr:uid="{8D3F06A7-821E-4299-BC51-E81988B04437}"/>
    <cellStyle name="Normal 135 2 2 2 2" xfId="8582" xr:uid="{B3BBEF98-A77B-4B40-AFAE-D1D36672B12E}"/>
    <cellStyle name="Normal 135 2 2 3" xfId="6882" xr:uid="{8C2318DB-699A-44A9-9FC0-05C4793CF1A1}"/>
    <cellStyle name="Normal 135 2 2_DEO ADIT Unprotected" xfId="2854" xr:uid="{5F264046-9673-4168-8F25-1FE3E50544EC}"/>
    <cellStyle name="Normal 135 2 3" xfId="4365" xr:uid="{819D0F74-859E-4970-BA8F-F64B8F5FB38D}"/>
    <cellStyle name="Normal 135 2 3 2" xfId="7745" xr:uid="{53B09265-D978-4EA8-B718-395A5F8F1CF3}"/>
    <cellStyle name="Normal 135 2 4" xfId="6044" xr:uid="{45A0AF70-1683-4947-9D1B-20F6DB2D15D9}"/>
    <cellStyle name="Normal 135 2_DEO ADIT Unprotected" xfId="2853" xr:uid="{BDFEA63C-F12D-430A-962A-635B00AAFF4F}"/>
    <cellStyle name="Normal 135 3" xfId="1951" xr:uid="{00000000-0005-0000-0000-0000BD030000}"/>
    <cellStyle name="Normal 135 3 2" xfId="5201" xr:uid="{BA80B5CA-9337-4D10-BC3D-05083267D630}"/>
    <cellStyle name="Normal 135 3 2 2" xfId="8581" xr:uid="{28F692D7-2C97-4BDF-BC44-8657FE72916E}"/>
    <cellStyle name="Normal 135 3 3" xfId="6881" xr:uid="{A8B1E014-4AB2-4550-A8C9-F7E48808E2A0}"/>
    <cellStyle name="Normal 135 3_DEO ADIT Unprotected" xfId="2855" xr:uid="{DA8333ED-B128-4E3D-BAF2-ECEA15A56E02}"/>
    <cellStyle name="Normal 135 4" xfId="4364" xr:uid="{457AAFFE-DED6-4770-AD28-43CC0FE3AF56}"/>
    <cellStyle name="Normal 135 4 2" xfId="7744" xr:uid="{F41C6E9E-EFE4-4A6E-A0D1-65F5DE073991}"/>
    <cellStyle name="Normal 135 5" xfId="6043" xr:uid="{BC5E011C-FF94-4D20-858E-F67E92B66671}"/>
    <cellStyle name="Normal 135_DEO ADIT Unprotected" xfId="2852" xr:uid="{926AEA0C-DD08-4126-A102-E5B2F57C7142}"/>
    <cellStyle name="Normal 136" xfId="988" xr:uid="{00000000-0005-0000-0000-0000BE030000}"/>
    <cellStyle name="Normal 136 2" xfId="989" xr:uid="{00000000-0005-0000-0000-0000BF030000}"/>
    <cellStyle name="Normal 136 2 2" xfId="1954" xr:uid="{00000000-0005-0000-0000-0000C0030000}"/>
    <cellStyle name="Normal 136 2 2 2" xfId="5204" xr:uid="{56AA901F-995F-4960-A488-5ABFB52D39FE}"/>
    <cellStyle name="Normal 136 2 2 2 2" xfId="8584" xr:uid="{14B4D330-4997-409C-9096-2F517C8961DD}"/>
    <cellStyle name="Normal 136 2 2 3" xfId="6884" xr:uid="{398C3FA4-2B0C-4326-9629-78F81FFCB48E}"/>
    <cellStyle name="Normal 136 2 2_DEO ADIT Unprotected" xfId="2858" xr:uid="{0051DDF5-A84B-43B7-BD2F-892B611A45C9}"/>
    <cellStyle name="Normal 136 2 3" xfId="4367" xr:uid="{479DFAE5-BF04-4BC3-ACA3-2008AAEF5900}"/>
    <cellStyle name="Normal 136 2 3 2" xfId="7747" xr:uid="{7685060A-7295-4DE5-92A8-AD1D938647F3}"/>
    <cellStyle name="Normal 136 2 4" xfId="6046" xr:uid="{094440C4-B676-4F4B-9767-0AC2A4FC0D1A}"/>
    <cellStyle name="Normal 136 2_DEO ADIT Unprotected" xfId="2857" xr:uid="{05173B73-166A-4F67-9758-E166B921B783}"/>
    <cellStyle name="Normal 136 3" xfId="1953" xr:uid="{00000000-0005-0000-0000-0000C1030000}"/>
    <cellStyle name="Normal 136 3 2" xfId="5203" xr:uid="{8D3289FC-CBE1-479E-954D-6CD9C0C295A5}"/>
    <cellStyle name="Normal 136 3 2 2" xfId="8583" xr:uid="{D2D0958E-DBB4-4F86-BDC8-F06754F7D840}"/>
    <cellStyle name="Normal 136 3 3" xfId="6883" xr:uid="{07F2B056-608D-4993-8920-BEDC195DDBFA}"/>
    <cellStyle name="Normal 136 3_DEO ADIT Unprotected" xfId="2859" xr:uid="{5D8698EC-C992-4294-8F8E-203B0049AB0D}"/>
    <cellStyle name="Normal 136 4" xfId="4366" xr:uid="{3E910CC0-C4A7-477F-8EEC-FCCCC3EE1C43}"/>
    <cellStyle name="Normal 136 4 2" xfId="7746" xr:uid="{FE0C853E-CEFC-4794-B00E-41950AB4A6C8}"/>
    <cellStyle name="Normal 136 5" xfId="6045" xr:uid="{C1474667-7BDC-4468-B313-01577E8EF3D7}"/>
    <cellStyle name="Normal 136_DEO ADIT Unprotected" xfId="2856" xr:uid="{7817D08C-0032-46A3-92C5-C29994AFCF61}"/>
    <cellStyle name="Normal 137" xfId="990" xr:uid="{00000000-0005-0000-0000-0000C2030000}"/>
    <cellStyle name="Normal 137 2" xfId="991" xr:uid="{00000000-0005-0000-0000-0000C3030000}"/>
    <cellStyle name="Normal 137 2 2" xfId="1956" xr:uid="{00000000-0005-0000-0000-0000C4030000}"/>
    <cellStyle name="Normal 137 2 2 2" xfId="5206" xr:uid="{A0D85D41-62E8-4EED-A0D6-0C39636CAD83}"/>
    <cellStyle name="Normal 137 2 2 2 2" xfId="8586" xr:uid="{B83300DA-EC9C-417D-8B05-A9037873ED92}"/>
    <cellStyle name="Normal 137 2 2 3" xfId="6886" xr:uid="{C42D7347-AF93-4552-BBBA-A2E9B74E0E20}"/>
    <cellStyle name="Normal 137 2 2_DEO ADIT Unprotected" xfId="2862" xr:uid="{BDDEAD6D-6C69-4B9F-80E9-0130FA527CC4}"/>
    <cellStyle name="Normal 137 2 3" xfId="4369" xr:uid="{FD0F0F31-0BE1-4C9F-AC22-CF80A6BD4F96}"/>
    <cellStyle name="Normal 137 2 3 2" xfId="7749" xr:uid="{F8B3466A-305F-4259-A37A-1E9686D306E6}"/>
    <cellStyle name="Normal 137 2 4" xfId="6048" xr:uid="{529A956B-9299-438C-8009-CF8B6813447A}"/>
    <cellStyle name="Normal 137 2_DEO ADIT Unprotected" xfId="2861" xr:uid="{DAB18B63-B160-4CDD-9FEE-02D83C14BA08}"/>
    <cellStyle name="Normal 137 3" xfId="1955" xr:uid="{00000000-0005-0000-0000-0000C5030000}"/>
    <cellStyle name="Normal 137 3 2" xfId="5205" xr:uid="{2BCDC98B-E323-4D9C-9477-98A45680DFE6}"/>
    <cellStyle name="Normal 137 3 2 2" xfId="8585" xr:uid="{CC9E88F2-489C-4547-A6FE-54AEB309D15F}"/>
    <cellStyle name="Normal 137 3 3" xfId="6885" xr:uid="{C089197F-C0EB-47A4-87C3-2693B768C0BD}"/>
    <cellStyle name="Normal 137 3_DEO ADIT Unprotected" xfId="2863" xr:uid="{07831B9C-84B6-49C6-B9F1-E76399CE3FE6}"/>
    <cellStyle name="Normal 137 4" xfId="4368" xr:uid="{8A03BB75-0780-4989-83D6-F297AD359513}"/>
    <cellStyle name="Normal 137 4 2" xfId="7748" xr:uid="{0132DEFE-5F19-4BF3-9815-B26BB2EF5A1E}"/>
    <cellStyle name="Normal 137 5" xfId="6047" xr:uid="{C29B21A7-250B-47B6-9156-C41A8D3AED52}"/>
    <cellStyle name="Normal 137_DEO ADIT Unprotected" xfId="2860" xr:uid="{CC3C51CA-E219-4BC9-B3E3-7D6E98975B18}"/>
    <cellStyle name="Normal 138" xfId="992" xr:uid="{00000000-0005-0000-0000-0000C6030000}"/>
    <cellStyle name="Normal 138 2" xfId="993" xr:uid="{00000000-0005-0000-0000-0000C7030000}"/>
    <cellStyle name="Normal 138 2 2" xfId="1958" xr:uid="{00000000-0005-0000-0000-0000C8030000}"/>
    <cellStyle name="Normal 138 2 2 2" xfId="5208" xr:uid="{FBA16966-2FED-4D19-893D-8BDBC8FCA5D0}"/>
    <cellStyle name="Normal 138 2 2 2 2" xfId="8588" xr:uid="{2B3B4256-519E-4B95-A483-C95FF01B9EA4}"/>
    <cellStyle name="Normal 138 2 2 3" xfId="6888" xr:uid="{49D68415-14C6-4EC6-944B-245301951C0A}"/>
    <cellStyle name="Normal 138 2 2_DEO ADIT Unprotected" xfId="2866" xr:uid="{FDB1DF48-A804-45DC-B0B3-B0D3F5F424E8}"/>
    <cellStyle name="Normal 138 2 3" xfId="4371" xr:uid="{58758D9C-2B10-40E6-B7BB-A00067FADF54}"/>
    <cellStyle name="Normal 138 2 3 2" xfId="7751" xr:uid="{4DBB8679-3098-4F08-A95D-668FA71B0499}"/>
    <cellStyle name="Normal 138 2 4" xfId="6050" xr:uid="{38E2C481-D09F-4318-A3CA-A364B78C8131}"/>
    <cellStyle name="Normal 138 2_DEO ADIT Unprotected" xfId="2865" xr:uid="{EBDB6377-F2C9-4DD1-8676-E25F4DC44114}"/>
    <cellStyle name="Normal 138 3" xfId="1957" xr:uid="{00000000-0005-0000-0000-0000C9030000}"/>
    <cellStyle name="Normal 138 3 2" xfId="5207" xr:uid="{407AEF1C-0B95-43B8-A21B-C186547AB744}"/>
    <cellStyle name="Normal 138 3 2 2" xfId="8587" xr:uid="{AE785501-B837-459E-8C4D-941D244AB819}"/>
    <cellStyle name="Normal 138 3 3" xfId="6887" xr:uid="{62CB946B-0215-4E90-86F2-6506C7539015}"/>
    <cellStyle name="Normal 138 3_DEO ADIT Unprotected" xfId="2867" xr:uid="{A9DDAE9A-BB35-4199-B6F8-88B0DCFB6CEC}"/>
    <cellStyle name="Normal 138 4" xfId="4370" xr:uid="{FF43C4E6-5769-4C57-ABE3-2F2CE1C30FD6}"/>
    <cellStyle name="Normal 138 4 2" xfId="7750" xr:uid="{6C4A2D15-8EBC-48F2-BA1C-A150EFAD4F52}"/>
    <cellStyle name="Normal 138 5" xfId="6049" xr:uid="{46B5383F-4F55-4D4A-A575-5DC8D47BB825}"/>
    <cellStyle name="Normal 138_DEO ADIT Unprotected" xfId="2864" xr:uid="{DDD54814-A96F-42EF-B77F-862A51B2EAA1}"/>
    <cellStyle name="Normal 139" xfId="994" xr:uid="{00000000-0005-0000-0000-0000CA030000}"/>
    <cellStyle name="Normal 139 2" xfId="995" xr:uid="{00000000-0005-0000-0000-0000CB030000}"/>
    <cellStyle name="Normal 139 2 2" xfId="1960" xr:uid="{00000000-0005-0000-0000-0000CC030000}"/>
    <cellStyle name="Normal 139 2 2 2" xfId="5210" xr:uid="{0BECCD91-4352-443E-AE7B-8C1F6CE860B4}"/>
    <cellStyle name="Normal 139 2 2 2 2" xfId="8590" xr:uid="{02C162A5-6158-4B34-86AF-E485793FAB65}"/>
    <cellStyle name="Normal 139 2 2 3" xfId="6890" xr:uid="{4B90228F-8A06-45FE-A649-E84327F285BB}"/>
    <cellStyle name="Normal 139 2 2_DEO ADIT Unprotected" xfId="2870" xr:uid="{FD978C00-88FE-43E1-B978-969DAA46D4AD}"/>
    <cellStyle name="Normal 139 2 3" xfId="4373" xr:uid="{A226EC41-6526-4C15-A8B2-05FF66EE8407}"/>
    <cellStyle name="Normal 139 2 3 2" xfId="7753" xr:uid="{4A937DD6-DB0D-4228-8A92-D8CF67619AF3}"/>
    <cellStyle name="Normal 139 2 4" xfId="6052" xr:uid="{7F54CF13-5114-4E0C-A7BF-516D8692FB30}"/>
    <cellStyle name="Normal 139 2_DEO ADIT Unprotected" xfId="2869" xr:uid="{FB948D10-5CDA-4275-A6D8-D2B3B002BD1F}"/>
    <cellStyle name="Normal 139 3" xfId="1959" xr:uid="{00000000-0005-0000-0000-0000CD030000}"/>
    <cellStyle name="Normal 139 3 2" xfId="5209" xr:uid="{034AD183-3081-4C5B-888E-ED8BD5202091}"/>
    <cellStyle name="Normal 139 3 2 2" xfId="8589" xr:uid="{D055A9EF-4F0F-40B4-A642-E0B0000EB96C}"/>
    <cellStyle name="Normal 139 3 3" xfId="6889" xr:uid="{C36D8B9C-E609-43E7-8E82-B86A6D0ED85F}"/>
    <cellStyle name="Normal 139 3_DEO ADIT Unprotected" xfId="2871" xr:uid="{B71984B4-A685-43D2-9543-D33059E53918}"/>
    <cellStyle name="Normal 139 4" xfId="4372" xr:uid="{BD3E3FCD-BA89-4C89-9786-421BEA57B869}"/>
    <cellStyle name="Normal 139 4 2" xfId="7752" xr:uid="{8C219EE7-2815-4E93-AF51-9B7110D22974}"/>
    <cellStyle name="Normal 139 5" xfId="6051" xr:uid="{1372E3DA-94AF-4243-859D-C6994B50BEE3}"/>
    <cellStyle name="Normal 139_DEO ADIT Unprotected" xfId="2868" xr:uid="{19FAB9BA-0AA2-4A26-8D22-1AD780E72703}"/>
    <cellStyle name="Normal 14" xfId="346" xr:uid="{00000000-0005-0000-0000-0000CE030000}"/>
    <cellStyle name="Normal 14 2" xfId="996" xr:uid="{00000000-0005-0000-0000-0000CF030000}"/>
    <cellStyle name="Normal 14 3" xfId="997" xr:uid="{00000000-0005-0000-0000-0000D0030000}"/>
    <cellStyle name="Normal 14 3 2" xfId="1961" xr:uid="{00000000-0005-0000-0000-0000D1030000}"/>
    <cellStyle name="Normal 14 3 2 2" xfId="5211" xr:uid="{90AE7C4E-AAE7-4ECD-95AE-D7975F4F11F8}"/>
    <cellStyle name="Normal 14 3 2 2 2" xfId="8591" xr:uid="{F51ED8C3-1984-42CE-A82C-0223562DB7C4}"/>
    <cellStyle name="Normal 14 3 2 3" xfId="6891" xr:uid="{F0463442-42D5-4798-A74C-92972E1EDC01}"/>
    <cellStyle name="Normal 14 3 2_DEO ADIT Unprotected" xfId="2874" xr:uid="{5626E4E6-C317-4F79-8E4F-E25496B8176F}"/>
    <cellStyle name="Normal 14 3 3" xfId="4374" xr:uid="{87867C81-BCAE-41D1-B3FC-1418884BDA7F}"/>
    <cellStyle name="Normal 14 3 3 2" xfId="7754" xr:uid="{7D3E27D3-0050-44E3-808C-DC8687627731}"/>
    <cellStyle name="Normal 14 3 4" xfId="6053" xr:uid="{30FF739B-BD0A-47EB-B1C3-361DF66054A0}"/>
    <cellStyle name="Normal 14 3_DEO ADIT Unprotected" xfId="2873" xr:uid="{A26DDD62-6BDB-4481-BCA6-E917E8402F11}"/>
    <cellStyle name="Normal 14_DEO ADIT Unprotected" xfId="2872" xr:uid="{4726A924-CA82-4E65-B477-292CC18B97AB}"/>
    <cellStyle name="Normal 140" xfId="998" xr:uid="{00000000-0005-0000-0000-0000D2030000}"/>
    <cellStyle name="Normal 140 2" xfId="999" xr:uid="{00000000-0005-0000-0000-0000D3030000}"/>
    <cellStyle name="Normal 140 2 2" xfId="1963" xr:uid="{00000000-0005-0000-0000-0000D4030000}"/>
    <cellStyle name="Normal 140 2 2 2" xfId="5213" xr:uid="{38832EFA-AEA5-47E0-872D-B2D80DDE4203}"/>
    <cellStyle name="Normal 140 2 2 2 2" xfId="8593" xr:uid="{2E0ACB1F-6AC1-4499-AC80-51AB049DFE8C}"/>
    <cellStyle name="Normal 140 2 2 3" xfId="6893" xr:uid="{8E9B055D-3419-4704-9063-1877FDD69E6D}"/>
    <cellStyle name="Normal 140 2 2_DEO ADIT Unprotected" xfId="2877" xr:uid="{98521BDC-51E7-4211-BFBF-1476B537AA60}"/>
    <cellStyle name="Normal 140 2 3" xfId="4376" xr:uid="{C2C2C31B-8418-4300-96BA-8F3A69854242}"/>
    <cellStyle name="Normal 140 2 3 2" xfId="7756" xr:uid="{D91634A7-2EE0-46E6-874A-9DCB6B1ED0CD}"/>
    <cellStyle name="Normal 140 2 4" xfId="6055" xr:uid="{D5842A0B-4E00-46EE-BE4D-DE8A1BE7AAF3}"/>
    <cellStyle name="Normal 140 2_DEO ADIT Unprotected" xfId="2876" xr:uid="{197DA48B-C2D9-43FE-97DC-03EC3887CF4C}"/>
    <cellStyle name="Normal 140 3" xfId="1962" xr:uid="{00000000-0005-0000-0000-0000D5030000}"/>
    <cellStyle name="Normal 140 3 2" xfId="5212" xr:uid="{95011963-52B7-4F75-B50C-923AAC31CF39}"/>
    <cellStyle name="Normal 140 3 2 2" xfId="8592" xr:uid="{52216105-A8EE-4E3A-B6EE-F5BDAF581EE6}"/>
    <cellStyle name="Normal 140 3 3" xfId="6892" xr:uid="{C60E3066-CAC5-4CC5-B4EA-2C0A1587B192}"/>
    <cellStyle name="Normal 140 3_DEO ADIT Unprotected" xfId="2878" xr:uid="{351B9AD9-E8CC-4077-AA64-1B82AA27D314}"/>
    <cellStyle name="Normal 140 4" xfId="4375" xr:uid="{0284E25E-CAD2-49BF-B8B9-F1EDC5DD4374}"/>
    <cellStyle name="Normal 140 4 2" xfId="7755" xr:uid="{358FD176-5A05-4612-B0DF-E7F015636E12}"/>
    <cellStyle name="Normal 140 5" xfId="6054" xr:uid="{FDB223B6-939D-4038-96F3-656CB3213000}"/>
    <cellStyle name="Normal 140_DEO ADIT Unprotected" xfId="2875" xr:uid="{24A1E863-DC28-4C5B-8FC6-6A4A197CC1A6}"/>
    <cellStyle name="Normal 141" xfId="1000" xr:uid="{00000000-0005-0000-0000-0000D6030000}"/>
    <cellStyle name="Normal 141 2" xfId="1001" xr:uid="{00000000-0005-0000-0000-0000D7030000}"/>
    <cellStyle name="Normal 141 2 2" xfId="1965" xr:uid="{00000000-0005-0000-0000-0000D8030000}"/>
    <cellStyle name="Normal 141 2 2 2" xfId="5215" xr:uid="{6167709F-E829-4FD5-8BA3-7FBC38952211}"/>
    <cellStyle name="Normal 141 2 2 2 2" xfId="8595" xr:uid="{AFC4EABE-BD25-4693-9371-FF7069076383}"/>
    <cellStyle name="Normal 141 2 2 3" xfId="6895" xr:uid="{84B5CF5C-51F4-4AA4-A407-F720F488D41A}"/>
    <cellStyle name="Normal 141 2 2_DEO ADIT Unprotected" xfId="2881" xr:uid="{F241A219-F227-4295-B804-3347C5F1B6BA}"/>
    <cellStyle name="Normal 141 2 3" xfId="4378" xr:uid="{E270326E-0135-4643-A141-530FB1ED5189}"/>
    <cellStyle name="Normal 141 2 3 2" xfId="7758" xr:uid="{3B3ABE14-1BFE-4A8D-933D-0844FF1C75F2}"/>
    <cellStyle name="Normal 141 2 4" xfId="6057" xr:uid="{160251D9-E140-42F5-9587-CBE23F10F99B}"/>
    <cellStyle name="Normal 141 2_DEO ADIT Unprotected" xfId="2880" xr:uid="{2D820A6D-FCEE-4642-84D7-2485410FE89D}"/>
    <cellStyle name="Normal 141 3" xfId="1964" xr:uid="{00000000-0005-0000-0000-0000D9030000}"/>
    <cellStyle name="Normal 141 3 2" xfId="5214" xr:uid="{0C06B1C1-2829-4A18-97F9-543823983D34}"/>
    <cellStyle name="Normal 141 3 2 2" xfId="8594" xr:uid="{D50102A8-793E-409A-8BA2-74B625C843E5}"/>
    <cellStyle name="Normal 141 3 3" xfId="6894" xr:uid="{C237CD25-C48D-4854-9FE7-46A0725C7AB1}"/>
    <cellStyle name="Normal 141 3_DEO ADIT Unprotected" xfId="2882" xr:uid="{A36DB752-84E4-4F14-B47B-4D979AB72C48}"/>
    <cellStyle name="Normal 141 4" xfId="4377" xr:uid="{5BB7FEE1-A94D-4501-8ADE-466C3ABEDFCE}"/>
    <cellStyle name="Normal 141 4 2" xfId="7757" xr:uid="{F62250FE-A060-4F51-A430-B5FE2EAF6AD0}"/>
    <cellStyle name="Normal 141 5" xfId="6056" xr:uid="{140838AA-185F-4662-B86B-CB724618027A}"/>
    <cellStyle name="Normal 141_DEO ADIT Unprotected" xfId="2879" xr:uid="{34CB1D4A-BE38-45EC-ADFC-1FE5169EBA4E}"/>
    <cellStyle name="Normal 142" xfId="1002" xr:uid="{00000000-0005-0000-0000-0000DA030000}"/>
    <cellStyle name="Normal 142 2" xfId="1003" xr:uid="{00000000-0005-0000-0000-0000DB030000}"/>
    <cellStyle name="Normal 142 2 2" xfId="1967" xr:uid="{00000000-0005-0000-0000-0000DC030000}"/>
    <cellStyle name="Normal 142 2 2 2" xfId="5217" xr:uid="{ABE8FF4E-ABB2-42E3-92AE-1991E1C17670}"/>
    <cellStyle name="Normal 142 2 2 2 2" xfId="8597" xr:uid="{627E7B8A-75B2-401F-9602-CE7DC4BD5B4E}"/>
    <cellStyle name="Normal 142 2 2 3" xfId="6897" xr:uid="{257FABE6-701B-49A9-9DBD-752CE21ED15D}"/>
    <cellStyle name="Normal 142 2 2_DEO ADIT Unprotected" xfId="2885" xr:uid="{9259B477-F5EE-46B9-A1DC-462C6C8339DD}"/>
    <cellStyle name="Normal 142 2 3" xfId="4380" xr:uid="{2081D031-E191-4871-B63D-8567CE4368DC}"/>
    <cellStyle name="Normal 142 2 3 2" xfId="7760" xr:uid="{30AC4E79-3E8E-44CD-BAC5-C303C6804C58}"/>
    <cellStyle name="Normal 142 2 4" xfId="6059" xr:uid="{64DD295D-B89D-4A99-A031-766489E015B2}"/>
    <cellStyle name="Normal 142 2_DEO ADIT Unprotected" xfId="2884" xr:uid="{902A5DED-AB50-4DE9-A092-FECFFBAADA8C}"/>
    <cellStyle name="Normal 142 3" xfId="1966" xr:uid="{00000000-0005-0000-0000-0000DD030000}"/>
    <cellStyle name="Normal 142 3 2" xfId="5216" xr:uid="{F4A451BF-AFC7-4B6C-B34D-13890F72BFA3}"/>
    <cellStyle name="Normal 142 3 2 2" xfId="8596" xr:uid="{F8303809-EF2C-49D3-B94D-826952421B47}"/>
    <cellStyle name="Normal 142 3 3" xfId="6896" xr:uid="{7BBD1FBB-1EC7-48AB-B897-347C008DBA8A}"/>
    <cellStyle name="Normal 142 3_DEO ADIT Unprotected" xfId="2886" xr:uid="{6BE2D0D0-BD01-4B2A-AD66-0D6A10535B8B}"/>
    <cellStyle name="Normal 142 4" xfId="4379" xr:uid="{ACE15706-DD4E-4530-A0AA-E14CAABA1371}"/>
    <cellStyle name="Normal 142 4 2" xfId="7759" xr:uid="{AAAF34F6-0057-44BB-BCC1-98670CFDEDBF}"/>
    <cellStyle name="Normal 142 5" xfId="6058" xr:uid="{D5D981DE-8671-43E9-8FDB-EDFCBA0D4631}"/>
    <cellStyle name="Normal 142_DEO ADIT Unprotected" xfId="2883" xr:uid="{4062243C-D48D-48DB-86C3-6CCF52B2C3E2}"/>
    <cellStyle name="Normal 143" xfId="1004" xr:uid="{00000000-0005-0000-0000-0000DE030000}"/>
    <cellStyle name="Normal 143 2" xfId="1005" xr:uid="{00000000-0005-0000-0000-0000DF030000}"/>
    <cellStyle name="Normal 143 2 2" xfId="1969" xr:uid="{00000000-0005-0000-0000-0000E0030000}"/>
    <cellStyle name="Normal 143 2 2 2" xfId="5219" xr:uid="{33BD9FB9-4B4D-44B1-B03E-0D61AB486FC7}"/>
    <cellStyle name="Normal 143 2 2 2 2" xfId="8599" xr:uid="{17C7E0C5-B309-471C-BAF8-E8EA1985A4E4}"/>
    <cellStyle name="Normal 143 2 2 3" xfId="6899" xr:uid="{D92BC687-53D0-40B6-81C3-FDACA5B80C40}"/>
    <cellStyle name="Normal 143 2 2_DEO ADIT Unprotected" xfId="2889" xr:uid="{7418647D-AF7A-43F3-A67E-C104210249C2}"/>
    <cellStyle name="Normal 143 2 3" xfId="4382" xr:uid="{D56B46AA-505E-4800-9710-181BFFE2BB4C}"/>
    <cellStyle name="Normal 143 2 3 2" xfId="7762" xr:uid="{2DC4486F-D0F9-4459-88BB-E91EE06B8D86}"/>
    <cellStyle name="Normal 143 2 4" xfId="6061" xr:uid="{3721B014-466A-452F-9804-5E69465AB291}"/>
    <cellStyle name="Normal 143 2_DEO ADIT Unprotected" xfId="2888" xr:uid="{26DB9541-D42B-4F74-AC44-562C043296AD}"/>
    <cellStyle name="Normal 143 3" xfId="1968" xr:uid="{00000000-0005-0000-0000-0000E1030000}"/>
    <cellStyle name="Normal 143 3 2" xfId="5218" xr:uid="{BCB835C7-204B-444A-91FA-E96903E73146}"/>
    <cellStyle name="Normal 143 3 2 2" xfId="8598" xr:uid="{FC2593B8-E398-429B-A28A-EC90FE272452}"/>
    <cellStyle name="Normal 143 3 3" xfId="6898" xr:uid="{BCFF3399-1F12-4442-9B75-B40130291475}"/>
    <cellStyle name="Normal 143 3_DEO ADIT Unprotected" xfId="2890" xr:uid="{7C048955-E99E-4AD1-9DA3-3297AAF69532}"/>
    <cellStyle name="Normal 143 4" xfId="4381" xr:uid="{7702ECB5-6ACD-4B0D-8982-11457D98E0AF}"/>
    <cellStyle name="Normal 143 4 2" xfId="7761" xr:uid="{076DA4A4-89CA-4029-A2BC-6A1CE43BBD09}"/>
    <cellStyle name="Normal 143 5" xfId="6060" xr:uid="{F25E4B12-9435-4AED-A1BA-FC91A6E06AD0}"/>
    <cellStyle name="Normal 143_DEO ADIT Unprotected" xfId="2887" xr:uid="{4367F335-A988-4609-8B15-C6C78CBB4DE6}"/>
    <cellStyle name="Normal 144" xfId="1006" xr:uid="{00000000-0005-0000-0000-0000E2030000}"/>
    <cellStyle name="Normal 144 2" xfId="1970" xr:uid="{00000000-0005-0000-0000-0000E3030000}"/>
    <cellStyle name="Normal 144 2 2" xfId="5220" xr:uid="{C3610CED-4CF0-421B-AC3B-C73714B27F8D}"/>
    <cellStyle name="Normal 144 2 2 2" xfId="8600" xr:uid="{C16B3110-D3F7-4605-A3A4-24481EA50082}"/>
    <cellStyle name="Normal 144 2 3" xfId="6900" xr:uid="{B225A77A-ABC5-4C2E-AA59-C7FD25714A3D}"/>
    <cellStyle name="Normal 144 2_DEO ADIT Unprotected" xfId="2892" xr:uid="{31D04312-FA8A-48D0-BB84-DFE992D65902}"/>
    <cellStyle name="Normal 144 3" xfId="4383" xr:uid="{3697D323-88F2-461B-A2A9-2159B930608C}"/>
    <cellStyle name="Normal 144 3 2" xfId="7763" xr:uid="{EA5DF2F4-1F34-4569-B081-948E26C1F960}"/>
    <cellStyle name="Normal 144 4" xfId="6062" xr:uid="{6F9FD35F-4AF2-4644-9E41-FD23A494C7E6}"/>
    <cellStyle name="Normal 144_DEO ADIT Unprotected" xfId="2891" xr:uid="{6630C857-0D43-490D-A9E0-2BAC7C99B405}"/>
    <cellStyle name="Normal 145" xfId="1007" xr:uid="{00000000-0005-0000-0000-0000E4030000}"/>
    <cellStyle name="Normal 145 2" xfId="1971" xr:uid="{00000000-0005-0000-0000-0000E5030000}"/>
    <cellStyle name="Normal 145 2 2" xfId="5221" xr:uid="{D4695207-7BA7-4D9B-88C7-F577BFE0A589}"/>
    <cellStyle name="Normal 145 2 2 2" xfId="8601" xr:uid="{26BB79A0-261E-4324-AECF-C3079F7AFF03}"/>
    <cellStyle name="Normal 145 2 3" xfId="6901" xr:uid="{162BAA21-3D57-4CF1-A4E9-0358F7735B52}"/>
    <cellStyle name="Normal 145 2_DEO ADIT Unprotected" xfId="2894" xr:uid="{559B3991-15C6-45B6-89C4-309CB22069F6}"/>
    <cellStyle name="Normal 145 3" xfId="4384" xr:uid="{C768433A-D998-4304-8BB4-07D8FBB35C6E}"/>
    <cellStyle name="Normal 145 3 2" xfId="7764" xr:uid="{C42B6E61-9C85-4CB3-ABBB-265CCE48ED99}"/>
    <cellStyle name="Normal 145 4" xfId="6063" xr:uid="{384D184D-7A3A-4F4F-A4D4-C6323A628541}"/>
    <cellStyle name="Normal 145_DEO ADIT Unprotected" xfId="2893" xr:uid="{7D8F1C83-3E92-496B-9348-49AD3D5448BE}"/>
    <cellStyle name="Normal 146" xfId="1008" xr:uid="{00000000-0005-0000-0000-0000E6030000}"/>
    <cellStyle name="Normal 146 2" xfId="1972" xr:uid="{00000000-0005-0000-0000-0000E7030000}"/>
    <cellStyle name="Normal 146 2 2" xfId="5222" xr:uid="{7EA1E2A7-7BF5-4D9F-83D8-45173BD4EF4C}"/>
    <cellStyle name="Normal 146 2 2 2" xfId="8602" xr:uid="{F027443A-9065-4489-8080-9AC53854821E}"/>
    <cellStyle name="Normal 146 2 3" xfId="6902" xr:uid="{1F50B14B-2D5D-46D0-B34A-B81A80246F47}"/>
    <cellStyle name="Normal 146 2_DEO ADIT Unprotected" xfId="2896" xr:uid="{D55E2F59-EDDF-4483-9D53-6C7287A8DDA1}"/>
    <cellStyle name="Normal 146 3" xfId="4385" xr:uid="{D87CF7ED-6BA0-4BA8-9B8E-6DD47A550107}"/>
    <cellStyle name="Normal 146 3 2" xfId="7765" xr:uid="{E3998E6E-CBA5-4D03-8220-23C09E8B6397}"/>
    <cellStyle name="Normal 146 4" xfId="6064" xr:uid="{92C35943-EB09-494A-84C4-A68FEC4932C7}"/>
    <cellStyle name="Normal 146_DEO ADIT Unprotected" xfId="2895" xr:uid="{7979F726-52D6-4294-B592-D39ACD4614EB}"/>
    <cellStyle name="Normal 147" xfId="1009" xr:uid="{00000000-0005-0000-0000-0000E8030000}"/>
    <cellStyle name="Normal 147 2" xfId="1973" xr:uid="{00000000-0005-0000-0000-0000E9030000}"/>
    <cellStyle name="Normal 147 2 2" xfId="5223" xr:uid="{F1609765-E755-4610-B67A-87DB1905C435}"/>
    <cellStyle name="Normal 147 2 2 2" xfId="8603" xr:uid="{B42ED0D4-FEF1-44FC-9651-81C3CCD642F9}"/>
    <cellStyle name="Normal 147 2 3" xfId="6903" xr:uid="{DA87A4C4-8E19-4A85-A46C-541E64866273}"/>
    <cellStyle name="Normal 147 2_DEO ADIT Unprotected" xfId="2898" xr:uid="{E4D3ACB1-E7E6-4F52-81FC-808F3382E4E1}"/>
    <cellStyle name="Normal 147 3" xfId="4386" xr:uid="{1B85F14F-80B5-4F70-88BB-9399F3DA57F8}"/>
    <cellStyle name="Normal 147 3 2" xfId="7766" xr:uid="{99EE3078-EC46-47AC-8AF9-F01464B3C28B}"/>
    <cellStyle name="Normal 147 4" xfId="6065" xr:uid="{231218CF-A59D-4B7F-B16B-44A61946BF83}"/>
    <cellStyle name="Normal 147_DEO ADIT Unprotected" xfId="2897" xr:uid="{C554AD46-EA0C-41A3-8148-0DD0BBD1B5A3}"/>
    <cellStyle name="Normal 148" xfId="1010" xr:uid="{00000000-0005-0000-0000-0000EA030000}"/>
    <cellStyle name="Normal 148 2" xfId="1974" xr:uid="{00000000-0005-0000-0000-0000EB030000}"/>
    <cellStyle name="Normal 148 2 2" xfId="5224" xr:uid="{756D071A-9752-4932-BAB0-4B4E36EC2FE3}"/>
    <cellStyle name="Normal 148 2 2 2" xfId="8604" xr:uid="{CC494CE5-A1CD-4782-8507-6DEA02C6E13C}"/>
    <cellStyle name="Normal 148 2 3" xfId="6904" xr:uid="{FC675012-E32D-4CC1-81C0-B48E1392C0B5}"/>
    <cellStyle name="Normal 148 2_DEO ADIT Unprotected" xfId="2900" xr:uid="{70B2C64A-1404-483C-B74D-317157F4EE98}"/>
    <cellStyle name="Normal 148 3" xfId="4387" xr:uid="{8C21E66A-56D7-41C4-8012-3D3B1FF24117}"/>
    <cellStyle name="Normal 148 3 2" xfId="7767" xr:uid="{6A8FD869-3165-4FC2-8329-7C9430479942}"/>
    <cellStyle name="Normal 148 4" xfId="6066" xr:uid="{7AB12317-5074-4EB5-AA45-912D1BFAB5F2}"/>
    <cellStyle name="Normal 148_DEO ADIT Unprotected" xfId="2899" xr:uid="{F5C860F2-1E60-49FB-8CD7-62160307D731}"/>
    <cellStyle name="Normal 149" xfId="1011" xr:uid="{00000000-0005-0000-0000-0000EC030000}"/>
    <cellStyle name="Normal 149 2" xfId="1975" xr:uid="{00000000-0005-0000-0000-0000ED030000}"/>
    <cellStyle name="Normal 149 2 2" xfId="5225" xr:uid="{9C4F5857-75B1-4E55-8C27-B5B0BF1EFF92}"/>
    <cellStyle name="Normal 149 2 2 2" xfId="8605" xr:uid="{BEF8ED9E-3247-4E0E-BB90-FA34BD301FEE}"/>
    <cellStyle name="Normal 149 2 3" xfId="6905" xr:uid="{65AC64BD-70E5-4B51-A7D6-4DAC86956A34}"/>
    <cellStyle name="Normal 149 2_DEO ADIT Unprotected" xfId="2902" xr:uid="{F4EF97CF-8AA5-49D9-B775-EF6531E8047F}"/>
    <cellStyle name="Normal 149 3" xfId="4388" xr:uid="{5EE68B1A-9C18-47F2-8BCE-B9F295D126F3}"/>
    <cellStyle name="Normal 149 3 2" xfId="7768" xr:uid="{3A320AAB-2DBC-4CD0-B3C7-A8EC0F45452F}"/>
    <cellStyle name="Normal 149 4" xfId="6067" xr:uid="{AF1F1B4B-4102-4E21-8F56-DEF98DA6E515}"/>
    <cellStyle name="Normal 149_DEO ADIT Unprotected" xfId="2901" xr:uid="{27CC752D-46AF-4684-A81F-E47F9BFB22E9}"/>
    <cellStyle name="Normal 15" xfId="348" xr:uid="{00000000-0005-0000-0000-0000EE030000}"/>
    <cellStyle name="Normal 15 2" xfId="1012" xr:uid="{00000000-0005-0000-0000-0000EF030000}"/>
    <cellStyle name="Normal 15_DEO ADIT Unprotected" xfId="2903" xr:uid="{8C379465-A1D9-437A-84FE-FC9DC51F9BDD}"/>
    <cellStyle name="Normal 150" xfId="1013" xr:uid="{00000000-0005-0000-0000-0000F0030000}"/>
    <cellStyle name="Normal 150 2" xfId="1976" xr:uid="{00000000-0005-0000-0000-0000F1030000}"/>
    <cellStyle name="Normal 150 2 2" xfId="5226" xr:uid="{C80B1ECA-0F3D-4E3A-87FC-E49AD712DB83}"/>
    <cellStyle name="Normal 150 2 2 2" xfId="8606" xr:uid="{691F9872-4F97-4CA5-9F1C-1B2E6670F1CB}"/>
    <cellStyle name="Normal 150 2 3" xfId="6906" xr:uid="{0381B6C6-5543-4269-BD33-30E76C17F506}"/>
    <cellStyle name="Normal 150 2_DEO ADIT Unprotected" xfId="2905" xr:uid="{4F4F963F-3595-4273-A932-1400AAD5DF5C}"/>
    <cellStyle name="Normal 150 3" xfId="4389" xr:uid="{49EA04FA-6508-41AC-BADA-DC4E67DC5F93}"/>
    <cellStyle name="Normal 150 3 2" xfId="7769" xr:uid="{20E43813-1B4D-4F3A-B4EB-9016F8B7CE7F}"/>
    <cellStyle name="Normal 150 4" xfId="6068" xr:uid="{771DBCB6-8C6B-43C4-AEEF-4DD0DCF429B1}"/>
    <cellStyle name="Normal 150_DEO ADIT Unprotected" xfId="2904" xr:uid="{AF0C2E6C-A065-474E-88DC-C0DB6593A56A}"/>
    <cellStyle name="Normal 151" xfId="1014" xr:uid="{00000000-0005-0000-0000-0000F2030000}"/>
    <cellStyle name="Normal 151 2" xfId="1977" xr:uid="{00000000-0005-0000-0000-0000F3030000}"/>
    <cellStyle name="Normal 151 2 2" xfId="5227" xr:uid="{219DF981-59A5-464C-A327-B450663C651D}"/>
    <cellStyle name="Normal 151 2 2 2" xfId="8607" xr:uid="{20B03446-A004-4526-8A56-17DD6C112FE0}"/>
    <cellStyle name="Normal 151 2 3" xfId="6907" xr:uid="{09F4AD07-FCF5-45ED-B61C-C2A252A20747}"/>
    <cellStyle name="Normal 151 2_DEO ADIT Unprotected" xfId="2907" xr:uid="{12F87137-2DA8-45A0-A282-4A0DA4F8E7CC}"/>
    <cellStyle name="Normal 151 3" xfId="4390" xr:uid="{B4B2DBD3-158A-4152-8934-12C6785D8A12}"/>
    <cellStyle name="Normal 151 3 2" xfId="7770" xr:uid="{84A3F0DE-2EED-4696-BA2E-E6DE99DA6044}"/>
    <cellStyle name="Normal 151 4" xfId="6069" xr:uid="{D5CE7417-603A-4E77-8350-9A2EAF0E4A8C}"/>
    <cellStyle name="Normal 151_DEO ADIT Unprotected" xfId="2906" xr:uid="{A4138AAF-0AC1-4ECB-92B5-5C602338EFD5}"/>
    <cellStyle name="Normal 152" xfId="1015" xr:uid="{00000000-0005-0000-0000-0000F4030000}"/>
    <cellStyle name="Normal 152 2" xfId="1978" xr:uid="{00000000-0005-0000-0000-0000F5030000}"/>
    <cellStyle name="Normal 152 2 2" xfId="5228" xr:uid="{C27368BD-3124-4220-8ED8-3C80293EBE02}"/>
    <cellStyle name="Normal 152 2 2 2" xfId="8608" xr:uid="{B0713288-2703-4932-A743-861A05BE6711}"/>
    <cellStyle name="Normal 152 2 3" xfId="6908" xr:uid="{57CA3884-5723-41CE-89A3-04F2A349CF9F}"/>
    <cellStyle name="Normal 152 2_DEO ADIT Unprotected" xfId="2909" xr:uid="{70C3665E-4CCD-4642-9729-303544A7CC5C}"/>
    <cellStyle name="Normal 152 3" xfId="4391" xr:uid="{2D9F94E0-07AA-43F2-8602-1578B88432FE}"/>
    <cellStyle name="Normal 152 3 2" xfId="7771" xr:uid="{0F04A4F9-1215-4DB2-B3C1-4E57CF6E8E88}"/>
    <cellStyle name="Normal 152 4" xfId="6070" xr:uid="{04EEB029-1C09-44C0-ABC2-7C025DBC9A97}"/>
    <cellStyle name="Normal 152_DEO ADIT Unprotected" xfId="2908" xr:uid="{A7A0BB21-CE0F-41F6-9DB7-0EE51B553AD9}"/>
    <cellStyle name="Normal 153" xfId="1016" xr:uid="{00000000-0005-0000-0000-0000F6030000}"/>
    <cellStyle name="Normal 153 2" xfId="1979" xr:uid="{00000000-0005-0000-0000-0000F7030000}"/>
    <cellStyle name="Normal 153 2 2" xfId="5229" xr:uid="{104E7B65-22DB-4E5E-8A1F-5F8FACA0A6E8}"/>
    <cellStyle name="Normal 153 2 2 2" xfId="8609" xr:uid="{A1E9CE05-E43B-41BB-AE02-D21BD98AC11A}"/>
    <cellStyle name="Normal 153 2 3" xfId="6909" xr:uid="{B8C6629A-A39A-4D99-BAF1-E9CB564E538E}"/>
    <cellStyle name="Normal 153 2_DEO ADIT Unprotected" xfId="2911" xr:uid="{9E8EEE2B-F1AE-4655-A979-614BAA6D3CD5}"/>
    <cellStyle name="Normal 153 3" xfId="4392" xr:uid="{27B9281D-FE61-407B-8FAF-57FE54427BF5}"/>
    <cellStyle name="Normal 153 3 2" xfId="7772" xr:uid="{C45DA250-5999-452C-996C-3D810AFA7B30}"/>
    <cellStyle name="Normal 153 4" xfId="6071" xr:uid="{82103B16-1E47-4E56-B31A-A2BAA7280CB4}"/>
    <cellStyle name="Normal 153_DEO ADIT Unprotected" xfId="2910" xr:uid="{095DBB81-BE0E-4906-B759-B1D50C14EEF9}"/>
    <cellStyle name="Normal 154" xfId="1017" xr:uid="{00000000-0005-0000-0000-0000F8030000}"/>
    <cellStyle name="Normal 154 2" xfId="1980" xr:uid="{00000000-0005-0000-0000-0000F9030000}"/>
    <cellStyle name="Normal 154 2 2" xfId="5230" xr:uid="{9E850C46-2EF4-404D-A984-3B2467014EB9}"/>
    <cellStyle name="Normal 154 2 2 2" xfId="8610" xr:uid="{7C183F51-DADB-4996-B99D-587655C42529}"/>
    <cellStyle name="Normal 154 2 3" xfId="6910" xr:uid="{BC66022B-DCBF-41E0-A1A5-FD7310DF67E8}"/>
    <cellStyle name="Normal 154 2_DEO ADIT Unprotected" xfId="2913" xr:uid="{C1802E6E-3D29-4E63-8CC7-26780F4CF82F}"/>
    <cellStyle name="Normal 154 3" xfId="4393" xr:uid="{B9928FDA-2238-4B9C-A7EF-B356280F83DF}"/>
    <cellStyle name="Normal 154 3 2" xfId="7773" xr:uid="{1DAE113B-8E89-4A20-910A-EE6758AF8AB0}"/>
    <cellStyle name="Normal 154 4" xfId="6072" xr:uid="{887A67B0-8CFA-43B0-B03E-16BDDDCB0C6C}"/>
    <cellStyle name="Normal 154_DEO ADIT Unprotected" xfId="2912" xr:uid="{CAE9B0A2-841F-4B4F-B904-419A99341EBB}"/>
    <cellStyle name="Normal 155" xfId="1018" xr:uid="{00000000-0005-0000-0000-0000FA030000}"/>
    <cellStyle name="Normal 155 2" xfId="1981" xr:uid="{00000000-0005-0000-0000-0000FB030000}"/>
    <cellStyle name="Normal 155 2 2" xfId="5231" xr:uid="{2C5FA8A3-BCDB-4ED6-97BC-E338C9E51AF5}"/>
    <cellStyle name="Normal 155 2 2 2" xfId="8611" xr:uid="{74FD8AEB-040A-4187-ADD5-D83D7FD9A2EE}"/>
    <cellStyle name="Normal 155 2 3" xfId="6911" xr:uid="{EF5F0A48-0A70-4B86-86BC-DA4D687B747D}"/>
    <cellStyle name="Normal 155 2_DEO ADIT Unprotected" xfId="2915" xr:uid="{F74DBE2E-F0F1-4151-8948-EFEDD5242193}"/>
    <cellStyle name="Normal 155 3" xfId="4394" xr:uid="{2880CA43-5E85-4C7A-AF82-9F50B4140675}"/>
    <cellStyle name="Normal 155 3 2" xfId="7774" xr:uid="{D7F24EF5-D307-41FC-809F-55DE4FAE278C}"/>
    <cellStyle name="Normal 155 4" xfId="6073" xr:uid="{260D8D1A-B159-4CF0-9CC9-1B747D877DDA}"/>
    <cellStyle name="Normal 155_DEO ADIT Unprotected" xfId="2914" xr:uid="{2B0503CD-28ED-4348-A6CB-8CF4EF8B8AED}"/>
    <cellStyle name="Normal 156" xfId="1019" xr:uid="{00000000-0005-0000-0000-0000FC030000}"/>
    <cellStyle name="Normal 156 2" xfId="1982" xr:uid="{00000000-0005-0000-0000-0000FD030000}"/>
    <cellStyle name="Normal 156 2 2" xfId="5232" xr:uid="{C446DA56-0316-4DAF-B073-ADD7CF6E9769}"/>
    <cellStyle name="Normal 156 2 2 2" xfId="8612" xr:uid="{BE01E76B-ADE0-4BBF-9D3A-99A329E58341}"/>
    <cellStyle name="Normal 156 2 3" xfId="6912" xr:uid="{03FF8C0A-5810-4851-9E9F-E12CCDD596D8}"/>
    <cellStyle name="Normal 156 2_DEO ADIT Unprotected" xfId="2917" xr:uid="{019531B3-3163-438A-92C4-CF7DE71D570F}"/>
    <cellStyle name="Normal 156 3" xfId="4395" xr:uid="{D031A21D-368B-4CD9-B882-4CEED86FC360}"/>
    <cellStyle name="Normal 156 3 2" xfId="7775" xr:uid="{5F31491E-6644-4ECF-8F95-7516FF980910}"/>
    <cellStyle name="Normal 156 4" xfId="6074" xr:uid="{47B39A99-AB83-4E9F-8605-4821CC5A5441}"/>
    <cellStyle name="Normal 156_DEO ADIT Unprotected" xfId="2916" xr:uid="{F972E90E-B676-4E0A-B6BB-513F99507247}"/>
    <cellStyle name="Normal 157" xfId="1020" xr:uid="{00000000-0005-0000-0000-0000FE030000}"/>
    <cellStyle name="Normal 157 2" xfId="1983" xr:uid="{00000000-0005-0000-0000-0000FF030000}"/>
    <cellStyle name="Normal 157 2 2" xfId="5233" xr:uid="{25BACE7B-AF63-4390-84D9-B0AE4C8E36FB}"/>
    <cellStyle name="Normal 157 2 2 2" xfId="8613" xr:uid="{95AD3998-3849-4A6A-A325-25261393A1C7}"/>
    <cellStyle name="Normal 157 2 3" xfId="6913" xr:uid="{78AF23EF-6C86-4A5A-8909-155DC42BB738}"/>
    <cellStyle name="Normal 157 2_DEO ADIT Unprotected" xfId="2919" xr:uid="{6B75D155-64AE-4E69-BEEE-41155F2E2A23}"/>
    <cellStyle name="Normal 157 3" xfId="4396" xr:uid="{A2094255-9A4D-47F8-B55E-C82DF75D1CEC}"/>
    <cellStyle name="Normal 157 3 2" xfId="7776" xr:uid="{C3A1EA00-90E8-4DCF-A274-FF46F5BA42AB}"/>
    <cellStyle name="Normal 157 4" xfId="6075" xr:uid="{F76C1A47-002E-41B7-B999-49E4FAA5D7F9}"/>
    <cellStyle name="Normal 157_DEO ADIT Unprotected" xfId="2918" xr:uid="{2FEBFF8B-BF5B-46CF-8A78-9399696CB16F}"/>
    <cellStyle name="Normal 158" xfId="1021" xr:uid="{00000000-0005-0000-0000-000000040000}"/>
    <cellStyle name="Normal 158 2" xfId="1984" xr:uid="{00000000-0005-0000-0000-000001040000}"/>
    <cellStyle name="Normal 158 2 2" xfId="5234" xr:uid="{093A8922-A51E-4D7E-B483-50B2E13BA21C}"/>
    <cellStyle name="Normal 158 2 2 2" xfId="8614" xr:uid="{1850AA32-F351-453B-946C-EFB65D531107}"/>
    <cellStyle name="Normal 158 2 3" xfId="6914" xr:uid="{8096E773-665A-44D9-8D2E-76B58EBDB799}"/>
    <cellStyle name="Normal 158 2_DEO ADIT Unprotected" xfId="2921" xr:uid="{B87EDC4F-43B1-4741-83D8-52998751A7FA}"/>
    <cellStyle name="Normal 158 3" xfId="4397" xr:uid="{B506A3EF-8E8B-4FF2-AD2F-1446E1DCB59C}"/>
    <cellStyle name="Normal 158 3 2" xfId="7777" xr:uid="{8FE39323-69A6-4DFA-9BB5-EC4E42D804CB}"/>
    <cellStyle name="Normal 158 4" xfId="6076" xr:uid="{D0C07859-83EA-46F6-A1FA-8EE5E428FB0E}"/>
    <cellStyle name="Normal 158_DEO ADIT Unprotected" xfId="2920" xr:uid="{FF87916B-DC0B-4FC8-A24E-BB7F864CF0FA}"/>
    <cellStyle name="Normal 159" xfId="1022" xr:uid="{00000000-0005-0000-0000-000002040000}"/>
    <cellStyle name="Normal 159 2" xfId="1985" xr:uid="{00000000-0005-0000-0000-000003040000}"/>
    <cellStyle name="Normal 159 2 2" xfId="5235" xr:uid="{9E9880D7-96CD-4FB2-9C91-EAED5DA25E72}"/>
    <cellStyle name="Normal 159 2 2 2" xfId="8615" xr:uid="{B1DC99E3-C758-4066-9583-D45FDEF5D90C}"/>
    <cellStyle name="Normal 159 2 3" xfId="6915" xr:uid="{8966977E-73C1-4F8D-8056-EA98BFCDC002}"/>
    <cellStyle name="Normal 159 2_DEO ADIT Unprotected" xfId="2923" xr:uid="{29DD0285-18FD-438F-8CE3-BB173BEC2A56}"/>
    <cellStyle name="Normal 159 3" xfId="4398" xr:uid="{3FCA22A6-FE05-43F0-8326-E96A6556547C}"/>
    <cellStyle name="Normal 159 3 2" xfId="7778" xr:uid="{B5151FFA-49E6-402D-B02F-9D2EF63386F9}"/>
    <cellStyle name="Normal 159 4" xfId="6077" xr:uid="{4DFD7D9D-E222-40EF-ACFE-A5927B59188A}"/>
    <cellStyle name="Normal 159_DEO ADIT Unprotected" xfId="2922" xr:uid="{C9BCDB7E-1753-4D44-82CA-F9EFE7A9E5C1}"/>
    <cellStyle name="Normal 16" xfId="350" xr:uid="{00000000-0005-0000-0000-000004040000}"/>
    <cellStyle name="Normal 16 2" xfId="1023" xr:uid="{00000000-0005-0000-0000-000005040000}"/>
    <cellStyle name="Normal 16 3" xfId="1024" xr:uid="{00000000-0005-0000-0000-000006040000}"/>
    <cellStyle name="Normal 16 3 2" xfId="1986" xr:uid="{00000000-0005-0000-0000-000007040000}"/>
    <cellStyle name="Normal 16 3 2 2" xfId="5236" xr:uid="{57AAAD47-2C41-4C6A-8DA1-C75792F6AF28}"/>
    <cellStyle name="Normal 16 3 2 2 2" xfId="8616" xr:uid="{84E0301D-C683-4B46-8D20-C9D4389AFF49}"/>
    <cellStyle name="Normal 16 3 2 3" xfId="6916" xr:uid="{EEB32A73-D555-435B-8AB2-D061EC30C169}"/>
    <cellStyle name="Normal 16 3 2_DEO ADIT Unprotected" xfId="2926" xr:uid="{24FB1E71-3B34-4555-BC65-910AAF2753B1}"/>
    <cellStyle name="Normal 16 3 3" xfId="4399" xr:uid="{B98160E1-7B73-4A86-8735-04C0FFE27311}"/>
    <cellStyle name="Normal 16 3 3 2" xfId="7779" xr:uid="{D5A2A081-B1C5-494C-B079-F229F21301A3}"/>
    <cellStyle name="Normal 16 3 4" xfId="6078" xr:uid="{32F93914-D166-4A9C-ACDA-D9C6689A336C}"/>
    <cellStyle name="Normal 16 3_DEO ADIT Unprotected" xfId="2925" xr:uid="{F7577BAB-F79D-4BA8-B33D-7C28112B6732}"/>
    <cellStyle name="Normal 16_DEO ADIT Unprotected" xfId="2924" xr:uid="{60F9951F-580D-4345-821B-A30BDEEF93C4}"/>
    <cellStyle name="Normal 160" xfId="1025" xr:uid="{00000000-0005-0000-0000-000008040000}"/>
    <cellStyle name="Normal 160 2" xfId="1987" xr:uid="{00000000-0005-0000-0000-000009040000}"/>
    <cellStyle name="Normal 160 2 2" xfId="5237" xr:uid="{574548C3-9C7D-4424-A226-7D1255D7ABAC}"/>
    <cellStyle name="Normal 160 2 2 2" xfId="8617" xr:uid="{09441F55-F17C-4CBD-BBB6-9C8DB935308B}"/>
    <cellStyle name="Normal 160 2 3" xfId="6917" xr:uid="{DB2C94FA-A233-4E23-A311-8D1D3B12FD8B}"/>
    <cellStyle name="Normal 160 2_DEO ADIT Unprotected" xfId="2928" xr:uid="{49FECC73-7D07-4702-B3E7-A9BB38B4E626}"/>
    <cellStyle name="Normal 160 3" xfId="4400" xr:uid="{F2CB70D1-4B9A-4450-94F1-9E8E4E13C6F4}"/>
    <cellStyle name="Normal 160 3 2" xfId="7780" xr:uid="{724F2FDF-5981-49C6-AD56-2D12A639DECD}"/>
    <cellStyle name="Normal 160 4" xfId="6079" xr:uid="{68A2BAC1-73BC-4FA0-AE0D-CBF709A85B7B}"/>
    <cellStyle name="Normal 160_DEO ADIT Unprotected" xfId="2927" xr:uid="{E9C30C55-1A07-4721-89D0-1DDC9FCE52DA}"/>
    <cellStyle name="Normal 161" xfId="1026" xr:uid="{00000000-0005-0000-0000-00000A040000}"/>
    <cellStyle name="Normal 161 2" xfId="1988" xr:uid="{00000000-0005-0000-0000-00000B040000}"/>
    <cellStyle name="Normal 161 2 2" xfId="5238" xr:uid="{D065AB52-003B-495F-B793-02457605C602}"/>
    <cellStyle name="Normal 161 2 2 2" xfId="8618" xr:uid="{2AF1DBE3-C2FD-4B9D-A674-53067254F335}"/>
    <cellStyle name="Normal 161 2 3" xfId="6918" xr:uid="{375E4113-4886-43AF-8A99-B766C9FB2FE7}"/>
    <cellStyle name="Normal 161 2_DEO ADIT Unprotected" xfId="2930" xr:uid="{2969DD84-4AFD-4766-BBC0-1D0A5A2A566B}"/>
    <cellStyle name="Normal 161 3" xfId="4401" xr:uid="{FC089B58-BD8E-4E90-8ED7-6E61BFC19EBB}"/>
    <cellStyle name="Normal 161 3 2" xfId="7781" xr:uid="{EEA9A091-6FBC-46BB-84CE-17448DE5E336}"/>
    <cellStyle name="Normal 161 4" xfId="6080" xr:uid="{ED1EB009-644D-4358-AC01-85A51BF99F4D}"/>
    <cellStyle name="Normal 161_DEO ADIT Unprotected" xfId="2929" xr:uid="{87709291-D6AE-4E0A-98E4-687DB681CEFF}"/>
    <cellStyle name="Normal 162" xfId="1027" xr:uid="{00000000-0005-0000-0000-00000C040000}"/>
    <cellStyle name="Normal 162 2" xfId="1989" xr:uid="{00000000-0005-0000-0000-00000D040000}"/>
    <cellStyle name="Normal 162 2 2" xfId="5239" xr:uid="{ABCA630A-470E-4990-A9A5-D76232D34667}"/>
    <cellStyle name="Normal 162 2 2 2" xfId="8619" xr:uid="{716596C6-D5FF-4B23-92A1-CD8501E3CC60}"/>
    <cellStyle name="Normal 162 2 3" xfId="6919" xr:uid="{648B462B-0933-4806-81A9-7F003B3E7D26}"/>
    <cellStyle name="Normal 162 2_DEO ADIT Unprotected" xfId="2932" xr:uid="{3F49CEE4-852B-4ADD-A650-2E3BB8B1B3A8}"/>
    <cellStyle name="Normal 162 3" xfId="4402" xr:uid="{B94FEA4E-632D-4F68-947E-02C2D780E18A}"/>
    <cellStyle name="Normal 162 3 2" xfId="7782" xr:uid="{FF8A91AF-0A68-418B-A13F-62FFF9CE1F64}"/>
    <cellStyle name="Normal 162 4" xfId="6081" xr:uid="{471B4B2F-E6D2-4087-8A3F-28B549AA4FD4}"/>
    <cellStyle name="Normal 162_DEO ADIT Unprotected" xfId="2931" xr:uid="{15AC1D7E-8140-4ECE-B0DF-7DF7A16A337B}"/>
    <cellStyle name="Normal 163" xfId="1028" xr:uid="{00000000-0005-0000-0000-00000E040000}"/>
    <cellStyle name="Normal 163 2" xfId="1990" xr:uid="{00000000-0005-0000-0000-00000F040000}"/>
    <cellStyle name="Normal 163 2 2" xfId="5240" xr:uid="{45885E7B-FE66-4DD0-B54C-0CC0D6C0B9BE}"/>
    <cellStyle name="Normal 163 2 2 2" xfId="8620" xr:uid="{E4F24751-1F1C-4EDE-826D-E39F96275001}"/>
    <cellStyle name="Normal 163 2 3" xfId="6920" xr:uid="{A9CCD183-C0AA-4AF0-AC57-6FDCB32FE73D}"/>
    <cellStyle name="Normal 163 2_DEO ADIT Unprotected" xfId="2934" xr:uid="{05F7B3B6-5F6B-42F6-A052-8FC0E548D083}"/>
    <cellStyle name="Normal 163 3" xfId="4403" xr:uid="{2FF78717-2F9F-4FF6-8493-FD14BA25968E}"/>
    <cellStyle name="Normal 163 3 2" xfId="7783" xr:uid="{68636DA7-B6BE-46DE-9E80-33D3D4C773C8}"/>
    <cellStyle name="Normal 163 4" xfId="6082" xr:uid="{6A8908F8-C230-44C7-B93D-67F0BA2EC60E}"/>
    <cellStyle name="Normal 163_DEO ADIT Unprotected" xfId="2933" xr:uid="{E4510C4A-B9ED-4154-917C-F801B1AC119E}"/>
    <cellStyle name="Normal 164" xfId="1029" xr:uid="{00000000-0005-0000-0000-000010040000}"/>
    <cellStyle name="Normal 164 2" xfId="1991" xr:uid="{00000000-0005-0000-0000-000011040000}"/>
    <cellStyle name="Normal 164 2 2" xfId="5241" xr:uid="{4401D67C-E01A-4ED8-9EDE-256E26F21312}"/>
    <cellStyle name="Normal 164 2 2 2" xfId="8621" xr:uid="{21DE46C4-B22D-4724-8D95-298467309C8C}"/>
    <cellStyle name="Normal 164 2 3" xfId="6921" xr:uid="{040B90AF-0A06-4912-8FFD-59204D852FF1}"/>
    <cellStyle name="Normal 164 2_DEO ADIT Unprotected" xfId="2936" xr:uid="{800793D4-2D2E-4294-8A98-2D56D295B92E}"/>
    <cellStyle name="Normal 164 3" xfId="4404" xr:uid="{D86AC9C2-9B4A-4972-B715-1E11471CB457}"/>
    <cellStyle name="Normal 164 3 2" xfId="7784" xr:uid="{B3C52E50-3D02-42EB-A3D0-2C0ECD8A4F3D}"/>
    <cellStyle name="Normal 164 4" xfId="6083" xr:uid="{C41DCF6B-A734-4430-8926-1A4A30E7DC18}"/>
    <cellStyle name="Normal 164_DEO ADIT Unprotected" xfId="2935" xr:uid="{FCE2FA1E-B326-4165-9F35-982DD105A234}"/>
    <cellStyle name="Normal 165" xfId="1030" xr:uid="{00000000-0005-0000-0000-000012040000}"/>
    <cellStyle name="Normal 165 2" xfId="1992" xr:uid="{00000000-0005-0000-0000-000013040000}"/>
    <cellStyle name="Normal 165 2 2" xfId="5242" xr:uid="{2E1B8D87-A163-4BB5-A5EF-E99912A27592}"/>
    <cellStyle name="Normal 165 2 2 2" xfId="8622" xr:uid="{9CD29706-E4D8-40DF-B443-F24FDE99AEC8}"/>
    <cellStyle name="Normal 165 2 3" xfId="6922" xr:uid="{DCE4418F-0C83-428E-8D00-49130EF18364}"/>
    <cellStyle name="Normal 165 2_DEO ADIT Unprotected" xfId="2938" xr:uid="{D1A66C74-E46D-44FF-A3B0-E0A9D93CF20F}"/>
    <cellStyle name="Normal 165 3" xfId="4405" xr:uid="{71A7023B-342E-4615-9671-C4B199FFCADE}"/>
    <cellStyle name="Normal 165 3 2" xfId="7785" xr:uid="{1A6663F8-1B75-4AA5-90A1-B8E7C11B0D2E}"/>
    <cellStyle name="Normal 165 4" xfId="6084" xr:uid="{7F97E343-AFED-4E51-8094-9A35B9E72821}"/>
    <cellStyle name="Normal 165_DEO ADIT Unprotected" xfId="2937" xr:uid="{6969F261-BE12-42DA-8E74-C14B925A6564}"/>
    <cellStyle name="Normal 166" xfId="1031" xr:uid="{00000000-0005-0000-0000-000014040000}"/>
    <cellStyle name="Normal 166 2" xfId="1993" xr:uid="{00000000-0005-0000-0000-000015040000}"/>
    <cellStyle name="Normal 166 2 2" xfId="5243" xr:uid="{DE1DD0F6-8BD3-4A2A-88AA-6EF092D475EA}"/>
    <cellStyle name="Normal 166 2 2 2" xfId="8623" xr:uid="{D27AF4CA-A127-42F7-9D4F-23CCABABFB5F}"/>
    <cellStyle name="Normal 166 2 3" xfId="6923" xr:uid="{C6F97C99-0DB0-4F8F-B5C8-C6ED932D4FF0}"/>
    <cellStyle name="Normal 166 2_DEO ADIT Unprotected" xfId="2940" xr:uid="{07DD4EE7-D0ED-42AB-ACCE-1070CBFA32FC}"/>
    <cellStyle name="Normal 166 3" xfId="4406" xr:uid="{7B8073C1-AF37-4A52-9F98-9D81BF939D2D}"/>
    <cellStyle name="Normal 166 3 2" xfId="7786" xr:uid="{FB45A330-E978-4FA2-9F4E-0E83D22DE9B8}"/>
    <cellStyle name="Normal 166 4" xfId="6085" xr:uid="{9FCA60B0-364B-43D3-A213-7C5B4489D5D1}"/>
    <cellStyle name="Normal 166_DEO ADIT Unprotected" xfId="2939" xr:uid="{10047E2D-594B-41C9-87FC-19DA8C2E1A3B}"/>
    <cellStyle name="Normal 167" xfId="1032" xr:uid="{00000000-0005-0000-0000-000016040000}"/>
    <cellStyle name="Normal 167 2" xfId="1994" xr:uid="{00000000-0005-0000-0000-000017040000}"/>
    <cellStyle name="Normal 167 2 2" xfId="5244" xr:uid="{B27E478C-E9A6-42F4-A6AC-FF6E391FA60B}"/>
    <cellStyle name="Normal 167 2 2 2" xfId="8624" xr:uid="{7771840A-9C8C-4C36-8262-1B52E9AEE1A1}"/>
    <cellStyle name="Normal 167 2 3" xfId="6924" xr:uid="{161D0DD7-8BF5-4FD2-9AA3-444CC3322689}"/>
    <cellStyle name="Normal 167 2_DEO ADIT Unprotected" xfId="2942" xr:uid="{E8550818-8A0C-4BEE-B672-D0A87132081B}"/>
    <cellStyle name="Normal 167 3" xfId="4407" xr:uid="{6D574A9C-179A-4283-8BD4-2EC51443D67D}"/>
    <cellStyle name="Normal 167 3 2" xfId="7787" xr:uid="{DF971425-6B7B-41F9-B49E-4CD6ADDB93A1}"/>
    <cellStyle name="Normal 167 4" xfId="6086" xr:uid="{012C40E9-210B-4953-86F7-FFA7AF9AA437}"/>
    <cellStyle name="Normal 167_DEO ADIT Unprotected" xfId="2941" xr:uid="{C84E887F-64E8-41BB-BEDD-FEAE9D78F6DF}"/>
    <cellStyle name="Normal 168" xfId="1033" xr:uid="{00000000-0005-0000-0000-000018040000}"/>
    <cellStyle name="Normal 168 2" xfId="1995" xr:uid="{00000000-0005-0000-0000-000019040000}"/>
    <cellStyle name="Normal 168 2 2" xfId="5245" xr:uid="{902BF00D-F417-4397-8EC4-5DD1F6FC5C28}"/>
    <cellStyle name="Normal 168 2 2 2" xfId="8625" xr:uid="{687995ED-3618-4A49-854F-C50B6438AA62}"/>
    <cellStyle name="Normal 168 2 3" xfId="6925" xr:uid="{79C8B620-CF41-4976-AFFA-E16B8BE4ACC9}"/>
    <cellStyle name="Normal 168 2_DEO ADIT Unprotected" xfId="2944" xr:uid="{47345ACE-7DB8-4098-BE12-530D21F82653}"/>
    <cellStyle name="Normal 168 3" xfId="4408" xr:uid="{D646BD04-236B-42AA-A53C-10B097C10975}"/>
    <cellStyle name="Normal 168 3 2" xfId="7788" xr:uid="{14D7629F-3FFF-4838-96FB-76970A17BDBB}"/>
    <cellStyle name="Normal 168 4" xfId="6087" xr:uid="{FE65B2C0-DDAC-4476-A260-8BC62096B72D}"/>
    <cellStyle name="Normal 168_DEO ADIT Unprotected" xfId="2943" xr:uid="{605D08AC-CA5F-4FC3-8FA9-4DA131F5116C}"/>
    <cellStyle name="Normal 169" xfId="1034" xr:uid="{00000000-0005-0000-0000-00001A040000}"/>
    <cellStyle name="Normal 169 2" xfId="1996" xr:uid="{00000000-0005-0000-0000-00001B040000}"/>
    <cellStyle name="Normal 169 2 2" xfId="5246" xr:uid="{85307DB3-FE07-4310-BD08-368AEDCA187C}"/>
    <cellStyle name="Normal 169 2 2 2" xfId="8626" xr:uid="{004E03A7-A673-4916-A34F-846F110D6EDB}"/>
    <cellStyle name="Normal 169 2 3" xfId="6926" xr:uid="{EF6F3480-2AE0-4B59-986F-BF1F6F6435A1}"/>
    <cellStyle name="Normal 169 2_DEO ADIT Unprotected" xfId="2946" xr:uid="{CA4DBE82-F8E9-4B95-9AE9-AF8EDF660A9E}"/>
    <cellStyle name="Normal 169 3" xfId="4409" xr:uid="{91ADE34F-EF7F-4F3E-A435-D7865C63A2C4}"/>
    <cellStyle name="Normal 169 3 2" xfId="7789" xr:uid="{7144FD90-A448-4410-B7F0-7B3C91B0D188}"/>
    <cellStyle name="Normal 169 4" xfId="6088" xr:uid="{20F07E6E-F1CD-4ED9-A4D4-23E11CB4187B}"/>
    <cellStyle name="Normal 169_DEO ADIT Unprotected" xfId="2945" xr:uid="{9E808E06-4F86-4D98-9E63-F2461FE36374}"/>
    <cellStyle name="Normal 17" xfId="352" xr:uid="{00000000-0005-0000-0000-00001C040000}"/>
    <cellStyle name="Normal 17 2" xfId="1035" xr:uid="{00000000-0005-0000-0000-00001D040000}"/>
    <cellStyle name="Normal 17 3" xfId="1036" xr:uid="{00000000-0005-0000-0000-00001E040000}"/>
    <cellStyle name="Normal 17 3 2" xfId="1997" xr:uid="{00000000-0005-0000-0000-00001F040000}"/>
    <cellStyle name="Normal 17 3 2 2" xfId="5247" xr:uid="{4A7C502F-FF8E-4A2F-B0E7-6F0307A33A51}"/>
    <cellStyle name="Normal 17 3 2 2 2" xfId="8627" xr:uid="{53CED7C6-DA58-4B01-B12D-9D2ACA71849D}"/>
    <cellStyle name="Normal 17 3 2 3" xfId="6927" xr:uid="{60DF7F6C-85BE-4EC7-8F0B-8CA24B42BAE7}"/>
    <cellStyle name="Normal 17 3 2_DEO ADIT Unprotected" xfId="2949" xr:uid="{6C6E1667-DA30-4726-86B7-EB8E780B39B9}"/>
    <cellStyle name="Normal 17 3 3" xfId="4410" xr:uid="{8F17BAD9-4188-4253-AE87-42A2830AAE71}"/>
    <cellStyle name="Normal 17 3 3 2" xfId="7790" xr:uid="{EF3E50C3-4B67-401E-98FC-D4AC9C665C00}"/>
    <cellStyle name="Normal 17 3 4" xfId="6089" xr:uid="{D41276D4-4827-440C-B773-F4C4218B8D99}"/>
    <cellStyle name="Normal 17 3_DEO ADIT Unprotected" xfId="2948" xr:uid="{3C989117-5281-456F-B70D-671F1D13AD3A}"/>
    <cellStyle name="Normal 17_DEO ADIT Unprotected" xfId="2947" xr:uid="{787C4191-586F-443D-B17B-3FAEC9C2A488}"/>
    <cellStyle name="Normal 170" xfId="1037" xr:uid="{00000000-0005-0000-0000-000020040000}"/>
    <cellStyle name="Normal 170 2" xfId="1998" xr:uid="{00000000-0005-0000-0000-000021040000}"/>
    <cellStyle name="Normal 170 2 2" xfId="5248" xr:uid="{C4153FDF-C8EF-4D54-99EF-395C23A48905}"/>
    <cellStyle name="Normal 170 2 2 2" xfId="8628" xr:uid="{F60C1A2D-4A08-4C36-86A9-D4B8E187EF44}"/>
    <cellStyle name="Normal 170 2 3" xfId="6928" xr:uid="{3969FE7C-402F-4F69-98FE-4683D0BC0A1F}"/>
    <cellStyle name="Normal 170 2_DEO ADIT Unprotected" xfId="2951" xr:uid="{FD577A38-FD42-4DA8-B33F-8BCE971D4184}"/>
    <cellStyle name="Normal 170 3" xfId="4411" xr:uid="{30486092-DE04-4291-BC28-F1CC32EB7B6B}"/>
    <cellStyle name="Normal 170 3 2" xfId="7791" xr:uid="{3E44DD16-201D-4787-BB69-CFC0D4AAD4C9}"/>
    <cellStyle name="Normal 170 4" xfId="6090" xr:uid="{B93E4FC5-7442-4E5D-9956-2A4E0CC90385}"/>
    <cellStyle name="Normal 170_DEO ADIT Unprotected" xfId="2950" xr:uid="{92DAAD97-2D92-4B9B-B3F4-E3ED8C6127D1}"/>
    <cellStyle name="Normal 171" xfId="1038" xr:uid="{00000000-0005-0000-0000-000022040000}"/>
    <cellStyle name="Normal 171 2" xfId="1999" xr:uid="{00000000-0005-0000-0000-000023040000}"/>
    <cellStyle name="Normal 171 2 2" xfId="5249" xr:uid="{50CA499D-36D7-4924-8A85-0DF30A18948B}"/>
    <cellStyle name="Normal 171 2 2 2" xfId="8629" xr:uid="{F9866B3A-DE68-448B-A317-317879FDF75B}"/>
    <cellStyle name="Normal 171 2 3" xfId="6929" xr:uid="{0B2FE123-1E6E-49E3-ACE3-CCF04FA878C9}"/>
    <cellStyle name="Normal 171 2_DEO ADIT Unprotected" xfId="2953" xr:uid="{5B30729F-32FA-4FAC-81AC-5CC5D51FD1F4}"/>
    <cellStyle name="Normal 171 3" xfId="4412" xr:uid="{16350028-C00D-43AF-A31E-F6F1EA6227F5}"/>
    <cellStyle name="Normal 171 3 2" xfId="7792" xr:uid="{673AFA46-25F8-4784-A616-7F15615AD8AD}"/>
    <cellStyle name="Normal 171 4" xfId="6091" xr:uid="{3C4EAFB8-20F1-4A26-A4F7-736A8C0B5BB2}"/>
    <cellStyle name="Normal 171_DEO ADIT Unprotected" xfId="2952" xr:uid="{41D89889-AD63-41E4-988D-B80F87549424}"/>
    <cellStyle name="Normal 172" xfId="1039" xr:uid="{00000000-0005-0000-0000-000024040000}"/>
    <cellStyle name="Normal 172 2" xfId="2000" xr:uid="{00000000-0005-0000-0000-000025040000}"/>
    <cellStyle name="Normal 172 2 2" xfId="5250" xr:uid="{1EFDC977-AF62-486D-B022-D7031A50E3D2}"/>
    <cellStyle name="Normal 172 2 2 2" xfId="8630" xr:uid="{E8EF0C64-4A15-447C-8BA1-5E0E478772BD}"/>
    <cellStyle name="Normal 172 2 3" xfId="6930" xr:uid="{5B226025-DE10-4DF2-B83C-1B62BD6FFC93}"/>
    <cellStyle name="Normal 172 2_DEO ADIT Unprotected" xfId="2955" xr:uid="{84B2EE45-F7EE-432D-AEA4-58A18843A377}"/>
    <cellStyle name="Normal 172 3" xfId="4413" xr:uid="{DE90861A-FE8D-4CDF-A6BA-4D70B121AADE}"/>
    <cellStyle name="Normal 172 3 2" xfId="7793" xr:uid="{1B70F4B6-B534-4E12-BADE-FF72019DB1F8}"/>
    <cellStyle name="Normal 172 4" xfId="6092" xr:uid="{4484CD1F-7DCA-47F8-B104-D62B51E539A8}"/>
    <cellStyle name="Normal 172_DEO ADIT Unprotected" xfId="2954" xr:uid="{C67AF780-9955-4B1E-BF2D-8B2B44588C01}"/>
    <cellStyle name="Normal 173" xfId="1040" xr:uid="{00000000-0005-0000-0000-000026040000}"/>
    <cellStyle name="Normal 173 2" xfId="2001" xr:uid="{00000000-0005-0000-0000-000027040000}"/>
    <cellStyle name="Normal 173 2 2" xfId="5251" xr:uid="{37D61792-F4D2-4337-91F4-0F59FF3418DF}"/>
    <cellStyle name="Normal 173 2 2 2" xfId="8631" xr:uid="{4118CB16-CFB8-4B05-9529-16EA149DFBD1}"/>
    <cellStyle name="Normal 173 2 3" xfId="6931" xr:uid="{0AB6571A-8255-4E5A-9BDD-BBB961F5C231}"/>
    <cellStyle name="Normal 173 2_DEO ADIT Unprotected" xfId="2957" xr:uid="{6643F81D-1818-4ED4-9D1B-AAD0CFA5D3ED}"/>
    <cellStyle name="Normal 173 3" xfId="4414" xr:uid="{FECA8CAC-6643-4F83-916C-2232F9EA9BB7}"/>
    <cellStyle name="Normal 173 3 2" xfId="7794" xr:uid="{A8F77B2A-9142-4CA5-AC02-71F627C3F401}"/>
    <cellStyle name="Normal 173 4" xfId="6093" xr:uid="{D9D7B18B-38BB-4495-95F1-43DB82240CDE}"/>
    <cellStyle name="Normal 173_DEO ADIT Unprotected" xfId="2956" xr:uid="{7B5094F7-8F16-421F-B915-91F5A745FCD6}"/>
    <cellStyle name="Normal 174" xfId="1041" xr:uid="{00000000-0005-0000-0000-000028040000}"/>
    <cellStyle name="Normal 174 2" xfId="2002" xr:uid="{00000000-0005-0000-0000-000029040000}"/>
    <cellStyle name="Normal 174 2 2" xfId="5252" xr:uid="{41CF603A-3E98-495F-BA22-D91252BE055C}"/>
    <cellStyle name="Normal 174 2 2 2" xfId="8632" xr:uid="{0FF50F0C-1CF8-4722-93D5-29F2D4A20C33}"/>
    <cellStyle name="Normal 174 2 3" xfId="6932" xr:uid="{3CBEE811-4CF4-43A3-8EE7-40FEB9C21F25}"/>
    <cellStyle name="Normal 174 2_DEO ADIT Unprotected" xfId="2959" xr:uid="{233287E9-ACB6-4CE8-A2ED-13A8939D2000}"/>
    <cellStyle name="Normal 174 3" xfId="4415" xr:uid="{731BE238-2A83-4548-B771-8700A6F74598}"/>
    <cellStyle name="Normal 174 3 2" xfId="7795" xr:uid="{42D34B86-58E4-4116-92C7-FB82EB418986}"/>
    <cellStyle name="Normal 174 4" xfId="6094" xr:uid="{8A81F0EB-CE09-4DA5-B75C-1E498162360B}"/>
    <cellStyle name="Normal 174_DEO ADIT Unprotected" xfId="2958" xr:uid="{1AA6B4C0-632F-409B-BFF8-9BC8D82CB7D7}"/>
    <cellStyle name="Normal 175" xfId="1042" xr:uid="{00000000-0005-0000-0000-00002A040000}"/>
    <cellStyle name="Normal 175 2" xfId="2003" xr:uid="{00000000-0005-0000-0000-00002B040000}"/>
    <cellStyle name="Normal 175 2 2" xfId="5253" xr:uid="{73260AC0-599C-4CDF-91E0-6F895F78B8FF}"/>
    <cellStyle name="Normal 175 2 2 2" xfId="8633" xr:uid="{7F4BA2D6-AC5B-482A-8776-159022FD4F36}"/>
    <cellStyle name="Normal 175 2 3" xfId="6933" xr:uid="{BA8D23BD-8B06-4BEB-B8A8-84DF139F351F}"/>
    <cellStyle name="Normal 175 2_DEO ADIT Unprotected" xfId="2961" xr:uid="{314FD18B-BBE5-4959-895D-05B127458EF4}"/>
    <cellStyle name="Normal 175 3" xfId="4416" xr:uid="{81C04972-077C-4D59-963A-0D22199FE0A4}"/>
    <cellStyle name="Normal 175 3 2" xfId="7796" xr:uid="{797A434E-DBDA-4D59-98BE-80C09356DAA5}"/>
    <cellStyle name="Normal 175 4" xfId="6095" xr:uid="{5C7648A5-F13B-42C3-BC6D-A08976F42441}"/>
    <cellStyle name="Normal 175_DEO ADIT Unprotected" xfId="2960" xr:uid="{F4A7C90E-532E-4019-88A1-6A7E48463125}"/>
    <cellStyle name="Normal 176" xfId="1043" xr:uid="{00000000-0005-0000-0000-00002C040000}"/>
    <cellStyle name="Normal 176 2" xfId="2004" xr:uid="{00000000-0005-0000-0000-00002D040000}"/>
    <cellStyle name="Normal 176 2 2" xfId="5254" xr:uid="{0DAE5FCE-4C0D-4BEB-94FF-203FAAE7D7A9}"/>
    <cellStyle name="Normal 176 2 2 2" xfId="8634" xr:uid="{52941190-56F7-4D9A-B2F2-4443DEDC79CC}"/>
    <cellStyle name="Normal 176 2 3" xfId="6934" xr:uid="{14104C2E-62A3-47C2-85EE-71E9114C6432}"/>
    <cellStyle name="Normal 176 2_DEO ADIT Unprotected" xfId="2963" xr:uid="{55B09539-CFAF-4350-B347-5328D86A3533}"/>
    <cellStyle name="Normal 176 3" xfId="4417" xr:uid="{DFD5E5C6-068C-494A-AE2A-7224F5B43F51}"/>
    <cellStyle name="Normal 176 3 2" xfId="7797" xr:uid="{3A95563B-8E20-4C30-A463-F9D32D761442}"/>
    <cellStyle name="Normal 176 4" xfId="6096" xr:uid="{3EC2CB16-7DCB-48AB-8DF0-E9045C2F9ABA}"/>
    <cellStyle name="Normal 176_DEO ADIT Unprotected" xfId="2962" xr:uid="{805A06C4-214C-48AA-808C-7E30BDFD90DC}"/>
    <cellStyle name="Normal 177" xfId="1044" xr:uid="{00000000-0005-0000-0000-00002E040000}"/>
    <cellStyle name="Normal 177 2" xfId="2005" xr:uid="{00000000-0005-0000-0000-00002F040000}"/>
    <cellStyle name="Normal 177 2 2" xfId="5255" xr:uid="{26C51F78-7B39-4294-8EDE-E4AFFFCE98ED}"/>
    <cellStyle name="Normal 177 2 2 2" xfId="8635" xr:uid="{1A2DF335-F394-4FB3-9EA7-525CA5B3136B}"/>
    <cellStyle name="Normal 177 2 3" xfId="6935" xr:uid="{89B9C2C5-9F9A-482F-87E6-5AD087547E93}"/>
    <cellStyle name="Normal 177 2_DEO ADIT Unprotected" xfId="2965" xr:uid="{81A5FD90-2EAE-4B6D-B029-8C9C280EF9C9}"/>
    <cellStyle name="Normal 177 3" xfId="4418" xr:uid="{E7116095-44D1-4869-AF37-B7C53DC6B59F}"/>
    <cellStyle name="Normal 177 3 2" xfId="7798" xr:uid="{85EF8837-F4AF-4A84-A66E-9BC4196E1A36}"/>
    <cellStyle name="Normal 177 4" xfId="6097" xr:uid="{42D0A87F-5049-4E93-A4B2-5EEB037D7599}"/>
    <cellStyle name="Normal 177_DEO ADIT Unprotected" xfId="2964" xr:uid="{A84D0335-7C0B-4DB1-8B7A-196F539FE90B}"/>
    <cellStyle name="Normal 178" xfId="1045" xr:uid="{00000000-0005-0000-0000-000030040000}"/>
    <cellStyle name="Normal 178 2" xfId="2006" xr:uid="{00000000-0005-0000-0000-000031040000}"/>
    <cellStyle name="Normal 178 2 2" xfId="5256" xr:uid="{435216DA-32C7-4655-B06E-BF49F4104A21}"/>
    <cellStyle name="Normal 178 2 2 2" xfId="8636" xr:uid="{7EBD9A5B-FA79-4FE6-B278-275926ACBAA3}"/>
    <cellStyle name="Normal 178 2 3" xfId="6936" xr:uid="{9A90B9A6-C239-43ED-914E-93422561125C}"/>
    <cellStyle name="Normal 178 2_DEO ADIT Unprotected" xfId="2967" xr:uid="{444E4757-DA91-4E4B-92E6-2CF81DDFDE90}"/>
    <cellStyle name="Normal 178 3" xfId="4419" xr:uid="{80FF9B76-4CB8-4CBE-8CDD-B293B0551025}"/>
    <cellStyle name="Normal 178 3 2" xfId="7799" xr:uid="{299ED9A4-7E33-4035-B441-781064179CA8}"/>
    <cellStyle name="Normal 178 4" xfId="6098" xr:uid="{B29EBA2E-4A94-400D-B3CE-A3F9C001EE61}"/>
    <cellStyle name="Normal 178_DEO ADIT Unprotected" xfId="2966" xr:uid="{27BF7F7A-CD74-4CD8-9787-9389405F81E9}"/>
    <cellStyle name="Normal 179" xfId="1046" xr:uid="{00000000-0005-0000-0000-000032040000}"/>
    <cellStyle name="Normal 179 2" xfId="2007" xr:uid="{00000000-0005-0000-0000-000033040000}"/>
    <cellStyle name="Normal 179 2 2" xfId="5257" xr:uid="{BD51C75B-7FF4-40A7-938A-401AA71C0976}"/>
    <cellStyle name="Normal 179 2 2 2" xfId="8637" xr:uid="{13BDDF2C-5C17-4E0A-ADBE-5E089D9D3342}"/>
    <cellStyle name="Normal 179 2 3" xfId="6937" xr:uid="{03AB01B2-EEC7-4BDE-B141-414AC6444DE8}"/>
    <cellStyle name="Normal 179 2_DEO ADIT Unprotected" xfId="2969" xr:uid="{4593A3AD-B9A1-4920-872E-353647278255}"/>
    <cellStyle name="Normal 179 3" xfId="4420" xr:uid="{F5A952F4-DE68-4B0E-BDB2-8C6C0F267795}"/>
    <cellStyle name="Normal 179 3 2" xfId="7800" xr:uid="{404DE4FB-BF11-4B74-9AF1-E438081683F2}"/>
    <cellStyle name="Normal 179 4" xfId="6099" xr:uid="{C9020417-6129-47F3-AB9F-F4E125C2177F}"/>
    <cellStyle name="Normal 179_DEO ADIT Unprotected" xfId="2968" xr:uid="{9EED8009-E3BF-401F-B841-1B97B192301F}"/>
    <cellStyle name="Normal 18" xfId="358" xr:uid="{00000000-0005-0000-0000-000034040000}"/>
    <cellStyle name="Normal 18 2" xfId="450" xr:uid="{00000000-0005-0000-0000-000035040000}"/>
    <cellStyle name="Normal 18 2 2" xfId="487" xr:uid="{00000000-0005-0000-0000-000036040000}"/>
    <cellStyle name="Normal 18 2 2 2" xfId="1680" xr:uid="{00000000-0005-0000-0000-000037040000}"/>
    <cellStyle name="Normal 18 2 2 2 2" xfId="4930" xr:uid="{6A99DB6B-2570-4635-A428-DDDF4B2823E9}"/>
    <cellStyle name="Normal 18 2 2 2 2 2" xfId="8310" xr:uid="{4250427F-41DE-4AD9-ACFC-11D7CF7C31D1}"/>
    <cellStyle name="Normal 18 2 2 2 3" xfId="6610" xr:uid="{E32E06B5-71F8-4A9A-9142-A8096D232061}"/>
    <cellStyle name="Normal 18 2 2 2_DEO ADIT Unprotected" xfId="2973" xr:uid="{9897ECA2-6E6F-4497-BE09-E36559E6805F}"/>
    <cellStyle name="Normal 18 2 2 3" xfId="4093" xr:uid="{19794448-2B11-4469-B9A3-9E7DA0222738}"/>
    <cellStyle name="Normal 18 2 2 3 2" xfId="7473" xr:uid="{09EF2CF9-FB92-4C6E-9914-2529A12C81AC}"/>
    <cellStyle name="Normal 18 2 2 4" xfId="5772" xr:uid="{84ED2F9D-AB07-4CF7-9C2B-DA1622C81947}"/>
    <cellStyle name="Normal 18 2 2_DEO ADIT Unprotected" xfId="2972" xr:uid="{2A538108-7AE5-4AF3-911D-D7D1AAA1294F}"/>
    <cellStyle name="Normal 18 2 3" xfId="1648" xr:uid="{00000000-0005-0000-0000-000038040000}"/>
    <cellStyle name="Normal 18 2 3 2" xfId="4898" xr:uid="{C77ACC75-A17E-42C2-A893-460E0ED4283A}"/>
    <cellStyle name="Normal 18 2 3 2 2" xfId="8278" xr:uid="{1DD32B1C-A9EC-449A-A4AC-51550AD2FF81}"/>
    <cellStyle name="Normal 18 2 3 3" xfId="6578" xr:uid="{A72C3FA9-2BA8-4928-8CD8-19857D0ECDEF}"/>
    <cellStyle name="Normal 18 2 3_DEO ADIT Unprotected" xfId="2974" xr:uid="{C5B4B127-60E2-4CCC-B895-9985942FD916}"/>
    <cellStyle name="Normal 18 2 4" xfId="4061" xr:uid="{9E01C9D2-4CD6-4B46-8718-D82EBF60BED4}"/>
    <cellStyle name="Normal 18 2 4 2" xfId="7441" xr:uid="{9D9AB0A1-9AD5-4348-B252-14675AE9823F}"/>
    <cellStyle name="Normal 18 2 5" xfId="5740" xr:uid="{32684678-A204-4210-86DE-7BCFB233F2F3}"/>
    <cellStyle name="Normal 18 2_DEO ADIT Unprotected" xfId="2971" xr:uid="{9E3A7EC7-AFEB-45B9-A707-EF120F31F10B}"/>
    <cellStyle name="Normal 18 3" xfId="464" xr:uid="{00000000-0005-0000-0000-000039040000}"/>
    <cellStyle name="Normal 18 3 2" xfId="498" xr:uid="{00000000-0005-0000-0000-00003A040000}"/>
    <cellStyle name="Normal 18 3 2 2" xfId="1691" xr:uid="{00000000-0005-0000-0000-00003B040000}"/>
    <cellStyle name="Normal 18 3 2 2 2" xfId="4941" xr:uid="{BB0B789D-5B16-44ED-ADA9-B7DB2AB14BDC}"/>
    <cellStyle name="Normal 18 3 2 2 2 2" xfId="8321" xr:uid="{A6467F86-5F35-4B1B-B4E8-B31448320983}"/>
    <cellStyle name="Normal 18 3 2 2 3" xfId="6621" xr:uid="{209EEB0D-EA8D-43BB-BFC3-9F9017E58128}"/>
    <cellStyle name="Normal 18 3 2 2_DEO ADIT Unprotected" xfId="2977" xr:uid="{DBF71B77-AF5B-4D1A-BA65-84A19EE67240}"/>
    <cellStyle name="Normal 18 3 2 3" xfId="4104" xr:uid="{780A9B98-6509-41A0-B6B2-4E89EF5E33BA}"/>
    <cellStyle name="Normal 18 3 2 3 2" xfId="7484" xr:uid="{21BD60E1-BB32-45CA-BB6F-E32E95C0A0B3}"/>
    <cellStyle name="Normal 18 3 2 4" xfId="5783" xr:uid="{3515CABA-48C4-4697-B1AD-1E0D5A5C8C8D}"/>
    <cellStyle name="Normal 18 3 2_DEO ADIT Unprotected" xfId="2976" xr:uid="{34F54C98-D561-4196-BBA3-F11F468EF7F6}"/>
    <cellStyle name="Normal 18 3 3" xfId="1659" xr:uid="{00000000-0005-0000-0000-00003C040000}"/>
    <cellStyle name="Normal 18 3 3 2" xfId="4909" xr:uid="{543CC9E6-D766-456F-BD14-5F27C2C6BBB2}"/>
    <cellStyle name="Normal 18 3 3 2 2" xfId="8289" xr:uid="{6E355372-6C91-4005-AE5D-DEA653AA33E0}"/>
    <cellStyle name="Normal 18 3 3 3" xfId="6589" xr:uid="{44063862-303D-497A-B730-DB695F4766E6}"/>
    <cellStyle name="Normal 18 3 3_DEO ADIT Unprotected" xfId="2978" xr:uid="{87F14D07-26BE-43B8-8085-0582B3D66356}"/>
    <cellStyle name="Normal 18 3 4" xfId="4072" xr:uid="{345AD09B-DF2C-45AD-AB96-B87774C4D5C6}"/>
    <cellStyle name="Normal 18 3 4 2" xfId="7452" xr:uid="{E4F6DE01-B5FA-4468-BCE4-77F96F71AF2F}"/>
    <cellStyle name="Normal 18 3 5" xfId="5751" xr:uid="{F7981D74-93D4-47A1-A584-6A617B4DC789}"/>
    <cellStyle name="Normal 18 3_DEO ADIT Unprotected" xfId="2975" xr:uid="{C4100DB3-4AEB-4566-AB9E-F9DE6CCDF64A}"/>
    <cellStyle name="Normal 18 4" xfId="443" xr:uid="{00000000-0005-0000-0000-00003D040000}"/>
    <cellStyle name="Normal 18 4 2" xfId="482" xr:uid="{00000000-0005-0000-0000-00003E040000}"/>
    <cellStyle name="Normal 18 4 2 2" xfId="1675" xr:uid="{00000000-0005-0000-0000-00003F040000}"/>
    <cellStyle name="Normal 18 4 2 2 2" xfId="4925" xr:uid="{CD7DDBB4-B31B-48F0-89DF-B50D65623D28}"/>
    <cellStyle name="Normal 18 4 2 2 2 2" xfId="8305" xr:uid="{ED24FC2E-2119-4F3B-BDB6-03543AFAE493}"/>
    <cellStyle name="Normal 18 4 2 2 3" xfId="6605" xr:uid="{304A7035-2FCD-448C-BF1B-F8F321E3464B}"/>
    <cellStyle name="Normal 18 4 2 2_DEO ADIT Unprotected" xfId="2981" xr:uid="{ABBCF1AA-98DD-4BCE-8AA4-2E60A07DF953}"/>
    <cellStyle name="Normal 18 4 2 3" xfId="4088" xr:uid="{2A197086-93ED-4D10-9BFE-84A5659F397C}"/>
    <cellStyle name="Normal 18 4 2 3 2" xfId="7468" xr:uid="{2C462A17-4183-4BCF-B8C6-345B15DF6CD2}"/>
    <cellStyle name="Normal 18 4 2 4" xfId="5767" xr:uid="{4FB63D18-971C-42F8-A592-D385F471CFC9}"/>
    <cellStyle name="Normal 18 4 2_DEO ADIT Unprotected" xfId="2980" xr:uid="{ACB70ACD-3150-4C98-8BAF-4BE4B3E5E234}"/>
    <cellStyle name="Normal 18 4 3" xfId="1643" xr:uid="{00000000-0005-0000-0000-000040040000}"/>
    <cellStyle name="Normal 18 4 3 2" xfId="4893" xr:uid="{7AC6CD42-1177-4925-937E-653D793EF5BF}"/>
    <cellStyle name="Normal 18 4 3 2 2" xfId="8273" xr:uid="{90F7A1E1-A13E-4AE6-8973-EEE3AEE504C8}"/>
    <cellStyle name="Normal 18 4 3 3" xfId="6573" xr:uid="{C64A55E1-5712-4EEF-AB79-28A9CB7C45ED}"/>
    <cellStyle name="Normal 18 4 3_DEO ADIT Unprotected" xfId="2982" xr:uid="{84D44F18-C4C3-4FE7-9A71-C3737FFC5EC4}"/>
    <cellStyle name="Normal 18 4 4" xfId="4056" xr:uid="{51C713D7-1612-4434-BE39-8956E5D9FEF6}"/>
    <cellStyle name="Normal 18 4 4 2" xfId="7436" xr:uid="{5F3F8CB6-C345-47E8-B6B4-AF59DC816511}"/>
    <cellStyle name="Normal 18 4 5" xfId="5735" xr:uid="{242A9B66-DE63-469C-9975-C7C0C9BD6194}"/>
    <cellStyle name="Normal 18 4_DEO ADIT Unprotected" xfId="2979" xr:uid="{8504F8FF-F9A1-4592-9E39-3E421209CB13}"/>
    <cellStyle name="Normal 18 5" xfId="474" xr:uid="{00000000-0005-0000-0000-000041040000}"/>
    <cellStyle name="Normal 18 5 2" xfId="1667" xr:uid="{00000000-0005-0000-0000-000042040000}"/>
    <cellStyle name="Normal 18 5 2 2" xfId="4917" xr:uid="{10E73F3A-176B-45FB-BB44-F6FBAC777704}"/>
    <cellStyle name="Normal 18 5 2 2 2" xfId="8297" xr:uid="{54CD91C4-CBDE-47BB-9963-275C3F9B3881}"/>
    <cellStyle name="Normal 18 5 2 3" xfId="6597" xr:uid="{F1913F30-45EB-4055-AAD1-FE0E6926E65E}"/>
    <cellStyle name="Normal 18 5 2_DEO ADIT Unprotected" xfId="2984" xr:uid="{78D0048E-19B2-491B-9864-96C8C05B6FCB}"/>
    <cellStyle name="Normal 18 5 3" xfId="4080" xr:uid="{26EB7449-43AA-47EB-8B2C-D22EA45348C4}"/>
    <cellStyle name="Normal 18 5 3 2" xfId="7460" xr:uid="{9824AAB8-8C81-4D25-BB04-8FF3D3A810A2}"/>
    <cellStyle name="Normal 18 5 4" xfId="5759" xr:uid="{6C1C63D9-AF1F-460E-A4E8-CAD592CE5DBA}"/>
    <cellStyle name="Normal 18 5_DEO ADIT Unprotected" xfId="2983" xr:uid="{679D2ABF-8BFC-4DFA-939F-3E4098C11FA0}"/>
    <cellStyle name="Normal 18 6" xfId="507" xr:uid="{00000000-0005-0000-0000-000043040000}"/>
    <cellStyle name="Normal 18 6 2" xfId="1699" xr:uid="{00000000-0005-0000-0000-000044040000}"/>
    <cellStyle name="Normal 18 6 2 2" xfId="4949" xr:uid="{C106288B-F0E5-4AA7-97B9-B06C8144D192}"/>
    <cellStyle name="Normal 18 6 2 2 2" xfId="8329" xr:uid="{01F9200F-E387-4209-B4B8-C6DAD832BE93}"/>
    <cellStyle name="Normal 18 6 2 3" xfId="6629" xr:uid="{66E6CCAD-7767-4B1E-B5CB-8139E7991D09}"/>
    <cellStyle name="Normal 18 6 2_DEO ADIT Unprotected" xfId="2986" xr:uid="{6660587C-1E91-41F2-9A05-CC319006A545}"/>
    <cellStyle name="Normal 18 6 3" xfId="4112" xr:uid="{FFAAF70B-BEA0-4B89-9A5B-1914B57398E9}"/>
    <cellStyle name="Normal 18 6 3 2" xfId="7492" xr:uid="{C4302E62-FFCE-4DE4-96BF-89E1A8B8A0A9}"/>
    <cellStyle name="Normal 18 6 4" xfId="5791" xr:uid="{E6B79706-2EA5-4C79-B0C7-3D861B1D13ED}"/>
    <cellStyle name="Normal 18 6_DEO ADIT Unprotected" xfId="2985" xr:uid="{A2C427C3-5092-4883-B5D7-73B43364484B}"/>
    <cellStyle name="Normal 18 7" xfId="1632" xr:uid="{00000000-0005-0000-0000-000045040000}"/>
    <cellStyle name="Normal 18 7 2" xfId="4882" xr:uid="{0EC44F5F-A12C-4435-B320-862D1E59FE0A}"/>
    <cellStyle name="Normal 18 7 2 2" xfId="8262" xr:uid="{B178E2DE-9385-4866-899F-B6914AC60DC0}"/>
    <cellStyle name="Normal 18 7 3" xfId="6562" xr:uid="{9B07D43D-6167-4C98-8F6E-9144A9A51F7B}"/>
    <cellStyle name="Normal 18 7_DEO ADIT Unprotected" xfId="2987" xr:uid="{148C86A9-A38F-435D-BA7B-3C51CABFBFD9}"/>
    <cellStyle name="Normal 18 8" xfId="4045" xr:uid="{3A188CC6-17F9-482D-9AFD-D5E3EBF77C9E}"/>
    <cellStyle name="Normal 18 8 2" xfId="7425" xr:uid="{8F21D07D-C86C-410A-8C42-85CC26CC566E}"/>
    <cellStyle name="Normal 18 9" xfId="5724" xr:uid="{2E09CA87-239C-4834-8D93-6A12664DD37A}"/>
    <cellStyle name="Normal 18_DEO ADIT Unprotected" xfId="2970" xr:uid="{2908A175-2734-4761-B5FB-054D2E4C4099}"/>
    <cellStyle name="Normal 180" xfId="1047" xr:uid="{00000000-0005-0000-0000-000046040000}"/>
    <cellStyle name="Normal 180 2" xfId="2008" xr:uid="{00000000-0005-0000-0000-000047040000}"/>
    <cellStyle name="Normal 180 2 2" xfId="5258" xr:uid="{4571F8AD-2054-464B-8B26-841DDADB74B6}"/>
    <cellStyle name="Normal 180 2 2 2" xfId="8638" xr:uid="{3E2A9239-3F04-4E90-9E0A-87F15226AC6A}"/>
    <cellStyle name="Normal 180 2 3" xfId="6938" xr:uid="{53F6567F-FFD3-4217-A90E-2B8284B37FEA}"/>
    <cellStyle name="Normal 180 2_DEO ADIT Unprotected" xfId="2989" xr:uid="{5F49C42A-FCB1-4A83-BCED-40D12E5D8B7B}"/>
    <cellStyle name="Normal 180 3" xfId="4421" xr:uid="{A84648E7-9FB5-474C-8B11-DEFF6DAA77F0}"/>
    <cellStyle name="Normal 180 3 2" xfId="7801" xr:uid="{BB864D7B-017D-407E-B377-4E1FF8EE9476}"/>
    <cellStyle name="Normal 180 4" xfId="6100" xr:uid="{9966569C-10F1-4580-B68F-23324466C262}"/>
    <cellStyle name="Normal 180_DEO ADIT Unprotected" xfId="2988" xr:uid="{F8FE74CC-3427-4692-A310-0E84624A6E8C}"/>
    <cellStyle name="Normal 181" xfId="1048" xr:uid="{00000000-0005-0000-0000-000048040000}"/>
    <cellStyle name="Normal 181 2" xfId="2009" xr:uid="{00000000-0005-0000-0000-000049040000}"/>
    <cellStyle name="Normal 181 2 2" xfId="5259" xr:uid="{D1269500-B7DA-45FC-8626-AEC5A15EA3C6}"/>
    <cellStyle name="Normal 181 2 2 2" xfId="8639" xr:uid="{A5CFA44C-E1F8-4A9F-8EF7-03AD02CFB1AD}"/>
    <cellStyle name="Normal 181 2 3" xfId="6939" xr:uid="{E18EED77-7062-478B-BBFA-87B27FA979E8}"/>
    <cellStyle name="Normal 181 2_DEO ADIT Unprotected" xfId="2991" xr:uid="{1B5AF355-C6ED-429C-B13F-42500AA7E530}"/>
    <cellStyle name="Normal 181 3" xfId="4422" xr:uid="{45A691D9-C94C-4699-B75A-652CCA6606CA}"/>
    <cellStyle name="Normal 181 3 2" xfId="7802" xr:uid="{9A043053-71CA-4C52-960C-4BA38C362D34}"/>
    <cellStyle name="Normal 181 4" xfId="6101" xr:uid="{0AEFDD9F-BD72-441E-B00B-48F8CC8DF50F}"/>
    <cellStyle name="Normal 181_DEO ADIT Unprotected" xfId="2990" xr:uid="{2E719189-813D-49DC-AAC8-2118D408D74A}"/>
    <cellStyle name="Normal 182" xfId="1049" xr:uid="{00000000-0005-0000-0000-00004A040000}"/>
    <cellStyle name="Normal 182 2" xfId="2010" xr:uid="{00000000-0005-0000-0000-00004B040000}"/>
    <cellStyle name="Normal 182 2 2" xfId="5260" xr:uid="{8BBCF346-7581-4836-8D51-6C8DBA3E353C}"/>
    <cellStyle name="Normal 182 2 2 2" xfId="8640" xr:uid="{B56466E4-A337-46A8-8CD9-0D7A5D6735C7}"/>
    <cellStyle name="Normal 182 2 3" xfId="6940" xr:uid="{415773E0-97D0-49C2-B648-0446FEFFFFCA}"/>
    <cellStyle name="Normal 182 2_DEO ADIT Unprotected" xfId="2993" xr:uid="{35D582CE-DE41-4575-A55E-16FBD7D8BDF7}"/>
    <cellStyle name="Normal 182 3" xfId="4423" xr:uid="{20BC97C1-0BA2-4E02-8B0A-F7D0095CAAC0}"/>
    <cellStyle name="Normal 182 3 2" xfId="7803" xr:uid="{D40EDD24-FD82-4B5D-8FC5-1F8FEFBB3139}"/>
    <cellStyle name="Normal 182 4" xfId="6102" xr:uid="{A1B1DC41-F3B7-4F36-AE4F-72F5995930DA}"/>
    <cellStyle name="Normal 182_DEO ADIT Unprotected" xfId="2992" xr:uid="{E15CD6D1-2EC0-4123-8DC8-27E945493F31}"/>
    <cellStyle name="Normal 183" xfId="1050" xr:uid="{00000000-0005-0000-0000-00004C040000}"/>
    <cellStyle name="Normal 183 2" xfId="2011" xr:uid="{00000000-0005-0000-0000-00004D040000}"/>
    <cellStyle name="Normal 183 2 2" xfId="5261" xr:uid="{B04B2FE6-628E-4619-BA3D-6A6F9D9ED14A}"/>
    <cellStyle name="Normal 183 2 2 2" xfId="8641" xr:uid="{4BB00901-8F3C-440E-9C2F-E234FA180819}"/>
    <cellStyle name="Normal 183 2 3" xfId="6941" xr:uid="{26A49F88-70EC-43BB-8898-8CBB7AE1DDA7}"/>
    <cellStyle name="Normal 183 2_DEO ADIT Unprotected" xfId="2995" xr:uid="{206D29C6-C65A-49D2-A391-5FEE14599AFA}"/>
    <cellStyle name="Normal 183 3" xfId="4424" xr:uid="{AE6D444F-7050-44A0-8CAC-DA56DD326189}"/>
    <cellStyle name="Normal 183 3 2" xfId="7804" xr:uid="{0D98AFC1-4C98-4535-8FD4-D40C0DE0F5B5}"/>
    <cellStyle name="Normal 183 4" xfId="6103" xr:uid="{BDFD831F-C2D3-4679-BBE7-D3C491338964}"/>
    <cellStyle name="Normal 183_DEO ADIT Unprotected" xfId="2994" xr:uid="{5D845690-8F30-4A0C-BE7E-0023B1DB9161}"/>
    <cellStyle name="Normal 184" xfId="1051" xr:uid="{00000000-0005-0000-0000-00004E040000}"/>
    <cellStyle name="Normal 184 2" xfId="2012" xr:uid="{00000000-0005-0000-0000-00004F040000}"/>
    <cellStyle name="Normal 184 2 2" xfId="5262" xr:uid="{DF1598DE-729F-4B12-8952-035C7776A0BD}"/>
    <cellStyle name="Normal 184 2 2 2" xfId="8642" xr:uid="{9EB91641-F829-4419-9B84-3E5D52F7380C}"/>
    <cellStyle name="Normal 184 2 3" xfId="6942" xr:uid="{98408DA3-8603-4356-A8EA-EDF94FBD837D}"/>
    <cellStyle name="Normal 184 2_DEO ADIT Unprotected" xfId="2997" xr:uid="{3854AEB1-EF96-4226-8B9F-80DB94E31DED}"/>
    <cellStyle name="Normal 184 3" xfId="4425" xr:uid="{1B327B1F-FD50-40A2-A49D-15FD0891A681}"/>
    <cellStyle name="Normal 184 3 2" xfId="7805" xr:uid="{4410D67D-34EB-4080-AE7E-82885A50116F}"/>
    <cellStyle name="Normal 184 4" xfId="6104" xr:uid="{F816B0BF-CEC9-487A-8F93-457642B28FFF}"/>
    <cellStyle name="Normal 184_DEO ADIT Unprotected" xfId="2996" xr:uid="{5424DBEB-E0AD-4ACF-A986-4157DC9D58C3}"/>
    <cellStyle name="Normal 185" xfId="1052" xr:uid="{00000000-0005-0000-0000-000050040000}"/>
    <cellStyle name="Normal 185 2" xfId="2013" xr:uid="{00000000-0005-0000-0000-000051040000}"/>
    <cellStyle name="Normal 185 2 2" xfId="5263" xr:uid="{78165EB4-C219-44CD-B06E-5AFD1646E204}"/>
    <cellStyle name="Normal 185 2 2 2" xfId="8643" xr:uid="{B2FCD40D-B6CA-4F45-A567-93F3687614E1}"/>
    <cellStyle name="Normal 185 2 3" xfId="6943" xr:uid="{7244E87F-F7ED-47D3-AC87-CB516ADC2345}"/>
    <cellStyle name="Normal 185 2_DEO ADIT Unprotected" xfId="2999" xr:uid="{04CF6D0D-AD92-4BD2-830B-03EC640DDE0C}"/>
    <cellStyle name="Normal 185 3" xfId="4426" xr:uid="{56CFA5DE-5C18-499A-9D88-3CCBE5675C90}"/>
    <cellStyle name="Normal 185 3 2" xfId="7806" xr:uid="{56615D28-4091-4EDF-8DA9-7CC8FCF364DD}"/>
    <cellStyle name="Normal 185 4" xfId="6105" xr:uid="{F0BC3E78-1AAD-42D8-B52E-B70F84FFFD24}"/>
    <cellStyle name="Normal 185_DEO ADIT Unprotected" xfId="2998" xr:uid="{67E461CA-AC28-4E01-8154-24861CC85CB1}"/>
    <cellStyle name="Normal 186" xfId="1053" xr:uid="{00000000-0005-0000-0000-000052040000}"/>
    <cellStyle name="Normal 186 2" xfId="2014" xr:uid="{00000000-0005-0000-0000-000053040000}"/>
    <cellStyle name="Normal 186 2 2" xfId="5264" xr:uid="{C8748979-DEC1-4714-91E6-3BB1FED0548B}"/>
    <cellStyle name="Normal 186 2 2 2" xfId="8644" xr:uid="{D096B8A0-0A8B-4F37-8D88-02D7F7B7A452}"/>
    <cellStyle name="Normal 186 2 3" xfId="6944" xr:uid="{CA0F2F6A-6701-488E-B22D-DCEB6EB0DFD5}"/>
    <cellStyle name="Normal 186 2_DEO ADIT Unprotected" xfId="3001" xr:uid="{D7319E2D-A5CF-46C4-877A-DDA01A92CE1E}"/>
    <cellStyle name="Normal 186 3" xfId="4427" xr:uid="{BFE20887-474B-4956-971D-221705AE9E61}"/>
    <cellStyle name="Normal 186 3 2" xfId="7807" xr:uid="{5B95F006-C5C3-4465-B6D6-4BD68020C51F}"/>
    <cellStyle name="Normal 186 4" xfId="6106" xr:uid="{966AFC50-2A55-4A31-9FA9-20008611FFF1}"/>
    <cellStyle name="Normal 186_DEO ADIT Unprotected" xfId="3000" xr:uid="{958CF0A1-4B96-4792-82E1-AA56DDED9909}"/>
    <cellStyle name="Normal 187" xfId="1054" xr:uid="{00000000-0005-0000-0000-000054040000}"/>
    <cellStyle name="Normal 187 2" xfId="2015" xr:uid="{00000000-0005-0000-0000-000055040000}"/>
    <cellStyle name="Normal 187 2 2" xfId="5265" xr:uid="{AA0C96D4-5154-4AAA-91EF-DC18FDC2D14B}"/>
    <cellStyle name="Normal 187 2 2 2" xfId="8645" xr:uid="{F532ADF6-E9B9-40ED-AF0F-2EFCBD531279}"/>
    <cellStyle name="Normal 187 2 3" xfId="6945" xr:uid="{17A037C4-AAE2-43E5-9460-6FCD9729CA25}"/>
    <cellStyle name="Normal 187 2_DEO ADIT Unprotected" xfId="3003" xr:uid="{12A08737-A332-46CB-9959-D7F6DB901D2A}"/>
    <cellStyle name="Normal 187 3" xfId="4428" xr:uid="{D8776565-17C3-48F5-877B-3C58CBCA5ADC}"/>
    <cellStyle name="Normal 187 3 2" xfId="7808" xr:uid="{BE93CE93-F03C-400B-826C-F4A18C8FA750}"/>
    <cellStyle name="Normal 187 4" xfId="6107" xr:uid="{221F1211-8BEA-4924-92FD-D71471C867EE}"/>
    <cellStyle name="Normal 187_DEO ADIT Unprotected" xfId="3002" xr:uid="{51CDF2FE-AF3B-4AAF-8C09-21B000B16FD6}"/>
    <cellStyle name="Normal 188" xfId="1055" xr:uid="{00000000-0005-0000-0000-000056040000}"/>
    <cellStyle name="Normal 188 2" xfId="2016" xr:uid="{00000000-0005-0000-0000-000057040000}"/>
    <cellStyle name="Normal 188 2 2" xfId="5266" xr:uid="{9D9FC27A-F6BB-471E-A5CC-FCD82A0F46F7}"/>
    <cellStyle name="Normal 188 2 2 2" xfId="8646" xr:uid="{50CD5300-BAC9-4A55-B018-87F59B4FD66C}"/>
    <cellStyle name="Normal 188 2 3" xfId="6946" xr:uid="{150AA8D8-81BC-4BF6-B22F-B52605F5B1DE}"/>
    <cellStyle name="Normal 188 2_DEO ADIT Unprotected" xfId="3005" xr:uid="{0EEFC245-7910-4BD7-B404-09C811CA07BA}"/>
    <cellStyle name="Normal 188 3" xfId="4429" xr:uid="{947671E8-8702-4486-A959-1DE115064AA6}"/>
    <cellStyle name="Normal 188 3 2" xfId="7809" xr:uid="{AF2402DB-A557-4761-B28D-27B96584D0B1}"/>
    <cellStyle name="Normal 188 4" xfId="6108" xr:uid="{121932EA-9428-4B8B-B069-45D608DC54EB}"/>
    <cellStyle name="Normal 188_DEO ADIT Unprotected" xfId="3004" xr:uid="{EDAADB38-6AA7-46C0-BFF0-D4938C6FC69D}"/>
    <cellStyle name="Normal 189" xfId="1056" xr:uid="{00000000-0005-0000-0000-000058040000}"/>
    <cellStyle name="Normal 189 2" xfId="2017" xr:uid="{00000000-0005-0000-0000-000059040000}"/>
    <cellStyle name="Normal 189 2 2" xfId="5267" xr:uid="{F62B6072-3DE5-4B2D-9222-8E8712B7ED22}"/>
    <cellStyle name="Normal 189 2 2 2" xfId="8647" xr:uid="{2672D8ED-1C26-4C8A-992F-C7828E4089CB}"/>
    <cellStyle name="Normal 189 2 3" xfId="6947" xr:uid="{0427B448-8169-43B3-B74F-9B823934DF4A}"/>
    <cellStyle name="Normal 189 2_DEO ADIT Unprotected" xfId="3007" xr:uid="{00E3D218-8029-4DD2-9F3B-82A20502DBDE}"/>
    <cellStyle name="Normal 189 3" xfId="4430" xr:uid="{BD6267D3-4640-45A2-86AF-9D0F6577E737}"/>
    <cellStyle name="Normal 189 3 2" xfId="7810" xr:uid="{975552CF-2DEF-46DC-BE12-295F76056C73}"/>
    <cellStyle name="Normal 189 4" xfId="6109" xr:uid="{754E6F64-4048-4348-9BF5-244E7E99313F}"/>
    <cellStyle name="Normal 189_DEO ADIT Unprotected" xfId="3006" xr:uid="{D4DFCE03-FB76-4F6F-8F66-17F08DC75293}"/>
    <cellStyle name="Normal 19" xfId="455" xr:uid="{00000000-0005-0000-0000-00005A040000}"/>
    <cellStyle name="Normal 19 2" xfId="490" xr:uid="{00000000-0005-0000-0000-00005B040000}"/>
    <cellStyle name="Normal 19 2 2" xfId="1683" xr:uid="{00000000-0005-0000-0000-00005C040000}"/>
    <cellStyle name="Normal 19 2 2 2" xfId="4933" xr:uid="{2CA5F266-4761-43D6-A125-199BC842D55D}"/>
    <cellStyle name="Normal 19 2 2 2 2" xfId="8313" xr:uid="{E302554A-E21C-4761-84DA-24C068DE8B5F}"/>
    <cellStyle name="Normal 19 2 2 3" xfId="6613" xr:uid="{5ED1C52E-B5BC-47A1-B98C-A81344297F8E}"/>
    <cellStyle name="Normal 19 2 2_DEO ADIT Unprotected" xfId="3010" xr:uid="{B3B7D3F9-C951-4ED4-86E6-12536A42FEAF}"/>
    <cellStyle name="Normal 19 2 3" xfId="4096" xr:uid="{080A7B6E-BAB9-4448-8896-22527AF5A762}"/>
    <cellStyle name="Normal 19 2 3 2" xfId="7476" xr:uid="{882DDF10-3FE8-4FA0-8AC6-AD6C78FC3632}"/>
    <cellStyle name="Normal 19 2 4" xfId="5775" xr:uid="{F2612E1E-1DA7-4C6A-925D-88E23144B781}"/>
    <cellStyle name="Normal 19 2_DEO ADIT Unprotected" xfId="3009" xr:uid="{B081C2DD-E46A-4C4D-B9C5-FB65EFBB1B3D}"/>
    <cellStyle name="Normal 19 3" xfId="1057" xr:uid="{00000000-0005-0000-0000-00005D040000}"/>
    <cellStyle name="Normal 19 3 2" xfId="1058" xr:uid="{00000000-0005-0000-0000-00005E040000}"/>
    <cellStyle name="Normal 19 3 2 2" xfId="2019" xr:uid="{00000000-0005-0000-0000-00005F040000}"/>
    <cellStyle name="Normal 19 3 2 2 2" xfId="5269" xr:uid="{0E468FFD-F4AC-47BF-AFCB-0F60582CE0AA}"/>
    <cellStyle name="Normal 19 3 2 2 2 2" xfId="8649" xr:uid="{EE46F58E-8C76-4623-8E13-4D2232A75F86}"/>
    <cellStyle name="Normal 19 3 2 2 3" xfId="6949" xr:uid="{86721AF6-A60D-46B8-9436-AB8C555648BD}"/>
    <cellStyle name="Normal 19 3 2 2_DEO ADIT Unprotected" xfId="3013" xr:uid="{562AB365-D226-4240-BB41-398B2A29BC27}"/>
    <cellStyle name="Normal 19 3 2 3" xfId="4432" xr:uid="{009D5FC0-C019-4FE4-BB37-CC18D2FA0CDD}"/>
    <cellStyle name="Normal 19 3 2 3 2" xfId="7812" xr:uid="{496E7A52-CEBF-4D63-B66C-09DFBEF82474}"/>
    <cellStyle name="Normal 19 3 2 4" xfId="6111" xr:uid="{838F3C89-C25F-46B3-AD44-B03D368844D8}"/>
    <cellStyle name="Normal 19 3 2_DEO ADIT Unprotected" xfId="3012" xr:uid="{E2237DE7-9ECB-49A0-89EA-0C98AEFDD11D}"/>
    <cellStyle name="Normal 19 3 3" xfId="2018" xr:uid="{00000000-0005-0000-0000-000060040000}"/>
    <cellStyle name="Normal 19 3 3 2" xfId="5268" xr:uid="{31013E1D-0121-4484-A574-AAAA56AE6005}"/>
    <cellStyle name="Normal 19 3 3 2 2" xfId="8648" xr:uid="{EE00891F-4667-419E-975C-5FB868440DBC}"/>
    <cellStyle name="Normal 19 3 3 3" xfId="6948" xr:uid="{8FD0EF3F-19C0-4C22-89EB-EE0FD63E27BC}"/>
    <cellStyle name="Normal 19 3 3_DEO ADIT Unprotected" xfId="3014" xr:uid="{B9CC3CF6-BB3B-4459-832A-F7442AA0E52B}"/>
    <cellStyle name="Normal 19 3 4" xfId="4431" xr:uid="{55F04E61-9BB8-43A3-ACE3-B35B8A015193}"/>
    <cellStyle name="Normal 19 3 4 2" xfId="7811" xr:uid="{8D43EDBA-05A8-49D2-B531-7133A4451EF0}"/>
    <cellStyle name="Normal 19 3 5" xfId="6110" xr:uid="{954574FB-E36E-4215-BC07-EB5C9B117716}"/>
    <cellStyle name="Normal 19 3_DEO ADIT Unprotected" xfId="3011" xr:uid="{9681ED25-E719-41DE-9E7E-985BE0FC9662}"/>
    <cellStyle name="Normal 19 4" xfId="1059" xr:uid="{00000000-0005-0000-0000-000061040000}"/>
    <cellStyle name="Normal 19 4 2" xfId="1060" xr:uid="{00000000-0005-0000-0000-000062040000}"/>
    <cellStyle name="Normal 19 4 2 2" xfId="2021" xr:uid="{00000000-0005-0000-0000-000063040000}"/>
    <cellStyle name="Normal 19 4 2 2 2" xfId="5271" xr:uid="{7FD86D19-46E8-4BD7-A35E-D29D4BE50C01}"/>
    <cellStyle name="Normal 19 4 2 2 2 2" xfId="8651" xr:uid="{DE01CBDB-B2F8-4929-BA76-B3E4578CF54D}"/>
    <cellStyle name="Normal 19 4 2 2 3" xfId="6951" xr:uid="{279FC8B2-64B4-4933-A9B9-B941AEBC5AB8}"/>
    <cellStyle name="Normal 19 4 2 2_DEO ADIT Unprotected" xfId="3017" xr:uid="{01E28042-8F9D-43C7-868A-E7545DBDF712}"/>
    <cellStyle name="Normal 19 4 2 3" xfId="4434" xr:uid="{DF0895C6-75FB-4384-BE0E-3573348F7015}"/>
    <cellStyle name="Normal 19 4 2 3 2" xfId="7814" xr:uid="{B92B9D4C-0426-47D6-B020-719B0AA8E04F}"/>
    <cellStyle name="Normal 19 4 2 4" xfId="6113" xr:uid="{14FF810E-49D6-44B9-B91F-235C2B831798}"/>
    <cellStyle name="Normal 19 4 2_DEO ADIT Unprotected" xfId="3016" xr:uid="{9D3C640D-3089-4F74-9C26-C67214B6AAD7}"/>
    <cellStyle name="Normal 19 4 3" xfId="2020" xr:uid="{00000000-0005-0000-0000-000064040000}"/>
    <cellStyle name="Normal 19 4 3 2" xfId="5270" xr:uid="{E74920B6-1882-496B-9F3A-8EDBA03424DB}"/>
    <cellStyle name="Normal 19 4 3 2 2" xfId="8650" xr:uid="{9E0E415F-0F11-4333-A9E3-53A6ECB116A7}"/>
    <cellStyle name="Normal 19 4 3 3" xfId="6950" xr:uid="{12738B59-2467-4DE4-8F5D-E73AFD36405D}"/>
    <cellStyle name="Normal 19 4 3_DEO ADIT Unprotected" xfId="3018" xr:uid="{B5713906-8AF8-46C3-A7B4-7CA724B14223}"/>
    <cellStyle name="Normal 19 4 4" xfId="4433" xr:uid="{B77E30B2-0D29-4FA7-AD8C-30A5D2CD629A}"/>
    <cellStyle name="Normal 19 4 4 2" xfId="7813" xr:uid="{22D0D95F-AFDA-4CF2-B5B6-D5CB986D978A}"/>
    <cellStyle name="Normal 19 4 5" xfId="6112" xr:uid="{FF4F18D8-AA9C-4C7D-B4EE-98E09ABCCEA4}"/>
    <cellStyle name="Normal 19 4_DEO ADIT Unprotected" xfId="3015" xr:uid="{73EBD2AF-2558-4C39-B5CD-995F98C3BECB}"/>
    <cellStyle name="Normal 19 5" xfId="1061" xr:uid="{00000000-0005-0000-0000-000065040000}"/>
    <cellStyle name="Normal 19 5 2" xfId="2022" xr:uid="{00000000-0005-0000-0000-000066040000}"/>
    <cellStyle name="Normal 19 5 2 2" xfId="5272" xr:uid="{FE0F0C80-4E08-4A66-9CA9-1098CC734561}"/>
    <cellStyle name="Normal 19 5 2 2 2" xfId="8652" xr:uid="{698644A5-1AE6-4818-98F5-759C5AF47B6C}"/>
    <cellStyle name="Normal 19 5 2 3" xfId="6952" xr:uid="{6E7C2D45-521F-4AC4-87AB-7C905A7F16D6}"/>
    <cellStyle name="Normal 19 5 2_DEO ADIT Unprotected" xfId="3020" xr:uid="{AF3D5E58-163F-4819-ABFA-0A9FB51C5310}"/>
    <cellStyle name="Normal 19 5 3" xfId="4435" xr:uid="{770447DA-D568-4A6F-9FA1-F4E246F92510}"/>
    <cellStyle name="Normal 19 5 3 2" xfId="7815" xr:uid="{D85EBD92-CA7B-4D57-8996-1363D6AEFF23}"/>
    <cellStyle name="Normal 19 5 4" xfId="6114" xr:uid="{F6710420-262B-49A1-8D43-C87A56A6B880}"/>
    <cellStyle name="Normal 19 5_DEO ADIT Unprotected" xfId="3019" xr:uid="{54FB3492-4A95-4C0A-AEA1-8EA383E5419E}"/>
    <cellStyle name="Normal 19 6" xfId="1651" xr:uid="{00000000-0005-0000-0000-000067040000}"/>
    <cellStyle name="Normal 19 6 2" xfId="4901" xr:uid="{81C01C71-AF98-4D0C-93CE-F1A78D9BEF71}"/>
    <cellStyle name="Normal 19 6 2 2" xfId="8281" xr:uid="{ADFFBDC9-DF33-4C2C-9617-83BFB0E827DD}"/>
    <cellStyle name="Normal 19 6 3" xfId="6581" xr:uid="{ED841A13-50D2-4D32-9D4D-E15E8FF6AB08}"/>
    <cellStyle name="Normal 19 6_DEO ADIT Unprotected" xfId="3021" xr:uid="{098C6291-1478-4367-A44A-76E5DE74C476}"/>
    <cellStyle name="Normal 19 7" xfId="4064" xr:uid="{37F6FACA-C90E-4501-B6F9-615A70D450E7}"/>
    <cellStyle name="Normal 19 7 2" xfId="7444" xr:uid="{1507D7D4-59D7-4AE5-9377-3D514335508C}"/>
    <cellStyle name="Normal 19 8" xfId="5743" xr:uid="{E52067C1-C2CA-483C-9EEC-9846E7F8DD75}"/>
    <cellStyle name="Normal 19_DEO ADIT Unprotected" xfId="3008" xr:uid="{2017C1B3-68C7-4067-9554-17EFA1F05CB4}"/>
    <cellStyle name="Normal 190" xfId="1062" xr:uid="{00000000-0005-0000-0000-000068040000}"/>
    <cellStyle name="Normal 190 2" xfId="2023" xr:uid="{00000000-0005-0000-0000-000069040000}"/>
    <cellStyle name="Normal 190 2 2" xfId="5273" xr:uid="{AF92A02A-C4F5-4D9F-B024-B50BDB2E2DFE}"/>
    <cellStyle name="Normal 190 2 2 2" xfId="8653" xr:uid="{F41921BB-C5AD-4F22-A496-1867548CB525}"/>
    <cellStyle name="Normal 190 2 3" xfId="6953" xr:uid="{4839BF61-2D10-4847-B56F-85C8FCF48DCA}"/>
    <cellStyle name="Normal 190 2_DEO ADIT Unprotected" xfId="3023" xr:uid="{9ECB0EC2-7B82-40C9-A4E6-672F5D4A90F3}"/>
    <cellStyle name="Normal 190 3" xfId="4436" xr:uid="{F3282332-4F17-46E4-B6A3-5A71305C80B2}"/>
    <cellStyle name="Normal 190 3 2" xfId="7816" xr:uid="{E51C35CA-0D57-498C-ACE0-C2BE929F6E9D}"/>
    <cellStyle name="Normal 190 4" xfId="6115" xr:uid="{CF5483B5-8810-466B-B96C-EF1648A18D25}"/>
    <cellStyle name="Normal 190_DEO ADIT Unprotected" xfId="3022" xr:uid="{1961D8F6-E0BE-4476-8E3B-20494A05BED6}"/>
    <cellStyle name="Normal 191" xfId="1063" xr:uid="{00000000-0005-0000-0000-00006A040000}"/>
    <cellStyle name="Normal 191 2" xfId="2024" xr:uid="{00000000-0005-0000-0000-00006B040000}"/>
    <cellStyle name="Normal 191 2 2" xfId="5274" xr:uid="{CF112023-9BD4-4FF3-986A-F8EAD4F137F9}"/>
    <cellStyle name="Normal 191 2 2 2" xfId="8654" xr:uid="{C77C29E4-BCE8-4085-957F-C5946075AE8F}"/>
    <cellStyle name="Normal 191 2 3" xfId="6954" xr:uid="{F8804771-074C-436F-B3E3-141B9F15D36E}"/>
    <cellStyle name="Normal 191 2_DEO ADIT Unprotected" xfId="3025" xr:uid="{3A58490D-6D85-4F8A-B1B7-748496E46396}"/>
    <cellStyle name="Normal 191 3" xfId="4437" xr:uid="{E8F8EA70-B59F-44C3-A58E-7E300C1ACB07}"/>
    <cellStyle name="Normal 191 3 2" xfId="7817" xr:uid="{1A504C58-C1D1-4ABE-BE3D-D8574F763A1E}"/>
    <cellStyle name="Normal 191 4" xfId="6116" xr:uid="{AAE91D49-1B29-4071-A59C-84B8E2D62CCB}"/>
    <cellStyle name="Normal 191_DEO ADIT Unprotected" xfId="3024" xr:uid="{1DCC5F52-ACD1-42E5-A5E8-7E1F1E940319}"/>
    <cellStyle name="Normal 192" xfId="1064" xr:uid="{00000000-0005-0000-0000-00006C040000}"/>
    <cellStyle name="Normal 192 2" xfId="2025" xr:uid="{00000000-0005-0000-0000-00006D040000}"/>
    <cellStyle name="Normal 192 2 2" xfId="5275" xr:uid="{75409D45-900A-44AB-A668-8BAF958C1A43}"/>
    <cellStyle name="Normal 192 2 2 2" xfId="8655" xr:uid="{0FF59057-DD96-4F20-A2F7-BC2082035456}"/>
    <cellStyle name="Normal 192 2 3" xfId="6955" xr:uid="{C5BB1375-2DB7-48B8-A0FB-31384EACF3B0}"/>
    <cellStyle name="Normal 192 2_DEO ADIT Unprotected" xfId="3027" xr:uid="{5AA5EF64-A127-4D90-BE89-95B8E7CF6EBC}"/>
    <cellStyle name="Normal 192 3" xfId="4438" xr:uid="{255ED2D2-2CFD-41EC-AB64-020C0F975058}"/>
    <cellStyle name="Normal 192 3 2" xfId="7818" xr:uid="{3111B709-AA43-439C-A6F4-73499BF292D0}"/>
    <cellStyle name="Normal 192 4" xfId="6117" xr:uid="{9E9E0A4B-9360-413E-81F1-BC7FBB3EC955}"/>
    <cellStyle name="Normal 192_DEO ADIT Unprotected" xfId="3026" xr:uid="{B3DAB99F-ECF3-45DD-A428-8049B52FCE33}"/>
    <cellStyle name="Normal 193" xfId="1065" xr:uid="{00000000-0005-0000-0000-00006E040000}"/>
    <cellStyle name="Normal 193 2" xfId="2026" xr:uid="{00000000-0005-0000-0000-00006F040000}"/>
    <cellStyle name="Normal 193 2 2" xfId="5276" xr:uid="{96973E64-71AB-484B-995F-7EF513426CD9}"/>
    <cellStyle name="Normal 193 2 2 2" xfId="8656" xr:uid="{8A10EC1D-A8AA-49A7-805B-853176318C9D}"/>
    <cellStyle name="Normal 193 2 3" xfId="6956" xr:uid="{4AF58394-EB0D-4D64-979A-81AF8CBC196C}"/>
    <cellStyle name="Normal 193 2_DEO ADIT Unprotected" xfId="3029" xr:uid="{F54601D5-84EA-4106-A4D8-C8888C0FC22C}"/>
    <cellStyle name="Normal 193 3" xfId="4439" xr:uid="{CC760027-642F-4C48-876D-D723250439FE}"/>
    <cellStyle name="Normal 193 3 2" xfId="7819" xr:uid="{235A6B8C-0EFC-4CD8-8DE9-94FD76ECCC94}"/>
    <cellStyle name="Normal 193 4" xfId="6118" xr:uid="{6FC4D8F2-B095-4C84-BF89-9C8EEC5B4BA7}"/>
    <cellStyle name="Normal 193_DEO ADIT Unprotected" xfId="3028" xr:uid="{450B18E3-C6FE-4002-B541-99D355F498AE}"/>
    <cellStyle name="Normal 194" xfId="1066" xr:uid="{00000000-0005-0000-0000-000070040000}"/>
    <cellStyle name="Normal 194 2" xfId="2027" xr:uid="{00000000-0005-0000-0000-000071040000}"/>
    <cellStyle name="Normal 194 2 2" xfId="5277" xr:uid="{A2FFE9D8-F089-4054-883A-CC440556E5DB}"/>
    <cellStyle name="Normal 194 2 2 2" xfId="8657" xr:uid="{C36C1749-9A9F-4290-95FD-A014BE234EA8}"/>
    <cellStyle name="Normal 194 2 3" xfId="6957" xr:uid="{34EA262D-1F2C-44F9-93DD-05DB01674706}"/>
    <cellStyle name="Normal 194 2_DEO ADIT Unprotected" xfId="3031" xr:uid="{16E7BA42-BFB1-4BF4-9A0A-8E54C7AF8A09}"/>
    <cellStyle name="Normal 194 3" xfId="4440" xr:uid="{2485894B-D21C-4198-9000-ED86DC835DFD}"/>
    <cellStyle name="Normal 194 3 2" xfId="7820" xr:uid="{AA09C85E-DACB-4514-A3B2-F9F1183E5C87}"/>
    <cellStyle name="Normal 194 4" xfId="6119" xr:uid="{4AFB7205-6F05-46C1-ACC3-E5DE4CF044FB}"/>
    <cellStyle name="Normal 194_DEO ADIT Unprotected" xfId="3030" xr:uid="{3976554B-4011-4105-BDB0-10ACFD918DCC}"/>
    <cellStyle name="Normal 195" xfId="1067" xr:uid="{00000000-0005-0000-0000-000072040000}"/>
    <cellStyle name="Normal 195 2" xfId="2028" xr:uid="{00000000-0005-0000-0000-000073040000}"/>
    <cellStyle name="Normal 195 2 2" xfId="5278" xr:uid="{C2BAC2C1-406B-4738-A673-4CE6A099E766}"/>
    <cellStyle name="Normal 195 2 2 2" xfId="8658" xr:uid="{C041D3AB-49C7-4C7E-9333-8D57A8033A76}"/>
    <cellStyle name="Normal 195 2 3" xfId="6958" xr:uid="{6B0428B1-B01E-4016-A931-DBF6A4EB4CBD}"/>
    <cellStyle name="Normal 195 2_DEO ADIT Unprotected" xfId="3033" xr:uid="{CAC6CD39-B205-4C9A-B35F-3243A1869A41}"/>
    <cellStyle name="Normal 195 3" xfId="4441" xr:uid="{48481BB5-F603-447D-9D66-CFFCA37281A1}"/>
    <cellStyle name="Normal 195 3 2" xfId="7821" xr:uid="{192EC46F-2342-4AA0-83C7-580F8DF83B77}"/>
    <cellStyle name="Normal 195 4" xfId="6120" xr:uid="{CBE9A6B1-5224-4312-B172-23590D77A3E0}"/>
    <cellStyle name="Normal 195_DEO ADIT Unprotected" xfId="3032" xr:uid="{DFE516D4-CB76-430F-B793-49A9FDA29A69}"/>
    <cellStyle name="Normal 196" xfId="1068" xr:uid="{00000000-0005-0000-0000-000074040000}"/>
    <cellStyle name="Normal 196 2" xfId="2029" xr:uid="{00000000-0005-0000-0000-000075040000}"/>
    <cellStyle name="Normal 196 2 2" xfId="5279" xr:uid="{633873E6-A7E1-48A9-B88F-05B1F8332E75}"/>
    <cellStyle name="Normal 196 2 2 2" xfId="8659" xr:uid="{846CCD18-3816-488E-948C-1BE075C6E69E}"/>
    <cellStyle name="Normal 196 2 3" xfId="6959" xr:uid="{C801ADCA-D1A9-4149-A182-BEEAA5570EB9}"/>
    <cellStyle name="Normal 196 2_DEO ADIT Unprotected" xfId="3035" xr:uid="{87262AB4-512E-44D7-9100-0ABBF71418E8}"/>
    <cellStyle name="Normal 196 3" xfId="4442" xr:uid="{75E5D42D-E6F9-45A4-B5E4-E6D926597821}"/>
    <cellStyle name="Normal 196 3 2" xfId="7822" xr:uid="{FB66B533-6AC6-47FA-AFD9-11F9E180A4E5}"/>
    <cellStyle name="Normal 196 4" xfId="6121" xr:uid="{CD3FDBB3-5B4F-42C7-9AB2-3523EAF21B79}"/>
    <cellStyle name="Normal 196_DEO ADIT Unprotected" xfId="3034" xr:uid="{574C9891-57B5-4352-AA55-5847628FB273}"/>
    <cellStyle name="Normal 197" xfId="1069" xr:uid="{00000000-0005-0000-0000-000076040000}"/>
    <cellStyle name="Normal 197 2" xfId="2030" xr:uid="{00000000-0005-0000-0000-000077040000}"/>
    <cellStyle name="Normal 197 2 2" xfId="5280" xr:uid="{1C5DF62D-F59C-4811-BF4E-21FD90DA48B1}"/>
    <cellStyle name="Normal 197 2 2 2" xfId="8660" xr:uid="{119FCE22-4C24-4647-AA54-187A5F9747CB}"/>
    <cellStyle name="Normal 197 2 3" xfId="6960" xr:uid="{75CB403D-7DDA-4C50-A020-347014BA958E}"/>
    <cellStyle name="Normal 197 2_DEO ADIT Unprotected" xfId="3037" xr:uid="{76610361-1414-479D-885A-37BF50AD9DD5}"/>
    <cellStyle name="Normal 197 3" xfId="4443" xr:uid="{6955009A-5CEF-400F-B26C-A33D8AF1DDDF}"/>
    <cellStyle name="Normal 197 3 2" xfId="7823" xr:uid="{05B870EE-A849-49CC-87B8-5D55CE87EC5E}"/>
    <cellStyle name="Normal 197 4" xfId="6122" xr:uid="{0342A97D-9BB2-4F9B-A4A0-5947EE2D6885}"/>
    <cellStyle name="Normal 197_DEO ADIT Unprotected" xfId="3036" xr:uid="{0FCC59C9-F5CD-4902-BB50-18B2B620D098}"/>
    <cellStyle name="Normal 198" xfId="1070" xr:uid="{00000000-0005-0000-0000-000078040000}"/>
    <cellStyle name="Normal 198 2" xfId="2031" xr:uid="{00000000-0005-0000-0000-000079040000}"/>
    <cellStyle name="Normal 198 2 2" xfId="5281" xr:uid="{060F5244-4A72-4714-B279-B5D9E973B365}"/>
    <cellStyle name="Normal 198 2 2 2" xfId="8661" xr:uid="{A27CA6A8-ED06-4742-9427-1A0BD6A1BB5E}"/>
    <cellStyle name="Normal 198 2 3" xfId="6961" xr:uid="{4634D991-DC69-4230-9BDB-B7B1F5535EC0}"/>
    <cellStyle name="Normal 198 2_DEO ADIT Unprotected" xfId="3039" xr:uid="{B116F115-90D7-49AA-838D-512934CC9621}"/>
    <cellStyle name="Normal 198 3" xfId="4444" xr:uid="{9004A442-BC8B-4641-9C51-575C58272850}"/>
    <cellStyle name="Normal 198 3 2" xfId="7824" xr:uid="{18BD4B44-FCC4-4B08-AD1C-F6585A0C6248}"/>
    <cellStyle name="Normal 198 4" xfId="6123" xr:uid="{6BA3E04D-DC38-452A-8337-8D5EBC67BC16}"/>
    <cellStyle name="Normal 198_DEO ADIT Unprotected" xfId="3038" xr:uid="{01F38AEA-8CB3-4C3D-90E5-2AF12F4CCE6C}"/>
    <cellStyle name="Normal 199" xfId="1071" xr:uid="{00000000-0005-0000-0000-00007A040000}"/>
    <cellStyle name="Normal 199 2" xfId="2032" xr:uid="{00000000-0005-0000-0000-00007B040000}"/>
    <cellStyle name="Normal 199 2 2" xfId="5282" xr:uid="{B6AF76BE-179E-450B-A153-5290EC96AB8A}"/>
    <cellStyle name="Normal 199 2 2 2" xfId="8662" xr:uid="{492D90EC-E091-4FD0-8740-203DDA469CF8}"/>
    <cellStyle name="Normal 199 2 3" xfId="6962" xr:uid="{2986DF8C-F463-4AB3-ABA3-CD2374651788}"/>
    <cellStyle name="Normal 199 2_DEO ADIT Unprotected" xfId="3041" xr:uid="{5A431234-0C30-4E56-8610-A89976CAF785}"/>
    <cellStyle name="Normal 199 3" xfId="4445" xr:uid="{F3FD9BA8-2131-42FE-815B-F434EB15536B}"/>
    <cellStyle name="Normal 199 3 2" xfId="7825" xr:uid="{2D4CB070-C920-4139-A824-B86E8ADEB60F}"/>
    <cellStyle name="Normal 199 4" xfId="6124" xr:uid="{B70506CE-614E-4566-8E2A-27046C5FD232}"/>
    <cellStyle name="Normal 199_DEO ADIT Unprotected" xfId="3040" xr:uid="{67444696-9CAD-4EF4-97EB-5A047C962A47}"/>
    <cellStyle name="Normal 2" xfId="3" xr:uid="{00000000-0005-0000-0000-00007C040000}"/>
    <cellStyle name="Normal 2 2" xfId="359" xr:uid="{00000000-0005-0000-0000-00007D040000}"/>
    <cellStyle name="Normal 2 2 10" xfId="1072" xr:uid="{00000000-0005-0000-0000-00007E040000}"/>
    <cellStyle name="Normal 2 2 11" xfId="1633" xr:uid="{00000000-0005-0000-0000-00007F040000}"/>
    <cellStyle name="Normal 2 2 11 2" xfId="4883" xr:uid="{1738D5F3-4DBF-4F48-94A1-2981A935DBD9}"/>
    <cellStyle name="Normal 2 2 11 2 2" xfId="8263" xr:uid="{E3E0FC2C-89BC-4382-BA30-879102B1B050}"/>
    <cellStyle name="Normal 2 2 11 3" xfId="6563" xr:uid="{FA44FA85-B38E-4140-9C66-6F6ED95745FE}"/>
    <cellStyle name="Normal 2 2 11_DEO ADIT Unprotected" xfId="3044" xr:uid="{08B2C754-0A67-4506-933A-78971CF6163D}"/>
    <cellStyle name="Normal 2 2 12" xfId="4046" xr:uid="{7CC03252-7F3D-4C62-8724-0A6B399580C7}"/>
    <cellStyle name="Normal 2 2 12 2" xfId="7426" xr:uid="{7FE57CC1-C137-4A1E-B971-7756FE89A535}"/>
    <cellStyle name="Normal 2 2 13" xfId="5725" xr:uid="{B7E944E3-9834-4184-BE81-8EB1C1FE39E5}"/>
    <cellStyle name="Normal 2 2 2" xfId="428" xr:uid="{00000000-0005-0000-0000-000080040000}"/>
    <cellStyle name="Normal 2 2 2 2" xfId="1073" xr:uid="{00000000-0005-0000-0000-000081040000}"/>
    <cellStyle name="Normal 2 2 2 2 2" xfId="1074" xr:uid="{00000000-0005-0000-0000-000082040000}"/>
    <cellStyle name="Normal 2 2 2 2 2 2" xfId="2034" xr:uid="{00000000-0005-0000-0000-000083040000}"/>
    <cellStyle name="Normal 2 2 2 2 2 2 2" xfId="5284" xr:uid="{F7522112-2762-4409-AEE3-0716C60BD3DE}"/>
    <cellStyle name="Normal 2 2 2 2 2 2 2 2" xfId="8664" xr:uid="{6253DD82-4422-440C-82FA-6067383A0B1D}"/>
    <cellStyle name="Normal 2 2 2 2 2 2 3" xfId="6964" xr:uid="{B4FBEDCA-BC46-4680-9AC6-C6C0D862E948}"/>
    <cellStyle name="Normal 2 2 2 2 2 2_DEO ADIT Unprotected" xfId="3048" xr:uid="{B827C77B-01C6-45C9-88ED-4915C7C0F3EF}"/>
    <cellStyle name="Normal 2 2 2 2 2 3" xfId="4447" xr:uid="{60A224C3-02DC-4D2A-9870-5E5EF986B071}"/>
    <cellStyle name="Normal 2 2 2 2 2 3 2" xfId="7827" xr:uid="{B17714C4-1ADA-42DC-B577-38581CCE86E8}"/>
    <cellStyle name="Normal 2 2 2 2 2 4" xfId="6126" xr:uid="{21B42FF3-7915-4BB2-9610-D83750687AC1}"/>
    <cellStyle name="Normal 2 2 2 2 2_DEO ADIT Unprotected" xfId="3047" xr:uid="{076FC8B1-E8A3-47BE-A341-BA3D659AB7F9}"/>
    <cellStyle name="Normal 2 2 2 2 3" xfId="2033" xr:uid="{00000000-0005-0000-0000-000084040000}"/>
    <cellStyle name="Normal 2 2 2 2 3 2" xfId="5283" xr:uid="{85E3718C-35A8-4BCA-8972-1B9801A5E7A8}"/>
    <cellStyle name="Normal 2 2 2 2 3 2 2" xfId="8663" xr:uid="{B1F83A21-5DE1-4416-ABC4-791CDB499B49}"/>
    <cellStyle name="Normal 2 2 2 2 3 3" xfId="6963" xr:uid="{429818F1-EE32-4DB0-9E2D-F63FBCE95315}"/>
    <cellStyle name="Normal 2 2 2 2 3_DEO ADIT Unprotected" xfId="3049" xr:uid="{D9A44C61-96CC-493B-B20C-5B984F5E951E}"/>
    <cellStyle name="Normal 2 2 2 2 4" xfId="4446" xr:uid="{05E87BB7-57BC-4F36-AE81-D10B463E110D}"/>
    <cellStyle name="Normal 2 2 2 2 4 2" xfId="7826" xr:uid="{90C20B06-B1E0-4FFE-8D90-A03B4A91C8A2}"/>
    <cellStyle name="Normal 2 2 2 2 5" xfId="6125" xr:uid="{AA579137-D8E3-4BD5-A405-3D6FFC426689}"/>
    <cellStyle name="Normal 2 2 2 2_DEO ADIT Unprotected" xfId="3046" xr:uid="{E5400CAB-411A-4FAB-865F-EFB8A7CC27ED}"/>
    <cellStyle name="Normal 2 2 2 3" xfId="1075" xr:uid="{00000000-0005-0000-0000-000085040000}"/>
    <cellStyle name="Normal 2 2 2 3 2" xfId="1076" xr:uid="{00000000-0005-0000-0000-000086040000}"/>
    <cellStyle name="Normal 2 2 2 3 2 2" xfId="2035" xr:uid="{00000000-0005-0000-0000-000087040000}"/>
    <cellStyle name="Normal 2 2 2 3 2 2 2" xfId="5285" xr:uid="{F2CCA2C0-58CB-40DD-B1F7-9BFE53DF0C11}"/>
    <cellStyle name="Normal 2 2 2 3 2 2 2 2" xfId="8665" xr:uid="{C04709F9-1DDF-4336-BBF1-9A88263A6031}"/>
    <cellStyle name="Normal 2 2 2 3 2 2 3" xfId="6965" xr:uid="{394D47DD-D983-40DF-AC2D-C7CE244DE79A}"/>
    <cellStyle name="Normal 2 2 2 3 2 2_DEO ADIT Unprotected" xfId="3051" xr:uid="{60BAECED-4342-478A-80F8-8DB74C67B303}"/>
    <cellStyle name="Normal 2 2 2 3 2 3" xfId="4448" xr:uid="{AFF0DB84-7D1F-4F13-8A6D-4526C8B4358F}"/>
    <cellStyle name="Normal 2 2 2 3 2 3 2" xfId="7828" xr:uid="{9AC987AF-2CFD-42CA-B0D2-0C2F6727DE51}"/>
    <cellStyle name="Normal 2 2 2 3 2 4" xfId="6127" xr:uid="{71D057B5-FCD4-4D1B-9004-C03CC220F448}"/>
    <cellStyle name="Normal 2 2 2 3 2_DEO ADIT Unprotected" xfId="3050" xr:uid="{CE9F2EEC-70C3-4B4D-942A-C1808DB9C89A}"/>
    <cellStyle name="Normal 2 2 2 4" xfId="1077" xr:uid="{00000000-0005-0000-0000-000088040000}"/>
    <cellStyle name="Normal 2 2 2 4 2" xfId="1078" xr:uid="{00000000-0005-0000-0000-000089040000}"/>
    <cellStyle name="Normal 2 2 2 4 2 2" xfId="2036" xr:uid="{00000000-0005-0000-0000-00008A040000}"/>
    <cellStyle name="Normal 2 2 2 4 2 2 2" xfId="5286" xr:uid="{5935B611-CC32-49E2-81EA-EF0D4C15900C}"/>
    <cellStyle name="Normal 2 2 2 4 2 2 2 2" xfId="8666" xr:uid="{A410A080-280C-4CA6-96B2-76B4F0822A02}"/>
    <cellStyle name="Normal 2 2 2 4 2 2 3" xfId="6966" xr:uid="{4995E37A-3AF3-44A8-9355-CA8FB11C5AF4}"/>
    <cellStyle name="Normal 2 2 2 4 2 2_DEO ADIT Unprotected" xfId="3053" xr:uid="{7A9BA146-65BF-414E-AFEA-0ED157D9FB11}"/>
    <cellStyle name="Normal 2 2 2 4 2 3" xfId="4449" xr:uid="{45DD9C20-FB2E-471F-9065-62A9983EA738}"/>
    <cellStyle name="Normal 2 2 2 4 2 3 2" xfId="7829" xr:uid="{9FF38CC0-2F8A-4AAD-A661-3AAE46AFF567}"/>
    <cellStyle name="Normal 2 2 2 4 2 4" xfId="6128" xr:uid="{5A442766-C4DA-490A-8868-7EE44A3BC93B}"/>
    <cellStyle name="Normal 2 2 2 4 2_DEO ADIT Unprotected" xfId="3052" xr:uid="{F07AED73-CDD8-4068-91E7-A382317426F3}"/>
    <cellStyle name="Normal 2 2 2_DEO ADIT Unprotected" xfId="3045" xr:uid="{9B657873-CBE7-4972-B61B-D3D7CD44713B}"/>
    <cellStyle name="Normal 2 2 3" xfId="1079" xr:uid="{00000000-0005-0000-0000-00008B040000}"/>
    <cellStyle name="Normal 2 2 3 2" xfId="1080" xr:uid="{00000000-0005-0000-0000-00008C040000}"/>
    <cellStyle name="Normal 2 2 3 2 2" xfId="1081" xr:uid="{00000000-0005-0000-0000-00008D040000}"/>
    <cellStyle name="Normal 2 2 3 2 2 2" xfId="1082" xr:uid="{00000000-0005-0000-0000-00008E040000}"/>
    <cellStyle name="Normal 2 2 3 2 2 2 2" xfId="2040" xr:uid="{00000000-0005-0000-0000-00008F040000}"/>
    <cellStyle name="Normal 2 2 3 2 2 2 2 2" xfId="5290" xr:uid="{9D9D9787-11F8-4321-B8DE-BEDFA79DA467}"/>
    <cellStyle name="Normal 2 2 3 2 2 2 2 2 2" xfId="8670" xr:uid="{1628E64F-2E49-42D4-ACA8-05B5BF7AE486}"/>
    <cellStyle name="Normal 2 2 3 2 2 2 2 3" xfId="6970" xr:uid="{9BDB1C47-7817-4FC6-8331-168AB59173A0}"/>
    <cellStyle name="Normal 2 2 3 2 2 2 2_DEO ADIT Unprotected" xfId="3058" xr:uid="{9498096C-6A16-41EB-B1FE-B6A40997F892}"/>
    <cellStyle name="Normal 2 2 3 2 2 2 3" xfId="4453" xr:uid="{F3AEDD9A-4BF7-4E04-9076-495326B51DD6}"/>
    <cellStyle name="Normal 2 2 3 2 2 2 3 2" xfId="7833" xr:uid="{F31A2A48-1AE6-48E0-841B-C89E2E338365}"/>
    <cellStyle name="Normal 2 2 3 2 2 2 4" xfId="6132" xr:uid="{989FDE14-CB2D-487B-91F8-98F9FD4743D9}"/>
    <cellStyle name="Normal 2 2 3 2 2 2_DEO ADIT Unprotected" xfId="3057" xr:uid="{6FFFFBC6-5B19-48C5-81AD-184FBA63B228}"/>
    <cellStyle name="Normal 2 2 3 2 2 3" xfId="2039" xr:uid="{00000000-0005-0000-0000-000090040000}"/>
    <cellStyle name="Normal 2 2 3 2 2 3 2" xfId="5289" xr:uid="{916E69F9-F4E0-4C57-926D-5810368150AA}"/>
    <cellStyle name="Normal 2 2 3 2 2 3 2 2" xfId="8669" xr:uid="{89852774-CFB4-48CD-B9EE-A08B7D1FA6D9}"/>
    <cellStyle name="Normal 2 2 3 2 2 3 3" xfId="6969" xr:uid="{58F4765C-7715-488B-9EEF-BBFBB7551447}"/>
    <cellStyle name="Normal 2 2 3 2 2 3_DEO ADIT Unprotected" xfId="3059" xr:uid="{E8F154F7-D565-49F0-8CED-0830E64CC3CB}"/>
    <cellStyle name="Normal 2 2 3 2 2 4" xfId="4452" xr:uid="{48962ADA-C121-4C41-B27E-BC489A88A889}"/>
    <cellStyle name="Normal 2 2 3 2 2 4 2" xfId="7832" xr:uid="{7E61AA7A-BD6C-4040-B249-CDB53D69C24E}"/>
    <cellStyle name="Normal 2 2 3 2 2 5" xfId="6131" xr:uid="{CF76164C-DE1B-43C3-8F35-9CC27F6259A8}"/>
    <cellStyle name="Normal 2 2 3 2 2_DEO ADIT Unprotected" xfId="3056" xr:uid="{CE1E4EAD-0A72-48FB-9530-8499305736E6}"/>
    <cellStyle name="Normal 2 2 3 2 3" xfId="2038" xr:uid="{00000000-0005-0000-0000-000091040000}"/>
    <cellStyle name="Normal 2 2 3 2 3 2" xfId="5288" xr:uid="{FC2A927D-B1E2-4F00-B912-A679C931E452}"/>
    <cellStyle name="Normal 2 2 3 2 3 2 2" xfId="8668" xr:uid="{33A2BCCD-CA67-429E-BC5A-E57BDAAC45BD}"/>
    <cellStyle name="Normal 2 2 3 2 3 3" xfId="6968" xr:uid="{3101FFA7-0D10-4C08-B98E-4B5518778233}"/>
    <cellStyle name="Normal 2 2 3 2 3_DEO ADIT Unprotected" xfId="3060" xr:uid="{7D42E455-14DE-45BC-B334-3ECC93420CA7}"/>
    <cellStyle name="Normal 2 2 3 2 4" xfId="4451" xr:uid="{6300480E-9680-480A-810E-985C31042BBE}"/>
    <cellStyle name="Normal 2 2 3 2 4 2" xfId="7831" xr:uid="{4A96DBEE-28B5-4A15-9080-6557D35FA2B0}"/>
    <cellStyle name="Normal 2 2 3 2 5" xfId="6130" xr:uid="{ED4D9A83-F30F-4381-A212-DD0C645920B2}"/>
    <cellStyle name="Normal 2 2 3 2_DEO ADIT Unprotected" xfId="3055" xr:uid="{83BDA62A-BC66-46D0-842D-3F395F6CEBE6}"/>
    <cellStyle name="Normal 2 2 3 3" xfId="1083" xr:uid="{00000000-0005-0000-0000-000092040000}"/>
    <cellStyle name="Normal 2 2 3 3 2" xfId="1084" xr:uid="{00000000-0005-0000-0000-000093040000}"/>
    <cellStyle name="Normal 2 2 3 3 2 2" xfId="2042" xr:uid="{00000000-0005-0000-0000-000094040000}"/>
    <cellStyle name="Normal 2 2 3 3 2 2 2" xfId="5292" xr:uid="{037D3334-DD63-4BE9-B177-35CC949111AC}"/>
    <cellStyle name="Normal 2 2 3 3 2 2 2 2" xfId="8672" xr:uid="{6B4BF342-38D6-4C97-8BD6-AC42A46FDDD3}"/>
    <cellStyle name="Normal 2 2 3 3 2 2 3" xfId="6972" xr:uid="{1C5952C0-7903-4EDC-8F84-D3D7AED7992B}"/>
    <cellStyle name="Normal 2 2 3 3 2 2_DEO ADIT Unprotected" xfId="3063" xr:uid="{54508161-639A-42EC-A277-04756D4A4814}"/>
    <cellStyle name="Normal 2 2 3 3 2 3" xfId="4455" xr:uid="{63CB97D9-567E-4400-B527-0FAD14ABCD3E}"/>
    <cellStyle name="Normal 2 2 3 3 2 3 2" xfId="7835" xr:uid="{5E9A319E-5EFA-4DAF-8515-BBEE381C1B67}"/>
    <cellStyle name="Normal 2 2 3 3 2 4" xfId="6134" xr:uid="{FD54AC38-B628-4107-9343-B230D110BE0A}"/>
    <cellStyle name="Normal 2 2 3 3 2_DEO ADIT Unprotected" xfId="3062" xr:uid="{4D07684D-DAF1-44F3-924D-FDE6D816591C}"/>
    <cellStyle name="Normal 2 2 3 3 3" xfId="2041" xr:uid="{00000000-0005-0000-0000-000095040000}"/>
    <cellStyle name="Normal 2 2 3 3 3 2" xfId="5291" xr:uid="{1EA44B24-3CC5-45C8-AC85-5F750B727703}"/>
    <cellStyle name="Normal 2 2 3 3 3 2 2" xfId="8671" xr:uid="{DB410F47-3676-4A2B-819A-A56BD5E0581B}"/>
    <cellStyle name="Normal 2 2 3 3 3 3" xfId="6971" xr:uid="{501303B9-F55D-48E2-A00B-CC892D8CA34C}"/>
    <cellStyle name="Normal 2 2 3 3 3_DEO ADIT Unprotected" xfId="3064" xr:uid="{DDE1A691-AA4E-4A9F-8D06-342EEC2E6B06}"/>
    <cellStyle name="Normal 2 2 3 3 4" xfId="4454" xr:uid="{31ABC527-278E-4913-8516-56C7026B79DA}"/>
    <cellStyle name="Normal 2 2 3 3 4 2" xfId="7834" xr:uid="{A2F89868-01C7-4986-BCE0-DD82446781CB}"/>
    <cellStyle name="Normal 2 2 3 3 5" xfId="6133" xr:uid="{D825B459-A4A1-442C-8A30-31A7481BB8A4}"/>
    <cellStyle name="Normal 2 2 3 3_DEO ADIT Unprotected" xfId="3061" xr:uid="{58034828-F19B-4ABD-9DF2-17523AD35AEF}"/>
    <cellStyle name="Normal 2 2 3 4" xfId="1085" xr:uid="{00000000-0005-0000-0000-000096040000}"/>
    <cellStyle name="Normal 2 2 3 4 2" xfId="1086" xr:uid="{00000000-0005-0000-0000-000097040000}"/>
    <cellStyle name="Normal 2 2 3 4 2 2" xfId="2044" xr:uid="{00000000-0005-0000-0000-000098040000}"/>
    <cellStyle name="Normal 2 2 3 4 2 2 2" xfId="5294" xr:uid="{6FB85D15-5D5D-448A-A091-F14C4FAFA980}"/>
    <cellStyle name="Normal 2 2 3 4 2 2 2 2" xfId="8674" xr:uid="{6A2009B0-426E-4850-8F0C-01BB67996BE8}"/>
    <cellStyle name="Normal 2 2 3 4 2 2 3" xfId="6974" xr:uid="{1DDDDA76-7C60-4489-9657-FC82955AA2AC}"/>
    <cellStyle name="Normal 2 2 3 4 2 2_DEO ADIT Unprotected" xfId="3067" xr:uid="{E021E798-EF02-4F0E-8AA7-5D4A71C6A445}"/>
    <cellStyle name="Normal 2 2 3 4 2 3" xfId="4457" xr:uid="{FE0D4691-874D-4267-8CA3-34A4C9102CF3}"/>
    <cellStyle name="Normal 2 2 3 4 2 3 2" xfId="7837" xr:uid="{20A3DA61-42AF-4633-892F-971C335E4FE1}"/>
    <cellStyle name="Normal 2 2 3 4 2 4" xfId="6136" xr:uid="{394A3C1F-471F-47A2-8BDC-9EEA07733E30}"/>
    <cellStyle name="Normal 2 2 3 4 2_DEO ADIT Unprotected" xfId="3066" xr:uid="{FCC71D09-91CA-4E9D-A51E-49F235BEB4D1}"/>
    <cellStyle name="Normal 2 2 3 4 3" xfId="2043" xr:uid="{00000000-0005-0000-0000-000099040000}"/>
    <cellStyle name="Normal 2 2 3 4 3 2" xfId="5293" xr:uid="{D145EA6F-19C0-4645-99E4-0C74E62760D8}"/>
    <cellStyle name="Normal 2 2 3 4 3 2 2" xfId="8673" xr:uid="{65563177-E7DE-4BEE-B794-51FB63003A58}"/>
    <cellStyle name="Normal 2 2 3 4 3 3" xfId="6973" xr:uid="{DCB33092-1DBC-4FC5-83AD-293246A7E97E}"/>
    <cellStyle name="Normal 2 2 3 4 3_DEO ADIT Unprotected" xfId="3068" xr:uid="{E4C6AFAB-9066-4181-A143-0F6FDDA44312}"/>
    <cellStyle name="Normal 2 2 3 4 4" xfId="4456" xr:uid="{7E64A59F-2BD4-4F52-93B7-BFCB51C0F10D}"/>
    <cellStyle name="Normal 2 2 3 4 4 2" xfId="7836" xr:uid="{D20FA562-712E-4DC1-9DF0-F7D8EFE80125}"/>
    <cellStyle name="Normal 2 2 3 4 5" xfId="6135" xr:uid="{B43A86BE-23D8-4CF9-B3B8-A1792618ECE8}"/>
    <cellStyle name="Normal 2 2 3 4_DEO ADIT Unprotected" xfId="3065" xr:uid="{EFEC5C8B-0BEB-4708-88C1-2E5C08B49961}"/>
    <cellStyle name="Normal 2 2 3 5" xfId="1087" xr:uid="{00000000-0005-0000-0000-00009A040000}"/>
    <cellStyle name="Normal 2 2 3 6" xfId="2037" xr:uid="{00000000-0005-0000-0000-00009B040000}"/>
    <cellStyle name="Normal 2 2 3 6 2" xfId="5287" xr:uid="{DE54ABF2-681B-46D5-B650-E72593DB7AD6}"/>
    <cellStyle name="Normal 2 2 3 6 2 2" xfId="8667" xr:uid="{F7DB918C-F1A5-4FF9-A3DE-96B0C49787A3}"/>
    <cellStyle name="Normal 2 2 3 6 3" xfId="6967" xr:uid="{96F19325-8DFA-409F-8415-24989A138C68}"/>
    <cellStyle name="Normal 2 2 3 6_DEO ADIT Unprotected" xfId="3069" xr:uid="{5A664184-B6D6-4468-A165-6046DE722409}"/>
    <cellStyle name="Normal 2 2 3 7" xfId="4450" xr:uid="{46C70E43-D6A3-4242-AAC7-3161F4906C8A}"/>
    <cellStyle name="Normal 2 2 3 7 2" xfId="7830" xr:uid="{5DC1C57D-C109-4A7A-87F3-97F12F1CF7A1}"/>
    <cellStyle name="Normal 2 2 3 8" xfId="6129" xr:uid="{CBF5AF3C-EE5B-4410-93D8-B21D4FD7B0B2}"/>
    <cellStyle name="Normal 2 2 3_DEO ADIT Unprotected" xfId="3054" xr:uid="{5158A3E3-10CF-4D1F-9762-43FB73A33BAB}"/>
    <cellStyle name="Normal 2 2 4" xfId="1088" xr:uid="{00000000-0005-0000-0000-00009C040000}"/>
    <cellStyle name="Normal 2 2 4 2" xfId="1089" xr:uid="{00000000-0005-0000-0000-00009D040000}"/>
    <cellStyle name="Normal 2 2 4 2 2" xfId="1090" xr:uid="{00000000-0005-0000-0000-00009E040000}"/>
    <cellStyle name="Normal 2 2 4 2 2 2" xfId="1091" xr:uid="{00000000-0005-0000-0000-00009F040000}"/>
    <cellStyle name="Normal 2 2 4 2 2 2 2" xfId="2048" xr:uid="{00000000-0005-0000-0000-0000A0040000}"/>
    <cellStyle name="Normal 2 2 4 2 2 2 2 2" xfId="5298" xr:uid="{D49E8346-01B9-4F72-BAFB-173C2D01B898}"/>
    <cellStyle name="Normal 2 2 4 2 2 2 2 2 2" xfId="8678" xr:uid="{06918C51-BF84-4526-985C-A4E1F4D9A926}"/>
    <cellStyle name="Normal 2 2 4 2 2 2 2 3" xfId="6978" xr:uid="{63495188-A9F9-4F9A-A090-6C95ECC09D8B}"/>
    <cellStyle name="Normal 2 2 4 2 2 2 2_DEO ADIT Unprotected" xfId="3074" xr:uid="{3B66B1EE-5634-420B-A11A-B825973130CD}"/>
    <cellStyle name="Normal 2 2 4 2 2 2 3" xfId="4461" xr:uid="{281F8B27-1C95-4B5C-8D8D-EFC24413BD37}"/>
    <cellStyle name="Normal 2 2 4 2 2 2 3 2" xfId="7841" xr:uid="{2BBD5075-3EAB-456B-BF78-29510E5C1EC8}"/>
    <cellStyle name="Normal 2 2 4 2 2 2 4" xfId="6140" xr:uid="{16C3DF16-09FA-449A-B132-78B516288A3F}"/>
    <cellStyle name="Normal 2 2 4 2 2 2_DEO ADIT Unprotected" xfId="3073" xr:uid="{2EB3E527-BFC7-4CAA-849A-FB96E1893CD8}"/>
    <cellStyle name="Normal 2 2 4 2 2 3" xfId="2047" xr:uid="{00000000-0005-0000-0000-0000A1040000}"/>
    <cellStyle name="Normal 2 2 4 2 2 3 2" xfId="5297" xr:uid="{4D448A29-CC7C-428B-8665-0E78185EFB96}"/>
    <cellStyle name="Normal 2 2 4 2 2 3 2 2" xfId="8677" xr:uid="{81A1D13D-05CD-43AC-88E5-BF620203D6DF}"/>
    <cellStyle name="Normal 2 2 4 2 2 3 3" xfId="6977" xr:uid="{2ACB000A-EC71-43A4-AA7C-D803E0130208}"/>
    <cellStyle name="Normal 2 2 4 2 2 3_DEO ADIT Unprotected" xfId="3075" xr:uid="{B5984D4D-CFC9-46C1-B689-3C247C5B87CF}"/>
    <cellStyle name="Normal 2 2 4 2 2 4" xfId="4460" xr:uid="{BBAEDD9C-FED1-4B84-A285-093FD37F12D8}"/>
    <cellStyle name="Normal 2 2 4 2 2 4 2" xfId="7840" xr:uid="{7BB73E16-954D-4ABA-B963-BF96C2B9F8B1}"/>
    <cellStyle name="Normal 2 2 4 2 2 5" xfId="6139" xr:uid="{F401AF30-33BD-4045-9DB9-512C5AF804F1}"/>
    <cellStyle name="Normal 2 2 4 2 2_DEO ADIT Unprotected" xfId="3072" xr:uid="{914DA46F-0C31-402D-8E60-49C297BB2428}"/>
    <cellStyle name="Normal 2 2 4 2 3" xfId="1092" xr:uid="{00000000-0005-0000-0000-0000A2040000}"/>
    <cellStyle name="Normal 2 2 4 2 3 2" xfId="2049" xr:uid="{00000000-0005-0000-0000-0000A3040000}"/>
    <cellStyle name="Normal 2 2 4 2 3 2 2" xfId="5299" xr:uid="{EE41D6DE-4054-4292-A5EC-B32C54A49C9D}"/>
    <cellStyle name="Normal 2 2 4 2 3 2 2 2" xfId="8679" xr:uid="{4A0B32CB-7318-4F7E-BF1F-6F24C4D417E6}"/>
    <cellStyle name="Normal 2 2 4 2 3 2 3" xfId="6979" xr:uid="{05ADA2BB-6A6E-46FA-A85B-D2B20B378926}"/>
    <cellStyle name="Normal 2 2 4 2 3 2_DEO ADIT Unprotected" xfId="3077" xr:uid="{78E0E27C-A4EA-40DF-9DF4-39B0100FE878}"/>
    <cellStyle name="Normal 2 2 4 2 3 3" xfId="4462" xr:uid="{405710C6-B303-4C3C-921C-4D5C26984F4B}"/>
    <cellStyle name="Normal 2 2 4 2 3 3 2" xfId="7842" xr:uid="{C9051C3C-5C70-4219-9EEE-5169D432412E}"/>
    <cellStyle name="Normal 2 2 4 2 3 4" xfId="6141" xr:uid="{4194EBA8-6D58-4C5F-AD62-436F9D92898A}"/>
    <cellStyle name="Normal 2 2 4 2 3_DEO ADIT Unprotected" xfId="3076" xr:uid="{100E9D87-D45E-46AA-9A96-2C58A21A2A66}"/>
    <cellStyle name="Normal 2 2 4 2 4" xfId="2046" xr:uid="{00000000-0005-0000-0000-0000A4040000}"/>
    <cellStyle name="Normal 2 2 4 2 4 2" xfId="5296" xr:uid="{CF17C28E-227D-41F1-A39C-182BBCA0591B}"/>
    <cellStyle name="Normal 2 2 4 2 4 2 2" xfId="8676" xr:uid="{9F110ABC-D135-40EC-956F-DCA17C97E240}"/>
    <cellStyle name="Normal 2 2 4 2 4 3" xfId="6976" xr:uid="{66CB4CB9-1A57-4661-892D-3669B2D7773E}"/>
    <cellStyle name="Normal 2 2 4 2 4_DEO ADIT Unprotected" xfId="3078" xr:uid="{B28DFFBC-B471-43EA-AB29-8E79BC1E0888}"/>
    <cellStyle name="Normal 2 2 4 2 5" xfId="4459" xr:uid="{63062382-66A7-4EE5-B943-FABEEC454662}"/>
    <cellStyle name="Normal 2 2 4 2 5 2" xfId="7839" xr:uid="{20EEA858-5AD1-44D3-9BF0-68D127B4C19E}"/>
    <cellStyle name="Normal 2 2 4 2 6" xfId="6138" xr:uid="{782C3813-4EDD-44B8-A88A-1A90899F85C9}"/>
    <cellStyle name="Normal 2 2 4 2_DEO ADIT Unprotected" xfId="3071" xr:uid="{22CA442C-2A54-4113-8753-F682249E6F94}"/>
    <cellStyle name="Normal 2 2 4 3" xfId="1093" xr:uid="{00000000-0005-0000-0000-0000A5040000}"/>
    <cellStyle name="Normal 2 2 4 3 2" xfId="1094" xr:uid="{00000000-0005-0000-0000-0000A6040000}"/>
    <cellStyle name="Normal 2 2 4 3 2 2" xfId="2051" xr:uid="{00000000-0005-0000-0000-0000A7040000}"/>
    <cellStyle name="Normal 2 2 4 3 2 2 2" xfId="5301" xr:uid="{A400660D-A40F-4B07-9135-5D3864B9035D}"/>
    <cellStyle name="Normal 2 2 4 3 2 2 2 2" xfId="8681" xr:uid="{82794ADE-59C8-48CA-905D-E51583ABBA81}"/>
    <cellStyle name="Normal 2 2 4 3 2 2 3" xfId="6981" xr:uid="{834DDFCC-3635-4FF8-BA9A-9CCB7A83E36D}"/>
    <cellStyle name="Normal 2 2 4 3 2 2_DEO ADIT Unprotected" xfId="3081" xr:uid="{C04CCF44-505B-4E5E-B32C-E92D7968060F}"/>
    <cellStyle name="Normal 2 2 4 3 2 3" xfId="4464" xr:uid="{6BAE7810-D8DD-48C4-AA41-E5897C562A21}"/>
    <cellStyle name="Normal 2 2 4 3 2 3 2" xfId="7844" xr:uid="{75D7C8EA-BB86-46F6-9749-BD55DECD8840}"/>
    <cellStyle name="Normal 2 2 4 3 2 4" xfId="6143" xr:uid="{9C1D5230-8047-4ACE-93C9-0BE52357E6E6}"/>
    <cellStyle name="Normal 2 2 4 3 2_DEO ADIT Unprotected" xfId="3080" xr:uid="{912266BE-C567-4599-8050-25661863E589}"/>
    <cellStyle name="Normal 2 2 4 3 3" xfId="2050" xr:uid="{00000000-0005-0000-0000-0000A8040000}"/>
    <cellStyle name="Normal 2 2 4 3 3 2" xfId="5300" xr:uid="{2D9DA4C5-AFDE-4309-B465-2B6D21C33CAE}"/>
    <cellStyle name="Normal 2 2 4 3 3 2 2" xfId="8680" xr:uid="{61B2DC31-5BAB-42CE-BA35-E93705EBA5ED}"/>
    <cellStyle name="Normal 2 2 4 3 3 3" xfId="6980" xr:uid="{85BB5EBA-ABBE-4133-9FA9-4180DA99454D}"/>
    <cellStyle name="Normal 2 2 4 3 3_DEO ADIT Unprotected" xfId="3082" xr:uid="{F9EF055C-F81C-4646-852F-15DBE408C07D}"/>
    <cellStyle name="Normal 2 2 4 3 4" xfId="4463" xr:uid="{E551E9EB-797A-4442-9E54-30156EC04274}"/>
    <cellStyle name="Normal 2 2 4 3 4 2" xfId="7843" xr:uid="{535AC79E-03B4-426D-B4A0-823656434DA4}"/>
    <cellStyle name="Normal 2 2 4 3 5" xfId="6142" xr:uid="{3110D66F-6F8D-4261-BB1F-E6E562E48D1F}"/>
    <cellStyle name="Normal 2 2 4 3_DEO ADIT Unprotected" xfId="3079" xr:uid="{814AC2FE-8AEF-483A-A1C3-EC399866E254}"/>
    <cellStyle name="Normal 2 2 4 4" xfId="1095" xr:uid="{00000000-0005-0000-0000-0000A9040000}"/>
    <cellStyle name="Normal 2 2 4 4 2" xfId="1096" xr:uid="{00000000-0005-0000-0000-0000AA040000}"/>
    <cellStyle name="Normal 2 2 4 4 2 2" xfId="2053" xr:uid="{00000000-0005-0000-0000-0000AB040000}"/>
    <cellStyle name="Normal 2 2 4 4 2 2 2" xfId="5303" xr:uid="{CE0B86CB-C305-4BFE-BCFC-6AB31AB1B77F}"/>
    <cellStyle name="Normal 2 2 4 4 2 2 2 2" xfId="8683" xr:uid="{6682A715-1F23-459A-BEEE-977945B78EA0}"/>
    <cellStyle name="Normal 2 2 4 4 2 2 3" xfId="6983" xr:uid="{35F9EA91-2E57-47EE-AA68-FA3DC7156E57}"/>
    <cellStyle name="Normal 2 2 4 4 2 2_DEO ADIT Unprotected" xfId="3085" xr:uid="{3D5BFA3D-7353-46DF-89A1-1AB7255824AC}"/>
    <cellStyle name="Normal 2 2 4 4 2 3" xfId="4466" xr:uid="{AAE67F41-C083-47F0-9DDE-88D7A7FB8B34}"/>
    <cellStyle name="Normal 2 2 4 4 2 3 2" xfId="7846" xr:uid="{3579A51A-7A90-4C1D-9A18-E5738DD7B5FB}"/>
    <cellStyle name="Normal 2 2 4 4 2 4" xfId="6145" xr:uid="{B8716ECD-32B6-4C3F-952B-AA29CE37B190}"/>
    <cellStyle name="Normal 2 2 4 4 2_DEO ADIT Unprotected" xfId="3084" xr:uid="{67C00496-198B-4352-88AB-8BFE53926CD6}"/>
    <cellStyle name="Normal 2 2 4 4 3" xfId="2052" xr:uid="{00000000-0005-0000-0000-0000AC040000}"/>
    <cellStyle name="Normal 2 2 4 4 3 2" xfId="5302" xr:uid="{091C2889-42C4-4B15-A081-239D5F03E122}"/>
    <cellStyle name="Normal 2 2 4 4 3 2 2" xfId="8682" xr:uid="{CD42A6C9-4099-4517-98E6-15CDE364510B}"/>
    <cellStyle name="Normal 2 2 4 4 3 3" xfId="6982" xr:uid="{1A27F1FB-0809-4124-BC48-B2CDB638DAD8}"/>
    <cellStyle name="Normal 2 2 4 4 3_DEO ADIT Unprotected" xfId="3086" xr:uid="{282AF3A9-EA8C-4DD8-A71A-0681898EA8D9}"/>
    <cellStyle name="Normal 2 2 4 4 4" xfId="4465" xr:uid="{F4602097-8F81-4DC3-8082-DFA0F80BD752}"/>
    <cellStyle name="Normal 2 2 4 4 4 2" xfId="7845" xr:uid="{343FC799-D887-4B0A-8BB4-FFC39585ACC7}"/>
    <cellStyle name="Normal 2 2 4 4 5" xfId="6144" xr:uid="{279A35F8-CF41-499C-BA57-F51CF65DB834}"/>
    <cellStyle name="Normal 2 2 4 4_DEO ADIT Unprotected" xfId="3083" xr:uid="{7F401D79-AB06-4120-B69C-27C3B2089FC7}"/>
    <cellStyle name="Normal 2 2 4 5" xfId="2045" xr:uid="{00000000-0005-0000-0000-0000AD040000}"/>
    <cellStyle name="Normal 2 2 4 5 2" xfId="5295" xr:uid="{05162909-F622-4B83-BEE8-22D25794C870}"/>
    <cellStyle name="Normal 2 2 4 5 2 2" xfId="8675" xr:uid="{F5005ADE-7BEC-41F8-9900-B3A839B5A574}"/>
    <cellStyle name="Normal 2 2 4 5 3" xfId="6975" xr:uid="{6B256308-2010-4DA6-A3F3-BA1183A432EA}"/>
    <cellStyle name="Normal 2 2 4 5_DEO ADIT Unprotected" xfId="3087" xr:uid="{FE2B6409-914F-4D1A-A2AB-444EFFE1E259}"/>
    <cellStyle name="Normal 2 2 4 6" xfId="4458" xr:uid="{375ED597-8D34-4D62-8650-DFA7649496C5}"/>
    <cellStyle name="Normal 2 2 4 6 2" xfId="7838" xr:uid="{933E08B8-61AD-41C4-AD02-FF5449BDAD74}"/>
    <cellStyle name="Normal 2 2 4 7" xfId="6137" xr:uid="{4C9C12D3-B4C3-4652-9AB7-4FA33596A4FE}"/>
    <cellStyle name="Normal 2 2 4_DEO ADIT Unprotected" xfId="3070" xr:uid="{1D409253-DB8A-4C67-9F91-63BD172F3EFE}"/>
    <cellStyle name="Normal 2 2 5" xfId="1097" xr:uid="{00000000-0005-0000-0000-0000AE040000}"/>
    <cellStyle name="Normal 2 2 5 2" xfId="1098" xr:uid="{00000000-0005-0000-0000-0000AF040000}"/>
    <cellStyle name="Normal 2 2 5 2 2" xfId="1099" xr:uid="{00000000-0005-0000-0000-0000B0040000}"/>
    <cellStyle name="Normal 2 2 5 2 2 2" xfId="2056" xr:uid="{00000000-0005-0000-0000-0000B1040000}"/>
    <cellStyle name="Normal 2 2 5 2 2 2 2" xfId="5306" xr:uid="{C8035A6C-8414-4CB0-9BD8-13740FD882B4}"/>
    <cellStyle name="Normal 2 2 5 2 2 2 2 2" xfId="8686" xr:uid="{060EDB4F-1150-4ECB-BF4C-7D1251CB880C}"/>
    <cellStyle name="Normal 2 2 5 2 2 2 3" xfId="6986" xr:uid="{A20195D4-F6A7-4CA2-9772-C57A76CEFD3F}"/>
    <cellStyle name="Normal 2 2 5 2 2 2_DEO ADIT Unprotected" xfId="3091" xr:uid="{568296E1-F9E0-4028-8ECB-720F6B5390D4}"/>
    <cellStyle name="Normal 2 2 5 2 2 3" xfId="4469" xr:uid="{F93103C7-36A3-4F5F-B29A-879FEB4FA9DC}"/>
    <cellStyle name="Normal 2 2 5 2 2 3 2" xfId="7849" xr:uid="{0314EE4E-0110-46F0-A627-6403D9F648C1}"/>
    <cellStyle name="Normal 2 2 5 2 2 4" xfId="6148" xr:uid="{CAA9D2EF-BB98-422C-9257-8A836B9EAFFC}"/>
    <cellStyle name="Normal 2 2 5 2 2_DEO ADIT Unprotected" xfId="3090" xr:uid="{AA280ECF-CDF2-454F-9F69-630FF2F07BDB}"/>
    <cellStyle name="Normal 2 2 5 2 3" xfId="2055" xr:uid="{00000000-0005-0000-0000-0000B2040000}"/>
    <cellStyle name="Normal 2 2 5 2 3 2" xfId="5305" xr:uid="{79ECD0F5-9040-4722-8B9C-6F683CF59AFD}"/>
    <cellStyle name="Normal 2 2 5 2 3 2 2" xfId="8685" xr:uid="{256AB84D-6060-4623-9876-B0EF7BEC7C55}"/>
    <cellStyle name="Normal 2 2 5 2 3 3" xfId="6985" xr:uid="{F1BCBA6E-B780-4BB4-8923-13AE556DE4E0}"/>
    <cellStyle name="Normal 2 2 5 2 3_DEO ADIT Unprotected" xfId="3092" xr:uid="{A9F40312-5530-46C5-A7F4-91D1C6A9DD7C}"/>
    <cellStyle name="Normal 2 2 5 2 4" xfId="4468" xr:uid="{0D7E0114-4A21-4407-85E8-276B0A03F80E}"/>
    <cellStyle name="Normal 2 2 5 2 4 2" xfId="7848" xr:uid="{E9D94893-9368-4163-85F0-8110E6ACD07C}"/>
    <cellStyle name="Normal 2 2 5 2 5" xfId="6147" xr:uid="{CE03F89D-9A8E-4EF9-9732-E52FDB298C79}"/>
    <cellStyle name="Normal 2 2 5 2_DEO ADIT Unprotected" xfId="3089" xr:uid="{069A7A7D-85E1-49A7-9086-DF2CF9772434}"/>
    <cellStyle name="Normal 2 2 5 3" xfId="1100" xr:uid="{00000000-0005-0000-0000-0000B3040000}"/>
    <cellStyle name="Normal 2 2 5 3 2" xfId="2057" xr:uid="{00000000-0005-0000-0000-0000B4040000}"/>
    <cellStyle name="Normal 2 2 5 3 2 2" xfId="5307" xr:uid="{5B17C662-792F-4D56-AD8E-814871EACC25}"/>
    <cellStyle name="Normal 2 2 5 3 2 2 2" xfId="8687" xr:uid="{278B4DA1-EE93-46F9-A1AC-B9647A75CADA}"/>
    <cellStyle name="Normal 2 2 5 3 2 3" xfId="6987" xr:uid="{F0F88869-66E2-4E36-A353-C4A7395B527D}"/>
    <cellStyle name="Normal 2 2 5 3 2_DEO ADIT Unprotected" xfId="3094" xr:uid="{B862A788-5F04-4D5D-97FB-E8CA593A9E3D}"/>
    <cellStyle name="Normal 2 2 5 3 3" xfId="4470" xr:uid="{70FF4847-6BB8-4A8F-8314-6F2BD8E8CE2D}"/>
    <cellStyle name="Normal 2 2 5 3 3 2" xfId="7850" xr:uid="{3E410E3D-6EBF-4B47-879A-6972ABE02C73}"/>
    <cellStyle name="Normal 2 2 5 3 4" xfId="6149" xr:uid="{E71D7F20-7652-4EFD-9BD8-2AB94D440DA9}"/>
    <cellStyle name="Normal 2 2 5 3_DEO ADIT Unprotected" xfId="3093" xr:uid="{977C9660-8445-4D0C-91E3-637C5B7C55DD}"/>
    <cellStyle name="Normal 2 2 5 4" xfId="2054" xr:uid="{00000000-0005-0000-0000-0000B5040000}"/>
    <cellStyle name="Normal 2 2 5 4 2" xfId="5304" xr:uid="{F147CE0C-2FBB-46C5-BF4A-A05C142B9468}"/>
    <cellStyle name="Normal 2 2 5 4 2 2" xfId="8684" xr:uid="{9AD23A15-F2CF-454F-A941-34B740234EE5}"/>
    <cellStyle name="Normal 2 2 5 4 3" xfId="6984" xr:uid="{B71AAC2C-D315-4E70-B265-0C39EEE088C4}"/>
    <cellStyle name="Normal 2 2 5 4_DEO ADIT Unprotected" xfId="3095" xr:uid="{8A471822-8A4C-4533-88B9-4C7744738D12}"/>
    <cellStyle name="Normal 2 2 5 5" xfId="4467" xr:uid="{6D6DBC49-394C-41BC-9E6E-B1362EE6A84D}"/>
    <cellStyle name="Normal 2 2 5 5 2" xfId="7847" xr:uid="{78DFD04E-566A-4719-B97B-809CA680B0EE}"/>
    <cellStyle name="Normal 2 2 5 6" xfId="6146" xr:uid="{61B0C7C2-13CB-4C39-B2E4-2147D315129F}"/>
    <cellStyle name="Normal 2 2 5_DEO ADIT Unprotected" xfId="3088" xr:uid="{D0F6F46E-178D-47FF-B52B-E1FE1ADC4E6F}"/>
    <cellStyle name="Normal 2 2 6" xfId="1101" xr:uid="{00000000-0005-0000-0000-0000B6040000}"/>
    <cellStyle name="Normal 2 2 6 2" xfId="1102" xr:uid="{00000000-0005-0000-0000-0000B7040000}"/>
    <cellStyle name="Normal 2 2 6 2 2" xfId="2059" xr:uid="{00000000-0005-0000-0000-0000B8040000}"/>
    <cellStyle name="Normal 2 2 6 2 2 2" xfId="5309" xr:uid="{ED1B7A47-B087-4752-AED4-FB8BC7EC3875}"/>
    <cellStyle name="Normal 2 2 6 2 2 2 2" xfId="8689" xr:uid="{C310FEAC-6AFE-4EBE-996B-C4666DE90AFE}"/>
    <cellStyle name="Normal 2 2 6 2 2 3" xfId="6989" xr:uid="{86BEF0A5-5949-4277-BD18-E37941136120}"/>
    <cellStyle name="Normal 2 2 6 2 2_DEO ADIT Unprotected" xfId="3098" xr:uid="{D145BFBF-2BAB-4755-94B9-EB5BE837D692}"/>
    <cellStyle name="Normal 2 2 6 2 3" xfId="4472" xr:uid="{4A221CFC-2701-4B2A-AF75-874A2682274E}"/>
    <cellStyle name="Normal 2 2 6 2 3 2" xfId="7852" xr:uid="{7C3C32AD-16C4-4ACF-8B9F-A133559C94DE}"/>
    <cellStyle name="Normal 2 2 6 2 4" xfId="6151" xr:uid="{145E0760-9FC3-4051-BF94-C6A008353B4B}"/>
    <cellStyle name="Normal 2 2 6 2_DEO ADIT Unprotected" xfId="3097" xr:uid="{5CBBF342-183D-42BD-9F09-245BA1981243}"/>
    <cellStyle name="Normal 2 2 6 3" xfId="2058" xr:uid="{00000000-0005-0000-0000-0000B9040000}"/>
    <cellStyle name="Normal 2 2 6 3 2" xfId="5308" xr:uid="{D9C14A35-A70A-4BB0-A0B6-855F3D236502}"/>
    <cellStyle name="Normal 2 2 6 3 2 2" xfId="8688" xr:uid="{834BEE6D-D8A1-4A19-A363-F50483FE1CB9}"/>
    <cellStyle name="Normal 2 2 6 3 3" xfId="6988" xr:uid="{2212BE97-02D9-43E7-929E-A52C3AC53A2E}"/>
    <cellStyle name="Normal 2 2 6 3_DEO ADIT Unprotected" xfId="3099" xr:uid="{3ED0591D-76A4-4383-83D4-D1FC6CDB348B}"/>
    <cellStyle name="Normal 2 2 6 4" xfId="4471" xr:uid="{8546E082-7803-4D56-ADA7-6D4E2F73A330}"/>
    <cellStyle name="Normal 2 2 6 4 2" xfId="7851" xr:uid="{A10075EF-0A14-4F11-88C6-CC74B3D96429}"/>
    <cellStyle name="Normal 2 2 6 5" xfId="6150" xr:uid="{E2F9AF18-F397-4D8A-9905-761DE807D3C8}"/>
    <cellStyle name="Normal 2 2 6_DEO ADIT Unprotected" xfId="3096" xr:uid="{C593399A-90C0-4F2D-AF4D-07EB4B9AC158}"/>
    <cellStyle name="Normal 2 2 7" xfId="1103" xr:uid="{00000000-0005-0000-0000-0000BA040000}"/>
    <cellStyle name="Normal 2 2 7 2" xfId="1104" xr:uid="{00000000-0005-0000-0000-0000BB040000}"/>
    <cellStyle name="Normal 2 2 7 2 2" xfId="2061" xr:uid="{00000000-0005-0000-0000-0000BC040000}"/>
    <cellStyle name="Normal 2 2 7 2 2 2" xfId="5311" xr:uid="{ECA15CD9-A9C9-40CE-95B1-DFDA141A7053}"/>
    <cellStyle name="Normal 2 2 7 2 2 2 2" xfId="8691" xr:uid="{051B7C40-8292-4694-8CB7-A10BD50CA77B}"/>
    <cellStyle name="Normal 2 2 7 2 2 3" xfId="6991" xr:uid="{8ECF0B76-D2B4-431A-A2CC-B48AAA725B30}"/>
    <cellStyle name="Normal 2 2 7 2 2_DEO ADIT Unprotected" xfId="3102" xr:uid="{0C31F67E-8FB9-40CE-A935-90AAB6A4701B}"/>
    <cellStyle name="Normal 2 2 7 2 3" xfId="4474" xr:uid="{00DADE40-A65B-4054-8F4E-C9137666998A}"/>
    <cellStyle name="Normal 2 2 7 2 3 2" xfId="7854" xr:uid="{78D06334-DE5F-480C-92F8-FEDB580EC3BB}"/>
    <cellStyle name="Normal 2 2 7 2 4" xfId="6153" xr:uid="{CCFE67A1-C617-4331-9849-691333976FDA}"/>
    <cellStyle name="Normal 2 2 7 2_DEO ADIT Unprotected" xfId="3101" xr:uid="{76F53B75-2141-4DB5-9FFD-DBE5EF876E5F}"/>
    <cellStyle name="Normal 2 2 7 3" xfId="2060" xr:uid="{00000000-0005-0000-0000-0000BD040000}"/>
    <cellStyle name="Normal 2 2 7 3 2" xfId="5310" xr:uid="{144B3AD6-3886-4A60-8E65-99D2861B1FE8}"/>
    <cellStyle name="Normal 2 2 7 3 2 2" xfId="8690" xr:uid="{A6D97365-7779-454C-9615-76D3F6583900}"/>
    <cellStyle name="Normal 2 2 7 3 3" xfId="6990" xr:uid="{2F31DAFD-B668-461F-B95A-A86328CE7D4D}"/>
    <cellStyle name="Normal 2 2 7 3_DEO ADIT Unprotected" xfId="3103" xr:uid="{6BAD9CE6-4DE0-41FD-A799-29EF8B72F8EF}"/>
    <cellStyle name="Normal 2 2 7 4" xfId="4473" xr:uid="{26FA1833-2E19-4E86-92D3-996F76639D89}"/>
    <cellStyle name="Normal 2 2 7 4 2" xfId="7853" xr:uid="{328DE196-DD8A-4E6A-BAEB-1DA5A00A60D8}"/>
    <cellStyle name="Normal 2 2 7 5" xfId="6152" xr:uid="{AD742C12-4C03-4B3F-AAE9-1F922AC966ED}"/>
    <cellStyle name="Normal 2 2 7_DEO ADIT Unprotected" xfId="3100" xr:uid="{26CFE068-D161-4FFE-B175-66A330072011}"/>
    <cellStyle name="Normal 2 2 8" xfId="1105" xr:uid="{00000000-0005-0000-0000-0000BE040000}"/>
    <cellStyle name="Normal 2 2 8 2" xfId="2062" xr:uid="{00000000-0005-0000-0000-0000BF040000}"/>
    <cellStyle name="Normal 2 2 8 2 2" xfId="5312" xr:uid="{26415D5E-D6E8-44EB-AD8A-F9EB99B7C323}"/>
    <cellStyle name="Normal 2 2 8 2 2 2" xfId="8692" xr:uid="{440D72D0-3898-418C-A554-6B52BBCF81CA}"/>
    <cellStyle name="Normal 2 2 8 2 3" xfId="6992" xr:uid="{C4F29790-FFDE-4A24-9701-76B7E306349E}"/>
    <cellStyle name="Normal 2 2 8 2_DEO ADIT Unprotected" xfId="3105" xr:uid="{47B7A4D1-9240-470C-BBA7-6141D3843A04}"/>
    <cellStyle name="Normal 2 2 8 3" xfId="4475" xr:uid="{6E8D752B-DF0A-4DA4-B032-3076A0BDB1D1}"/>
    <cellStyle name="Normal 2 2 8 3 2" xfId="7855" xr:uid="{5630C97D-BFB2-4FEB-8457-44F31EC9568C}"/>
    <cellStyle name="Normal 2 2 8 4" xfId="6154" xr:uid="{7D1E1C9C-7BE8-4C47-8C0B-858E13B6CA3B}"/>
    <cellStyle name="Normal 2 2 8_DEO ADIT Unprotected" xfId="3104" xr:uid="{D0CA5845-9FD9-46D6-8BC6-7A81FFC5A146}"/>
    <cellStyle name="Normal 2 2 9" xfId="1106" xr:uid="{00000000-0005-0000-0000-0000C0040000}"/>
    <cellStyle name="Normal 2 2_DEO ADIT Unprotected" xfId="3043" xr:uid="{621B0ED7-6534-491B-8213-BDB1510C0DF6}"/>
    <cellStyle name="Normal 2 3" xfId="439" xr:uid="{00000000-0005-0000-0000-0000C1040000}"/>
    <cellStyle name="Normal 2 3 2" xfId="1107" xr:uid="{00000000-0005-0000-0000-0000C2040000}"/>
    <cellStyle name="Normal 2 3 2 2" xfId="1108" xr:uid="{00000000-0005-0000-0000-0000C3040000}"/>
    <cellStyle name="Normal 2 3 2 2 2" xfId="1109" xr:uid="{00000000-0005-0000-0000-0000C4040000}"/>
    <cellStyle name="Normal 2 3 2 2 2 2" xfId="1110" xr:uid="{00000000-0005-0000-0000-0000C5040000}"/>
    <cellStyle name="Normal 2 3 2 2 2 2 2" xfId="2066" xr:uid="{00000000-0005-0000-0000-0000C6040000}"/>
    <cellStyle name="Normal 2 3 2 2 2 2 2 2" xfId="5316" xr:uid="{561557E9-3BBB-471B-ABA0-5026A8338E99}"/>
    <cellStyle name="Normal 2 3 2 2 2 2 2 2 2" xfId="8696" xr:uid="{3420ADC6-3EB9-49C8-B7A7-5796CC8997FE}"/>
    <cellStyle name="Normal 2 3 2 2 2 2 2 3" xfId="6996" xr:uid="{DD968626-081B-47E4-ADC9-66F18BB01C15}"/>
    <cellStyle name="Normal 2 3 2 2 2 2 2_DEO ADIT Unprotected" xfId="3111" xr:uid="{510D8F35-294A-4B51-AF1C-3F3FD490DA96}"/>
    <cellStyle name="Normal 2 3 2 2 2 2 3" xfId="4479" xr:uid="{617408C6-2C64-402B-B5D5-D5DD910316EF}"/>
    <cellStyle name="Normal 2 3 2 2 2 2 3 2" xfId="7859" xr:uid="{C4EB1423-E319-4A11-A043-2B745BFF6B2F}"/>
    <cellStyle name="Normal 2 3 2 2 2 2 4" xfId="6159" xr:uid="{FF4B9444-C063-4F81-B63D-19039F560855}"/>
    <cellStyle name="Normal 2 3 2 2 2 2_DEO ADIT Unprotected" xfId="3110" xr:uid="{AEF819DA-01FF-4D9F-BE0C-B869A2D84550}"/>
    <cellStyle name="Normal 2 3 2 2 2 3" xfId="2065" xr:uid="{00000000-0005-0000-0000-0000C7040000}"/>
    <cellStyle name="Normal 2 3 2 2 2 3 2" xfId="5315" xr:uid="{D32564B3-C3EB-4500-9E27-C42B28979612}"/>
    <cellStyle name="Normal 2 3 2 2 2 3 2 2" xfId="8695" xr:uid="{3A10E79F-108B-4435-B1A5-D1CD47C49D7F}"/>
    <cellStyle name="Normal 2 3 2 2 2 3 3" xfId="6995" xr:uid="{402B986A-6430-4092-9C1E-526222B73B81}"/>
    <cellStyle name="Normal 2 3 2 2 2 3_DEO ADIT Unprotected" xfId="3112" xr:uid="{0C24EA41-EB8E-4E12-B5D9-25881B9ECE37}"/>
    <cellStyle name="Normal 2 3 2 2 2 4" xfId="4478" xr:uid="{8BCB35F4-B653-45D2-898E-0D61A82A81C4}"/>
    <cellStyle name="Normal 2 3 2 2 2 4 2" xfId="7858" xr:uid="{A65EF48D-E30B-4C32-8AD6-9F601A76E04E}"/>
    <cellStyle name="Normal 2 3 2 2 2 5" xfId="6158" xr:uid="{6098C7C8-ACA3-47CE-B66D-251590E48714}"/>
    <cellStyle name="Normal 2 3 2 2 2_DEO ADIT Unprotected" xfId="3109" xr:uid="{82077A06-F95B-407B-8E9C-603B55EDAEA9}"/>
    <cellStyle name="Normal 2 3 2 2 3" xfId="1111" xr:uid="{00000000-0005-0000-0000-0000C8040000}"/>
    <cellStyle name="Normal 2 3 2 2 3 2" xfId="2067" xr:uid="{00000000-0005-0000-0000-0000C9040000}"/>
    <cellStyle name="Normal 2 3 2 2 3 2 2" xfId="5317" xr:uid="{090EC692-3590-4091-AF34-B309E629C045}"/>
    <cellStyle name="Normal 2 3 2 2 3 2 2 2" xfId="8697" xr:uid="{C497D685-BB69-40C0-AF88-E5AA5594DB44}"/>
    <cellStyle name="Normal 2 3 2 2 3 2 3" xfId="6997" xr:uid="{4A9105C0-C6E3-460C-ABAB-6FD030C0FB80}"/>
    <cellStyle name="Normal 2 3 2 2 3 2_DEO ADIT Unprotected" xfId="3114" xr:uid="{807CA81B-48A7-48BD-9308-0EB92D94E88F}"/>
    <cellStyle name="Normal 2 3 2 2 3 3" xfId="4480" xr:uid="{49EEAC72-8850-492A-8981-B39FC7298514}"/>
    <cellStyle name="Normal 2 3 2 2 3 3 2" xfId="7860" xr:uid="{1343F30E-A063-4580-8D5C-EA2718B7D82F}"/>
    <cellStyle name="Normal 2 3 2 2 3 4" xfId="6160" xr:uid="{2CCF73D9-5D4E-4446-BFC0-046805732D49}"/>
    <cellStyle name="Normal 2 3 2 2 3_DEO ADIT Unprotected" xfId="3113" xr:uid="{3B6BC79D-FB50-4C24-A7FA-4200D406318D}"/>
    <cellStyle name="Normal 2 3 2 2 4" xfId="2064" xr:uid="{00000000-0005-0000-0000-0000CA040000}"/>
    <cellStyle name="Normal 2 3 2 2 4 2" xfId="5314" xr:uid="{6CE1EE0E-708C-47C3-AA23-2F3FF1148FA5}"/>
    <cellStyle name="Normal 2 3 2 2 4 2 2" xfId="8694" xr:uid="{9EDB2A98-1206-414B-9D24-081770C211DC}"/>
    <cellStyle name="Normal 2 3 2 2 4 3" xfId="6994" xr:uid="{D08CA91E-E2F3-4919-80A0-EFB54218CD98}"/>
    <cellStyle name="Normal 2 3 2 2 4_DEO ADIT Unprotected" xfId="3115" xr:uid="{7713125F-0559-4351-8290-47F0D375191D}"/>
    <cellStyle name="Normal 2 3 2 2 5" xfId="4477" xr:uid="{D43A876B-75D1-4DCB-8780-78EC15A99DED}"/>
    <cellStyle name="Normal 2 3 2 2 5 2" xfId="7857" xr:uid="{72E480D7-81F6-449A-9ED5-0609EA7BD118}"/>
    <cellStyle name="Normal 2 3 2 2 6" xfId="6157" xr:uid="{AA77FBA3-09BD-4601-953F-7ADD134A817D}"/>
    <cellStyle name="Normal 2 3 2 2_DEO ADIT Unprotected" xfId="3108" xr:uid="{E1FB08C2-EB54-437A-9746-A32255E8FDBC}"/>
    <cellStyle name="Normal 2 3 2 3" xfId="1112" xr:uid="{00000000-0005-0000-0000-0000CB040000}"/>
    <cellStyle name="Normal 2 3 2 3 2" xfId="1113" xr:uid="{00000000-0005-0000-0000-0000CC040000}"/>
    <cellStyle name="Normal 2 3 2 3 2 2" xfId="2069" xr:uid="{00000000-0005-0000-0000-0000CD040000}"/>
    <cellStyle name="Normal 2 3 2 3 2 2 2" xfId="5319" xr:uid="{6424A204-B62E-44E1-B941-D18D9713461A}"/>
    <cellStyle name="Normal 2 3 2 3 2 2 2 2" xfId="8699" xr:uid="{06B62C28-5232-4F60-89BA-F4308D2E4192}"/>
    <cellStyle name="Normal 2 3 2 3 2 2 3" xfId="6999" xr:uid="{D94BF459-0322-4A7C-9958-1F68F42A83C2}"/>
    <cellStyle name="Normal 2 3 2 3 2 2_DEO ADIT Unprotected" xfId="3118" xr:uid="{4448650A-5306-4E5A-9DBC-1FFF49F2A676}"/>
    <cellStyle name="Normal 2 3 2 3 2 3" xfId="4482" xr:uid="{DD38CB5C-AFA8-495C-A304-270AFEB39E2F}"/>
    <cellStyle name="Normal 2 3 2 3 2 3 2" xfId="7862" xr:uid="{B385EF87-4EA2-4CFE-AAF6-45C62707AA1E}"/>
    <cellStyle name="Normal 2 3 2 3 2 4" xfId="6162" xr:uid="{8999CDD4-A43E-4656-9043-9AC73C4DA4EB}"/>
    <cellStyle name="Normal 2 3 2 3 2_DEO ADIT Unprotected" xfId="3117" xr:uid="{C2041278-0355-46E2-A15D-BE9E706893FE}"/>
    <cellStyle name="Normal 2 3 2 3 3" xfId="2068" xr:uid="{00000000-0005-0000-0000-0000CE040000}"/>
    <cellStyle name="Normal 2 3 2 3 3 2" xfId="5318" xr:uid="{54EE11A2-C0E4-4207-8AC1-D229576943F8}"/>
    <cellStyle name="Normal 2 3 2 3 3 2 2" xfId="8698" xr:uid="{F5B7639C-5D51-431B-B0EC-8967B3DCE8C2}"/>
    <cellStyle name="Normal 2 3 2 3 3 3" xfId="6998" xr:uid="{077395E7-C1FB-4E3D-9353-2848A793005D}"/>
    <cellStyle name="Normal 2 3 2 3 3_DEO ADIT Unprotected" xfId="3119" xr:uid="{2C309335-AD5D-401C-9EF1-E66C30FF923C}"/>
    <cellStyle name="Normal 2 3 2 3 4" xfId="4481" xr:uid="{2E33B859-D306-4B79-9FA8-D58B042B6CAD}"/>
    <cellStyle name="Normal 2 3 2 3 4 2" xfId="7861" xr:uid="{132F337F-62C5-44EF-8E97-CE4B1EC32A33}"/>
    <cellStyle name="Normal 2 3 2 3 5" xfId="6161" xr:uid="{B106E4A5-824F-47A5-80FE-C7FABBAC2F7D}"/>
    <cellStyle name="Normal 2 3 2 3_DEO ADIT Unprotected" xfId="3116" xr:uid="{8BD08323-BD61-4293-86CE-53F5A57281BC}"/>
    <cellStyle name="Normal 2 3 2 4" xfId="1114" xr:uid="{00000000-0005-0000-0000-0000CF040000}"/>
    <cellStyle name="Normal 2 3 2 4 2" xfId="1115" xr:uid="{00000000-0005-0000-0000-0000D0040000}"/>
    <cellStyle name="Normal 2 3 2 4 2 2" xfId="2071" xr:uid="{00000000-0005-0000-0000-0000D1040000}"/>
    <cellStyle name="Normal 2 3 2 4 2 2 2" xfId="5321" xr:uid="{74872E7A-F96F-4EC3-B38C-6944764142CF}"/>
    <cellStyle name="Normal 2 3 2 4 2 2 2 2" xfId="8701" xr:uid="{CEF9BA39-3DAC-4232-AEB8-455429B41FDA}"/>
    <cellStyle name="Normal 2 3 2 4 2 2 3" xfId="7001" xr:uid="{86894C21-FF23-40DA-9513-5E2E60F2A734}"/>
    <cellStyle name="Normal 2 3 2 4 2 2_DEO ADIT Unprotected" xfId="3122" xr:uid="{30A1BA80-4F59-4BFF-A3E6-7648096022A3}"/>
    <cellStyle name="Normal 2 3 2 4 2 3" xfId="4484" xr:uid="{CCD3230B-B42F-4FCF-B577-41D9E9719EB2}"/>
    <cellStyle name="Normal 2 3 2 4 2 3 2" xfId="7864" xr:uid="{A4B92EC0-6FA6-4189-B723-44C55096BB24}"/>
    <cellStyle name="Normal 2 3 2 4 2 4" xfId="6164" xr:uid="{DFD454B1-1E85-4113-A40A-EC4DA2C27A6C}"/>
    <cellStyle name="Normal 2 3 2 4 2_DEO ADIT Unprotected" xfId="3121" xr:uid="{4127E53B-09B1-4D0E-9900-E194C6DD92E6}"/>
    <cellStyle name="Normal 2 3 2 4 3" xfId="2070" xr:uid="{00000000-0005-0000-0000-0000D2040000}"/>
    <cellStyle name="Normal 2 3 2 4 3 2" xfId="5320" xr:uid="{5F98C3D6-1E53-4CE1-B160-0CB1E3CFF7DF}"/>
    <cellStyle name="Normal 2 3 2 4 3 2 2" xfId="8700" xr:uid="{E802CD6C-BB46-47CA-81B3-B86DDDAF8387}"/>
    <cellStyle name="Normal 2 3 2 4 3 3" xfId="7000" xr:uid="{51035DE1-F329-42C4-A13A-DD7B8635E700}"/>
    <cellStyle name="Normal 2 3 2 4 3_DEO ADIT Unprotected" xfId="3123" xr:uid="{704634C6-5371-43D6-A1A5-14A42A9F3A2F}"/>
    <cellStyle name="Normal 2 3 2 4 4" xfId="4483" xr:uid="{FE6B82D2-B56C-4244-B5EF-EA24FFB8E2F6}"/>
    <cellStyle name="Normal 2 3 2 4 4 2" xfId="7863" xr:uid="{205FB8F1-25C6-44F1-9C2E-8B75E9A8A631}"/>
    <cellStyle name="Normal 2 3 2 4 5" xfId="6163" xr:uid="{0941A5C5-820D-4AF2-9F15-3D54EF0DE520}"/>
    <cellStyle name="Normal 2 3 2 4_DEO ADIT Unprotected" xfId="3120" xr:uid="{B343486D-F22D-4E82-8737-C4A4A8B46596}"/>
    <cellStyle name="Normal 2 3 2 5" xfId="2063" xr:uid="{00000000-0005-0000-0000-0000D3040000}"/>
    <cellStyle name="Normal 2 3 2 5 2" xfId="5313" xr:uid="{70D9EA0A-6D3B-42C5-8A48-98161C417104}"/>
    <cellStyle name="Normal 2 3 2 5 2 2" xfId="8693" xr:uid="{7CFB1ED6-D914-4E05-8195-D6E97373E0A5}"/>
    <cellStyle name="Normal 2 3 2 5 3" xfId="6993" xr:uid="{B6F8C7EB-73DD-4588-9C94-6ADC78F4DFBD}"/>
    <cellStyle name="Normal 2 3 2 5_DEO ADIT Unprotected" xfId="3124" xr:uid="{83343C79-B8A9-4AB2-AE58-B668E8AE8248}"/>
    <cellStyle name="Normal 2 3 2 6" xfId="4476" xr:uid="{F51B9F0A-1EBB-4C73-9CA6-5E1560E356AD}"/>
    <cellStyle name="Normal 2 3 2 6 2" xfId="7856" xr:uid="{DFEFD96F-9640-4985-8093-1FA9EA1C4F03}"/>
    <cellStyle name="Normal 2 3 2 7" xfId="6156" xr:uid="{71D0A414-BCFD-443B-9C09-AF144FB7E886}"/>
    <cellStyle name="Normal 2 3 2_DEO ADIT Unprotected" xfId="3107" xr:uid="{CFA69D7F-0296-43EF-96D9-194A7DD81190}"/>
    <cellStyle name="Normal 2 3 26" xfId="1116" xr:uid="{00000000-0005-0000-0000-0000D4040000}"/>
    <cellStyle name="Normal 2 3 26 2" xfId="2072" xr:uid="{00000000-0005-0000-0000-0000D5040000}"/>
    <cellStyle name="Normal 2 3 26 2 2" xfId="5322" xr:uid="{EC5DA6AF-B896-412B-810A-CF1DEC46D76D}"/>
    <cellStyle name="Normal 2 3 26 2 2 2" xfId="8702" xr:uid="{E900E3D3-90DE-442A-8335-9DE8DF7D9AF7}"/>
    <cellStyle name="Normal 2 3 26 2 3" xfId="7002" xr:uid="{714C0E4C-D373-49CF-A284-9C62CF78EE44}"/>
    <cellStyle name="Normal 2 3 26 2_DEO ADIT Unprotected" xfId="3126" xr:uid="{0D3DEBA9-8E32-4AF2-88A4-758598D320E6}"/>
    <cellStyle name="Normal 2 3 26 3" xfId="4485" xr:uid="{D60AB542-2689-4F21-BD64-4BD57FDB094E}"/>
    <cellStyle name="Normal 2 3 26 3 2" xfId="7865" xr:uid="{3545D3E3-2CE0-489C-AC6D-39811594D888}"/>
    <cellStyle name="Normal 2 3 26 4" xfId="6165" xr:uid="{BA7E0D5A-A011-4A17-B409-C3FF6E548E45}"/>
    <cellStyle name="Normal 2 3 26_DEO ADIT Unprotected" xfId="3125" xr:uid="{0F9C3B52-4614-444B-A391-2F2A5F0BC3A7}"/>
    <cellStyle name="Normal 2 3 3" xfId="1117" xr:uid="{00000000-0005-0000-0000-0000D6040000}"/>
    <cellStyle name="Normal 2 3 3 2" xfId="1118" xr:uid="{00000000-0005-0000-0000-0000D7040000}"/>
    <cellStyle name="Normal 2 3 3 2 2" xfId="1119" xr:uid="{00000000-0005-0000-0000-0000D8040000}"/>
    <cellStyle name="Normal 2 3 3 2 2 2" xfId="2075" xr:uid="{00000000-0005-0000-0000-0000D9040000}"/>
    <cellStyle name="Normal 2 3 3 2 2 2 2" xfId="5325" xr:uid="{06C54B4A-3431-4252-AA18-26C6A5187E29}"/>
    <cellStyle name="Normal 2 3 3 2 2 2 2 2" xfId="8705" xr:uid="{D0494D3F-FD45-4185-BAF0-8D2B4B14E41D}"/>
    <cellStyle name="Normal 2 3 3 2 2 2 3" xfId="7005" xr:uid="{6AD3DC81-1665-4428-90C8-DA578F8FE996}"/>
    <cellStyle name="Normal 2 3 3 2 2 2_DEO ADIT Unprotected" xfId="3130" xr:uid="{753F1794-EE56-47EF-8377-8C5D15220A75}"/>
    <cellStyle name="Normal 2 3 3 2 2 3" xfId="4488" xr:uid="{3429AF99-B9CE-4EED-8162-44F6A0382B8C}"/>
    <cellStyle name="Normal 2 3 3 2 2 3 2" xfId="7868" xr:uid="{861C3760-34BC-48FA-8CD4-CEFF6D9FFDE4}"/>
    <cellStyle name="Normal 2 3 3 2 2 4" xfId="6168" xr:uid="{E089D29D-0F84-4A30-BC7B-31341C44C62E}"/>
    <cellStyle name="Normal 2 3 3 2 2_DEO ADIT Unprotected" xfId="3129" xr:uid="{5818CE46-E983-4418-8774-3E0A71BF10D9}"/>
    <cellStyle name="Normal 2 3 3 2 3" xfId="2074" xr:uid="{00000000-0005-0000-0000-0000DA040000}"/>
    <cellStyle name="Normal 2 3 3 2 3 2" xfId="5324" xr:uid="{B5D4340E-AE3C-4EF6-839B-6C9E13C0B572}"/>
    <cellStyle name="Normal 2 3 3 2 3 2 2" xfId="8704" xr:uid="{3D1F7BAF-3E2E-4650-8117-A5ECF265A32B}"/>
    <cellStyle name="Normal 2 3 3 2 3 3" xfId="7004" xr:uid="{B241A842-C567-4AFB-AAC8-F0D0FACC50C6}"/>
    <cellStyle name="Normal 2 3 3 2 3_DEO ADIT Unprotected" xfId="3131" xr:uid="{D99199A4-07CD-461E-8910-61B335CD5E55}"/>
    <cellStyle name="Normal 2 3 3 2 4" xfId="4487" xr:uid="{76FB56F0-18B1-4202-82EE-1F429E11ED5D}"/>
    <cellStyle name="Normal 2 3 3 2 4 2" xfId="7867" xr:uid="{F56AA6A4-6E6F-4DBE-8ABE-9505CE4257DD}"/>
    <cellStyle name="Normal 2 3 3 2 5" xfId="6167" xr:uid="{D78E5BF1-5A08-4B81-9048-849220603044}"/>
    <cellStyle name="Normal 2 3 3 2_DEO ADIT Unprotected" xfId="3128" xr:uid="{13C31EDA-01C0-446C-A954-013053FDA922}"/>
    <cellStyle name="Normal 2 3 3 3" xfId="1120" xr:uid="{00000000-0005-0000-0000-0000DB040000}"/>
    <cellStyle name="Normal 2 3 3 3 2" xfId="2076" xr:uid="{00000000-0005-0000-0000-0000DC040000}"/>
    <cellStyle name="Normal 2 3 3 3 2 2" xfId="5326" xr:uid="{A81A7910-0B1D-4E5E-A9BC-A6D50F2855C4}"/>
    <cellStyle name="Normal 2 3 3 3 2 2 2" xfId="8706" xr:uid="{7CEE5AF2-95B3-4A81-842D-4ED457ED4831}"/>
    <cellStyle name="Normal 2 3 3 3 2 3" xfId="7006" xr:uid="{AA2E9E5A-E52C-46A8-97BD-56B60E819AE7}"/>
    <cellStyle name="Normal 2 3 3 3 2_DEO ADIT Unprotected" xfId="3133" xr:uid="{DD7F4AA2-CF70-4F44-A38A-066257E81AB4}"/>
    <cellStyle name="Normal 2 3 3 3 3" xfId="4489" xr:uid="{4F50592F-CE52-443D-8541-A2A87A5AE079}"/>
    <cellStyle name="Normal 2 3 3 3 3 2" xfId="7869" xr:uid="{64EF2684-2B86-448D-8665-DB7FE5347AA8}"/>
    <cellStyle name="Normal 2 3 3 3 4" xfId="6169" xr:uid="{85E91B5D-2ADB-474E-A3F0-50E5E9737E51}"/>
    <cellStyle name="Normal 2 3 3 3_DEO ADIT Unprotected" xfId="3132" xr:uid="{3959326D-DC34-49D4-ABE8-A9530A6ED6BF}"/>
    <cellStyle name="Normal 2 3 3 4" xfId="2073" xr:uid="{00000000-0005-0000-0000-0000DD040000}"/>
    <cellStyle name="Normal 2 3 3 4 2" xfId="5323" xr:uid="{3446DF71-D723-427E-953D-CDBDCC32B3BB}"/>
    <cellStyle name="Normal 2 3 3 4 2 2" xfId="8703" xr:uid="{FF231090-24A3-4062-BA9F-CDDD1BEE86A3}"/>
    <cellStyle name="Normal 2 3 3 4 3" xfId="7003" xr:uid="{A92058A5-99C2-4F5C-9C85-9AD56FE0A9FC}"/>
    <cellStyle name="Normal 2 3 3 4_DEO ADIT Unprotected" xfId="3134" xr:uid="{CA328A3C-0424-4CA8-8C45-0A0E34BC35D1}"/>
    <cellStyle name="Normal 2 3 3 5" xfId="4486" xr:uid="{0DED0155-A91F-4441-AC24-0C8E31DBF1E6}"/>
    <cellStyle name="Normal 2 3 3 5 2" xfId="7866" xr:uid="{BBDA2FE1-4548-477C-A280-B090264073CD}"/>
    <cellStyle name="Normal 2 3 3 6" xfId="6166" xr:uid="{31A75B34-B027-4585-A1A5-65D40B05C0F7}"/>
    <cellStyle name="Normal 2 3 3_DEO ADIT Unprotected" xfId="3127" xr:uid="{C727EF67-47E3-4922-9E88-66F3DD1D789C}"/>
    <cellStyle name="Normal 2 3 4" xfId="1121" xr:uid="{00000000-0005-0000-0000-0000DE040000}"/>
    <cellStyle name="Normal 2 3 4 2" xfId="1122" xr:uid="{00000000-0005-0000-0000-0000DF040000}"/>
    <cellStyle name="Normal 2 3 4 2 2" xfId="2078" xr:uid="{00000000-0005-0000-0000-0000E0040000}"/>
    <cellStyle name="Normal 2 3 4 2 2 2" xfId="5328" xr:uid="{6DB96F1E-4E91-40AE-8BE2-58DC0011EF4C}"/>
    <cellStyle name="Normal 2 3 4 2 2 2 2" xfId="8708" xr:uid="{FCCA006C-8FCE-4119-9D07-B58AF07AA089}"/>
    <cellStyle name="Normal 2 3 4 2 2 3" xfId="7008" xr:uid="{BC507B39-39E0-4040-ADC8-98B310F36C18}"/>
    <cellStyle name="Normal 2 3 4 2 2_DEO ADIT Unprotected" xfId="3137" xr:uid="{9C2F069B-373C-4B24-8075-A42C01D5500D}"/>
    <cellStyle name="Normal 2 3 4 2 3" xfId="4491" xr:uid="{5AA0DF76-BE1A-4E95-820D-B2A0915309F5}"/>
    <cellStyle name="Normal 2 3 4 2 3 2" xfId="7871" xr:uid="{9179E8CA-8FA7-4274-823F-C2112CF8881F}"/>
    <cellStyle name="Normal 2 3 4 2 4" xfId="6171" xr:uid="{DE823F4A-1D93-4735-A75A-DD0EF9268125}"/>
    <cellStyle name="Normal 2 3 4 2_DEO ADIT Unprotected" xfId="3136" xr:uid="{B82569C5-791C-45E7-A70B-663A470E35BC}"/>
    <cellStyle name="Normal 2 3 4 3" xfId="2077" xr:uid="{00000000-0005-0000-0000-0000E1040000}"/>
    <cellStyle name="Normal 2 3 4 3 2" xfId="5327" xr:uid="{92D2848F-B75A-49E7-9C9B-4462319328EA}"/>
    <cellStyle name="Normal 2 3 4 3 2 2" xfId="8707" xr:uid="{7D4CC062-DB1C-4CF7-A667-D639C1F8F675}"/>
    <cellStyle name="Normal 2 3 4 3 3" xfId="7007" xr:uid="{8DA1B799-BF91-47AF-A140-1D5ADF7DA295}"/>
    <cellStyle name="Normal 2 3 4 3_DEO ADIT Unprotected" xfId="3138" xr:uid="{DEF04BAE-DFF4-4253-8306-63490AA1BEF0}"/>
    <cellStyle name="Normal 2 3 4 4" xfId="4490" xr:uid="{F5AA6036-F650-4E3F-B5BF-B2DC1C8977C0}"/>
    <cellStyle name="Normal 2 3 4 4 2" xfId="7870" xr:uid="{C0430A54-6FA7-4251-9542-46A64F36567A}"/>
    <cellStyle name="Normal 2 3 4 5" xfId="6170" xr:uid="{E94841C5-F3E6-4851-8AC2-A94A36340674}"/>
    <cellStyle name="Normal 2 3 4_DEO ADIT Unprotected" xfId="3135" xr:uid="{E0722F43-A755-4678-AB99-F1A528E31B0C}"/>
    <cellStyle name="Normal 2 3 5" xfId="1123" xr:uid="{00000000-0005-0000-0000-0000E2040000}"/>
    <cellStyle name="Normal 2 3 5 2" xfId="1124" xr:uid="{00000000-0005-0000-0000-0000E3040000}"/>
    <cellStyle name="Normal 2 3 5 2 2" xfId="2080" xr:uid="{00000000-0005-0000-0000-0000E4040000}"/>
    <cellStyle name="Normal 2 3 5 2 2 2" xfId="5330" xr:uid="{954A60C5-4C54-4BBE-BB1D-4EB667109583}"/>
    <cellStyle name="Normal 2 3 5 2 2 2 2" xfId="8710" xr:uid="{298D3983-1EBD-477C-B5D6-5DAB3052A25A}"/>
    <cellStyle name="Normal 2 3 5 2 2 3" xfId="7010" xr:uid="{23FE2CE6-6C8F-4AAB-9525-738CDA321A88}"/>
    <cellStyle name="Normal 2 3 5 2 2_DEO ADIT Unprotected" xfId="3141" xr:uid="{7A730FBC-0656-45B6-9872-873D6EF7F77B}"/>
    <cellStyle name="Normal 2 3 5 2 3" xfId="4493" xr:uid="{9461E127-1E92-4F2B-93EA-7CD0FD4882AC}"/>
    <cellStyle name="Normal 2 3 5 2 3 2" xfId="7873" xr:uid="{A34782A5-BDE1-4988-968C-B23174C14769}"/>
    <cellStyle name="Normal 2 3 5 2 4" xfId="6173" xr:uid="{57AB4C73-0A6B-426F-B395-52A419BD7EFB}"/>
    <cellStyle name="Normal 2 3 5 2_DEO ADIT Unprotected" xfId="3140" xr:uid="{EC6AB51F-19F8-4BDF-9A47-428A10737673}"/>
    <cellStyle name="Normal 2 3 5 3" xfId="2079" xr:uid="{00000000-0005-0000-0000-0000E5040000}"/>
    <cellStyle name="Normal 2 3 5 3 2" xfId="5329" xr:uid="{C5C4457D-B283-4B5A-A050-864039A124DE}"/>
    <cellStyle name="Normal 2 3 5 3 2 2" xfId="8709" xr:uid="{D79E2BE8-EE47-4B62-BBE3-6F1445A7BE7E}"/>
    <cellStyle name="Normal 2 3 5 3 3" xfId="7009" xr:uid="{7796FC09-C344-46C1-A5D0-EBA929A9D113}"/>
    <cellStyle name="Normal 2 3 5 3_DEO ADIT Unprotected" xfId="3142" xr:uid="{B2F235BB-709E-47B9-962F-93C7A5998576}"/>
    <cellStyle name="Normal 2 3 5 4" xfId="4492" xr:uid="{0B0E5F76-76FE-4ABE-8EDE-53B2388B8EBD}"/>
    <cellStyle name="Normal 2 3 5 4 2" xfId="7872" xr:uid="{792DA8DA-6771-42F4-942F-4C2B16C13712}"/>
    <cellStyle name="Normal 2 3 5 5" xfId="6172" xr:uid="{A688F742-06D6-4FA5-B095-32443A6FD1FE}"/>
    <cellStyle name="Normal 2 3 5_DEO ADIT Unprotected" xfId="3139" xr:uid="{BAB3CEE7-E338-4E58-8D3A-38B5AB592AA0}"/>
    <cellStyle name="Normal 2 3_DEO ADIT Unprotected" xfId="3106" xr:uid="{DF5F86C5-BFE1-4D9A-B53F-201B437DCE3C}"/>
    <cellStyle name="Normal 2 4" xfId="1125" xr:uid="{00000000-0005-0000-0000-0000E6040000}"/>
    <cellStyle name="Normal 2 4 2" xfId="1126" xr:uid="{00000000-0005-0000-0000-0000E7040000}"/>
    <cellStyle name="Normal 2 4 2 2" xfId="1127" xr:uid="{00000000-0005-0000-0000-0000E8040000}"/>
    <cellStyle name="Normal 2 4 2 2 2" xfId="1128" xr:uid="{00000000-0005-0000-0000-0000E9040000}"/>
    <cellStyle name="Normal 2 4 2 2 2 2" xfId="2083" xr:uid="{00000000-0005-0000-0000-0000EA040000}"/>
    <cellStyle name="Normal 2 4 2 2 2 2 2" xfId="5333" xr:uid="{AC7A92EF-3018-40CF-9D1F-E436F65A1C7A}"/>
    <cellStyle name="Normal 2 4 2 2 2 2 2 2" xfId="8713" xr:uid="{E11EED1C-892D-47FE-910A-76257FE04B73}"/>
    <cellStyle name="Normal 2 4 2 2 2 2 3" xfId="7013" xr:uid="{D669F739-5BEA-4FFE-B4BC-7FF25F2CC2FD}"/>
    <cellStyle name="Normal 2 4 2 2 2 2_DEO ADIT Unprotected" xfId="3146" xr:uid="{8501D59B-736B-4962-B1FF-12799279ED05}"/>
    <cellStyle name="Normal 2 4 2 2 2 3" xfId="4496" xr:uid="{76592828-B98E-4D18-9860-9B425DF5266B}"/>
    <cellStyle name="Normal 2 4 2 2 2 3 2" xfId="7876" xr:uid="{DC050A09-23E1-410D-8B5D-A875F2EF9D7D}"/>
    <cellStyle name="Normal 2 4 2 2 2 4" xfId="6176" xr:uid="{7B392E0C-7B45-4792-9146-78302B9F2FFC}"/>
    <cellStyle name="Normal 2 4 2 2 2_DEO ADIT Unprotected" xfId="3145" xr:uid="{C6DBF39A-58A7-4709-8064-9F5692A6BA78}"/>
    <cellStyle name="Normal 2 4 2 2 3" xfId="2082" xr:uid="{00000000-0005-0000-0000-0000EB040000}"/>
    <cellStyle name="Normal 2 4 2 2 3 2" xfId="5332" xr:uid="{FC55345C-7EC9-4E1E-8F7C-186EC3CC6885}"/>
    <cellStyle name="Normal 2 4 2 2 3 2 2" xfId="8712" xr:uid="{4FA90171-86CB-4451-BDC6-4087F204BD76}"/>
    <cellStyle name="Normal 2 4 2 2 3 3" xfId="7012" xr:uid="{B8A2D23D-3365-4A60-84A1-81527D3E8819}"/>
    <cellStyle name="Normal 2 4 2 2 3_DEO ADIT Unprotected" xfId="3147" xr:uid="{BF4191FD-6BD6-479A-B2FC-B9503B79E666}"/>
    <cellStyle name="Normal 2 4 2 2 4" xfId="4495" xr:uid="{2BDDB9BE-ECF5-4798-B464-23E24F3D38FB}"/>
    <cellStyle name="Normal 2 4 2 2 4 2" xfId="7875" xr:uid="{313DB3CE-426C-4E48-A5F5-0EE29D6CCFAF}"/>
    <cellStyle name="Normal 2 4 2 2 5" xfId="6175" xr:uid="{73AE7CCF-014D-4B44-AC87-A072C024D963}"/>
    <cellStyle name="Normal 2 4 2 2_DEO ADIT Unprotected" xfId="3144" xr:uid="{AB9A62AA-CD46-454E-AAE9-DC5C2C729CA8}"/>
    <cellStyle name="Normal 2 4 2 3" xfId="1129" xr:uid="{00000000-0005-0000-0000-0000EC040000}"/>
    <cellStyle name="Normal 2 4 2 4" xfId="1130" xr:uid="{00000000-0005-0000-0000-0000ED040000}"/>
    <cellStyle name="Normal 2 4 2 4 2" xfId="2084" xr:uid="{00000000-0005-0000-0000-0000EE040000}"/>
    <cellStyle name="Normal 2 4 2 4 2 2" xfId="5334" xr:uid="{1C8C7A6A-E77C-4E7A-8E8A-BCD8B900EB22}"/>
    <cellStyle name="Normal 2 4 2 4 2 2 2" xfId="8714" xr:uid="{FA4844E3-F4C6-45C9-99C8-F7522ED43415}"/>
    <cellStyle name="Normal 2 4 2 4 2 3" xfId="7014" xr:uid="{84DF2537-FF2C-4101-A8D5-6E2107978F71}"/>
    <cellStyle name="Normal 2 4 2 4 2_DEO ADIT Unprotected" xfId="3149" xr:uid="{B8D02AB3-61FF-4703-8027-0BB68093B273}"/>
    <cellStyle name="Normal 2 4 2 4 3" xfId="4497" xr:uid="{6085761C-2F53-475F-88AE-9D1B69CA721B}"/>
    <cellStyle name="Normal 2 4 2 4 3 2" xfId="7877" xr:uid="{347374CF-1F02-4882-A0EA-B4F386F3EC4B}"/>
    <cellStyle name="Normal 2 4 2 4 4" xfId="6177" xr:uid="{10FCB67D-CBE5-4BFA-BF03-8E8C00212257}"/>
    <cellStyle name="Normal 2 4 2 4_DEO ADIT Unprotected" xfId="3148" xr:uid="{4FFAE363-8A71-458A-8128-7163876C0A29}"/>
    <cellStyle name="Normal 2 4 2 5" xfId="2081" xr:uid="{00000000-0005-0000-0000-0000EF040000}"/>
    <cellStyle name="Normal 2 4 2 5 2" xfId="5331" xr:uid="{B54EAE24-52C8-418B-97DF-BC2C9225F83C}"/>
    <cellStyle name="Normal 2 4 2 5 2 2" xfId="8711" xr:uid="{D57CFDA3-C2CF-4BE7-9525-3DF70CA55B23}"/>
    <cellStyle name="Normal 2 4 2 5 3" xfId="7011" xr:uid="{E24907EA-0CAC-4A0F-BA3D-30613DABD675}"/>
    <cellStyle name="Normal 2 4 2 5_DEO ADIT Unprotected" xfId="3150" xr:uid="{523F12DC-6B92-468D-9632-4149D529BA10}"/>
    <cellStyle name="Normal 2 4 2 6" xfId="4494" xr:uid="{8F84177A-894E-4039-B609-79962E95C228}"/>
    <cellStyle name="Normal 2 4 2 6 2" xfId="7874" xr:uid="{8EAC7223-550D-4E57-93BF-5824697841C0}"/>
    <cellStyle name="Normal 2 4 2 7" xfId="6174" xr:uid="{C2DA5E69-AB1A-4CEF-803D-D03A0419BA4B}"/>
    <cellStyle name="Normal 2 4 2_DEO ADIT Unprotected" xfId="3143" xr:uid="{23F90CE0-8719-47E1-80CC-31FDA4F6A2C9}"/>
    <cellStyle name="Normal 2 4 3" xfId="1131" xr:uid="{00000000-0005-0000-0000-0000F0040000}"/>
    <cellStyle name="Normal 2 4 3 2" xfId="1132" xr:uid="{00000000-0005-0000-0000-0000F1040000}"/>
    <cellStyle name="Normal 2 4 3 2 2" xfId="2086" xr:uid="{00000000-0005-0000-0000-0000F2040000}"/>
    <cellStyle name="Normal 2 4 3 2 2 2" xfId="5336" xr:uid="{C9119282-4576-4318-B6F8-F29042ACCF55}"/>
    <cellStyle name="Normal 2 4 3 2 2 2 2" xfId="8716" xr:uid="{6A397772-7D7D-479A-8C81-AE43B81B40AF}"/>
    <cellStyle name="Normal 2 4 3 2 2 3" xfId="7016" xr:uid="{00A7B944-AA90-4A15-8527-F588BC6AF344}"/>
    <cellStyle name="Normal 2 4 3 2 2_DEO ADIT Unprotected" xfId="3153" xr:uid="{436CE7B6-2384-4F3B-A2B5-47CF4B63972B}"/>
    <cellStyle name="Normal 2 4 3 2 3" xfId="4499" xr:uid="{84DA8306-264B-4CF4-B9CA-B48E66BEE0BB}"/>
    <cellStyle name="Normal 2 4 3 2 3 2" xfId="7879" xr:uid="{A984965C-9540-41FE-A089-F0A72C6D5453}"/>
    <cellStyle name="Normal 2 4 3 2 4" xfId="6179" xr:uid="{7265C00A-C562-4478-8453-CD98CDDDE16F}"/>
    <cellStyle name="Normal 2 4 3 2_DEO ADIT Unprotected" xfId="3152" xr:uid="{A8309CEE-1AAE-4646-8E5F-6C32422BA1D4}"/>
    <cellStyle name="Normal 2 4 3 3" xfId="2085" xr:uid="{00000000-0005-0000-0000-0000F3040000}"/>
    <cellStyle name="Normal 2 4 3 3 2" xfId="5335" xr:uid="{61672613-32ED-436E-9ED7-6C15A63247CD}"/>
    <cellStyle name="Normal 2 4 3 3 2 2" xfId="8715" xr:uid="{323921AC-261E-4223-8E9A-784AC8B88F9F}"/>
    <cellStyle name="Normal 2 4 3 3 3" xfId="7015" xr:uid="{592C0037-1A63-41DD-A012-CA1DFFB10118}"/>
    <cellStyle name="Normal 2 4 3 3_DEO ADIT Unprotected" xfId="3154" xr:uid="{D98F4DC2-2234-47FA-9C56-DDE23EF9FD43}"/>
    <cellStyle name="Normal 2 4 3 4" xfId="4498" xr:uid="{FC844C76-CE6A-4DE4-B565-F7BD3A408003}"/>
    <cellStyle name="Normal 2 4 3 4 2" xfId="7878" xr:uid="{B759EC8B-AA8F-4175-A731-8AD66C6213CC}"/>
    <cellStyle name="Normal 2 4 3 5" xfId="6178" xr:uid="{BD2BFEF9-1C67-4BBE-8EE5-C1A35CA60C2C}"/>
    <cellStyle name="Normal 2 4 3_DEO ADIT Unprotected" xfId="3151" xr:uid="{07294235-2B32-4DC0-89D5-B5E88A591C9B}"/>
    <cellStyle name="Normal 2 4 4" xfId="1133" xr:uid="{00000000-0005-0000-0000-0000F4040000}"/>
    <cellStyle name="Normal 2 4 4 2" xfId="1134" xr:uid="{00000000-0005-0000-0000-0000F5040000}"/>
    <cellStyle name="Normal 2 4 4 2 2" xfId="2088" xr:uid="{00000000-0005-0000-0000-0000F6040000}"/>
    <cellStyle name="Normal 2 4 4 2 2 2" xfId="5338" xr:uid="{D8E050E9-4FAA-475E-B2F9-41374368B703}"/>
    <cellStyle name="Normal 2 4 4 2 2 2 2" xfId="8718" xr:uid="{E2FAE7AE-BCCD-44DD-8BBA-17B7301DDE4C}"/>
    <cellStyle name="Normal 2 4 4 2 2 3" xfId="7018" xr:uid="{47C43FD3-A9A2-466C-89A4-E1BA89DBF487}"/>
    <cellStyle name="Normal 2 4 4 2 2_DEO ADIT Unprotected" xfId="3157" xr:uid="{14C415DD-F979-41B7-8AB5-E751D8487203}"/>
    <cellStyle name="Normal 2 4 4 2 3" xfId="4501" xr:uid="{948005FA-5F4F-434A-92CE-CF8BC83CBB1F}"/>
    <cellStyle name="Normal 2 4 4 2 3 2" xfId="7881" xr:uid="{D1B76D0E-951A-4D51-9A89-CB299B3F7CA6}"/>
    <cellStyle name="Normal 2 4 4 2 4" xfId="6181" xr:uid="{88E6BDC3-D12D-4302-9521-907FE1316899}"/>
    <cellStyle name="Normal 2 4 4 2_DEO ADIT Unprotected" xfId="3156" xr:uid="{62C626A1-6B1F-4B43-BFC5-480272E16007}"/>
    <cellStyle name="Normal 2 4 4 3" xfId="2087" xr:uid="{00000000-0005-0000-0000-0000F7040000}"/>
    <cellStyle name="Normal 2 4 4 3 2" xfId="5337" xr:uid="{83AF2D9D-D2CD-4D52-AC9F-4212E51CD81C}"/>
    <cellStyle name="Normal 2 4 4 3 2 2" xfId="8717" xr:uid="{AD520ED6-6FC9-4E59-B8E4-AAA981656707}"/>
    <cellStyle name="Normal 2 4 4 3 3" xfId="7017" xr:uid="{7E012728-23E2-4147-8F63-6C70F62D37D2}"/>
    <cellStyle name="Normal 2 4 4 3_DEO ADIT Unprotected" xfId="3158" xr:uid="{28713818-7BD7-4BC3-9A91-59406ED90428}"/>
    <cellStyle name="Normal 2 4 4 4" xfId="4500" xr:uid="{7E093357-E69C-4D10-832E-C90D827AC2BD}"/>
    <cellStyle name="Normal 2 4 4 4 2" xfId="7880" xr:uid="{CE6BC78C-D1A4-48B1-94EC-6E9EEA58C6B8}"/>
    <cellStyle name="Normal 2 4 4 5" xfId="6180" xr:uid="{D6509F82-A5D5-4092-9EAA-44FBFEB4B5AC}"/>
    <cellStyle name="Normal 2 4 4_DEO ADIT Unprotected" xfId="3155" xr:uid="{B3D21389-62EA-4F4F-AD3F-0F76DF3FFFB4}"/>
    <cellStyle name="Normal 2 4 5" xfId="1135" xr:uid="{00000000-0005-0000-0000-0000F8040000}"/>
    <cellStyle name="Normal 2 4 6" xfId="1136" xr:uid="{00000000-0005-0000-0000-0000F9040000}"/>
    <cellStyle name="Normal 2 45" xfId="1137" xr:uid="{00000000-0005-0000-0000-0000FA040000}"/>
    <cellStyle name="Normal 2 5" xfId="1138" xr:uid="{00000000-0005-0000-0000-0000FB040000}"/>
    <cellStyle name="Normal 2 6" xfId="1139" xr:uid="{00000000-0005-0000-0000-0000FC040000}"/>
    <cellStyle name="Normal 2 6 2" xfId="1140" xr:uid="{00000000-0005-0000-0000-0000FD040000}"/>
    <cellStyle name="Normal 2 6 2 2" xfId="1141" xr:uid="{00000000-0005-0000-0000-0000FE040000}"/>
    <cellStyle name="Normal 2 6 2 2 2" xfId="2091" xr:uid="{00000000-0005-0000-0000-0000FF040000}"/>
    <cellStyle name="Normal 2 6 2 2 2 2" xfId="5341" xr:uid="{C597E8EE-069C-42D7-A5FC-D9B9DF4F1804}"/>
    <cellStyle name="Normal 2 6 2 2 2 2 2" xfId="8721" xr:uid="{72C3B872-D69F-490E-BEEE-A8A6EB311D5D}"/>
    <cellStyle name="Normal 2 6 2 2 2 3" xfId="7021" xr:uid="{AF16AEE0-4CB0-4C46-A71A-1505E2A6456C}"/>
    <cellStyle name="Normal 2 6 2 2 2_DEO ADIT Unprotected" xfId="3162" xr:uid="{8BE3892E-1993-4853-AEE9-29FA472A6325}"/>
    <cellStyle name="Normal 2 6 2 2 3" xfId="4504" xr:uid="{E6E22B35-19BF-4A5D-81D1-FB6781AB4684}"/>
    <cellStyle name="Normal 2 6 2 2 3 2" xfId="7884" xr:uid="{178E576C-9956-4777-8D21-A1A2A4BC3C90}"/>
    <cellStyle name="Normal 2 6 2 2 4" xfId="6184" xr:uid="{7C422E2D-B375-4EC2-BF27-91A5549615C9}"/>
    <cellStyle name="Normal 2 6 2 2_DEO ADIT Unprotected" xfId="3161" xr:uid="{BD418FAD-6630-4925-A87E-5EE587FF211C}"/>
    <cellStyle name="Normal 2 6 2 3" xfId="2090" xr:uid="{00000000-0005-0000-0000-000000050000}"/>
    <cellStyle name="Normal 2 6 2 3 2" xfId="5340" xr:uid="{ABE89546-E8B2-4DA0-882E-F03B2D979E80}"/>
    <cellStyle name="Normal 2 6 2 3 2 2" xfId="8720" xr:uid="{91519E43-9CD0-4DA7-ACFE-B02E46080A87}"/>
    <cellStyle name="Normal 2 6 2 3 3" xfId="7020" xr:uid="{7ADCB23D-79DB-478B-B518-CAC7E0F974AC}"/>
    <cellStyle name="Normal 2 6 2 3_DEO ADIT Unprotected" xfId="3163" xr:uid="{92BD4D0C-AC01-4D33-8A42-B87CD0806639}"/>
    <cellStyle name="Normal 2 6 2 4" xfId="4503" xr:uid="{AB897724-21EB-43E3-9670-AF89589983F0}"/>
    <cellStyle name="Normal 2 6 2 4 2" xfId="7883" xr:uid="{AF1C3841-181F-4518-AD08-781F553EF28D}"/>
    <cellStyle name="Normal 2 6 2 5" xfId="6183" xr:uid="{C573B165-0D17-4ACD-81A1-8BE87872A597}"/>
    <cellStyle name="Normal 2 6 2_DEO ADIT Unprotected" xfId="3160" xr:uid="{8764CADA-3F38-4D58-8281-0240CA1679D8}"/>
    <cellStyle name="Normal 2 6 3" xfId="1142" xr:uid="{00000000-0005-0000-0000-000001050000}"/>
    <cellStyle name="Normal 2 6 3 2" xfId="2092" xr:uid="{00000000-0005-0000-0000-000002050000}"/>
    <cellStyle name="Normal 2 6 3 2 2" xfId="5342" xr:uid="{B741928E-1732-4672-8888-41ADBC111B91}"/>
    <cellStyle name="Normal 2 6 3 2 2 2" xfId="8722" xr:uid="{C6ACFEC3-3233-4A1E-81BD-EAFE0720369E}"/>
    <cellStyle name="Normal 2 6 3 2 3" xfId="7022" xr:uid="{3A34176D-56FF-401F-8E10-932DB257CE3F}"/>
    <cellStyle name="Normal 2 6 3 2_DEO ADIT Unprotected" xfId="3165" xr:uid="{AEFC96A5-B490-4F60-88A9-4E4ABAC12EA0}"/>
    <cellStyle name="Normal 2 6 3 3" xfId="4505" xr:uid="{DF3982B4-F418-4777-B405-05E0AE9414FC}"/>
    <cellStyle name="Normal 2 6 3 3 2" xfId="7885" xr:uid="{F3E528B8-89BA-4A5B-B4A3-526B5C6036FD}"/>
    <cellStyle name="Normal 2 6 3 4" xfId="6185" xr:uid="{0E79D325-A144-48ED-8AD4-51854BD2BCA3}"/>
    <cellStyle name="Normal 2 6 3_DEO ADIT Unprotected" xfId="3164" xr:uid="{E22C643F-393C-4E95-94CC-FCF623ABB48A}"/>
    <cellStyle name="Normal 2 6 4" xfId="2089" xr:uid="{00000000-0005-0000-0000-000003050000}"/>
    <cellStyle name="Normal 2 6 4 2" xfId="5339" xr:uid="{2572D567-6DDD-426A-B072-32167AF67703}"/>
    <cellStyle name="Normal 2 6 4 2 2" xfId="8719" xr:uid="{4C6CFEA9-2548-4F59-BFF7-B97A3A3537BE}"/>
    <cellStyle name="Normal 2 6 4 3" xfId="7019" xr:uid="{185C30E8-336B-4AE9-8F1D-4FA04837835F}"/>
    <cellStyle name="Normal 2 6 4_DEO ADIT Unprotected" xfId="3166" xr:uid="{E48B0EFA-2954-4439-8FEC-4B49C6935DAA}"/>
    <cellStyle name="Normal 2 6 5" xfId="4502" xr:uid="{6F443B60-A362-4664-87CA-CA2DF79717A0}"/>
    <cellStyle name="Normal 2 6 5 2" xfId="7882" xr:uid="{570EF1ED-849C-4FE1-ACFA-1CDF889A8EC3}"/>
    <cellStyle name="Normal 2 6 6" xfId="6182" xr:uid="{88D1E50D-63A2-4219-B257-692D396B2A55}"/>
    <cellStyle name="Normal 2 6_DEO ADIT Unprotected" xfId="3159" xr:uid="{674E1944-8DC8-4792-B454-1617249F5E3E}"/>
    <cellStyle name="Normal 2 7" xfId="1143" xr:uid="{00000000-0005-0000-0000-000004050000}"/>
    <cellStyle name="Normal 2 7 2" xfId="1144" xr:uid="{00000000-0005-0000-0000-000005050000}"/>
    <cellStyle name="Normal 2 7 2 2" xfId="2094" xr:uid="{00000000-0005-0000-0000-000006050000}"/>
    <cellStyle name="Normal 2 7 2 2 2" xfId="5344" xr:uid="{9271875C-6E4E-4E35-814D-BAFE376CBA42}"/>
    <cellStyle name="Normal 2 7 2 2 2 2" xfId="8724" xr:uid="{F91C3AC9-B393-4B1B-8FE3-F0D87B6BA6AD}"/>
    <cellStyle name="Normal 2 7 2 2 3" xfId="7024" xr:uid="{6080FA35-3DBE-40A8-8A45-D9F7532D8EC4}"/>
    <cellStyle name="Normal 2 7 2 2_DEO ADIT Unprotected" xfId="3169" xr:uid="{F46AFF54-2C4B-43B6-A734-119DBEFC9B43}"/>
    <cellStyle name="Normal 2 7 2 3" xfId="4507" xr:uid="{5478033B-896A-4B5D-88F0-1F4961770726}"/>
    <cellStyle name="Normal 2 7 2 3 2" xfId="7887" xr:uid="{1FB4C505-3E40-44D7-BE78-A9CFE4CC6B86}"/>
    <cellStyle name="Normal 2 7 2 4" xfId="6187" xr:uid="{9DD5386E-101D-487A-A328-97D22AF150BE}"/>
    <cellStyle name="Normal 2 7 2_DEO ADIT Unprotected" xfId="3168" xr:uid="{C57CEA24-54FA-40F6-B367-B417CDAB49B2}"/>
    <cellStyle name="Normal 2 7 3" xfId="2093" xr:uid="{00000000-0005-0000-0000-000007050000}"/>
    <cellStyle name="Normal 2 7 3 2" xfId="5343" xr:uid="{7D6CD9E0-8DCB-44E8-AD04-1ACE1BF36BA6}"/>
    <cellStyle name="Normal 2 7 3 2 2" xfId="8723" xr:uid="{1E5E9840-9FAF-4102-818E-FFF49BB6C9C4}"/>
    <cellStyle name="Normal 2 7 3 3" xfId="7023" xr:uid="{75B90C7E-0255-45ED-B64E-0D8EF4064291}"/>
    <cellStyle name="Normal 2 7 3_DEO ADIT Unprotected" xfId="3170" xr:uid="{908A44E3-2044-4D4F-9724-A7D558A5E11C}"/>
    <cellStyle name="Normal 2 7 4" xfId="4506" xr:uid="{23B8DBD2-BBD7-49E3-9F7E-3DE1544706D1}"/>
    <cellStyle name="Normal 2 7 4 2" xfId="7886" xr:uid="{A25C075C-2CC2-4434-91E8-340621DBF766}"/>
    <cellStyle name="Normal 2 7 5" xfId="6186" xr:uid="{B80E8BF5-C927-40E3-B701-2F154CE232F0}"/>
    <cellStyle name="Normal 2 7_DEO ADIT Unprotected" xfId="3167" xr:uid="{BEF00EAC-5333-4623-9A67-D61C12CF6E2A}"/>
    <cellStyle name="Normal 2 8" xfId="1145" xr:uid="{00000000-0005-0000-0000-000008050000}"/>
    <cellStyle name="Normal 2 8 2" xfId="1146" xr:uid="{00000000-0005-0000-0000-000009050000}"/>
    <cellStyle name="Normal 2 8 2 2" xfId="2096" xr:uid="{00000000-0005-0000-0000-00000A050000}"/>
    <cellStyle name="Normal 2 8 2 2 2" xfId="5346" xr:uid="{E8B9A0D8-E269-4F81-8FC6-EA1F18F0A1A1}"/>
    <cellStyle name="Normal 2 8 2 2 2 2" xfId="8726" xr:uid="{919AEF0A-FC82-4E14-BEDC-5CFF83072F34}"/>
    <cellStyle name="Normal 2 8 2 2 3" xfId="7026" xr:uid="{8C0A4EE0-9DF3-4A98-BAF2-E4245BA86E9E}"/>
    <cellStyle name="Normal 2 8 2 2_DEO ADIT Unprotected" xfId="3173" xr:uid="{B6E080DD-1032-41B0-9144-0B1E40DDF154}"/>
    <cellStyle name="Normal 2 8 2 3" xfId="4509" xr:uid="{10AC1C3A-1D4E-4569-96D5-8CD6E8B21870}"/>
    <cellStyle name="Normal 2 8 2 3 2" xfId="7889" xr:uid="{DFCFEC47-2740-47BE-ADE6-074BC0B8765F}"/>
    <cellStyle name="Normal 2 8 2 4" xfId="6189" xr:uid="{B9368C4B-2DA2-4A1C-A0E6-03215A5848B4}"/>
    <cellStyle name="Normal 2 8 2_DEO ADIT Unprotected" xfId="3172" xr:uid="{2B4D3B7E-1461-4ED8-9F81-100AF5BBE652}"/>
    <cellStyle name="Normal 2 8 3" xfId="2095" xr:uid="{00000000-0005-0000-0000-00000B050000}"/>
    <cellStyle name="Normal 2 8 3 2" xfId="5345" xr:uid="{452F7BA8-7772-4F10-AEFF-43DF897B64E3}"/>
    <cellStyle name="Normal 2 8 3 2 2" xfId="8725" xr:uid="{8CAFAA73-8F12-49C5-A584-C4576B8C021C}"/>
    <cellStyle name="Normal 2 8 3 3" xfId="7025" xr:uid="{EB42F5E3-D917-4B1E-9EBC-D45F42D7F9C9}"/>
    <cellStyle name="Normal 2 8 3_DEO ADIT Unprotected" xfId="3174" xr:uid="{48E72BD9-9A9D-47D5-AF4C-88583E224CD3}"/>
    <cellStyle name="Normal 2 8 4" xfId="4508" xr:uid="{F84D2BBD-4568-4451-97F6-7033232A9AC0}"/>
    <cellStyle name="Normal 2 8 4 2" xfId="7888" xr:uid="{1B135194-95C8-453A-A453-6EBEF959528A}"/>
    <cellStyle name="Normal 2 8 5" xfId="6188" xr:uid="{187ECF5F-9569-415F-A6F9-540D1249F1B1}"/>
    <cellStyle name="Normal 2 8_DEO ADIT Unprotected" xfId="3171" xr:uid="{026B9B06-27BF-4F3C-B298-663E5F9BAAF7}"/>
    <cellStyle name="Normal 2_DEO ADIT Unprotected" xfId="3042" xr:uid="{1B69E183-7DEC-4BC3-AA53-04D3F813430C}"/>
    <cellStyle name="Normal 20" xfId="456" xr:uid="{00000000-0005-0000-0000-00000D050000}"/>
    <cellStyle name="Normal 20 2" xfId="491" xr:uid="{00000000-0005-0000-0000-00000E050000}"/>
    <cellStyle name="Normal 20 2 2" xfId="1684" xr:uid="{00000000-0005-0000-0000-00000F050000}"/>
    <cellStyle name="Normal 20 2 2 2" xfId="4934" xr:uid="{33F6645A-4260-4C3C-A569-480DA2BD0C56}"/>
    <cellStyle name="Normal 20 2 2 2 2" xfId="8314" xr:uid="{5A308EC0-5465-4452-BE23-DE54AAE0BF7D}"/>
    <cellStyle name="Normal 20 2 2 3" xfId="6614" xr:uid="{516A0A39-D242-4D7E-B120-CF2FEA282671}"/>
    <cellStyle name="Normal 20 2 2_DEO ADIT Unprotected" xfId="3177" xr:uid="{D49E0C09-B704-4E0F-9732-237A7FE60FF6}"/>
    <cellStyle name="Normal 20 2 3" xfId="4097" xr:uid="{124DA552-7A88-4019-BCA6-0F2515FF2AAD}"/>
    <cellStyle name="Normal 20 2 3 2" xfId="7477" xr:uid="{9F3B4A93-F9BC-4579-A93D-F3CAC7F53B34}"/>
    <cellStyle name="Normal 20 2 4" xfId="5776" xr:uid="{52D30B05-6F20-4077-AAF3-17567326EA09}"/>
    <cellStyle name="Normal 20 2_DEO ADIT Unprotected" xfId="3176" xr:uid="{9BD1A41C-C741-4B9B-ADD4-3875A83E2062}"/>
    <cellStyle name="Normal 20 3" xfId="1652" xr:uid="{00000000-0005-0000-0000-000010050000}"/>
    <cellStyle name="Normal 20 3 2" xfId="4902" xr:uid="{2CA4ED25-47FD-4FED-8943-3A5C037F17E0}"/>
    <cellStyle name="Normal 20 3 2 2" xfId="8282" xr:uid="{8DE56AB6-B1A3-4762-9FC1-391F28128EC6}"/>
    <cellStyle name="Normal 20 3 3" xfId="6582" xr:uid="{1B362150-24F8-4387-9AAF-A3E8EC47C778}"/>
    <cellStyle name="Normal 20 3_DEO ADIT Unprotected" xfId="3178" xr:uid="{FFEFC865-9D6C-4E34-BCAA-19882A32E1C7}"/>
    <cellStyle name="Normal 20 4" xfId="4065" xr:uid="{695CE4AD-6B50-4199-942B-B78B558C13CB}"/>
    <cellStyle name="Normal 20 4 2" xfId="7445" xr:uid="{ED884BB7-DF7E-4FBC-ADDE-B4CA42232494}"/>
    <cellStyle name="Normal 20 5" xfId="5744" xr:uid="{13213B17-81C9-41C0-AD7A-DD7FFDB932FF}"/>
    <cellStyle name="Normal 20_DEO ADIT Unprotected" xfId="3175" xr:uid="{FD7451BF-BD01-49AC-94D7-7E540F08D992}"/>
    <cellStyle name="Normal 200" xfId="1147" xr:uid="{00000000-0005-0000-0000-000011050000}"/>
    <cellStyle name="Normal 200 2" xfId="2097" xr:uid="{00000000-0005-0000-0000-000012050000}"/>
    <cellStyle name="Normal 200 2 2" xfId="5347" xr:uid="{5AB996F8-464A-43EE-A153-24CD68672A73}"/>
    <cellStyle name="Normal 200 2 2 2" xfId="8727" xr:uid="{49C16C0B-240F-4DA7-B1A4-B01838A5AE6D}"/>
    <cellStyle name="Normal 200 2 3" xfId="7027" xr:uid="{E80D45C3-254D-4793-A015-F62C9AAC3547}"/>
    <cellStyle name="Normal 200 2_DEO ADIT Unprotected" xfId="3180" xr:uid="{584F8DDE-73DA-4EE1-B1C8-963B1DBBABA4}"/>
    <cellStyle name="Normal 200 3" xfId="4510" xr:uid="{D7643810-55CE-4EFB-A9EE-C6CA830ED9A8}"/>
    <cellStyle name="Normal 200 3 2" xfId="7890" xr:uid="{AC582E28-797A-4159-B393-7C611EED203D}"/>
    <cellStyle name="Normal 200 4" xfId="6190" xr:uid="{A57380CC-4464-467E-AD17-E4BA61F399A9}"/>
    <cellStyle name="Normal 200_DEO ADIT Unprotected" xfId="3179" xr:uid="{941CF22D-13FF-494E-A0CE-6C784AF33D75}"/>
    <cellStyle name="Normal 201" xfId="1148" xr:uid="{00000000-0005-0000-0000-000013050000}"/>
    <cellStyle name="Normal 201 2" xfId="2098" xr:uid="{00000000-0005-0000-0000-000014050000}"/>
    <cellStyle name="Normal 201 2 2" xfId="5348" xr:uid="{B7C9AB51-024B-4A05-9E79-3888FF00EA1D}"/>
    <cellStyle name="Normal 201 2 2 2" xfId="8728" xr:uid="{36831111-1AD5-40AB-B3AF-B9D873000274}"/>
    <cellStyle name="Normal 201 2 3" xfId="7028" xr:uid="{C9DD66AE-62EB-4C54-AA11-E4E09639F5DC}"/>
    <cellStyle name="Normal 201 2_DEO ADIT Unprotected" xfId="3182" xr:uid="{8428616E-358F-409B-B358-80AC70270643}"/>
    <cellStyle name="Normal 201 3" xfId="4511" xr:uid="{25BC3B2A-FC60-4628-AC78-1BB4D28E8B0C}"/>
    <cellStyle name="Normal 201 3 2" xfId="7891" xr:uid="{D85550C5-4797-4DEA-9BCC-395021D53EE0}"/>
    <cellStyle name="Normal 201 4" xfId="6191" xr:uid="{708727C2-3427-4C66-8EEB-81AA709DE549}"/>
    <cellStyle name="Normal 201_DEO ADIT Unprotected" xfId="3181" xr:uid="{B1EE9E45-364B-4FAC-BE48-9B7DC87C920A}"/>
    <cellStyle name="Normal 202" xfId="1149" xr:uid="{00000000-0005-0000-0000-000015050000}"/>
    <cellStyle name="Normal 202 2" xfId="2099" xr:uid="{00000000-0005-0000-0000-000016050000}"/>
    <cellStyle name="Normal 202 2 2" xfId="5349" xr:uid="{CBE1863B-3EC2-4DE6-A5A2-1617E39B91D9}"/>
    <cellStyle name="Normal 202 2 2 2" xfId="8729" xr:uid="{27F90123-D1A3-4BBA-B9E8-AACEBF497674}"/>
    <cellStyle name="Normal 202 2 3" xfId="7029" xr:uid="{2CEE3752-69DB-4B6A-8974-E2E7A168BC08}"/>
    <cellStyle name="Normal 202 2_DEO ADIT Unprotected" xfId="3184" xr:uid="{5C1672CA-3884-460A-A05D-D8FE7FC8F2F5}"/>
    <cellStyle name="Normal 202 3" xfId="4512" xr:uid="{F7691D85-8304-44FE-8849-E4638B2B89B9}"/>
    <cellStyle name="Normal 202 3 2" xfId="7892" xr:uid="{2AA0D2F6-E44B-48F2-A703-40A90E28E73F}"/>
    <cellStyle name="Normal 202 4" xfId="6192" xr:uid="{C0460EB1-FCBE-4F01-9976-0A476E4206A1}"/>
    <cellStyle name="Normal 202_DEO ADIT Unprotected" xfId="3183" xr:uid="{55D7760E-EE1D-4308-AF73-E8F1924DC84E}"/>
    <cellStyle name="Normal 203" xfId="1150" xr:uid="{00000000-0005-0000-0000-000017050000}"/>
    <cellStyle name="Normal 203 2" xfId="2100" xr:uid="{00000000-0005-0000-0000-000018050000}"/>
    <cellStyle name="Normal 203 2 2" xfId="5350" xr:uid="{B746A3CE-8260-421F-AABD-867F4D3A0A1C}"/>
    <cellStyle name="Normal 203 2 2 2" xfId="8730" xr:uid="{638ACC0D-476A-406A-8D25-62BFC6BA8D65}"/>
    <cellStyle name="Normal 203 2 3" xfId="7030" xr:uid="{1EE34D77-FCDD-43FD-BFC2-F132D57EE680}"/>
    <cellStyle name="Normal 203 2_DEO ADIT Unprotected" xfId="3186" xr:uid="{8CF5946C-416D-465E-89F9-F64A4B133BF5}"/>
    <cellStyle name="Normal 203 3" xfId="4513" xr:uid="{DDADCCD6-8768-4EC3-BC12-268B8209151B}"/>
    <cellStyle name="Normal 203 3 2" xfId="7893" xr:uid="{1D204801-D3BF-42DE-A11B-497F3B88CB76}"/>
    <cellStyle name="Normal 203 4" xfId="6193" xr:uid="{5ED288A4-A6F9-4C6A-A9EB-A6E7C6DE4D31}"/>
    <cellStyle name="Normal 203_DEO ADIT Unprotected" xfId="3185" xr:uid="{BEAF67A9-2BAC-4926-B4A5-83F6AB3F252D}"/>
    <cellStyle name="Normal 204" xfId="1151" xr:uid="{00000000-0005-0000-0000-000019050000}"/>
    <cellStyle name="Normal 204 2" xfId="2101" xr:uid="{00000000-0005-0000-0000-00001A050000}"/>
    <cellStyle name="Normal 204 2 2" xfId="5351" xr:uid="{9E20BE72-77A4-45BE-810C-572BAF6A274C}"/>
    <cellStyle name="Normal 204 2 2 2" xfId="8731" xr:uid="{7F5A453D-1790-4DCE-B5D7-399A7572EF5A}"/>
    <cellStyle name="Normal 204 2 3" xfId="7031" xr:uid="{8ACED4C3-73ED-44E5-AE6C-F6E20297E427}"/>
    <cellStyle name="Normal 204 2_DEO ADIT Unprotected" xfId="3188" xr:uid="{5FFA4DDE-C370-402C-8AA3-722A4BE4C5F7}"/>
    <cellStyle name="Normal 204 3" xfId="4514" xr:uid="{43D0C9AF-F486-4606-9B0D-0EA32D127AE0}"/>
    <cellStyle name="Normal 204 3 2" xfId="7894" xr:uid="{FC20C3F2-B8E6-405C-8BAD-34C88CA7FB82}"/>
    <cellStyle name="Normal 204 4" xfId="6194" xr:uid="{4BC69265-B5CC-43AC-BD86-9C2E50A5D904}"/>
    <cellStyle name="Normal 204_DEO ADIT Unprotected" xfId="3187" xr:uid="{D5469C8D-0F3D-4402-B839-78FB6794D7A4}"/>
    <cellStyle name="Normal 205" xfId="1152" xr:uid="{00000000-0005-0000-0000-00001B050000}"/>
    <cellStyle name="Normal 205 2" xfId="2102" xr:uid="{00000000-0005-0000-0000-00001C050000}"/>
    <cellStyle name="Normal 205 2 2" xfId="5352" xr:uid="{7821CEC0-358A-48F1-914B-ED85AC4D924E}"/>
    <cellStyle name="Normal 205 2 2 2" xfId="8732" xr:uid="{CA02987B-1196-4560-AE29-DBEE5AC25087}"/>
    <cellStyle name="Normal 205 2 3" xfId="7032" xr:uid="{7692A431-B0F5-44EF-9D5B-7A4A09075642}"/>
    <cellStyle name="Normal 205 2_DEO ADIT Unprotected" xfId="3190" xr:uid="{F8EA9F4D-1BE5-4FBF-A4A0-E22A61F5A3F1}"/>
    <cellStyle name="Normal 205 3" xfId="4515" xr:uid="{9CC54DA9-4019-4AC5-9B0F-5527D257A72C}"/>
    <cellStyle name="Normal 205 3 2" xfId="7895" xr:uid="{69B1504B-0DA8-4162-A58F-79C9576C2837}"/>
    <cellStyle name="Normal 205 4" xfId="6195" xr:uid="{6A5C86A2-21BF-4621-9A8B-E1F1C57B1BF4}"/>
    <cellStyle name="Normal 205_DEO ADIT Unprotected" xfId="3189" xr:uid="{0719C9D0-EC90-4CDC-9872-E7CE5738CCA2}"/>
    <cellStyle name="Normal 206" xfId="1153" xr:uid="{00000000-0005-0000-0000-00001D050000}"/>
    <cellStyle name="Normal 206 2" xfId="2103" xr:uid="{00000000-0005-0000-0000-00001E050000}"/>
    <cellStyle name="Normal 206 2 2" xfId="5353" xr:uid="{D783923A-1EFD-4919-8BE9-2F276F2E2497}"/>
    <cellStyle name="Normal 206 2 2 2" xfId="8733" xr:uid="{1DBA82E0-78AF-412F-8D7D-754852637A13}"/>
    <cellStyle name="Normal 206 2 3" xfId="7033" xr:uid="{25B8471B-C911-4A8A-AAFA-64665FAE23F0}"/>
    <cellStyle name="Normal 206 2_DEO ADIT Unprotected" xfId="3192" xr:uid="{605CAB68-7C45-421E-A5BC-AD242C273A43}"/>
    <cellStyle name="Normal 206 3" xfId="4516" xr:uid="{13B4A9D3-E587-4506-95E2-666C10424620}"/>
    <cellStyle name="Normal 206 3 2" xfId="7896" xr:uid="{B44BE0D1-54C5-43E2-A814-9FCA4BF6FDDF}"/>
    <cellStyle name="Normal 206 4" xfId="6196" xr:uid="{A38372D4-90FD-42D9-A2F9-6916CFDDE8C1}"/>
    <cellStyle name="Normal 206_DEO ADIT Unprotected" xfId="3191" xr:uid="{EDCD7230-3497-493D-BC0D-3D449218CFA9}"/>
    <cellStyle name="Normal 207" xfId="1154" xr:uid="{00000000-0005-0000-0000-00001F050000}"/>
    <cellStyle name="Normal 207 2" xfId="2104" xr:uid="{00000000-0005-0000-0000-000020050000}"/>
    <cellStyle name="Normal 207 2 2" xfId="5354" xr:uid="{642C038E-5CA6-48ED-BA3F-5504CA6A29D9}"/>
    <cellStyle name="Normal 207 2 2 2" xfId="8734" xr:uid="{90DB1CE2-2541-47CA-B4CD-7439B4B229DB}"/>
    <cellStyle name="Normal 207 2 3" xfId="7034" xr:uid="{7F3DC9F7-CCB1-4B71-824F-ED9A907D319B}"/>
    <cellStyle name="Normal 207 2_DEO ADIT Unprotected" xfId="3194" xr:uid="{F893394E-B1E2-49DB-8016-9339B625F34F}"/>
    <cellStyle name="Normal 207 3" xfId="4517" xr:uid="{89124EDB-CA5D-4F25-8854-DA8E3BAF4B41}"/>
    <cellStyle name="Normal 207 3 2" xfId="7897" xr:uid="{22BE343B-F494-4859-8EA1-51841DB7B462}"/>
    <cellStyle name="Normal 207 4" xfId="6197" xr:uid="{53B9BF7B-CABC-4AA4-9093-6196C641EB8F}"/>
    <cellStyle name="Normal 207_DEO ADIT Unprotected" xfId="3193" xr:uid="{BBCCD289-501E-46F3-BB5D-D1D69781A262}"/>
    <cellStyle name="Normal 208" xfId="1155" xr:uid="{00000000-0005-0000-0000-000021050000}"/>
    <cellStyle name="Normal 208 2" xfId="2105" xr:uid="{00000000-0005-0000-0000-000022050000}"/>
    <cellStyle name="Normal 208 2 2" xfId="5355" xr:uid="{EA83FFAB-5926-480A-91C9-F5F9D58BF47C}"/>
    <cellStyle name="Normal 208 2 2 2" xfId="8735" xr:uid="{A6A093F4-1364-4ACC-880A-BE8AA3705766}"/>
    <cellStyle name="Normal 208 2 3" xfId="7035" xr:uid="{C171EB5E-2378-4F76-8405-41135601AB2A}"/>
    <cellStyle name="Normal 208 2_DEO ADIT Unprotected" xfId="3196" xr:uid="{33FB2BE1-92DE-4A45-9210-4EF06F2EBE2B}"/>
    <cellStyle name="Normal 208 3" xfId="4518" xr:uid="{F2C39445-8CEF-4B72-B081-CCCEE19CB77E}"/>
    <cellStyle name="Normal 208 3 2" xfId="7898" xr:uid="{CE9CD2A2-F4C9-47DA-9F89-AE447530A14C}"/>
    <cellStyle name="Normal 208 4" xfId="6198" xr:uid="{7F12ACD8-B8FC-4D8F-A8D7-C5FC35B2A6BE}"/>
    <cellStyle name="Normal 208_DEO ADIT Unprotected" xfId="3195" xr:uid="{FF248103-3F70-4E21-9183-DE332F5C3E85}"/>
    <cellStyle name="Normal 209" xfId="1156" xr:uid="{00000000-0005-0000-0000-000023050000}"/>
    <cellStyle name="Normal 209 2" xfId="2106" xr:uid="{00000000-0005-0000-0000-000024050000}"/>
    <cellStyle name="Normal 209 2 2" xfId="5356" xr:uid="{4F361044-FCA5-43E6-A019-3E1124888325}"/>
    <cellStyle name="Normal 209 2 2 2" xfId="8736" xr:uid="{F9BB584A-4E6D-46E0-AB15-F4E3BF305616}"/>
    <cellStyle name="Normal 209 2 3" xfId="7036" xr:uid="{54458A79-64BC-434C-B343-E4E8693417DC}"/>
    <cellStyle name="Normal 209 2_DEO ADIT Unprotected" xfId="3198" xr:uid="{4AF9E14E-6B08-4B22-B454-DFA43769A623}"/>
    <cellStyle name="Normal 209 3" xfId="4519" xr:uid="{DB75351B-8D6C-4C99-9CF3-8E3F4A3AAAEA}"/>
    <cellStyle name="Normal 209 3 2" xfId="7899" xr:uid="{02870D25-FB81-4A0A-BD47-B011AE094280}"/>
    <cellStyle name="Normal 209 4" xfId="6199" xr:uid="{692D3635-9EDF-45D6-9EFA-4B8C6988A4B5}"/>
    <cellStyle name="Normal 209_DEO ADIT Unprotected" xfId="3197" xr:uid="{7311911A-EFCA-4297-A75F-9B83DE434248}"/>
    <cellStyle name="Normal 21" xfId="453" xr:uid="{00000000-0005-0000-0000-000025050000}"/>
    <cellStyle name="Normal 21 2" xfId="489" xr:uid="{00000000-0005-0000-0000-000026050000}"/>
    <cellStyle name="Normal 21 2 2" xfId="1682" xr:uid="{00000000-0005-0000-0000-000027050000}"/>
    <cellStyle name="Normal 21 2 2 2" xfId="4932" xr:uid="{E20A2F9C-0212-44DD-A99C-80EC1785E8E2}"/>
    <cellStyle name="Normal 21 2 2 2 2" xfId="8312" xr:uid="{88408C7D-FE21-4E3F-976A-089EC787F374}"/>
    <cellStyle name="Normal 21 2 2 3" xfId="6612" xr:uid="{F5B3E002-8683-46F1-B2F1-0225EE3ED871}"/>
    <cellStyle name="Normal 21 2 2_DEO ADIT Unprotected" xfId="3201" xr:uid="{300D16C8-0E08-4C3F-9EC7-CF6BD3FE2F4C}"/>
    <cellStyle name="Normal 21 2 3" xfId="4095" xr:uid="{3E940A85-883D-47A4-82E0-B037CD6ABC4F}"/>
    <cellStyle name="Normal 21 2 3 2" xfId="7475" xr:uid="{0B3A889A-DE98-423E-BC98-08DE090C1C44}"/>
    <cellStyle name="Normal 21 2 4" xfId="5774" xr:uid="{D1753944-CE04-48BC-A642-4E03B8456576}"/>
    <cellStyle name="Normal 21 2_DEO ADIT Unprotected" xfId="3200" xr:uid="{4DF2A7EE-0D24-4ECE-B857-D81E21CE6663}"/>
    <cellStyle name="Normal 21 3" xfId="1157" xr:uid="{00000000-0005-0000-0000-000028050000}"/>
    <cellStyle name="Normal 21 3 2" xfId="2107" xr:uid="{00000000-0005-0000-0000-000029050000}"/>
    <cellStyle name="Normal 21 3 2 2" xfId="5357" xr:uid="{FD970C38-0669-4FA0-BF72-1D0DA40221D5}"/>
    <cellStyle name="Normal 21 3 2 2 2" xfId="8737" xr:uid="{9E63BF02-0914-4DF7-AF89-541A061F1519}"/>
    <cellStyle name="Normal 21 3 2 3" xfId="7037" xr:uid="{1CA16015-6AE3-497F-ADA7-057FA4C2A977}"/>
    <cellStyle name="Normal 21 3 2_DEO ADIT Unprotected" xfId="3203" xr:uid="{F9E60759-1AFB-475D-9D39-6FA3B8A7EE21}"/>
    <cellStyle name="Normal 21 3 3" xfId="4520" xr:uid="{781114C3-212C-4AFD-99FA-6F4925ABEAA2}"/>
    <cellStyle name="Normal 21 3 3 2" xfId="7900" xr:uid="{B7B9F02E-9BD7-4901-B31B-1D80768FE976}"/>
    <cellStyle name="Normal 21 3 4" xfId="6200" xr:uid="{96D67F25-2D31-4512-932C-C17385E6009C}"/>
    <cellStyle name="Normal 21 3_DEO ADIT Unprotected" xfId="3202" xr:uid="{B4E211D9-152C-4999-BD42-9F9EAA3AF32E}"/>
    <cellStyle name="Normal 21 4" xfId="1650" xr:uid="{00000000-0005-0000-0000-00002A050000}"/>
    <cellStyle name="Normal 21 4 2" xfId="4900" xr:uid="{2C069F87-37AA-47F1-A9F6-3AE037AA32CF}"/>
    <cellStyle name="Normal 21 4 2 2" xfId="8280" xr:uid="{3E37E86C-C76D-4A92-955E-68CFE391A9D2}"/>
    <cellStyle name="Normal 21 4 3" xfId="6580" xr:uid="{73FA4021-D8F2-4717-86B3-B4BFA7119530}"/>
    <cellStyle name="Normal 21 4_DEO ADIT Unprotected" xfId="3204" xr:uid="{0030A3E3-C34D-4DB4-96B8-353C29A0225E}"/>
    <cellStyle name="Normal 21 5" xfId="4063" xr:uid="{3A87F6A4-1004-465C-9DC1-029D70EBD5A5}"/>
    <cellStyle name="Normal 21 5 2" xfId="7443" xr:uid="{852D4FC4-BA4C-4E07-A20C-6C63803C3D3B}"/>
    <cellStyle name="Normal 21 6" xfId="5742" xr:uid="{B116F4B1-E968-4D0E-915A-E73D529E7A1A}"/>
    <cellStyle name="Normal 21_DEO ADIT Unprotected" xfId="3199" xr:uid="{481A354C-2FE2-4198-8BA5-2820B1E97AEE}"/>
    <cellStyle name="Normal 210" xfId="1158" xr:uid="{00000000-0005-0000-0000-00002B050000}"/>
    <cellStyle name="Normal 210 2" xfId="2108" xr:uid="{00000000-0005-0000-0000-00002C050000}"/>
    <cellStyle name="Normal 210 2 2" xfId="5358" xr:uid="{A943E0CA-A00A-4664-99F9-DB381DAE5EEB}"/>
    <cellStyle name="Normal 210 2 2 2" xfId="8738" xr:uid="{F13DBE06-8F2B-4123-B0DB-6D5444A7F45E}"/>
    <cellStyle name="Normal 210 2 3" xfId="7038" xr:uid="{E849D9E4-386B-43E8-B47F-9B364D46E874}"/>
    <cellStyle name="Normal 210 2_DEO ADIT Unprotected" xfId="3206" xr:uid="{97F1C19F-E9D0-49DE-9A68-04CB7117F6C7}"/>
    <cellStyle name="Normal 210 3" xfId="4521" xr:uid="{D89F846E-F93A-42DD-B15B-632A2041A319}"/>
    <cellStyle name="Normal 210 3 2" xfId="7901" xr:uid="{7FD83C83-AAE6-44D4-B0DA-E072CB9D1E52}"/>
    <cellStyle name="Normal 210 4" xfId="6201" xr:uid="{DBEBC18D-DF67-41E5-8A99-78AEAE5537D2}"/>
    <cellStyle name="Normal 210_DEO ADIT Unprotected" xfId="3205" xr:uid="{633182FE-454F-4D37-B8F9-E4B154DE0400}"/>
    <cellStyle name="Normal 211" xfId="1159" xr:uid="{00000000-0005-0000-0000-00002D050000}"/>
    <cellStyle name="Normal 211 2" xfId="2109" xr:uid="{00000000-0005-0000-0000-00002E050000}"/>
    <cellStyle name="Normal 211 2 2" xfId="5359" xr:uid="{CBA91D54-A34F-46DC-B9D6-3B1927E08C8C}"/>
    <cellStyle name="Normal 211 2 2 2" xfId="8739" xr:uid="{85EB1944-40D1-48E9-900E-86AF496FAFB9}"/>
    <cellStyle name="Normal 211 2 3" xfId="7039" xr:uid="{8FE7180B-2E7E-4D3B-A967-F0B655EF88F0}"/>
    <cellStyle name="Normal 211 2_DEO ADIT Unprotected" xfId="3208" xr:uid="{1DE0144E-9039-46C5-904F-4DFE9714B609}"/>
    <cellStyle name="Normal 211 3" xfId="4522" xr:uid="{51E6C9D2-47C3-4D3F-83A2-C2716B7716A7}"/>
    <cellStyle name="Normal 211 3 2" xfId="7902" xr:uid="{33DF39FD-3500-492E-AC5C-EA84250FCD85}"/>
    <cellStyle name="Normal 211 4" xfId="6202" xr:uid="{741B71A1-81A1-4FEF-90A6-5CC14B16C454}"/>
    <cellStyle name="Normal 211_DEO ADIT Unprotected" xfId="3207" xr:uid="{B2D52D45-2A04-4784-B91D-0F24DB33091D}"/>
    <cellStyle name="Normal 212" xfId="1160" xr:uid="{00000000-0005-0000-0000-00002F050000}"/>
    <cellStyle name="Normal 212 2" xfId="2110" xr:uid="{00000000-0005-0000-0000-000030050000}"/>
    <cellStyle name="Normal 212 2 2" xfId="5360" xr:uid="{30D75CC1-39F1-4F4F-91D2-591D700418BA}"/>
    <cellStyle name="Normal 212 2 2 2" xfId="8740" xr:uid="{E3A32D1B-8D26-409F-BBDC-66AC34083C6B}"/>
    <cellStyle name="Normal 212 2 3" xfId="7040" xr:uid="{29E9072D-0A42-4D16-B27A-B0B7F5981D65}"/>
    <cellStyle name="Normal 212 2_DEO ADIT Unprotected" xfId="3210" xr:uid="{3ED9517B-EC7B-43D6-863D-A78C44766280}"/>
    <cellStyle name="Normal 212 3" xfId="4523" xr:uid="{17740756-9421-4E2E-82A4-ABF0A93BCDF5}"/>
    <cellStyle name="Normal 212 3 2" xfId="7903" xr:uid="{DCFE27E3-0DBA-47C8-B4E8-4A299F129DEE}"/>
    <cellStyle name="Normal 212 4" xfId="6203" xr:uid="{C24E209C-EC84-479D-A9AD-9DA32A59D4DF}"/>
    <cellStyle name="Normal 212_DEO ADIT Unprotected" xfId="3209" xr:uid="{54AF94DD-75C9-459D-886A-0982936AC5D2}"/>
    <cellStyle name="Normal 213" xfId="1161" xr:uid="{00000000-0005-0000-0000-000031050000}"/>
    <cellStyle name="Normal 213 2" xfId="2111" xr:uid="{00000000-0005-0000-0000-000032050000}"/>
    <cellStyle name="Normal 213 2 2" xfId="5361" xr:uid="{9E5DBCEB-8352-4922-8632-28D5F16A56AC}"/>
    <cellStyle name="Normal 213 2 2 2" xfId="8741" xr:uid="{A804D162-C979-460D-BF8A-88BE04C7E3F5}"/>
    <cellStyle name="Normal 213 2 3" xfId="7041" xr:uid="{9CB5D857-93BA-43F7-9963-580DA6B76283}"/>
    <cellStyle name="Normal 213 2_DEO ADIT Unprotected" xfId="3212" xr:uid="{BC29D6BD-3176-4AA9-A332-515BF5A6F046}"/>
    <cellStyle name="Normal 213 3" xfId="4524" xr:uid="{E8B3A4BA-5D67-4F84-AACB-6707A6BE6D52}"/>
    <cellStyle name="Normal 213 3 2" xfId="7904" xr:uid="{8A7A8181-F5BE-470B-A7D4-16ADAE46CA58}"/>
    <cellStyle name="Normal 213 4" xfId="6204" xr:uid="{D469AF10-D10E-43AF-B2F6-B61E973BE3FF}"/>
    <cellStyle name="Normal 213_DEO ADIT Unprotected" xfId="3211" xr:uid="{4EC0F518-6C18-49C7-AE3D-D7CEC99DA66C}"/>
    <cellStyle name="Normal 214" xfId="1162" xr:uid="{00000000-0005-0000-0000-000033050000}"/>
    <cellStyle name="Normal 214 2" xfId="2112" xr:uid="{00000000-0005-0000-0000-000034050000}"/>
    <cellStyle name="Normal 214 2 2" xfId="5362" xr:uid="{17486754-4FF9-4E48-85C1-245CC4544BDB}"/>
    <cellStyle name="Normal 214 2 2 2" xfId="8742" xr:uid="{E86BD4B4-D5E6-482A-90B5-042BC68DEA0E}"/>
    <cellStyle name="Normal 214 2 3" xfId="7042" xr:uid="{4D9E3E12-9E14-40F6-8AC0-8BDB79D922C4}"/>
    <cellStyle name="Normal 214 2_DEO ADIT Unprotected" xfId="3214" xr:uid="{49B2CB52-2A9B-43AA-9C8C-95761CB4A455}"/>
    <cellStyle name="Normal 214 3" xfId="4525" xr:uid="{C6019146-4E1E-4DAA-B3CD-D53F32541FB9}"/>
    <cellStyle name="Normal 214 3 2" xfId="7905" xr:uid="{D8650B40-FFA5-41AA-8FBB-9630CA0A6656}"/>
    <cellStyle name="Normal 214 4" xfId="6205" xr:uid="{BDB1AF06-7313-49D1-8D2C-1DFFE3D9061C}"/>
    <cellStyle name="Normal 214_DEO ADIT Unprotected" xfId="3213" xr:uid="{D13F0E3D-D841-4CEF-B12D-AFB413A41C49}"/>
    <cellStyle name="Normal 215" xfId="1163" xr:uid="{00000000-0005-0000-0000-000035050000}"/>
    <cellStyle name="Normal 215 2" xfId="2113" xr:uid="{00000000-0005-0000-0000-000036050000}"/>
    <cellStyle name="Normal 215 2 2" xfId="5363" xr:uid="{768521CA-E669-41DB-AE31-6B66F4F4E17C}"/>
    <cellStyle name="Normal 215 2 2 2" xfId="8743" xr:uid="{BA642090-B442-494F-BA69-D92F21850B9A}"/>
    <cellStyle name="Normal 215 2 3" xfId="7043" xr:uid="{825EA08F-1353-450D-ACE1-FBAC7D221922}"/>
    <cellStyle name="Normal 215 2_DEO ADIT Unprotected" xfId="3216" xr:uid="{92D127D3-3AC8-43E1-8928-40B7C33C1C3D}"/>
    <cellStyle name="Normal 215 3" xfId="4526" xr:uid="{F024F8C5-17F0-4697-B570-7AB4F40FCB84}"/>
    <cellStyle name="Normal 215 3 2" xfId="7906" xr:uid="{F5EDFAEF-4091-4793-AC3E-4A92B023DD13}"/>
    <cellStyle name="Normal 215 4" xfId="6206" xr:uid="{FA6B4543-88E8-4F97-8E99-7D4EE5598FCE}"/>
    <cellStyle name="Normal 215_DEO ADIT Unprotected" xfId="3215" xr:uid="{675205FF-70A5-495B-B3D5-3FA614A30938}"/>
    <cellStyle name="Normal 216" xfId="1164" xr:uid="{00000000-0005-0000-0000-000037050000}"/>
    <cellStyle name="Normal 216 2" xfId="2114" xr:uid="{00000000-0005-0000-0000-000038050000}"/>
    <cellStyle name="Normal 216 2 2" xfId="5364" xr:uid="{F54CB343-B8B5-4D8F-9529-7ADA3771910E}"/>
    <cellStyle name="Normal 216 2 2 2" xfId="8744" xr:uid="{38A33B43-66BF-4CD0-8D46-0C6E6ADD8776}"/>
    <cellStyle name="Normal 216 2 3" xfId="7044" xr:uid="{49719953-9482-41EA-AFA4-355C28DD58AB}"/>
    <cellStyle name="Normal 216 2_DEO ADIT Unprotected" xfId="3218" xr:uid="{650486CA-3B05-4EEA-8F42-9AC8FEF72A42}"/>
    <cellStyle name="Normal 216 3" xfId="4527" xr:uid="{7FB3DD44-A4F5-43EA-A1F9-8E77BCE4D30E}"/>
    <cellStyle name="Normal 216 3 2" xfId="7907" xr:uid="{2BD634DD-6876-4F2F-8224-B6DE38F0348C}"/>
    <cellStyle name="Normal 216 4" xfId="6207" xr:uid="{DF1DE4D7-CECA-4A7E-8C3D-BE3B0FD6FAF5}"/>
    <cellStyle name="Normal 216_DEO ADIT Unprotected" xfId="3217" xr:uid="{0F32C069-36DC-412E-A3EE-F5674DECE17F}"/>
    <cellStyle name="Normal 217" xfId="1165" xr:uid="{00000000-0005-0000-0000-000039050000}"/>
    <cellStyle name="Normal 217 2" xfId="2115" xr:uid="{00000000-0005-0000-0000-00003A050000}"/>
    <cellStyle name="Normal 217 2 2" xfId="5365" xr:uid="{992A4187-44BF-40A2-BA28-49EF81067E36}"/>
    <cellStyle name="Normal 217 2 2 2" xfId="8745" xr:uid="{AAB539A4-9E34-47BB-9ADF-4965CAC45C61}"/>
    <cellStyle name="Normal 217 2 3" xfId="7045" xr:uid="{CB3DA5F5-D0B9-4753-BBDF-B1109F8C15DF}"/>
    <cellStyle name="Normal 217 2_DEO ADIT Unprotected" xfId="3220" xr:uid="{B5E388F7-B2FD-4A09-A971-61F4BECA823F}"/>
    <cellStyle name="Normal 217 3" xfId="4528" xr:uid="{602D6016-0F6D-405F-87C6-3DD58F370E6A}"/>
    <cellStyle name="Normal 217 3 2" xfId="7908" xr:uid="{1E0C073A-23A8-4E94-B6F6-67C539D591B3}"/>
    <cellStyle name="Normal 217 4" xfId="6208" xr:uid="{0ECB867D-FF32-4EBA-A317-8EEB3DDA8556}"/>
    <cellStyle name="Normal 217_DEO ADIT Unprotected" xfId="3219" xr:uid="{FB141648-FF79-4B26-AB50-5D1161A33504}"/>
    <cellStyle name="Normal 218" xfId="1166" xr:uid="{00000000-0005-0000-0000-00003B050000}"/>
    <cellStyle name="Normal 218 2" xfId="2116" xr:uid="{00000000-0005-0000-0000-00003C050000}"/>
    <cellStyle name="Normal 218 2 2" xfId="5366" xr:uid="{0FD7718C-5A64-4BBC-9BFA-92BF23EDA962}"/>
    <cellStyle name="Normal 218 2 2 2" xfId="8746" xr:uid="{795B5AC7-5D96-4C05-B824-A063E39038FD}"/>
    <cellStyle name="Normal 218 2 3" xfId="7046" xr:uid="{55B48070-E926-465D-B586-779A4843CB39}"/>
    <cellStyle name="Normal 218 2_DEO ADIT Unprotected" xfId="3222" xr:uid="{3B0D05AC-014E-4C20-A18D-9F52ECED4D67}"/>
    <cellStyle name="Normal 218 3" xfId="4529" xr:uid="{4EB23497-8CD4-4C3A-8FAF-0C8EC42188C7}"/>
    <cellStyle name="Normal 218 3 2" xfId="7909" xr:uid="{A92F7312-873D-4606-86CC-B64951D15843}"/>
    <cellStyle name="Normal 218 4" xfId="6209" xr:uid="{8E709AF2-0387-484A-A294-64EB26DE47CA}"/>
    <cellStyle name="Normal 218_DEO ADIT Unprotected" xfId="3221" xr:uid="{20367AC9-6536-4C60-8683-659BAEDE5220}"/>
    <cellStyle name="Normal 219" xfId="1167" xr:uid="{00000000-0005-0000-0000-00003D050000}"/>
    <cellStyle name="Normal 219 2" xfId="2117" xr:uid="{00000000-0005-0000-0000-00003E050000}"/>
    <cellStyle name="Normal 219 2 2" xfId="5367" xr:uid="{2A32077E-52DF-430A-B6C2-5C20D4C3DAF9}"/>
    <cellStyle name="Normal 219 2 2 2" xfId="8747" xr:uid="{A621A7B4-FD38-4FE4-9C6C-ADB20D6016EB}"/>
    <cellStyle name="Normal 219 2 3" xfId="7047" xr:uid="{00344488-6713-43C9-90B1-0B3302C912BB}"/>
    <cellStyle name="Normal 219 2_DEO ADIT Unprotected" xfId="3224" xr:uid="{6BBA0E73-9096-4271-BF14-A2C0CE355FF4}"/>
    <cellStyle name="Normal 219 3" xfId="4530" xr:uid="{E118F684-3455-4806-968E-3B7E477A58BE}"/>
    <cellStyle name="Normal 219 3 2" xfId="7910" xr:uid="{870497DD-660E-415A-89A5-E9EE5DABADC3}"/>
    <cellStyle name="Normal 219 4" xfId="6210" xr:uid="{168452C1-F006-42C8-A1DD-EF560D18BAC6}"/>
    <cellStyle name="Normal 219_DEO ADIT Unprotected" xfId="3223" xr:uid="{A5A2B9E9-FD01-4E1F-A4F5-F47D35601E49}"/>
    <cellStyle name="Normal 22" xfId="552" xr:uid="{00000000-0005-0000-0000-00003F050000}"/>
    <cellStyle name="Normal 22 2" xfId="1168" xr:uid="{00000000-0005-0000-0000-000040050000}"/>
    <cellStyle name="Normal 22 3" xfId="1169" xr:uid="{00000000-0005-0000-0000-000041050000}"/>
    <cellStyle name="Normal 22 4" xfId="1170" xr:uid="{00000000-0005-0000-0000-000042050000}"/>
    <cellStyle name="Normal 22 5" xfId="1716" xr:uid="{00000000-0005-0000-0000-000043050000}"/>
    <cellStyle name="Normal 22 5 2" xfId="4966" xr:uid="{3F7CB3DE-BEF2-473A-90A1-611F0A79CA13}"/>
    <cellStyle name="Normal 22 5 2 2" xfId="8346" xr:uid="{DAD5B6F5-C9B4-497F-9337-ADFD3202B5A9}"/>
    <cellStyle name="Normal 22 5 3" xfId="6646" xr:uid="{42087E06-DE23-4E75-8AA8-50F2D4F49CA7}"/>
    <cellStyle name="Normal 22 5_DEO ADIT Unprotected" xfId="3226" xr:uid="{7BA88CA7-CA6F-4480-BF6B-D80B136697B8}"/>
    <cellStyle name="Normal 22 6" xfId="4129" xr:uid="{E3DD70AE-B99C-40D7-B8E8-E327ADB0826B}"/>
    <cellStyle name="Normal 22 6 2" xfId="7509" xr:uid="{5BCC0D04-3A7B-4251-BDAC-992D309DBF14}"/>
    <cellStyle name="Normal 22 7" xfId="5808" xr:uid="{6C11DCD4-F342-4C3D-B6CF-6304965EE26F}"/>
    <cellStyle name="Normal 22_DEO ADIT Unprotected" xfId="3225" xr:uid="{55BBB8CC-458C-4015-8E6D-B715411B15FE}"/>
    <cellStyle name="Normal 220" xfId="1171" xr:uid="{00000000-0005-0000-0000-000044050000}"/>
    <cellStyle name="Normal 220 2" xfId="2118" xr:uid="{00000000-0005-0000-0000-000045050000}"/>
    <cellStyle name="Normal 220 2 2" xfId="5368" xr:uid="{1BD796C4-4454-4A97-B4D3-AE759F1028E3}"/>
    <cellStyle name="Normal 220 2 2 2" xfId="8748" xr:uid="{46B001CC-8B06-4921-940F-A6C146936809}"/>
    <cellStyle name="Normal 220 2 3" xfId="7048" xr:uid="{B634F3E8-8D06-4444-A51E-325864D46B06}"/>
    <cellStyle name="Normal 220 2_DEO ADIT Unprotected" xfId="3228" xr:uid="{27193E3F-5A30-4D24-A5D1-739483F236F8}"/>
    <cellStyle name="Normal 220 3" xfId="4531" xr:uid="{36B44F58-43C0-4950-AD8B-713A1C17D647}"/>
    <cellStyle name="Normal 220 3 2" xfId="7911" xr:uid="{DE9A7BEC-7BCA-44CC-AEA8-ACBFE3F1E670}"/>
    <cellStyle name="Normal 220 4" xfId="6211" xr:uid="{C602F614-7B9F-4996-91E7-ABC273876E75}"/>
    <cellStyle name="Normal 220_DEO ADIT Unprotected" xfId="3227" xr:uid="{D8984EC1-590F-4572-90F2-4050D9EF24EC}"/>
    <cellStyle name="Normal 221" xfId="1172" xr:uid="{00000000-0005-0000-0000-000046050000}"/>
    <cellStyle name="Normal 221 2" xfId="2119" xr:uid="{00000000-0005-0000-0000-000047050000}"/>
    <cellStyle name="Normal 221 2 2" xfId="5369" xr:uid="{A98946FC-D4BB-4825-8CAC-755B1ACA3A44}"/>
    <cellStyle name="Normal 221 2 2 2" xfId="8749" xr:uid="{8E98B6C5-B7DC-4F88-8EA3-A22B8CAF5988}"/>
    <cellStyle name="Normal 221 2 3" xfId="7049" xr:uid="{85E1B44D-9763-4752-A2AB-83953B9B89CA}"/>
    <cellStyle name="Normal 221 2_DEO ADIT Unprotected" xfId="3230" xr:uid="{E5F7C065-0BC8-4212-80F2-38A7556386B7}"/>
    <cellStyle name="Normal 221 3" xfId="4532" xr:uid="{7E58A52F-75D1-40D4-897B-025AD255807B}"/>
    <cellStyle name="Normal 221 3 2" xfId="7912" xr:uid="{36385CB8-D9A7-47F9-9934-B87A67E28D8B}"/>
    <cellStyle name="Normal 221 4" xfId="6212" xr:uid="{D37479A6-04A9-40F9-921A-C3F05806A5F9}"/>
    <cellStyle name="Normal 221_DEO ADIT Unprotected" xfId="3229" xr:uid="{5705882D-8523-4FC5-A7CB-F9D9BC8F7F8D}"/>
    <cellStyle name="Normal 222" xfId="1173" xr:uid="{00000000-0005-0000-0000-000048050000}"/>
    <cellStyle name="Normal 222 2" xfId="2120" xr:uid="{00000000-0005-0000-0000-000049050000}"/>
    <cellStyle name="Normal 222 2 2" xfId="5370" xr:uid="{7E8D2803-F27E-4657-B4C0-B422A20ED4F7}"/>
    <cellStyle name="Normal 222 2 2 2" xfId="8750" xr:uid="{7B473356-EC48-4145-AD4F-4DE1F99E1F70}"/>
    <cellStyle name="Normal 222 2 3" xfId="7050" xr:uid="{CD490911-4CC5-4C63-AF95-ECD969D678C8}"/>
    <cellStyle name="Normal 222 2_DEO ADIT Unprotected" xfId="3232" xr:uid="{D49D92A0-C4DB-4917-89CD-B13AE60E58EA}"/>
    <cellStyle name="Normal 222 3" xfId="4533" xr:uid="{3EC2BE13-7113-4E39-9F50-D04D9D3AA881}"/>
    <cellStyle name="Normal 222 3 2" xfId="7913" xr:uid="{9973AFF5-7FBA-412A-B1EB-F2C2C01E8816}"/>
    <cellStyle name="Normal 222 4" xfId="6213" xr:uid="{2B56C0D5-DAE8-4100-85B6-0E0DE897BCAB}"/>
    <cellStyle name="Normal 222_DEO ADIT Unprotected" xfId="3231" xr:uid="{DB705EE3-DCF2-4549-AF8B-785AD459FD06}"/>
    <cellStyle name="Normal 223" xfId="1174" xr:uid="{00000000-0005-0000-0000-00004A050000}"/>
    <cellStyle name="Normal 223 2" xfId="2121" xr:uid="{00000000-0005-0000-0000-00004B050000}"/>
    <cellStyle name="Normal 223 2 2" xfId="5371" xr:uid="{90EED3E9-3BD9-40AE-95DF-90ADC440A5EB}"/>
    <cellStyle name="Normal 223 2 2 2" xfId="8751" xr:uid="{718638F0-795F-4D57-819F-77267FD1DE10}"/>
    <cellStyle name="Normal 223 2 3" xfId="7051" xr:uid="{487AAB47-57BB-4305-914B-4F32EF614BF4}"/>
    <cellStyle name="Normal 223 2_DEO ADIT Unprotected" xfId="3234" xr:uid="{FAAC42E9-4122-4D77-BBD4-3BCC3B5647B2}"/>
    <cellStyle name="Normal 223 3" xfId="4534" xr:uid="{CEFCA45A-FB76-43C7-88A4-53E0C199F5B2}"/>
    <cellStyle name="Normal 223 3 2" xfId="7914" xr:uid="{051A506C-ED54-4BC2-AF7A-FB90E498F2B9}"/>
    <cellStyle name="Normal 223 4" xfId="6214" xr:uid="{B35F7499-9763-4FE4-A907-EE03CD2FFAA0}"/>
    <cellStyle name="Normal 223_DEO ADIT Unprotected" xfId="3233" xr:uid="{856B34C2-1175-4C1E-90BA-80458A93E40C}"/>
    <cellStyle name="Normal 224" xfId="1175" xr:uid="{00000000-0005-0000-0000-00004C050000}"/>
    <cellStyle name="Normal 224 2" xfId="2122" xr:uid="{00000000-0005-0000-0000-00004D050000}"/>
    <cellStyle name="Normal 224 2 2" xfId="5372" xr:uid="{0DB4803C-6863-45B7-846F-EEB17761E68A}"/>
    <cellStyle name="Normal 224 2 2 2" xfId="8752" xr:uid="{3DE94519-6459-4ACA-96FD-65F44DB25B78}"/>
    <cellStyle name="Normal 224 2 3" xfId="7052" xr:uid="{598ECF0D-E2A1-41B0-96A6-537B4D51DF7F}"/>
    <cellStyle name="Normal 224 2_DEO ADIT Unprotected" xfId="3236" xr:uid="{9F268992-FE21-4EAD-AB5C-D5EBDD881242}"/>
    <cellStyle name="Normal 224 3" xfId="4535" xr:uid="{A7B09F7A-93F1-4B5D-95AE-9D993EEFD9CA}"/>
    <cellStyle name="Normal 224 3 2" xfId="7915" xr:uid="{C096F501-0D98-4CE6-961B-C9C5C45D26A5}"/>
    <cellStyle name="Normal 224 4" xfId="6215" xr:uid="{BC1184A0-7CB1-4A7A-B636-C96CB9EEA7C4}"/>
    <cellStyle name="Normal 224_DEO ADIT Unprotected" xfId="3235" xr:uid="{C92B7294-2411-4FF3-8738-3D3D22A6B29C}"/>
    <cellStyle name="Normal 225" xfId="1176" xr:uid="{00000000-0005-0000-0000-00004E050000}"/>
    <cellStyle name="Normal 225 2" xfId="2123" xr:uid="{00000000-0005-0000-0000-00004F050000}"/>
    <cellStyle name="Normal 225 2 2" xfId="5373" xr:uid="{283F7D13-CE76-4D50-892D-26337003B1B6}"/>
    <cellStyle name="Normal 225 2 2 2" xfId="8753" xr:uid="{E66F89A9-DB57-46DC-B256-C12162B239A2}"/>
    <cellStyle name="Normal 225 2 3" xfId="7053" xr:uid="{AB52270C-9943-4F1B-8345-116B9BA337C3}"/>
    <cellStyle name="Normal 225 2_DEO ADIT Unprotected" xfId="3238" xr:uid="{91CE8D8C-2AEE-44F4-90A8-88FB16DE0840}"/>
    <cellStyle name="Normal 225 3" xfId="4536" xr:uid="{84F4F467-B29F-482C-A5E2-3980A223262C}"/>
    <cellStyle name="Normal 225 3 2" xfId="7916" xr:uid="{AA515734-F8BA-49B9-A6E2-DDDC4B189B04}"/>
    <cellStyle name="Normal 225 4" xfId="6216" xr:uid="{6CEF581D-EC6B-4641-A255-229ABCBA5C86}"/>
    <cellStyle name="Normal 225_DEO ADIT Unprotected" xfId="3237" xr:uid="{DC2FBA14-3ACE-4843-87E1-FECF0F7750BC}"/>
    <cellStyle name="Normal 226" xfId="1177" xr:uid="{00000000-0005-0000-0000-000050050000}"/>
    <cellStyle name="Normal 226 2" xfId="2124" xr:uid="{00000000-0005-0000-0000-000051050000}"/>
    <cellStyle name="Normal 226 2 2" xfId="5374" xr:uid="{69F31C90-2957-4ED2-B206-3D2FB894AA6C}"/>
    <cellStyle name="Normal 226 2 2 2" xfId="8754" xr:uid="{EDC7F047-B04B-469E-8E38-4741D3EADA29}"/>
    <cellStyle name="Normal 226 2 3" xfId="7054" xr:uid="{81FC834A-9F4A-4817-8DF4-B9624123C10E}"/>
    <cellStyle name="Normal 226 2_DEO ADIT Unprotected" xfId="3240" xr:uid="{96094B73-0E02-4DF3-8044-BE2AECAF1FE5}"/>
    <cellStyle name="Normal 226 3" xfId="4537" xr:uid="{AB8B1261-5D46-4331-9321-7BE2AEBA0DBC}"/>
    <cellStyle name="Normal 226 3 2" xfId="7917" xr:uid="{9D4DC1F6-F5B5-439C-9ED4-171E68ADE39D}"/>
    <cellStyle name="Normal 226 4" xfId="6217" xr:uid="{E4805049-1D30-488D-9DF5-B938FB1452CD}"/>
    <cellStyle name="Normal 226_DEO ADIT Unprotected" xfId="3239" xr:uid="{3D1E63AA-1A63-4E1F-A541-3BB6355292E8}"/>
    <cellStyle name="Normal 227" xfId="1178" xr:uid="{00000000-0005-0000-0000-000052050000}"/>
    <cellStyle name="Normal 227 2" xfId="2125" xr:uid="{00000000-0005-0000-0000-000053050000}"/>
    <cellStyle name="Normal 227 2 2" xfId="5375" xr:uid="{5B5B2C9C-AB9A-4919-9DB8-C4A8D9D20533}"/>
    <cellStyle name="Normal 227 2 2 2" xfId="8755" xr:uid="{9DDD9FCE-D31C-4170-AC86-ED9D68BB8D2B}"/>
    <cellStyle name="Normal 227 2 3" xfId="7055" xr:uid="{AAE6988E-C119-46CF-925E-905F0F8569E5}"/>
    <cellStyle name="Normal 227 2_DEO ADIT Unprotected" xfId="3242" xr:uid="{AF078C61-F6B1-473E-B1BD-C7DA0B82C3F8}"/>
    <cellStyle name="Normal 227 3" xfId="4538" xr:uid="{76B1E4FC-50E7-4745-A6DC-ECBE6D06DA3A}"/>
    <cellStyle name="Normal 227 3 2" xfId="7918" xr:uid="{E4B0BFFB-7E76-4668-9D07-CF4DD0ACC509}"/>
    <cellStyle name="Normal 227 4" xfId="6218" xr:uid="{DB335CCE-DA86-47EC-B426-659AEA34BB0C}"/>
    <cellStyle name="Normal 227_DEO ADIT Unprotected" xfId="3241" xr:uid="{16FFDF94-8D9E-4B08-9778-7411BAB9DF84}"/>
    <cellStyle name="Normal 228" xfId="1179" xr:uid="{00000000-0005-0000-0000-000054050000}"/>
    <cellStyle name="Normal 228 2" xfId="2126" xr:uid="{00000000-0005-0000-0000-000055050000}"/>
    <cellStyle name="Normal 228 2 2" xfId="5376" xr:uid="{FC01C715-3A4B-4E1F-8AA0-85776572B629}"/>
    <cellStyle name="Normal 228 2 2 2" xfId="8756" xr:uid="{225F1646-D98F-47DF-ABAB-4634F977DEF5}"/>
    <cellStyle name="Normal 228 2 3" xfId="7056" xr:uid="{A7E852C7-784A-4687-A2B8-A3E84FFFBB1A}"/>
    <cellStyle name="Normal 228 2_DEO ADIT Unprotected" xfId="3244" xr:uid="{38BBD59D-4B86-4011-B4F3-1C09D134F31B}"/>
    <cellStyle name="Normal 228 3" xfId="4539" xr:uid="{B84DBF43-B779-446B-A3CC-7AFA290DB480}"/>
    <cellStyle name="Normal 228 3 2" xfId="7919" xr:uid="{5DCA5D98-DCE4-40CE-938F-F74230FD4897}"/>
    <cellStyle name="Normal 228 4" xfId="6219" xr:uid="{8F5335C8-ECB1-4BBB-9C58-F9A3693050F7}"/>
    <cellStyle name="Normal 228_DEO ADIT Unprotected" xfId="3243" xr:uid="{629540CE-E352-4B84-9042-3A369040DF76}"/>
    <cellStyle name="Normal 229" xfId="1180" xr:uid="{00000000-0005-0000-0000-000056050000}"/>
    <cellStyle name="Normal 229 2" xfId="2127" xr:uid="{00000000-0005-0000-0000-000057050000}"/>
    <cellStyle name="Normal 229 2 2" xfId="5377" xr:uid="{0B0B1BD2-CD97-4459-861F-095D6EF56759}"/>
    <cellStyle name="Normal 229 2 2 2" xfId="8757" xr:uid="{1C5555CD-D7C5-4A7C-84A1-6501D8C370C2}"/>
    <cellStyle name="Normal 229 2 3" xfId="7057" xr:uid="{B9799628-2A37-4F26-8468-F7984DC12B20}"/>
    <cellStyle name="Normal 229 2_DEO ADIT Unprotected" xfId="3246" xr:uid="{19E2CB20-0123-41F6-BC2A-71C1E1C8E580}"/>
    <cellStyle name="Normal 229 3" xfId="4540" xr:uid="{A774F02F-897F-4BDF-B8A8-458CC3F124E4}"/>
    <cellStyle name="Normal 229 3 2" xfId="7920" xr:uid="{07729A81-B85C-4BB9-B3F0-8F34588DA7F6}"/>
    <cellStyle name="Normal 229 4" xfId="6220" xr:uid="{0412E5A4-61DB-482B-AA8A-783EDF417DE1}"/>
    <cellStyle name="Normal 229_DEO ADIT Unprotected" xfId="3245" xr:uid="{F9F3CAEC-E8C7-49F7-B2F8-14BC74C6C026}"/>
    <cellStyle name="Normal 23" xfId="555" xr:uid="{00000000-0005-0000-0000-000058050000}"/>
    <cellStyle name="Normal 23 2" xfId="1181" xr:uid="{00000000-0005-0000-0000-000059050000}"/>
    <cellStyle name="Normal 23 3" xfId="1719" xr:uid="{00000000-0005-0000-0000-00005A050000}"/>
    <cellStyle name="Normal 23 3 2" xfId="4969" xr:uid="{F46A14F0-383D-47E4-B9BF-169ACA5D0BC2}"/>
    <cellStyle name="Normal 23 3 2 2" xfId="8349" xr:uid="{966E4CB0-2488-4B40-BB8F-C1A819D63E8C}"/>
    <cellStyle name="Normal 23 3 3" xfId="6649" xr:uid="{9A2FE043-6549-4AB1-931A-AC0095CBC9C0}"/>
    <cellStyle name="Normal 23 3_DEO ADIT Unprotected" xfId="3248" xr:uid="{F9247846-DC8C-44CA-A8B9-7A0BD2F302EE}"/>
    <cellStyle name="Normal 23 4" xfId="4132" xr:uid="{291C4C37-6FBB-4410-86DA-660533DD6807}"/>
    <cellStyle name="Normal 23 4 2" xfId="7512" xr:uid="{BBC8B7FA-6763-4CA6-917C-401D6B664141}"/>
    <cellStyle name="Normal 23 5" xfId="5811" xr:uid="{2DCE76C9-71B7-4EEA-A636-A1EF827467C1}"/>
    <cellStyle name="Normal 23_DEO ADIT Unprotected" xfId="3247" xr:uid="{DC307574-3D7C-40D0-9573-0F1402A5C28F}"/>
    <cellStyle name="Normal 230" xfId="1182" xr:uid="{00000000-0005-0000-0000-00005B050000}"/>
    <cellStyle name="Normal 230 2" xfId="2128" xr:uid="{00000000-0005-0000-0000-00005C050000}"/>
    <cellStyle name="Normal 230 2 2" xfId="5378" xr:uid="{BC85E429-7054-4E59-A786-831C1D8DDBB4}"/>
    <cellStyle name="Normal 230 2 2 2" xfId="8758" xr:uid="{0DFBE091-E8BB-4CFA-B242-EDB5C4940BF1}"/>
    <cellStyle name="Normal 230 2 3" xfId="7058" xr:uid="{BCA7C034-6CF4-472D-A139-CD565F3CF944}"/>
    <cellStyle name="Normal 230 2_DEO ADIT Unprotected" xfId="3250" xr:uid="{4083FA78-5D8E-4DA2-8006-F58A08E43D89}"/>
    <cellStyle name="Normal 230 3" xfId="4541" xr:uid="{1A8F28AC-31CF-46A0-9336-3B3EA6B8675D}"/>
    <cellStyle name="Normal 230 3 2" xfId="7921" xr:uid="{D2E04514-A5B9-48BE-9D42-26AB84B72F82}"/>
    <cellStyle name="Normal 230 4" xfId="6221" xr:uid="{41A32BA4-905C-4590-9B5A-696E9BA9B8F1}"/>
    <cellStyle name="Normal 230_DEO ADIT Unprotected" xfId="3249" xr:uid="{7C9F08A0-4FD0-4804-A585-C080B5D8A002}"/>
    <cellStyle name="Normal 231" xfId="1183" xr:uid="{00000000-0005-0000-0000-00005D050000}"/>
    <cellStyle name="Normal 231 2" xfId="2129" xr:uid="{00000000-0005-0000-0000-00005E050000}"/>
    <cellStyle name="Normal 231 2 2" xfId="5379" xr:uid="{B771542E-AA95-4C74-93D2-0BC927A470F7}"/>
    <cellStyle name="Normal 231 2 2 2" xfId="8759" xr:uid="{961BD111-FEAE-4FC2-A530-4902494C3457}"/>
    <cellStyle name="Normal 231 2 3" xfId="7059" xr:uid="{79D5FFD1-9749-4EF9-8627-65686E78A150}"/>
    <cellStyle name="Normal 231 2_DEO ADIT Unprotected" xfId="3252" xr:uid="{EB0D16C5-1727-47F9-B067-A60B50BD398E}"/>
    <cellStyle name="Normal 231 3" xfId="4542" xr:uid="{BA53CC91-2FC9-45DC-A123-E30255B7DEC1}"/>
    <cellStyle name="Normal 231 3 2" xfId="7922" xr:uid="{7E5414E8-5215-405C-97FB-DD4018AFA626}"/>
    <cellStyle name="Normal 231 4" xfId="6222" xr:uid="{A443F393-3D99-4D18-87E8-8CE532DC58DE}"/>
    <cellStyle name="Normal 231_DEO ADIT Unprotected" xfId="3251" xr:uid="{A5C6DA10-1A2E-4AC4-98C7-76C6314F611C}"/>
    <cellStyle name="Normal 232" xfId="1184" xr:uid="{00000000-0005-0000-0000-00005F050000}"/>
    <cellStyle name="Normal 232 2" xfId="2130" xr:uid="{00000000-0005-0000-0000-000060050000}"/>
    <cellStyle name="Normal 232 2 2" xfId="5380" xr:uid="{007A2B4A-391A-4A68-9E38-96799C3CE789}"/>
    <cellStyle name="Normal 232 2 2 2" xfId="8760" xr:uid="{536C804B-2E7D-447E-B918-FCB30AB9AD60}"/>
    <cellStyle name="Normal 232 2 3" xfId="7060" xr:uid="{FDE56108-F55F-460D-9794-7C573B8E62D6}"/>
    <cellStyle name="Normal 232 2_DEO ADIT Unprotected" xfId="3254" xr:uid="{ACA23CB5-6A9C-4A34-AB9A-EAC3DABCC1F1}"/>
    <cellStyle name="Normal 232 3" xfId="4543" xr:uid="{35C613D0-9408-433A-A510-422B7A4ED8C7}"/>
    <cellStyle name="Normal 232 3 2" xfId="7923" xr:uid="{30A345FB-AD02-46ED-82A3-83F531C33FB2}"/>
    <cellStyle name="Normal 232 4" xfId="6223" xr:uid="{35433D8F-270E-48EA-A1DB-9A44F23FEAD3}"/>
    <cellStyle name="Normal 232_DEO ADIT Unprotected" xfId="3253" xr:uid="{B1D95CF5-E080-4960-ACB8-D94A4C385076}"/>
    <cellStyle name="Normal 233" xfId="1185" xr:uid="{00000000-0005-0000-0000-000061050000}"/>
    <cellStyle name="Normal 233 2" xfId="2131" xr:uid="{00000000-0005-0000-0000-000062050000}"/>
    <cellStyle name="Normal 233 2 2" xfId="5381" xr:uid="{9300085F-7C40-4028-992A-3D243C577D81}"/>
    <cellStyle name="Normal 233 2 2 2" xfId="8761" xr:uid="{C371E7A9-1113-4B8F-B288-75CA6232B92D}"/>
    <cellStyle name="Normal 233 2 3" xfId="7061" xr:uid="{CC3E6417-A7FC-4F80-99E4-3463EE85009A}"/>
    <cellStyle name="Normal 233 2_DEO ADIT Unprotected" xfId="3256" xr:uid="{A7C5067B-DE78-4C2E-840E-0A9166B89726}"/>
    <cellStyle name="Normal 233 3" xfId="4544" xr:uid="{7612E041-5BE0-4AB1-873E-017AEA546938}"/>
    <cellStyle name="Normal 233 3 2" xfId="7924" xr:uid="{CB4A7418-5ACC-49AF-A8E5-24A4D87043F3}"/>
    <cellStyle name="Normal 233 4" xfId="6224" xr:uid="{BD7DE8E3-2DED-4F7A-B4D0-40869ABBD9DF}"/>
    <cellStyle name="Normal 233_DEO ADIT Unprotected" xfId="3255" xr:uid="{C3BA003D-26AD-467B-A27D-3808024BC69E}"/>
    <cellStyle name="Normal 234" xfId="1186" xr:uid="{00000000-0005-0000-0000-000063050000}"/>
    <cellStyle name="Normal 234 2" xfId="2132" xr:uid="{00000000-0005-0000-0000-000064050000}"/>
    <cellStyle name="Normal 234 2 2" xfId="5382" xr:uid="{4D3432E6-15B8-491D-83A5-45C150A693D2}"/>
    <cellStyle name="Normal 234 2 2 2" xfId="8762" xr:uid="{2D7DD5B9-8239-4654-8881-8190C5331474}"/>
    <cellStyle name="Normal 234 2 3" xfId="7062" xr:uid="{6EC6415A-23E3-46D8-A7EC-FFE561F5761B}"/>
    <cellStyle name="Normal 234 2_DEO ADIT Unprotected" xfId="3258" xr:uid="{3FD60FC6-32A8-47C8-AE8B-D0429A286362}"/>
    <cellStyle name="Normal 234 3" xfId="4545" xr:uid="{D7F159C3-FC0E-4C5A-B1E7-883F75F75EEE}"/>
    <cellStyle name="Normal 234 3 2" xfId="7925" xr:uid="{099DA8F4-E906-4490-969E-53719985B4C3}"/>
    <cellStyle name="Normal 234 4" xfId="6225" xr:uid="{3A233CBE-71AA-49F2-AF47-06D1D1A8160F}"/>
    <cellStyle name="Normal 234_DEO ADIT Unprotected" xfId="3257" xr:uid="{9AE07F5C-6B79-4053-B27A-B2BA71CBDB97}"/>
    <cellStyle name="Normal 235" xfId="1187" xr:uid="{00000000-0005-0000-0000-000065050000}"/>
    <cellStyle name="Normal 235 2" xfId="2133" xr:uid="{00000000-0005-0000-0000-000066050000}"/>
    <cellStyle name="Normal 235 2 2" xfId="5383" xr:uid="{07271219-8D93-4D8D-B342-96902C2FF69A}"/>
    <cellStyle name="Normal 235 2 2 2" xfId="8763" xr:uid="{2E150C43-D742-4A2B-B839-544E8FAC05A7}"/>
    <cellStyle name="Normal 235 2 3" xfId="7063" xr:uid="{9EE8B85C-BC1C-4786-9941-83373B8A20E1}"/>
    <cellStyle name="Normal 235 2_DEO ADIT Unprotected" xfId="3260" xr:uid="{3D90E80B-4070-4993-9BB9-C4E30ADCDDE8}"/>
    <cellStyle name="Normal 235 3" xfId="4546" xr:uid="{D003B798-BADC-405D-A2CB-EACBFBE0BC7C}"/>
    <cellStyle name="Normal 235 3 2" xfId="7926" xr:uid="{9DFF25F7-F535-4F45-B41D-350CD95DFFD9}"/>
    <cellStyle name="Normal 235 4" xfId="6226" xr:uid="{800C1F6F-23A6-45B1-802A-A96BF5B06DAA}"/>
    <cellStyle name="Normal 235_DEO ADIT Unprotected" xfId="3259" xr:uid="{E0DA1348-AFC0-4173-AC42-5EC40991B11A}"/>
    <cellStyle name="Normal 236" xfId="1188" xr:uid="{00000000-0005-0000-0000-000067050000}"/>
    <cellStyle name="Normal 236 2" xfId="2134" xr:uid="{00000000-0005-0000-0000-000068050000}"/>
    <cellStyle name="Normal 236 2 2" xfId="5384" xr:uid="{6397CA81-DAE1-447C-B1E0-D1AF72B72FD8}"/>
    <cellStyle name="Normal 236 2 2 2" xfId="8764" xr:uid="{DC976189-5DA7-47FB-B384-E788FE76AD05}"/>
    <cellStyle name="Normal 236 2 3" xfId="7064" xr:uid="{28E34362-929C-49B9-9C0F-E0CBDF2F828E}"/>
    <cellStyle name="Normal 236 2_DEO ADIT Unprotected" xfId="3262" xr:uid="{AD5F9570-BF53-4359-98D5-E54966C0D203}"/>
    <cellStyle name="Normal 236 3" xfId="4547" xr:uid="{BB14D15C-78BD-4E8C-A565-212D62E52B4D}"/>
    <cellStyle name="Normal 236 3 2" xfId="7927" xr:uid="{241D51F9-42CB-4A70-BF1E-60059EE425BB}"/>
    <cellStyle name="Normal 236 4" xfId="6227" xr:uid="{05A45E57-8E02-446C-975E-B9987F245720}"/>
    <cellStyle name="Normal 236_DEO ADIT Unprotected" xfId="3261" xr:uid="{29FBC79B-BD54-40EB-B77B-ABD5E57CF82F}"/>
    <cellStyle name="Normal 237" xfId="1189" xr:uid="{00000000-0005-0000-0000-000069050000}"/>
    <cellStyle name="Normal 237 2" xfId="2135" xr:uid="{00000000-0005-0000-0000-00006A050000}"/>
    <cellStyle name="Normal 237 2 2" xfId="5385" xr:uid="{6150E96B-1DA6-477E-8713-D640B8F06B5C}"/>
    <cellStyle name="Normal 237 2 2 2" xfId="8765" xr:uid="{CABBAF31-3B7F-4901-8DAA-F5072247FA9F}"/>
    <cellStyle name="Normal 237 2 3" xfId="7065" xr:uid="{2A56C857-573A-4FD0-BE93-9069368F81DC}"/>
    <cellStyle name="Normal 237 2_DEO ADIT Unprotected" xfId="3264" xr:uid="{A039B397-DBEF-4808-A867-F998DCC2093F}"/>
    <cellStyle name="Normal 237 3" xfId="4548" xr:uid="{DDC3727C-4578-4748-863E-808E9020CA92}"/>
    <cellStyle name="Normal 237 3 2" xfId="7928" xr:uid="{1013BD68-6E2B-4AD0-90E7-ABEAAA5C7D00}"/>
    <cellStyle name="Normal 237 4" xfId="6228" xr:uid="{D9B46901-65BF-427F-996D-B2E619EFD794}"/>
    <cellStyle name="Normal 237_DEO ADIT Unprotected" xfId="3263" xr:uid="{CBA92CED-1C62-4EA4-B8F3-91567E97E526}"/>
    <cellStyle name="Normal 238" xfId="1190" xr:uid="{00000000-0005-0000-0000-00006B050000}"/>
    <cellStyle name="Normal 238 2" xfId="2136" xr:uid="{00000000-0005-0000-0000-00006C050000}"/>
    <cellStyle name="Normal 238 2 2" xfId="5386" xr:uid="{CC006A01-5E05-4854-8E51-14F3800C8414}"/>
    <cellStyle name="Normal 238 2 2 2" xfId="8766" xr:uid="{1E17AD2B-7212-425F-A856-1BE7CBDEAAF3}"/>
    <cellStyle name="Normal 238 2 3" xfId="7066" xr:uid="{94A79714-4D38-41BC-82AC-0CF582E5F8A7}"/>
    <cellStyle name="Normal 238 2_DEO ADIT Unprotected" xfId="3266" xr:uid="{0A8EF444-277B-47E9-8F6C-B8838D99496C}"/>
    <cellStyle name="Normal 238 3" xfId="4549" xr:uid="{1C32F662-24E1-4BE5-ADDF-A73BA66B0F49}"/>
    <cellStyle name="Normal 238 3 2" xfId="7929" xr:uid="{D39229B9-8FA4-40F9-BB81-95E3FD34BC17}"/>
    <cellStyle name="Normal 238 4" xfId="6229" xr:uid="{DE9E180A-3856-49A0-B731-CB96BC917972}"/>
    <cellStyle name="Normal 238_DEO ADIT Unprotected" xfId="3265" xr:uid="{D28D54B0-EDCC-460F-82DF-FED071F61EE6}"/>
    <cellStyle name="Normal 239" xfId="1191" xr:uid="{00000000-0005-0000-0000-00006D050000}"/>
    <cellStyle name="Normal 239 2" xfId="2137" xr:uid="{00000000-0005-0000-0000-00006E050000}"/>
    <cellStyle name="Normal 239 2 2" xfId="5387" xr:uid="{F514BD39-FD55-4B9B-8644-B6C74CB2E4DC}"/>
    <cellStyle name="Normal 239 2 2 2" xfId="8767" xr:uid="{9F5A111C-1B7D-4068-BAEB-6143183E745A}"/>
    <cellStyle name="Normal 239 2 3" xfId="7067" xr:uid="{B44AE886-780D-4A34-9E8E-FBB3FD23A737}"/>
    <cellStyle name="Normal 239 2_DEO ADIT Unprotected" xfId="3268" xr:uid="{98013CC0-84E1-4D6D-AE9B-5F4B94BE413D}"/>
    <cellStyle name="Normal 239 3" xfId="4550" xr:uid="{446CAB6B-6ED6-48BB-9340-E513D1074A78}"/>
    <cellStyle name="Normal 239 3 2" xfId="7930" xr:uid="{B77F2CD0-82ED-42B2-9AF5-2DC1D43A9996}"/>
    <cellStyle name="Normal 239 4" xfId="6230" xr:uid="{F702545A-87FF-46D0-BED4-6FA4BF8F9C26}"/>
    <cellStyle name="Normal 239_DEO ADIT Unprotected" xfId="3267" xr:uid="{11DCF3A2-BC33-4D36-9B5D-FCF696ACC5C2}"/>
    <cellStyle name="Normal 24" xfId="557" xr:uid="{00000000-0005-0000-0000-00006F050000}"/>
    <cellStyle name="Normal 24 2" xfId="1192" xr:uid="{00000000-0005-0000-0000-000070050000}"/>
    <cellStyle name="Normal 24 3" xfId="1721" xr:uid="{00000000-0005-0000-0000-000071050000}"/>
    <cellStyle name="Normal 24 3 2" xfId="4971" xr:uid="{8B4B8741-8BC8-4160-BF65-6EC521572C01}"/>
    <cellStyle name="Normal 24 3 2 2" xfId="8351" xr:uid="{E3842393-9919-411B-B804-F90C287B2D3D}"/>
    <cellStyle name="Normal 24 3 3" xfId="6651" xr:uid="{F16D3EFD-97D5-46BF-B6AA-0D449B6AC93A}"/>
    <cellStyle name="Normal 24 3_DEO ADIT Unprotected" xfId="3270" xr:uid="{8808D5C8-C503-4F8F-AD46-CEABFE0B8434}"/>
    <cellStyle name="Normal 24 4" xfId="4134" xr:uid="{28B0817D-DA63-482A-BC19-5EB14B1D3130}"/>
    <cellStyle name="Normal 24 4 2" xfId="7514" xr:uid="{4CBC5E84-F6CC-40B0-8E68-F9DBEDE9EB58}"/>
    <cellStyle name="Normal 24 5" xfId="5813" xr:uid="{6D53B141-4B64-4C20-AF8A-6422E2345293}"/>
    <cellStyle name="Normal 24_DEO ADIT Unprotected" xfId="3269" xr:uid="{4A760728-F656-4F50-A37C-46EBA6E48B35}"/>
    <cellStyle name="Normal 240" xfId="1193" xr:uid="{00000000-0005-0000-0000-000072050000}"/>
    <cellStyle name="Normal 240 2" xfId="2138" xr:uid="{00000000-0005-0000-0000-000073050000}"/>
    <cellStyle name="Normal 240 2 2" xfId="5388" xr:uid="{DCA4445A-DE29-4AA2-B943-5F696F885545}"/>
    <cellStyle name="Normal 240 2 2 2" xfId="8768" xr:uid="{74FFA255-DF90-4370-8919-084A9F5C1D48}"/>
    <cellStyle name="Normal 240 2 3" xfId="7068" xr:uid="{EB379EE5-EF69-4FA2-9D29-49CA98EF4881}"/>
    <cellStyle name="Normal 240 2_DEO ADIT Unprotected" xfId="3272" xr:uid="{DB8BA375-6179-4AA8-8137-AE8206A02CDC}"/>
    <cellStyle name="Normal 240 3" xfId="4551" xr:uid="{73DBFFDE-C83C-4290-8DD5-413E7040AB84}"/>
    <cellStyle name="Normal 240 3 2" xfId="7931" xr:uid="{9F5376CC-E304-4A60-A7DF-00F4E669B861}"/>
    <cellStyle name="Normal 240 4" xfId="6231" xr:uid="{B9C7C5A9-5D9B-435C-84FF-BA3B0467E510}"/>
    <cellStyle name="Normal 240_DEO ADIT Unprotected" xfId="3271" xr:uid="{EAD644BD-AA5B-4BF4-B345-FB9B3562E6FD}"/>
    <cellStyle name="Normal 241" xfId="1194" xr:uid="{00000000-0005-0000-0000-000074050000}"/>
    <cellStyle name="Normal 241 2" xfId="2139" xr:uid="{00000000-0005-0000-0000-000075050000}"/>
    <cellStyle name="Normal 241 2 2" xfId="5389" xr:uid="{C926A9D3-33D2-4C2A-8D45-1957E46F167D}"/>
    <cellStyle name="Normal 241 2 2 2" xfId="8769" xr:uid="{B2A6A182-679F-4A97-A545-0B9BCB8D9B1B}"/>
    <cellStyle name="Normal 241 2 3" xfId="7069" xr:uid="{1C642D4F-A304-49F9-9321-DC8D5C9A4B64}"/>
    <cellStyle name="Normal 241 2_DEO ADIT Unprotected" xfId="3274" xr:uid="{BF77C79C-3786-4FD9-8E26-30BC9556CC47}"/>
    <cellStyle name="Normal 241 3" xfId="4552" xr:uid="{F0104621-3394-4EBE-B29F-7234BC1D2588}"/>
    <cellStyle name="Normal 241 3 2" xfId="7932" xr:uid="{0F2F25CE-7EE5-48C5-9591-CFDD07ACB721}"/>
    <cellStyle name="Normal 241 4" xfId="6232" xr:uid="{081F6B3B-26A6-4060-A5D3-B704F6BCA67E}"/>
    <cellStyle name="Normal 241_DEO ADIT Unprotected" xfId="3273" xr:uid="{65960C8F-6764-447F-AAAC-8F786CE500AF}"/>
    <cellStyle name="Normal 242" xfId="1195" xr:uid="{00000000-0005-0000-0000-000076050000}"/>
    <cellStyle name="Normal 242 2" xfId="2140" xr:uid="{00000000-0005-0000-0000-000077050000}"/>
    <cellStyle name="Normal 242 2 2" xfId="5390" xr:uid="{1B1B1706-23D0-4AC6-B972-C2A611FE6CA5}"/>
    <cellStyle name="Normal 242 2 2 2" xfId="8770" xr:uid="{67154FA3-5DAF-4738-81D7-5731A9501E9C}"/>
    <cellStyle name="Normal 242 2 3" xfId="7070" xr:uid="{CDBB25FB-9E94-468D-81E2-D5D52CE5CDD5}"/>
    <cellStyle name="Normal 242 2_DEO ADIT Unprotected" xfId="3276" xr:uid="{A269CDC6-311D-4B3C-BB9A-D014CF30CDB6}"/>
    <cellStyle name="Normal 242 3" xfId="4553" xr:uid="{912704F1-27F6-4F08-8070-8EC58EB52CBC}"/>
    <cellStyle name="Normal 242 3 2" xfId="7933" xr:uid="{DBB34BB3-C863-4C74-9804-962A48173543}"/>
    <cellStyle name="Normal 242 4" xfId="6233" xr:uid="{CA3876BD-9DED-444F-85B9-9FDA7EF022F8}"/>
    <cellStyle name="Normal 242_DEO ADIT Unprotected" xfId="3275" xr:uid="{A328E992-4B82-4559-B1C4-C93E282B6934}"/>
    <cellStyle name="Normal 243" xfId="1196" xr:uid="{00000000-0005-0000-0000-000078050000}"/>
    <cellStyle name="Normal 243 2" xfId="2141" xr:uid="{00000000-0005-0000-0000-000079050000}"/>
    <cellStyle name="Normal 243 2 2" xfId="5391" xr:uid="{846FC384-9628-457A-81FC-CBBAAE3867E2}"/>
    <cellStyle name="Normal 243 2 2 2" xfId="8771" xr:uid="{35A0A9DB-FE8B-4BC5-864E-FDD43C52148E}"/>
    <cellStyle name="Normal 243 2 3" xfId="7071" xr:uid="{8B9A8F1E-8F4F-415D-B1E5-607EF74A70A2}"/>
    <cellStyle name="Normal 243 2_DEO ADIT Unprotected" xfId="3278" xr:uid="{45A91121-43CF-45BD-BB0B-3E22ABA9B8C8}"/>
    <cellStyle name="Normal 243 3" xfId="4554" xr:uid="{4ABE041C-A8B6-451D-A86C-6528A4CE217F}"/>
    <cellStyle name="Normal 243 3 2" xfId="7934" xr:uid="{7DF77727-136E-47BE-B7B7-D876BF7AF3D1}"/>
    <cellStyle name="Normal 243 4" xfId="6234" xr:uid="{D162629F-A73D-4983-A889-3A059CFD3876}"/>
    <cellStyle name="Normal 243_DEO ADIT Unprotected" xfId="3277" xr:uid="{94D25B87-BFD6-4855-96B2-CEA34878B7E1}"/>
    <cellStyle name="Normal 244" xfId="1197" xr:uid="{00000000-0005-0000-0000-00007A050000}"/>
    <cellStyle name="Normal 244 2" xfId="2142" xr:uid="{00000000-0005-0000-0000-00007B050000}"/>
    <cellStyle name="Normal 244 2 2" xfId="5392" xr:uid="{17FD10E8-DC48-45ED-941A-F88F28470100}"/>
    <cellStyle name="Normal 244 2 2 2" xfId="8772" xr:uid="{56F5706C-9763-4654-8035-8F37E16368A0}"/>
    <cellStyle name="Normal 244 2 3" xfId="7072" xr:uid="{712FDA36-DD5E-4B6F-BCF5-5DCA79211918}"/>
    <cellStyle name="Normal 244 2_DEO ADIT Unprotected" xfId="3280" xr:uid="{DF649308-9784-49F4-BA4F-218193EB88FC}"/>
    <cellStyle name="Normal 244 3" xfId="4555" xr:uid="{A4B7FCCB-05B6-4846-A1D5-497030002E1D}"/>
    <cellStyle name="Normal 244 3 2" xfId="7935" xr:uid="{E7606BE0-2CA8-48A1-AD3C-6ECAC596E77C}"/>
    <cellStyle name="Normal 244 4" xfId="6235" xr:uid="{3B647F32-5C68-4CB0-B3D1-22E67EB67CC1}"/>
    <cellStyle name="Normal 244_DEO ADIT Unprotected" xfId="3279" xr:uid="{068D4560-6E14-4DB6-8F29-F550345DE90B}"/>
    <cellStyle name="Normal 245" xfId="1198" xr:uid="{00000000-0005-0000-0000-00007C050000}"/>
    <cellStyle name="Normal 245 2" xfId="2143" xr:uid="{00000000-0005-0000-0000-00007D050000}"/>
    <cellStyle name="Normal 245 2 2" xfId="5393" xr:uid="{9E402DA2-9D54-4D66-9E67-6BAC37156729}"/>
    <cellStyle name="Normal 245 2 2 2" xfId="8773" xr:uid="{11AC25BB-CA18-402D-85B1-0F001F855601}"/>
    <cellStyle name="Normal 245 2 3" xfId="7073" xr:uid="{AD21E1CF-47DF-42D4-ADD6-B29939EA8BC3}"/>
    <cellStyle name="Normal 245 2_DEO ADIT Unprotected" xfId="3282" xr:uid="{02B622E0-DA94-4EC9-A37F-424B83150D5E}"/>
    <cellStyle name="Normal 245 3" xfId="4556" xr:uid="{08382D20-B19B-4C3C-9C3D-4B89A3DF75BC}"/>
    <cellStyle name="Normal 245 3 2" xfId="7936" xr:uid="{69ED21B7-066D-4C0E-8D62-F7899872DA42}"/>
    <cellStyle name="Normal 245 4" xfId="6236" xr:uid="{071B5896-C8E7-4765-9591-F942DB977FD1}"/>
    <cellStyle name="Normal 245_DEO ADIT Unprotected" xfId="3281" xr:uid="{B95DC553-B5BB-431E-8F2F-F9E2467F9BBF}"/>
    <cellStyle name="Normal 246" xfId="1199" xr:uid="{00000000-0005-0000-0000-00007E050000}"/>
    <cellStyle name="Normal 246 2" xfId="2144" xr:uid="{00000000-0005-0000-0000-00007F050000}"/>
    <cellStyle name="Normal 246 2 2" xfId="5394" xr:uid="{437F8EAA-4FBB-4EC8-BFC0-1CD62A7F85DC}"/>
    <cellStyle name="Normal 246 2 2 2" xfId="8774" xr:uid="{7BEFCDA2-6948-4495-B56F-DB4270AEC7CE}"/>
    <cellStyle name="Normal 246 2 3" xfId="7074" xr:uid="{F9532543-E9EF-4A89-AB32-2B2F899D7176}"/>
    <cellStyle name="Normal 246 2_DEO ADIT Unprotected" xfId="3284" xr:uid="{D67C69AE-0C8C-4FD7-91B1-5A9151360866}"/>
    <cellStyle name="Normal 246 3" xfId="4557" xr:uid="{1FE8FA94-D313-4425-A0A9-DA3F66E90AD3}"/>
    <cellStyle name="Normal 246 3 2" xfId="7937" xr:uid="{43EBED36-FF46-47B8-845B-F4DD6F3FAE4E}"/>
    <cellStyle name="Normal 246 4" xfId="6237" xr:uid="{C33AB200-87C3-4E7F-9423-0DE4F3D83D71}"/>
    <cellStyle name="Normal 246_DEO ADIT Unprotected" xfId="3283" xr:uid="{26393501-784F-44A1-9243-42C8C47A8881}"/>
    <cellStyle name="Normal 247" xfId="1200" xr:uid="{00000000-0005-0000-0000-000080050000}"/>
    <cellStyle name="Normal 247 2" xfId="2145" xr:uid="{00000000-0005-0000-0000-000081050000}"/>
    <cellStyle name="Normal 247 2 2" xfId="5395" xr:uid="{2E4FA873-6BAD-49FE-9EBD-4F80345836E9}"/>
    <cellStyle name="Normal 247 2 2 2" xfId="8775" xr:uid="{F28D57AC-7A83-4E29-BB52-94856BDE3C76}"/>
    <cellStyle name="Normal 247 2 3" xfId="7075" xr:uid="{334CDE71-EAD6-4D65-B52D-F7C36F59E9F5}"/>
    <cellStyle name="Normal 247 2_DEO ADIT Unprotected" xfId="3286" xr:uid="{CA4DAE31-629A-4EB0-AF4C-F6BB7ABC8DCB}"/>
    <cellStyle name="Normal 247 3" xfId="4558" xr:uid="{EA15F01A-FD4E-42A3-B80F-02FF41940248}"/>
    <cellStyle name="Normal 247 3 2" xfId="7938" xr:uid="{08926E43-67C4-4074-A12D-A1853168E26C}"/>
    <cellStyle name="Normal 247 4" xfId="6238" xr:uid="{EE365580-7D64-411E-A770-BC8520E203A4}"/>
    <cellStyle name="Normal 247_DEO ADIT Unprotected" xfId="3285" xr:uid="{9C3FC752-B0D0-4B57-A3E8-EBF0FCD87720}"/>
    <cellStyle name="Normal 248" xfId="1201" xr:uid="{00000000-0005-0000-0000-000082050000}"/>
    <cellStyle name="Normal 248 2" xfId="2146" xr:uid="{00000000-0005-0000-0000-000083050000}"/>
    <cellStyle name="Normal 248 2 2" xfId="5396" xr:uid="{B35E70D3-C390-4C42-BCFA-071A8EB3D47E}"/>
    <cellStyle name="Normal 248 2 2 2" xfId="8776" xr:uid="{0D864E33-5F91-428B-B281-9D78ECB85673}"/>
    <cellStyle name="Normal 248 2 3" xfId="7076" xr:uid="{91ABE01C-CE5D-45F8-8A21-2529309B1CCD}"/>
    <cellStyle name="Normal 248 2_DEO ADIT Unprotected" xfId="3288" xr:uid="{F3749E43-5573-4E96-BC6A-5386F4E8A831}"/>
    <cellStyle name="Normal 248 3" xfId="4559" xr:uid="{08F9EBEF-C31F-4690-9E30-C67F8DE36B48}"/>
    <cellStyle name="Normal 248 3 2" xfId="7939" xr:uid="{417B754E-A192-4160-8585-DBBBA8768B06}"/>
    <cellStyle name="Normal 248 4" xfId="6239" xr:uid="{D8857841-6EE4-4B51-BBF4-1AF4AAE71854}"/>
    <cellStyle name="Normal 248_DEO ADIT Unprotected" xfId="3287" xr:uid="{D885A55C-E20A-4AD6-A243-2C73AC74AEA6}"/>
    <cellStyle name="Normal 249" xfId="1202" xr:uid="{00000000-0005-0000-0000-000084050000}"/>
    <cellStyle name="Normal 249 2" xfId="2147" xr:uid="{00000000-0005-0000-0000-000085050000}"/>
    <cellStyle name="Normal 249 2 2" xfId="5397" xr:uid="{5DF818D0-A14D-4674-AED2-FCFF5463B791}"/>
    <cellStyle name="Normal 249 2 2 2" xfId="8777" xr:uid="{8AB9C14E-FDFB-45C0-AC23-ADD1D972F0BF}"/>
    <cellStyle name="Normal 249 2 3" xfId="7077" xr:uid="{9DBE6A01-BA94-409B-82CF-0C00C93E915C}"/>
    <cellStyle name="Normal 249 2_DEO ADIT Unprotected" xfId="3290" xr:uid="{F9B3A7DB-0DFD-4D6B-B6C5-2BE99B76634F}"/>
    <cellStyle name="Normal 249 3" xfId="4560" xr:uid="{DC761330-2DB5-4CC6-9DE6-CE2AF0CC87B3}"/>
    <cellStyle name="Normal 249 3 2" xfId="7940" xr:uid="{5B2E39D7-3C91-4E08-A832-B58210E67617}"/>
    <cellStyle name="Normal 249 4" xfId="6240" xr:uid="{0D72E5AD-85E3-4F8F-8795-2B8BC0B2B853}"/>
    <cellStyle name="Normal 249_DEO ADIT Unprotected" xfId="3289" xr:uid="{21BC6452-7E75-4FA9-8022-56BB32B94870}"/>
    <cellStyle name="Normal 25" xfId="554" xr:uid="{00000000-0005-0000-0000-000086050000}"/>
    <cellStyle name="Normal 25 2" xfId="1203" xr:uid="{00000000-0005-0000-0000-000087050000}"/>
    <cellStyle name="Normal 25 3" xfId="1718" xr:uid="{00000000-0005-0000-0000-000088050000}"/>
    <cellStyle name="Normal 25 3 2" xfId="4968" xr:uid="{2C0ED90C-09D4-4998-BAE8-61A30E8010ED}"/>
    <cellStyle name="Normal 25 3 2 2" xfId="8348" xr:uid="{F41ED112-B5DD-452C-A70B-5C776320A278}"/>
    <cellStyle name="Normal 25 3 3" xfId="6648" xr:uid="{E25814FE-8B5F-48AB-8498-A1684EE59C18}"/>
    <cellStyle name="Normal 25 3_DEO ADIT Unprotected" xfId="3292" xr:uid="{F4F7A37D-1A0F-4003-BFEB-D58F4FA4B9AE}"/>
    <cellStyle name="Normal 25 4" xfId="4131" xr:uid="{9C3680A4-5338-4B42-89D7-5C873ABF6C3B}"/>
    <cellStyle name="Normal 25 4 2" xfId="7511" xr:uid="{6D47F8F0-F468-496A-9B7A-EB6C5AEB8781}"/>
    <cellStyle name="Normal 25 5" xfId="5810" xr:uid="{718D02BD-AEA0-4C4E-9CBD-EE91E35FF6C1}"/>
    <cellStyle name="Normal 25_DEO ADIT Unprotected" xfId="3291" xr:uid="{F18857F0-BFC8-4A38-84B2-8942C4FB47A7}"/>
    <cellStyle name="Normal 250" xfId="1204" xr:uid="{00000000-0005-0000-0000-000089050000}"/>
    <cellStyle name="Normal 250 2" xfId="2148" xr:uid="{00000000-0005-0000-0000-00008A050000}"/>
    <cellStyle name="Normal 250 2 2" xfId="5398" xr:uid="{98FB220C-70D9-4E8F-BF5C-C0C840CB0A59}"/>
    <cellStyle name="Normal 250 2 2 2" xfId="8778" xr:uid="{9446852D-83F9-4368-B859-C7D488C8D083}"/>
    <cellStyle name="Normal 250 2 3" xfId="7078" xr:uid="{2B0A9182-EEFA-4A6C-8683-2F05E71B2D50}"/>
    <cellStyle name="Normal 250 2_DEO ADIT Unprotected" xfId="3294" xr:uid="{9B9B9350-8D8A-49FB-A7D9-2BBAD3CCD09C}"/>
    <cellStyle name="Normal 250 3" xfId="4561" xr:uid="{7BD89F5A-D074-4C32-AAA6-06565F164D62}"/>
    <cellStyle name="Normal 250 3 2" xfId="7941" xr:uid="{263B5CEC-3CB5-4F93-9C52-CF7F44EC0D75}"/>
    <cellStyle name="Normal 250 4" xfId="6241" xr:uid="{E8EC5095-46AD-47FE-88CF-97FFEE156807}"/>
    <cellStyle name="Normal 250_DEO ADIT Unprotected" xfId="3293" xr:uid="{81A2A4BE-60D7-4C5A-91BE-C324D3B141CC}"/>
    <cellStyle name="Normal 251" xfId="1205" xr:uid="{00000000-0005-0000-0000-00008B050000}"/>
    <cellStyle name="Normal 251 2" xfId="2149" xr:uid="{00000000-0005-0000-0000-00008C050000}"/>
    <cellStyle name="Normal 251 2 2" xfId="5399" xr:uid="{5FB7CC67-575C-432C-AEFE-040369582C03}"/>
    <cellStyle name="Normal 251 2 2 2" xfId="8779" xr:uid="{3689168C-EE20-498F-B944-8CDBBEC3074E}"/>
    <cellStyle name="Normal 251 2 3" xfId="7079" xr:uid="{1A03A405-C99D-4ABE-9223-8490D3B3514F}"/>
    <cellStyle name="Normal 251 2_DEO ADIT Unprotected" xfId="3296" xr:uid="{D4AED575-BEBC-4A6B-9F9C-8EFC183FFF56}"/>
    <cellStyle name="Normal 251 3" xfId="4562" xr:uid="{2FB038D2-0AC6-434C-BE35-766A66B96C62}"/>
    <cellStyle name="Normal 251 3 2" xfId="7942" xr:uid="{A2183576-D721-4C81-99BA-539AB4136603}"/>
    <cellStyle name="Normal 251 4" xfId="6242" xr:uid="{7E050BF1-E418-481D-A824-CB17EDE8E932}"/>
    <cellStyle name="Normal 251_DEO ADIT Unprotected" xfId="3295" xr:uid="{D2170EB1-6BEF-48BD-BE35-CCFA7331C557}"/>
    <cellStyle name="Normal 252" xfId="1206" xr:uid="{00000000-0005-0000-0000-00008D050000}"/>
    <cellStyle name="Normal 252 2" xfId="2150" xr:uid="{00000000-0005-0000-0000-00008E050000}"/>
    <cellStyle name="Normal 252 2 2" xfId="5400" xr:uid="{628C4FA5-90CF-4714-913F-9D584FF3D86C}"/>
    <cellStyle name="Normal 252 2 2 2" xfId="8780" xr:uid="{7924BE70-4727-4BFF-99B0-A142739339CF}"/>
    <cellStyle name="Normal 252 2 3" xfId="7080" xr:uid="{8B86669A-C8B2-4E59-B337-45CB5A225B5D}"/>
    <cellStyle name="Normal 252 2_DEO ADIT Unprotected" xfId="3298" xr:uid="{DA4B617E-C528-47CD-B859-2B28697F4155}"/>
    <cellStyle name="Normal 252 3" xfId="4563" xr:uid="{E207D1F0-D1C4-4649-B290-8CA10D7F4E78}"/>
    <cellStyle name="Normal 252 3 2" xfId="7943" xr:uid="{BCC61C58-CCA8-41FB-BEF2-9352DD925105}"/>
    <cellStyle name="Normal 252 4" xfId="6243" xr:uid="{5AA1557C-09EE-445A-B18C-3C6370E02BF7}"/>
    <cellStyle name="Normal 252_DEO ADIT Unprotected" xfId="3297" xr:uid="{4365C347-D5AF-4B8B-930A-F53605A8B0E2}"/>
    <cellStyle name="Normal 253" xfId="1207" xr:uid="{00000000-0005-0000-0000-00008F050000}"/>
    <cellStyle name="Normal 253 2" xfId="2151" xr:uid="{00000000-0005-0000-0000-000090050000}"/>
    <cellStyle name="Normal 253 2 2" xfId="5401" xr:uid="{D72E8F74-6FFD-4E99-A9B4-9CE96B13F5A3}"/>
    <cellStyle name="Normal 253 2 2 2" xfId="8781" xr:uid="{E342A590-6E0C-4F10-95D6-2EF91E432237}"/>
    <cellStyle name="Normal 253 2 3" xfId="7081" xr:uid="{DE6CF0C6-3585-49BB-8E91-BAAF26EEAA11}"/>
    <cellStyle name="Normal 253 2_DEO ADIT Unprotected" xfId="3300" xr:uid="{7A641EC1-5444-4FAA-965F-44F70672A56A}"/>
    <cellStyle name="Normal 253 3" xfId="4564" xr:uid="{673947C9-670E-4DF2-9809-C8C9F3C74DE7}"/>
    <cellStyle name="Normal 253 3 2" xfId="7944" xr:uid="{D8DBFA16-5337-4DD4-AEB6-55BF55977442}"/>
    <cellStyle name="Normal 253 4" xfId="6244" xr:uid="{772DC59C-C3AF-406E-9BFD-77758A77F7F5}"/>
    <cellStyle name="Normal 253_DEO ADIT Unprotected" xfId="3299" xr:uid="{D5EB7E89-6A0E-43B2-896C-17336C602465}"/>
    <cellStyle name="Normal 254" xfId="1208" xr:uid="{00000000-0005-0000-0000-000091050000}"/>
    <cellStyle name="Normal 254 2" xfId="2152" xr:uid="{00000000-0005-0000-0000-000092050000}"/>
    <cellStyle name="Normal 254 2 2" xfId="5402" xr:uid="{D6131853-F061-4C34-8BF7-258FD44392E1}"/>
    <cellStyle name="Normal 254 2 2 2" xfId="8782" xr:uid="{39C32BD9-1BD8-450B-9A08-D93305DA4578}"/>
    <cellStyle name="Normal 254 2 3" xfId="7082" xr:uid="{6F0202F5-2D21-4DD3-8783-95F451A887E8}"/>
    <cellStyle name="Normal 254 2_DEO ADIT Unprotected" xfId="3302" xr:uid="{0D307143-8AF3-40C0-8816-E125D298E324}"/>
    <cellStyle name="Normal 254 3" xfId="4565" xr:uid="{352D25ED-7B27-4A59-912C-C1BF609FF391}"/>
    <cellStyle name="Normal 254 3 2" xfId="7945" xr:uid="{640CBB97-DCBC-453F-8288-490A6B7738A2}"/>
    <cellStyle name="Normal 254 4" xfId="6245" xr:uid="{F059CFA2-0D97-4E69-A856-0CB8D4352067}"/>
    <cellStyle name="Normal 254_DEO ADIT Unprotected" xfId="3301" xr:uid="{97CAD7E8-DB9A-41D1-AECE-664E9ED2982D}"/>
    <cellStyle name="Normal 255" xfId="1209" xr:uid="{00000000-0005-0000-0000-000093050000}"/>
    <cellStyle name="Normal 255 2" xfId="2153" xr:uid="{00000000-0005-0000-0000-000094050000}"/>
    <cellStyle name="Normal 255 2 2" xfId="5403" xr:uid="{F536ED0D-DD81-42D3-9548-5D6046AE11A1}"/>
    <cellStyle name="Normal 255 2 2 2" xfId="8783" xr:uid="{3819FDD4-C2EB-4F33-A4F5-5905DD5B8BA7}"/>
    <cellStyle name="Normal 255 2 3" xfId="7083" xr:uid="{636E31B9-D0AC-4127-8A72-BC46D3672E7D}"/>
    <cellStyle name="Normal 255 2_DEO ADIT Unprotected" xfId="3304" xr:uid="{8B42583A-AF9D-46EF-B3B0-9E0CC24E1F9D}"/>
    <cellStyle name="Normal 255 3" xfId="4566" xr:uid="{CCE534B7-0D14-4EC7-AB56-E0D61832F6C4}"/>
    <cellStyle name="Normal 255 3 2" xfId="7946" xr:uid="{31C044EB-6BD1-49D5-9AD7-B6988ED2E3A6}"/>
    <cellStyle name="Normal 255 4" xfId="6246" xr:uid="{A1B449AC-A03D-45F2-B1DE-CED7813B3AAD}"/>
    <cellStyle name="Normal 255_DEO ADIT Unprotected" xfId="3303" xr:uid="{F0B6A437-D9B2-40A4-B10B-08AA4AA3C7A6}"/>
    <cellStyle name="Normal 256" xfId="1210" xr:uid="{00000000-0005-0000-0000-000095050000}"/>
    <cellStyle name="Normal 256 2" xfId="2154" xr:uid="{00000000-0005-0000-0000-000096050000}"/>
    <cellStyle name="Normal 256 2 2" xfId="5404" xr:uid="{D1E84AB6-84D6-467E-B7C8-ED4936C48A67}"/>
    <cellStyle name="Normal 256 2 2 2" xfId="8784" xr:uid="{E715772D-8356-45BB-89F6-A95A80A52E88}"/>
    <cellStyle name="Normal 256 2 3" xfId="7084" xr:uid="{CE903B63-9247-415B-8712-BD58E7671347}"/>
    <cellStyle name="Normal 256 2_DEO ADIT Unprotected" xfId="3306" xr:uid="{4A3DCADF-BC47-4DC4-8BAD-F8963314FC7B}"/>
    <cellStyle name="Normal 256 3" xfId="4567" xr:uid="{F47D67B8-1508-4E97-9A8B-2495AB41F45B}"/>
    <cellStyle name="Normal 256 3 2" xfId="7947" xr:uid="{9230374E-2D7F-4022-A873-2D30CFD2ADBC}"/>
    <cellStyle name="Normal 256 4" xfId="6247" xr:uid="{3C1FCFFD-A8AD-4573-A46E-AF8FD01444A3}"/>
    <cellStyle name="Normal 256_DEO ADIT Unprotected" xfId="3305" xr:uid="{765CFA56-7F9A-4838-860A-3D8D48B000EB}"/>
    <cellStyle name="Normal 257" xfId="1211" xr:uid="{00000000-0005-0000-0000-000097050000}"/>
    <cellStyle name="Normal 257 2" xfId="2155" xr:uid="{00000000-0005-0000-0000-000098050000}"/>
    <cellStyle name="Normal 257 2 2" xfId="5405" xr:uid="{D41F366B-6A1F-4070-87DA-970A9BE6EA2B}"/>
    <cellStyle name="Normal 257 2 2 2" xfId="8785" xr:uid="{28CB8D67-FA1E-406C-9EE0-74CE6E8D7971}"/>
    <cellStyle name="Normal 257 2 3" xfId="7085" xr:uid="{050F923F-AFA4-4575-BB3B-185E28185BED}"/>
    <cellStyle name="Normal 257 2_DEO ADIT Unprotected" xfId="3308" xr:uid="{F6CCB898-2F11-4BD0-9E7C-9E7FCDFE001D}"/>
    <cellStyle name="Normal 257 3" xfId="4568" xr:uid="{D95F9A7E-0215-41C6-B143-74D1DFD707D2}"/>
    <cellStyle name="Normal 257 3 2" xfId="7948" xr:uid="{681D4320-F072-4F84-87FA-BD924238FCB6}"/>
    <cellStyle name="Normal 257 4" xfId="6248" xr:uid="{60CA77BA-005D-4520-9BD5-1B4B8C7B78B3}"/>
    <cellStyle name="Normal 257_DEO ADIT Unprotected" xfId="3307" xr:uid="{F81DBAE1-3584-4379-AE1A-9FDC26180146}"/>
    <cellStyle name="Normal 258" xfId="1212" xr:uid="{00000000-0005-0000-0000-000099050000}"/>
    <cellStyle name="Normal 258 2" xfId="2156" xr:uid="{00000000-0005-0000-0000-00009A050000}"/>
    <cellStyle name="Normal 258 2 2" xfId="5406" xr:uid="{1A292412-4EC0-4BDD-BC5C-D681C57FA4BD}"/>
    <cellStyle name="Normal 258 2 2 2" xfId="8786" xr:uid="{E36FB0BC-91C2-423A-B68D-EEB554274FFB}"/>
    <cellStyle name="Normal 258 2 3" xfId="7086" xr:uid="{3A49AA16-D6B9-42FE-980D-0C7A71D879E0}"/>
    <cellStyle name="Normal 258 2_DEO ADIT Unprotected" xfId="3310" xr:uid="{210BEAF7-3DD6-4DF6-BBDF-C5D760716058}"/>
    <cellStyle name="Normal 258 3" xfId="4569" xr:uid="{94524B68-B83D-4018-A8C5-B45638239160}"/>
    <cellStyle name="Normal 258 3 2" xfId="7949" xr:uid="{60507BFA-02DD-4848-8EF6-566D85B85133}"/>
    <cellStyle name="Normal 258 4" xfId="6249" xr:uid="{BF4C5C8C-3F05-45DA-BD30-3BA0999C3CA8}"/>
    <cellStyle name="Normal 258_DEO ADIT Unprotected" xfId="3309" xr:uid="{9F43A385-7C82-41FC-B8E0-2047DDAD2D09}"/>
    <cellStyle name="Normal 259" xfId="1213" xr:uid="{00000000-0005-0000-0000-00009B050000}"/>
    <cellStyle name="Normal 259 2" xfId="2157" xr:uid="{00000000-0005-0000-0000-00009C050000}"/>
    <cellStyle name="Normal 259 2 2" xfId="5407" xr:uid="{0A7F4847-4837-4DBE-889B-F80FCD4DC483}"/>
    <cellStyle name="Normal 259 2 2 2" xfId="8787" xr:uid="{585DF4BD-EEE3-4E59-ACA0-6C77B71DA4DE}"/>
    <cellStyle name="Normal 259 2 3" xfId="7087" xr:uid="{51474CE5-0990-4D6E-8737-871A1F168802}"/>
    <cellStyle name="Normal 259 2_DEO ADIT Unprotected" xfId="3312" xr:uid="{FA8F722F-9CC2-4D33-A0FA-525A680BE76B}"/>
    <cellStyle name="Normal 259 3" xfId="4570" xr:uid="{666269DA-1B48-472C-9436-3E6A1CFC43D5}"/>
    <cellStyle name="Normal 259 3 2" xfId="7950" xr:uid="{F8B9ED21-9477-408D-B53C-6E1752ACB12A}"/>
    <cellStyle name="Normal 259 4" xfId="6250" xr:uid="{EE39682B-0AE1-41EA-AF52-CE989F021FC5}"/>
    <cellStyle name="Normal 259_DEO ADIT Unprotected" xfId="3311" xr:uid="{5E47DCC3-D5E5-49CE-B8ED-B0FF4F6AEE64}"/>
    <cellStyle name="Normal 26" xfId="559" xr:uid="{00000000-0005-0000-0000-00009D050000}"/>
    <cellStyle name="Normal 26 2" xfId="1214" xr:uid="{00000000-0005-0000-0000-00009E050000}"/>
    <cellStyle name="Normal 26 3" xfId="1723" xr:uid="{00000000-0005-0000-0000-00009F050000}"/>
    <cellStyle name="Normal 26 3 2" xfId="4973" xr:uid="{6287AB1C-42F7-4F50-A3D9-F9FAA7C6F513}"/>
    <cellStyle name="Normal 26 3 2 2" xfId="8353" xr:uid="{70D3ADDE-4BD4-42D7-AE03-44FA1497235E}"/>
    <cellStyle name="Normal 26 3 3" xfId="6653" xr:uid="{B662DF84-3885-422A-9351-F7537D77AFDF}"/>
    <cellStyle name="Normal 26 3_DEO ADIT Unprotected" xfId="3314" xr:uid="{CD6A2EF1-0605-49A8-9925-B92E343C6558}"/>
    <cellStyle name="Normal 26 4" xfId="4136" xr:uid="{EAC12CB7-1577-4CB4-9B16-1EB13640EA2B}"/>
    <cellStyle name="Normal 26 4 2" xfId="7516" xr:uid="{7E62045C-AE2A-4EEE-B611-ACFCFD686AA7}"/>
    <cellStyle name="Normal 26 5" xfId="5815" xr:uid="{B98D879D-2588-4738-B513-E73BAC7C4B21}"/>
    <cellStyle name="Normal 26_DEO ADIT Unprotected" xfId="3313" xr:uid="{71FAC048-EE46-4047-B71B-31B31B354829}"/>
    <cellStyle name="Normal 260" xfId="1215" xr:uid="{00000000-0005-0000-0000-0000A0050000}"/>
    <cellStyle name="Normal 260 2" xfId="2158" xr:uid="{00000000-0005-0000-0000-0000A1050000}"/>
    <cellStyle name="Normal 260 2 2" xfId="5408" xr:uid="{D059552A-2732-42F3-A922-8AC8E72D7223}"/>
    <cellStyle name="Normal 260 2 2 2" xfId="8788" xr:uid="{2EE524EE-E7B5-422E-99E7-5D337093DE2C}"/>
    <cellStyle name="Normal 260 2 3" xfId="7088" xr:uid="{28D40BFC-F1A0-4F6B-B259-82A6B4AB50B5}"/>
    <cellStyle name="Normal 260 2_DEO ADIT Unprotected" xfId="3316" xr:uid="{25CFF9C4-FCC8-4934-9981-67E02A29FBEA}"/>
    <cellStyle name="Normal 260 3" xfId="4571" xr:uid="{8F8F6B60-943C-4FB2-A6B8-09829AA4C6B9}"/>
    <cellStyle name="Normal 260 3 2" xfId="7951" xr:uid="{538B390C-21A6-4EB3-BC01-AC732DE00F1E}"/>
    <cellStyle name="Normal 260 4" xfId="6251" xr:uid="{0AACD231-EBCD-4015-9069-7F4A01798318}"/>
    <cellStyle name="Normal 260_DEO ADIT Unprotected" xfId="3315" xr:uid="{443537B5-EC36-4404-B783-8D8E6F93DD30}"/>
    <cellStyle name="Normal 261" xfId="1216" xr:uid="{00000000-0005-0000-0000-0000A2050000}"/>
    <cellStyle name="Normal 261 2" xfId="2159" xr:uid="{00000000-0005-0000-0000-0000A3050000}"/>
    <cellStyle name="Normal 261 2 2" xfId="5409" xr:uid="{0C912A16-C431-4FF1-8952-E655DAD163E9}"/>
    <cellStyle name="Normal 261 2 2 2" xfId="8789" xr:uid="{E73D8C72-B75D-491E-86B5-D9D3187A4EC8}"/>
    <cellStyle name="Normal 261 2 3" xfId="7089" xr:uid="{BA85885E-1ABB-460D-8FFF-3D868F50E5A0}"/>
    <cellStyle name="Normal 261 2_DEO ADIT Unprotected" xfId="3318" xr:uid="{748F0BF2-0CE5-4B55-B22A-6C79CFAD6607}"/>
    <cellStyle name="Normal 261 3" xfId="4572" xr:uid="{43A52FFF-B313-42C6-A393-F987FD9BD42A}"/>
    <cellStyle name="Normal 261 3 2" xfId="7952" xr:uid="{18A87C7B-F9AD-44FA-A366-8F1054C89D69}"/>
    <cellStyle name="Normal 261 4" xfId="6252" xr:uid="{AF2B25A4-B8D7-4C59-BD52-C63DE8B15DE7}"/>
    <cellStyle name="Normal 261_DEO ADIT Unprotected" xfId="3317" xr:uid="{8A3F7EB7-7884-49B8-827B-4F804CA5D062}"/>
    <cellStyle name="Normal 262" xfId="1217" xr:uid="{00000000-0005-0000-0000-0000A4050000}"/>
    <cellStyle name="Normal 262 2" xfId="2160" xr:uid="{00000000-0005-0000-0000-0000A5050000}"/>
    <cellStyle name="Normal 262 2 2" xfId="5410" xr:uid="{15835A59-0A9A-4C8C-AA99-938300ABC1A9}"/>
    <cellStyle name="Normal 262 2 2 2" xfId="8790" xr:uid="{76D6A995-7AE3-44A4-8E17-671B8579755D}"/>
    <cellStyle name="Normal 262 2 3" xfId="7090" xr:uid="{6863AA84-382C-4854-A2BD-77086EDBD313}"/>
    <cellStyle name="Normal 262 2_DEO ADIT Unprotected" xfId="3320" xr:uid="{07D2EE44-8C1C-4EBB-98C6-C036EAC960B4}"/>
    <cellStyle name="Normal 262 3" xfId="4573" xr:uid="{B85DB5EF-DEF8-4DB7-AAFD-11DE9C41859B}"/>
    <cellStyle name="Normal 262 3 2" xfId="7953" xr:uid="{CE8D7E82-CEC0-4926-AC22-CE64C901494B}"/>
    <cellStyle name="Normal 262 4" xfId="6253" xr:uid="{43A27450-EB07-4728-96F4-185EB34F0736}"/>
    <cellStyle name="Normal 262_DEO ADIT Unprotected" xfId="3319" xr:uid="{062EBF52-D60A-4812-8A27-4F6F4CAC5E6C}"/>
    <cellStyle name="Normal 263" xfId="1218" xr:uid="{00000000-0005-0000-0000-0000A6050000}"/>
    <cellStyle name="Normal 264" xfId="1219" xr:uid="{00000000-0005-0000-0000-0000A7050000}"/>
    <cellStyle name="Normal 265" xfId="1220" xr:uid="{00000000-0005-0000-0000-0000A8050000}"/>
    <cellStyle name="Normal 266" xfId="1221" xr:uid="{00000000-0005-0000-0000-0000A9050000}"/>
    <cellStyle name="Normal 267" xfId="1222" xr:uid="{00000000-0005-0000-0000-0000AA050000}"/>
    <cellStyle name="Normal 268" xfId="1223" xr:uid="{00000000-0005-0000-0000-0000AB050000}"/>
    <cellStyle name="Normal 269" xfId="1622" xr:uid="{00000000-0005-0000-0000-0000AC050000}"/>
    <cellStyle name="Normal 269 2" xfId="2462" xr:uid="{00000000-0005-0000-0000-0000AD050000}"/>
    <cellStyle name="Normal 269 2 2" xfId="5712" xr:uid="{71374898-9DD9-421C-9B24-AE0277DC43CF}"/>
    <cellStyle name="Normal 269 2 2 2" xfId="9092" xr:uid="{095BC891-A841-49A4-9388-B1B712E0EE24}"/>
    <cellStyle name="Normal 269 2 3" xfId="7392" xr:uid="{96BFFAB2-6038-4BD1-BC0A-B8222E802366}"/>
    <cellStyle name="Normal 269 2_DEO ADIT Unprotected" xfId="3322" xr:uid="{1F0AE6CA-BF88-49B5-B27E-C5EC2698213B}"/>
    <cellStyle name="Normal 269 3" xfId="4875" xr:uid="{BBAEE55E-1DC4-430D-BBC2-70B4AC18D9E1}"/>
    <cellStyle name="Normal 269 3 2" xfId="8255" xr:uid="{0637E05F-FE83-4DA4-AD64-7252AA329FFE}"/>
    <cellStyle name="Normal 269 4" xfId="6555" xr:uid="{09940730-4CD7-4E40-AA7A-93B2958455B1}"/>
    <cellStyle name="Normal 269_DEO ADIT Unprotected" xfId="3321" xr:uid="{2DB8DCC6-957F-4A7F-9003-3A8DFDD2528B}"/>
    <cellStyle name="Normal 27" xfId="560" xr:uid="{00000000-0005-0000-0000-0000AE050000}"/>
    <cellStyle name="Normal 27 2" xfId="1224" xr:uid="{00000000-0005-0000-0000-0000AF050000}"/>
    <cellStyle name="Normal 27 3" xfId="1724" xr:uid="{00000000-0005-0000-0000-0000B0050000}"/>
    <cellStyle name="Normal 27 3 2" xfId="4974" xr:uid="{9F1CD276-F88F-4DE4-9455-428204EB1C60}"/>
    <cellStyle name="Normal 27 3 2 2" xfId="8354" xr:uid="{660AD9B2-47AC-4C4A-9AF7-96D59F39388D}"/>
    <cellStyle name="Normal 27 3 3" xfId="6654" xr:uid="{AF7EFC0D-4A91-498A-9DD4-DBB1E7A74DB2}"/>
    <cellStyle name="Normal 27 3_DEO ADIT Unprotected" xfId="3324" xr:uid="{78B397FC-C513-48F9-952D-921CC67D526B}"/>
    <cellStyle name="Normal 27 4" xfId="4137" xr:uid="{33F12503-4027-499B-92C3-C9608DDBBDB5}"/>
    <cellStyle name="Normal 27 4 2" xfId="7517" xr:uid="{599F74AB-A6AE-4822-96BD-8386382E2850}"/>
    <cellStyle name="Normal 27 5" xfId="5816" xr:uid="{735CCFA9-8BA9-4AA9-B943-FD83CF548F48}"/>
    <cellStyle name="Normal 27_DEO ADIT Unprotected" xfId="3323" xr:uid="{A6C7F3C6-DBD1-4E50-BA26-D9BCF0625D9A}"/>
    <cellStyle name="Normal 28" xfId="563" xr:uid="{00000000-0005-0000-0000-0000B1050000}"/>
    <cellStyle name="Normal 28 2" xfId="1225" xr:uid="{00000000-0005-0000-0000-0000B2050000}"/>
    <cellStyle name="Normal 28 3" xfId="1727" xr:uid="{00000000-0005-0000-0000-0000B3050000}"/>
    <cellStyle name="Normal 28 3 2" xfId="4977" xr:uid="{22FA218F-AD60-4040-8FCE-5E5D6093B523}"/>
    <cellStyle name="Normal 28 3 2 2" xfId="8357" xr:uid="{977C252A-77F4-4477-BD4D-4559B9E83652}"/>
    <cellStyle name="Normal 28 3 3" xfId="6657" xr:uid="{5252A9F4-0CB0-474D-8E85-FD2DC375DFFF}"/>
    <cellStyle name="Normal 28 3_DEO ADIT Unprotected" xfId="3326" xr:uid="{79CF2B3B-5E4A-4C88-A3F0-AC8485AE88D5}"/>
    <cellStyle name="Normal 28 4" xfId="4140" xr:uid="{A74C4007-6C1C-4269-8F11-942DC41F32A0}"/>
    <cellStyle name="Normal 28 4 2" xfId="7520" xr:uid="{8D769745-69D2-42AC-AF32-BD7DF5CAB0AE}"/>
    <cellStyle name="Normal 28 5" xfId="5819" xr:uid="{EC9FC059-5FC8-4389-B9EC-911F7858218F}"/>
    <cellStyle name="Normal 28_DEO ADIT Unprotected" xfId="3325" xr:uid="{E82611D4-1180-49FA-9470-EF161E6A3D26}"/>
    <cellStyle name="Normal 29" xfId="561" xr:uid="{00000000-0005-0000-0000-0000B4050000}"/>
    <cellStyle name="Normal 29 2" xfId="1226" xr:uid="{00000000-0005-0000-0000-0000B5050000}"/>
    <cellStyle name="Normal 29 3" xfId="1725" xr:uid="{00000000-0005-0000-0000-0000B6050000}"/>
    <cellStyle name="Normal 29 3 2" xfId="4975" xr:uid="{92601351-7929-4796-926D-875FC02149A0}"/>
    <cellStyle name="Normal 29 3 2 2" xfId="8355" xr:uid="{91CE5A74-F91C-4F69-8D9E-3535D20D8E64}"/>
    <cellStyle name="Normal 29 3 3" xfId="6655" xr:uid="{1D29E86C-4577-48F5-9934-4805656367DD}"/>
    <cellStyle name="Normal 29 3_DEO ADIT Unprotected" xfId="3328" xr:uid="{1DBD5D1D-DDF8-4B29-A5DE-1EC656E750BD}"/>
    <cellStyle name="Normal 29 4" xfId="4138" xr:uid="{CEABB4CA-1359-4A62-9C1B-3169C17DF791}"/>
    <cellStyle name="Normal 29 4 2" xfId="7518" xr:uid="{512D00CD-F4E4-4D2E-9F7F-3D0C30EC9B27}"/>
    <cellStyle name="Normal 29 5" xfId="5817" xr:uid="{778C7851-54DE-4903-B242-ACF21B0E079B}"/>
    <cellStyle name="Normal 29_DEO ADIT Unprotected" xfId="3327" xr:uid="{995E6FE9-C7FC-4478-B0E0-425F2FC533CF}"/>
    <cellStyle name="Normal 3" xfId="4" xr:uid="{00000000-0005-0000-0000-0000B7050000}"/>
    <cellStyle name="Normal 3 2" xfId="177" xr:uid="{00000000-0005-0000-0000-0000B8050000}"/>
    <cellStyle name="Normal 3 3" xfId="1227" xr:uid="{00000000-0005-0000-0000-0000B9050000}"/>
    <cellStyle name="Normal 3_ITC-Great Plains Heintz 6-24-08a" xfId="178" xr:uid="{00000000-0005-0000-0000-0000BA050000}"/>
    <cellStyle name="Normal 30" xfId="562" xr:uid="{00000000-0005-0000-0000-0000BB050000}"/>
    <cellStyle name="Normal 30 2" xfId="1228" xr:uid="{00000000-0005-0000-0000-0000BC050000}"/>
    <cellStyle name="Normal 30 3" xfId="1726" xr:uid="{00000000-0005-0000-0000-0000BD050000}"/>
    <cellStyle name="Normal 30 3 2" xfId="4976" xr:uid="{D12B1E5F-1E9A-473E-8ED0-387570DE88E2}"/>
    <cellStyle name="Normal 30 3 2 2" xfId="8356" xr:uid="{703DEC77-C9BA-40AB-B338-9699CB7650E0}"/>
    <cellStyle name="Normal 30 3 3" xfId="6656" xr:uid="{A7DC0557-D74F-48E2-9EE3-1D16F74E8FBC}"/>
    <cellStyle name="Normal 30 3_DEO ADIT Unprotected" xfId="3330" xr:uid="{D34D797A-1EEF-435A-B844-999CD2D175DD}"/>
    <cellStyle name="Normal 30 4" xfId="4139" xr:uid="{5425F583-31E3-4CE5-9AA1-DE12CC7EFEBE}"/>
    <cellStyle name="Normal 30 4 2" xfId="7519" xr:uid="{2345DFD7-93D4-4731-A33C-D76C174D441C}"/>
    <cellStyle name="Normal 30 5" xfId="5818" xr:uid="{D1D6006E-B094-458F-853A-EE504682035A}"/>
    <cellStyle name="Normal 30_DEO ADIT Unprotected" xfId="3329" xr:uid="{F880ADBC-A67C-4994-861E-D1552C503EDF}"/>
    <cellStyle name="Normal 31" xfId="558" xr:uid="{00000000-0005-0000-0000-0000BE050000}"/>
    <cellStyle name="Normal 31 2" xfId="1229" xr:uid="{00000000-0005-0000-0000-0000BF050000}"/>
    <cellStyle name="Normal 31 3" xfId="1722" xr:uid="{00000000-0005-0000-0000-0000C0050000}"/>
    <cellStyle name="Normal 31 3 2" xfId="4972" xr:uid="{3A2135E8-26B2-486A-A283-278D9128229C}"/>
    <cellStyle name="Normal 31 3 2 2" xfId="8352" xr:uid="{2E43C699-3BA0-4D31-8879-8DA0BFFE10C7}"/>
    <cellStyle name="Normal 31 3 3" xfId="6652" xr:uid="{86C63437-DAB0-46EC-9324-BE6DEAD07F49}"/>
    <cellStyle name="Normal 31 3_DEO ADIT Unprotected" xfId="3332" xr:uid="{9E30129D-DA92-42A2-AF4A-420DAA790FB4}"/>
    <cellStyle name="Normal 31 4" xfId="4135" xr:uid="{4D9BB9D8-3B2D-416D-921A-6CE3B8AF10C7}"/>
    <cellStyle name="Normal 31 4 2" xfId="7515" xr:uid="{23F4EB31-FA19-4017-9478-0B28EA010F4A}"/>
    <cellStyle name="Normal 31 5" xfId="5814" xr:uid="{4E7960DD-2E6C-48A1-8B5E-80CA1B259EFB}"/>
    <cellStyle name="Normal 31_DEO ADIT Unprotected" xfId="3331" xr:uid="{378A5C7C-7B7F-47FA-83D9-730DC6EA1D09}"/>
    <cellStyle name="Normal 32" xfId="553" xr:uid="{00000000-0005-0000-0000-0000C1050000}"/>
    <cellStyle name="Normal 32 2" xfId="1230" xr:uid="{00000000-0005-0000-0000-0000C2050000}"/>
    <cellStyle name="Normal 32 3" xfId="1717" xr:uid="{00000000-0005-0000-0000-0000C3050000}"/>
    <cellStyle name="Normal 32 3 2" xfId="4967" xr:uid="{9AF2A437-2602-4816-9E39-5D6BBCC16F3E}"/>
    <cellStyle name="Normal 32 3 2 2" xfId="8347" xr:uid="{792191E5-E2F6-4697-A074-E63683B0596A}"/>
    <cellStyle name="Normal 32 3 3" xfId="6647" xr:uid="{0F3A1245-C1AC-4B65-A9BD-6C9BFEEA1C4F}"/>
    <cellStyle name="Normal 32 3_DEO ADIT Unprotected" xfId="3334" xr:uid="{0E974D8D-3BDD-4AB7-8844-85522A37714E}"/>
    <cellStyle name="Normal 32 4" xfId="4130" xr:uid="{8924B43C-543E-4E44-8F89-5590008AB457}"/>
    <cellStyle name="Normal 32 4 2" xfId="7510" xr:uid="{3ACED753-53DC-42E7-9CD9-B4ADD37B5F55}"/>
    <cellStyle name="Normal 32 5" xfId="5809" xr:uid="{472FA94F-8790-42B7-A272-567A8DA6C7DF}"/>
    <cellStyle name="Normal 32_DEO ADIT Unprotected" xfId="3333" xr:uid="{EB4A709F-44D0-4F46-9EF1-C9E89803367F}"/>
    <cellStyle name="Normal 33" xfId="575" xr:uid="{00000000-0005-0000-0000-0000C4050000}"/>
    <cellStyle name="Normal 33 2" xfId="1231" xr:uid="{00000000-0005-0000-0000-0000C5050000}"/>
    <cellStyle name="Normal 33 3" xfId="1739" xr:uid="{00000000-0005-0000-0000-0000C6050000}"/>
    <cellStyle name="Normal 33 3 2" xfId="4989" xr:uid="{556353D7-E9B0-461C-B23E-519324EE8484}"/>
    <cellStyle name="Normal 33 3 2 2" xfId="8369" xr:uid="{C3267591-D902-4B6F-A270-E49637AE55F8}"/>
    <cellStyle name="Normal 33 3 3" xfId="6669" xr:uid="{6D218845-3094-4015-A9A8-01D437984E2C}"/>
    <cellStyle name="Normal 33 3_DEO ADIT Unprotected" xfId="3336" xr:uid="{769E2712-8234-44B2-9B94-A1F5B366E517}"/>
    <cellStyle name="Normal 33 4" xfId="4152" xr:uid="{06EC88FE-58B7-4CB4-8A4D-4AA83D03D9B7}"/>
    <cellStyle name="Normal 33 4 2" xfId="7532" xr:uid="{03C93038-AD6B-452E-83AA-FFC52EB83DEA}"/>
    <cellStyle name="Normal 33 5" xfId="5831" xr:uid="{DC246313-781F-4CDA-BA80-825FA7BC4027}"/>
    <cellStyle name="Normal 33_DEO ADIT Unprotected" xfId="3335" xr:uid="{C3A63018-624A-410A-A470-87CBE735BEA7}"/>
    <cellStyle name="Normal 34" xfId="576" xr:uid="{00000000-0005-0000-0000-0000C7050000}"/>
    <cellStyle name="Normal 34 2" xfId="1232" xr:uid="{00000000-0005-0000-0000-0000C8050000}"/>
    <cellStyle name="Normal 34 2 2" xfId="1233" xr:uid="{00000000-0005-0000-0000-0000C9050000}"/>
    <cellStyle name="Normal 34 2 2 2" xfId="1234" xr:uid="{00000000-0005-0000-0000-0000CA050000}"/>
    <cellStyle name="Normal 34 2 2 2 2" xfId="2163" xr:uid="{00000000-0005-0000-0000-0000CB050000}"/>
    <cellStyle name="Normal 34 2 2 2 2 2" xfId="5413" xr:uid="{0636727B-8B97-4562-A692-AF4BD1D0A76D}"/>
    <cellStyle name="Normal 34 2 2 2 2 2 2" xfId="8793" xr:uid="{7F3A9C44-32DA-4C1C-806D-44D5A07E5DBD}"/>
    <cellStyle name="Normal 34 2 2 2 2 3" xfId="7093" xr:uid="{5CC1B1CD-4D80-4D2E-9767-4E8191D63EF1}"/>
    <cellStyle name="Normal 34 2 2 2 2_DEO ADIT Unprotected" xfId="3341" xr:uid="{2A0C6471-8951-4579-8846-FD6BAF16D30A}"/>
    <cellStyle name="Normal 34 2 2 2 3" xfId="4576" xr:uid="{8664F149-AB17-4C06-9815-A9D1478B7933}"/>
    <cellStyle name="Normal 34 2 2 2 3 2" xfId="7956" xr:uid="{3AAF0E3B-C1C5-49FD-AF1D-1FC8B9035696}"/>
    <cellStyle name="Normal 34 2 2 2 4" xfId="6256" xr:uid="{A950ABED-E40E-4C50-BDDC-33C8E42B1C77}"/>
    <cellStyle name="Normal 34 2 2 2_DEO ADIT Unprotected" xfId="3340" xr:uid="{376FF114-8286-4D21-A2E5-E486A3FDEEBE}"/>
    <cellStyle name="Normal 34 2 2 3" xfId="2162" xr:uid="{00000000-0005-0000-0000-0000CC050000}"/>
    <cellStyle name="Normal 34 2 2 3 2" xfId="5412" xr:uid="{98C220C1-78C7-436E-8F2E-D6966532D783}"/>
    <cellStyle name="Normal 34 2 2 3 2 2" xfId="8792" xr:uid="{F607E3CA-2A48-4CF9-ABAE-1B3123C7E3E2}"/>
    <cellStyle name="Normal 34 2 2 3 3" xfId="7092" xr:uid="{CCCB5EE8-3E2E-41DB-BD84-4FBB32309DD7}"/>
    <cellStyle name="Normal 34 2 2 3_DEO ADIT Unprotected" xfId="3342" xr:uid="{50BDB186-3E23-49A4-9EFB-BE617A1FA4EC}"/>
    <cellStyle name="Normal 34 2 2 4" xfId="4575" xr:uid="{B5383ADE-716C-4C2A-8B0C-F1DB5D2FF703}"/>
    <cellStyle name="Normal 34 2 2 4 2" xfId="7955" xr:uid="{AB0A9A6D-C460-43E7-AA09-1A524463630C}"/>
    <cellStyle name="Normal 34 2 2 5" xfId="6255" xr:uid="{5003C0FC-3D17-4037-A35E-E364BE1C4943}"/>
    <cellStyle name="Normal 34 2 2_DEO ADIT Unprotected" xfId="3339" xr:uid="{A710587C-0EEE-41F6-94A7-98EE34719153}"/>
    <cellStyle name="Normal 34 2 3" xfId="1235" xr:uid="{00000000-0005-0000-0000-0000CD050000}"/>
    <cellStyle name="Normal 34 2 3 2" xfId="2164" xr:uid="{00000000-0005-0000-0000-0000CE050000}"/>
    <cellStyle name="Normal 34 2 3 2 2" xfId="5414" xr:uid="{8FE4B551-0EC6-4624-8396-6B0289AFBE5F}"/>
    <cellStyle name="Normal 34 2 3 2 2 2" xfId="8794" xr:uid="{01723B87-CB88-4895-B607-625C95657BEB}"/>
    <cellStyle name="Normal 34 2 3 2 3" xfId="7094" xr:uid="{423A0C37-A3FF-4CF8-ABEE-73B00AF1A2B7}"/>
    <cellStyle name="Normal 34 2 3 2_DEO ADIT Unprotected" xfId="3344" xr:uid="{B0575BFF-17EE-4CCF-8753-1C928ABB111C}"/>
    <cellStyle name="Normal 34 2 3 3" xfId="4577" xr:uid="{87282761-CCDB-425C-A850-A72FFAC46E24}"/>
    <cellStyle name="Normal 34 2 3 3 2" xfId="7957" xr:uid="{C1A58D41-3EE0-40B7-9C6B-EA52265C801B}"/>
    <cellStyle name="Normal 34 2 3 4" xfId="6257" xr:uid="{D6A72558-B071-4219-9F89-B0159466BE2F}"/>
    <cellStyle name="Normal 34 2 3_DEO ADIT Unprotected" xfId="3343" xr:uid="{1F502154-6E09-48EF-BC85-BB6BDE079886}"/>
    <cellStyle name="Normal 34 2 4" xfId="2161" xr:uid="{00000000-0005-0000-0000-0000CF050000}"/>
    <cellStyle name="Normal 34 2 4 2" xfId="5411" xr:uid="{06C24A0D-D216-4411-8FD9-C85163B01810}"/>
    <cellStyle name="Normal 34 2 4 2 2" xfId="8791" xr:uid="{3918150F-E3DB-4BD3-9CB2-67B6150B5EC2}"/>
    <cellStyle name="Normal 34 2 4 3" xfId="7091" xr:uid="{D3CF7D4D-736F-47F7-9C82-535CBB9E59DE}"/>
    <cellStyle name="Normal 34 2 4_DEO ADIT Unprotected" xfId="3345" xr:uid="{670477D1-5BEA-4910-9BBC-C1A902942471}"/>
    <cellStyle name="Normal 34 2 5" xfId="4574" xr:uid="{2467CD1A-D313-41D3-8C59-8CE8A7887111}"/>
    <cellStyle name="Normal 34 2 5 2" xfId="7954" xr:uid="{8C731B61-9C16-43F0-8D80-7179DAA35659}"/>
    <cellStyle name="Normal 34 2 6" xfId="6254" xr:uid="{A75E7B68-D06F-44AF-ADF7-1B748398BBD1}"/>
    <cellStyle name="Normal 34 2_DEO ADIT Unprotected" xfId="3338" xr:uid="{A5A36A0D-9B21-4520-A444-A1EA3F41772A}"/>
    <cellStyle name="Normal 34 3" xfId="1236" xr:uid="{00000000-0005-0000-0000-0000D0050000}"/>
    <cellStyle name="Normal 34 3 2" xfId="1237" xr:uid="{00000000-0005-0000-0000-0000D1050000}"/>
    <cellStyle name="Normal 34 3 2 2" xfId="2166" xr:uid="{00000000-0005-0000-0000-0000D2050000}"/>
    <cellStyle name="Normal 34 3 2 2 2" xfId="5416" xr:uid="{B3E14FEA-459F-4F0A-B47B-1B95F2D6BC1C}"/>
    <cellStyle name="Normal 34 3 2 2 2 2" xfId="8796" xr:uid="{0C8C409A-355E-4B31-A9A9-7A691B2AAD30}"/>
    <cellStyle name="Normal 34 3 2 2 3" xfId="7096" xr:uid="{3AAABC43-BA57-49B1-9699-2DB1EC085124}"/>
    <cellStyle name="Normal 34 3 2 2_DEO ADIT Unprotected" xfId="3348" xr:uid="{61E5614E-AEE4-467D-853F-7BE682FE7EB9}"/>
    <cellStyle name="Normal 34 3 2 3" xfId="4579" xr:uid="{B42BA6D0-584D-45A6-80B0-B228D23E8014}"/>
    <cellStyle name="Normal 34 3 2 3 2" xfId="7959" xr:uid="{D24E6BB0-DF60-4423-9852-0F5840A5B362}"/>
    <cellStyle name="Normal 34 3 2 4" xfId="6259" xr:uid="{3C8899B2-ABAE-421F-958C-A0784C55AB4F}"/>
    <cellStyle name="Normal 34 3 2_DEO ADIT Unprotected" xfId="3347" xr:uid="{62A1A0DC-421B-46C2-8930-88CF3C051906}"/>
    <cellStyle name="Normal 34 3 3" xfId="2165" xr:uid="{00000000-0005-0000-0000-0000D3050000}"/>
    <cellStyle name="Normal 34 3 3 2" xfId="5415" xr:uid="{882853D3-5C36-41D8-B6E8-5F1979A692EE}"/>
    <cellStyle name="Normal 34 3 3 2 2" xfId="8795" xr:uid="{D8B8B822-AD61-4C6E-99A4-69AEEE5BE086}"/>
    <cellStyle name="Normal 34 3 3 3" xfId="7095" xr:uid="{29A68087-25F8-4796-9CB0-181011250F32}"/>
    <cellStyle name="Normal 34 3 3_DEO ADIT Unprotected" xfId="3349" xr:uid="{E4324B66-133E-4FE5-90A3-47BC50A0ED00}"/>
    <cellStyle name="Normal 34 3 4" xfId="4578" xr:uid="{7B4BC076-E373-4097-BD21-75A512062D87}"/>
    <cellStyle name="Normal 34 3 4 2" xfId="7958" xr:uid="{9CD37540-F182-476C-BA44-01430310BC75}"/>
    <cellStyle name="Normal 34 3 5" xfId="6258" xr:uid="{D0804267-AD3B-4899-BA28-AC03DA9744F7}"/>
    <cellStyle name="Normal 34 3_DEO ADIT Unprotected" xfId="3346" xr:uid="{6A6D2E0E-ED99-4FBD-9BFB-6F9149922E42}"/>
    <cellStyle name="Normal 34 4" xfId="1238" xr:uid="{00000000-0005-0000-0000-0000D4050000}"/>
    <cellStyle name="Normal 34 4 2" xfId="2167" xr:uid="{00000000-0005-0000-0000-0000D5050000}"/>
    <cellStyle name="Normal 34 4 2 2" xfId="5417" xr:uid="{28F3E02D-0E6B-42EB-950E-ADEDDE53D6D0}"/>
    <cellStyle name="Normal 34 4 2 2 2" xfId="8797" xr:uid="{6F9FF4E9-64AB-4D8B-A9BE-D875DDCCB031}"/>
    <cellStyle name="Normal 34 4 2 3" xfId="7097" xr:uid="{A415B5B7-4413-4283-B749-94C04C08C17C}"/>
    <cellStyle name="Normal 34 4 2_DEO ADIT Unprotected" xfId="3351" xr:uid="{F34F4DF4-37F5-498F-8BE7-AECB77DB8D17}"/>
    <cellStyle name="Normal 34 4 3" xfId="4580" xr:uid="{67E99521-0E11-42CE-B9FA-3C3DDCE9FC89}"/>
    <cellStyle name="Normal 34 4 3 2" xfId="7960" xr:uid="{28C12F03-B9E7-448F-B021-DDAFD768BF3F}"/>
    <cellStyle name="Normal 34 4 4" xfId="6260" xr:uid="{E9313EAD-7576-493E-AFE1-3C04902150FF}"/>
    <cellStyle name="Normal 34 4_DEO ADIT Unprotected" xfId="3350" xr:uid="{87F84684-9E62-458D-BBE2-797AF8D37D18}"/>
    <cellStyle name="Normal 34 5" xfId="1740" xr:uid="{00000000-0005-0000-0000-0000D6050000}"/>
    <cellStyle name="Normal 34 5 2" xfId="4990" xr:uid="{9F0FA58C-A5F5-4606-BB05-8D1FDCB20288}"/>
    <cellStyle name="Normal 34 5 2 2" xfId="8370" xr:uid="{337116AE-C938-404D-95DF-388639A5FAF6}"/>
    <cellStyle name="Normal 34 5 3" xfId="6670" xr:uid="{88BF4466-0A3E-4C65-88D9-730F59D4391B}"/>
    <cellStyle name="Normal 34 5_DEO ADIT Unprotected" xfId="3352" xr:uid="{48B4024B-650B-4447-B3F0-7ABCF39C5B36}"/>
    <cellStyle name="Normal 34 6" xfId="4153" xr:uid="{A15A9388-02F4-431F-88FD-29FFB09CF84F}"/>
    <cellStyle name="Normal 34 6 2" xfId="7533" xr:uid="{64A3CBE3-9A6E-4A06-B797-C182E33BE65A}"/>
    <cellStyle name="Normal 34 7" xfId="5832" xr:uid="{671DCF2E-D662-47D8-9EC0-7026CC0E32E6}"/>
    <cellStyle name="Normal 34_DEO ADIT Unprotected" xfId="3337" xr:uid="{6C5EED96-476D-4DAD-A587-E23B89258577}"/>
    <cellStyle name="Normal 35" xfId="1239" xr:uid="{00000000-0005-0000-0000-0000D7050000}"/>
    <cellStyle name="Normal 35 2" xfId="1240" xr:uid="{00000000-0005-0000-0000-0000D8050000}"/>
    <cellStyle name="Normal 35_DEO ADIT Unprotected" xfId="3353" xr:uid="{AFE2906B-47AB-4BE3-A0D6-CB9A75C43BBA}"/>
    <cellStyle name="Normal 36" xfId="1241" xr:uid="{00000000-0005-0000-0000-0000D9050000}"/>
    <cellStyle name="Normal 36 2" xfId="1242" xr:uid="{00000000-0005-0000-0000-0000DA050000}"/>
    <cellStyle name="Normal 36_DEO ADIT Unprotected" xfId="3354" xr:uid="{3842BA19-4169-4EF5-8158-F8C9974E13B6}"/>
    <cellStyle name="Normal 37" xfId="1243" xr:uid="{00000000-0005-0000-0000-0000DB050000}"/>
    <cellStyle name="Normal 37 2" xfId="1244" xr:uid="{00000000-0005-0000-0000-0000DC050000}"/>
    <cellStyle name="Normal 37_DEO ADIT Unprotected" xfId="3355" xr:uid="{7EABA707-F50C-4FA0-953C-9B979CCC0CBD}"/>
    <cellStyle name="Normal 38" xfId="1245" xr:uid="{00000000-0005-0000-0000-0000DD050000}"/>
    <cellStyle name="Normal 38 2" xfId="1246" xr:uid="{00000000-0005-0000-0000-0000DE050000}"/>
    <cellStyle name="Normal 38_DEO ADIT Unprotected" xfId="3356" xr:uid="{F5395630-26D8-416A-BFF3-84BD1941A83F}"/>
    <cellStyle name="Normal 39" xfId="1247" xr:uid="{00000000-0005-0000-0000-0000DF050000}"/>
    <cellStyle name="Normal 39 2" xfId="1248" xr:uid="{00000000-0005-0000-0000-0000E0050000}"/>
    <cellStyle name="Normal 39_DEO ADIT Unprotected" xfId="3357" xr:uid="{2F699B3E-7C57-42B5-8FFB-FE9EA232F0E4}"/>
    <cellStyle name="Normal 4" xfId="179" xr:uid="{00000000-0005-0000-0000-0000E1050000}"/>
    <cellStyle name="Normal 4 2" xfId="180" xr:uid="{00000000-0005-0000-0000-0000E2050000}"/>
    <cellStyle name="Normal 4 2 2" xfId="433" xr:uid="{00000000-0005-0000-0000-0000E3050000}"/>
    <cellStyle name="Normal 4 2_DEO ADIT Unprotected" xfId="3358" xr:uid="{77AF73E7-F911-4374-AD69-56E5E57F04D1}"/>
    <cellStyle name="Normal 4 3" xfId="1249" xr:uid="{00000000-0005-0000-0000-0000E4050000}"/>
    <cellStyle name="Normal 4 3 2" xfId="2168" xr:uid="{00000000-0005-0000-0000-0000E5050000}"/>
    <cellStyle name="Normal 4 3 2 2" xfId="5418" xr:uid="{F18E0CD7-EA51-4205-92B7-A7546C6560F1}"/>
    <cellStyle name="Normal 4 3 2 2 2" xfId="8798" xr:uid="{755DBC75-7FDA-4BB7-BB24-037A4E1BE098}"/>
    <cellStyle name="Normal 4 3 2 3" xfId="7098" xr:uid="{D13015F2-D839-4350-B6E6-5D8A2EBB19EF}"/>
    <cellStyle name="Normal 4 3 2_DEO ADIT Unprotected" xfId="3360" xr:uid="{37954862-AC8D-49CA-94CE-9EF33DAE5C30}"/>
    <cellStyle name="Normal 4 3 3" xfId="4581" xr:uid="{5B55C43C-C761-4272-B5C4-9DF9805F44FA}"/>
    <cellStyle name="Normal 4 3 3 2" xfId="7961" xr:uid="{10587DCC-7FFA-4BDB-82B4-FB3D0BCC7E3E}"/>
    <cellStyle name="Normal 4 3 4" xfId="6261" xr:uid="{A9E17CEF-7A46-4471-AD1C-2518B093E2B5}"/>
    <cellStyle name="Normal 4 3_DEO ADIT Unprotected" xfId="3359" xr:uid="{431C687D-86E8-4927-A94A-8FFEB846363B}"/>
    <cellStyle name="Normal 4 4" xfId="1250" xr:uid="{00000000-0005-0000-0000-0000E6050000}"/>
    <cellStyle name="Normal 4 4 2" xfId="2169" xr:uid="{00000000-0005-0000-0000-0000E7050000}"/>
    <cellStyle name="Normal 4 4 2 2" xfId="5419" xr:uid="{2B062299-6958-4926-B2BB-22562F5C569D}"/>
    <cellStyle name="Normal 4 4 2 2 2" xfId="8799" xr:uid="{1C3C342F-EB3A-45AF-BCBC-3A3DA820FD2F}"/>
    <cellStyle name="Normal 4 4 2 3" xfId="7099" xr:uid="{49BCBC5C-9305-478F-BB97-1DC5F491D9D4}"/>
    <cellStyle name="Normal 4 4 2_DEO ADIT Unprotected" xfId="3362" xr:uid="{8B1CCE7F-2D76-4091-B816-51DD28C8BC48}"/>
    <cellStyle name="Normal 4 4 3" xfId="4582" xr:uid="{FBD836E7-E128-45DD-BAE9-137D13679F1A}"/>
    <cellStyle name="Normal 4 4 3 2" xfId="7962" xr:uid="{C718FDD8-B005-45B1-A534-45353E50BA4D}"/>
    <cellStyle name="Normal 4 4 4" xfId="6262" xr:uid="{795D5E6B-BBF4-488B-8C4B-0F436BF426A4}"/>
    <cellStyle name="Normal 4 4_DEO ADIT Unprotected" xfId="3361" xr:uid="{E449A02B-041F-4E83-B0BE-6F8B6BF7D850}"/>
    <cellStyle name="Normal 4_ITC-Great Plains Heintz 6-24-08a" xfId="181" xr:uid="{00000000-0005-0000-0000-0000E8050000}"/>
    <cellStyle name="Normal 40" xfId="1251" xr:uid="{00000000-0005-0000-0000-0000E9050000}"/>
    <cellStyle name="Normal 40 2" xfId="1252" xr:uid="{00000000-0005-0000-0000-0000EA050000}"/>
    <cellStyle name="Normal 40_DEO ADIT Unprotected" xfId="3363" xr:uid="{4A77B941-6557-427A-B1D8-0C1472FFB817}"/>
    <cellStyle name="Normal 41" xfId="1253" xr:uid="{00000000-0005-0000-0000-0000EB050000}"/>
    <cellStyle name="Normal 42" xfId="1254" xr:uid="{00000000-0005-0000-0000-0000EC050000}"/>
    <cellStyle name="Normal 42 2" xfId="1255" xr:uid="{00000000-0005-0000-0000-0000ED050000}"/>
    <cellStyle name="Normal 42 2 2" xfId="1256" xr:uid="{00000000-0005-0000-0000-0000EE050000}"/>
    <cellStyle name="Normal 42 2 2 2" xfId="1257" xr:uid="{00000000-0005-0000-0000-0000EF050000}"/>
    <cellStyle name="Normal 42 2 2 2 2" xfId="2173" xr:uid="{00000000-0005-0000-0000-0000F0050000}"/>
    <cellStyle name="Normal 42 2 2 2 2 2" xfId="5423" xr:uid="{665368AC-0233-447A-882F-3042BD316D4C}"/>
    <cellStyle name="Normal 42 2 2 2 2 2 2" xfId="8803" xr:uid="{C37DFD63-9A35-4216-B376-41805E2A3A43}"/>
    <cellStyle name="Normal 42 2 2 2 2 3" xfId="7103" xr:uid="{22EE2630-9E48-47AD-88FA-2CEC8E2B92DA}"/>
    <cellStyle name="Normal 42 2 2 2 2_DEO ADIT Unprotected" xfId="3368" xr:uid="{73596274-3EF4-490D-92FC-D589367F9953}"/>
    <cellStyle name="Normal 42 2 2 2 3" xfId="4586" xr:uid="{AE06A80F-E3EC-4FFB-860A-24E7C768C9AA}"/>
    <cellStyle name="Normal 42 2 2 2 3 2" xfId="7966" xr:uid="{EAEBCD61-EFD9-46DB-A217-87E924DC5503}"/>
    <cellStyle name="Normal 42 2 2 2 4" xfId="6266" xr:uid="{E2AF5B50-CFD2-45C5-A1C3-0EE45C5BBEC2}"/>
    <cellStyle name="Normal 42 2 2 2_DEO ADIT Unprotected" xfId="3367" xr:uid="{0BF8C651-DB12-4619-9FD1-1209A3F266F4}"/>
    <cellStyle name="Normal 42 2 2 3" xfId="2172" xr:uid="{00000000-0005-0000-0000-0000F1050000}"/>
    <cellStyle name="Normal 42 2 2 3 2" xfId="5422" xr:uid="{9EFA3160-2E40-4D61-883C-67BE5C39015E}"/>
    <cellStyle name="Normal 42 2 2 3 2 2" xfId="8802" xr:uid="{9557ADC4-49B0-4245-944A-366EACAD1FFF}"/>
    <cellStyle name="Normal 42 2 2 3 3" xfId="7102" xr:uid="{55CA32D3-5887-4351-AB14-C484817FA6FC}"/>
    <cellStyle name="Normal 42 2 2 3_DEO ADIT Unprotected" xfId="3369" xr:uid="{E85358A6-C874-4A94-AF85-2236A018E975}"/>
    <cellStyle name="Normal 42 2 2 4" xfId="4585" xr:uid="{751929F3-37AA-4926-AFE4-3C59239F9556}"/>
    <cellStyle name="Normal 42 2 2 4 2" xfId="7965" xr:uid="{11623915-3512-4B61-ABED-482A799B230D}"/>
    <cellStyle name="Normal 42 2 2 5" xfId="6265" xr:uid="{10076388-E056-496E-B816-C5734F89ACB6}"/>
    <cellStyle name="Normal 42 2 2_DEO ADIT Unprotected" xfId="3366" xr:uid="{B37A691B-D3C0-4105-AA14-3F1756160E47}"/>
    <cellStyle name="Normal 42 2 3" xfId="1258" xr:uid="{00000000-0005-0000-0000-0000F2050000}"/>
    <cellStyle name="Normal 42 2 3 2" xfId="2174" xr:uid="{00000000-0005-0000-0000-0000F3050000}"/>
    <cellStyle name="Normal 42 2 3 2 2" xfId="5424" xr:uid="{4F108746-5EB5-4574-977B-F20CEFAFD725}"/>
    <cellStyle name="Normal 42 2 3 2 2 2" xfId="8804" xr:uid="{56376BD9-BE9D-4473-B07C-F868F0973D70}"/>
    <cellStyle name="Normal 42 2 3 2 3" xfId="7104" xr:uid="{23309C1F-43D3-40C3-B447-A65DCB73295B}"/>
    <cellStyle name="Normal 42 2 3 2_DEO ADIT Unprotected" xfId="3371" xr:uid="{CF1F39D5-3E40-4C62-B853-0B6985658FD6}"/>
    <cellStyle name="Normal 42 2 3 3" xfId="4587" xr:uid="{2CDDAC82-F7C8-4AC5-A9B1-4BE9AECE7E65}"/>
    <cellStyle name="Normal 42 2 3 3 2" xfId="7967" xr:uid="{F3B23342-4C91-404E-B359-543BD5CDA639}"/>
    <cellStyle name="Normal 42 2 3 4" xfId="6267" xr:uid="{967EA22F-4260-4A08-8683-FD6CE079A09D}"/>
    <cellStyle name="Normal 42 2 3_DEO ADIT Unprotected" xfId="3370" xr:uid="{653AE494-49BA-4214-A995-A36801342488}"/>
    <cellStyle name="Normal 42 2 4" xfId="2171" xr:uid="{00000000-0005-0000-0000-0000F4050000}"/>
    <cellStyle name="Normal 42 2 4 2" xfId="5421" xr:uid="{353FC5AF-D6B0-4BF9-8566-58E9BCF473E5}"/>
    <cellStyle name="Normal 42 2 4 2 2" xfId="8801" xr:uid="{52F17E42-043D-4CBF-B00E-BC3C9C1E3058}"/>
    <cellStyle name="Normal 42 2 4 3" xfId="7101" xr:uid="{FCCDB21E-B814-4894-9A5C-38C9C4A9F882}"/>
    <cellStyle name="Normal 42 2 4_DEO ADIT Unprotected" xfId="3372" xr:uid="{75D46724-E897-40CD-8020-65DB76722C4B}"/>
    <cellStyle name="Normal 42 2 5" xfId="4584" xr:uid="{643CFF2F-A290-4117-A44B-73FB55A1CC35}"/>
    <cellStyle name="Normal 42 2 5 2" xfId="7964" xr:uid="{1E5D3BAA-E461-46DF-B5C0-7F43269207CB}"/>
    <cellStyle name="Normal 42 2 6" xfId="6264" xr:uid="{1A89941D-70E6-4AE0-81BF-74AF33464110}"/>
    <cellStyle name="Normal 42 2_DEO ADIT Unprotected" xfId="3365" xr:uid="{C378791B-35DE-4AB9-A8D4-B0EC66D93AE9}"/>
    <cellStyle name="Normal 42 3" xfId="1259" xr:uid="{00000000-0005-0000-0000-0000F5050000}"/>
    <cellStyle name="Normal 42 3 2" xfId="1260" xr:uid="{00000000-0005-0000-0000-0000F6050000}"/>
    <cellStyle name="Normal 42 3 2 2" xfId="2176" xr:uid="{00000000-0005-0000-0000-0000F7050000}"/>
    <cellStyle name="Normal 42 3 2 2 2" xfId="5426" xr:uid="{6F5738BF-9832-4748-A751-6367D5EA026A}"/>
    <cellStyle name="Normal 42 3 2 2 2 2" xfId="8806" xr:uid="{37469BF6-669F-4E61-A823-5B524E1413BB}"/>
    <cellStyle name="Normal 42 3 2 2 3" xfId="7106" xr:uid="{7D6D95A8-18B0-4067-AF60-9E062DFF9DA1}"/>
    <cellStyle name="Normal 42 3 2 2_DEO ADIT Unprotected" xfId="3375" xr:uid="{F0C57065-E25B-47A1-B322-FDC970DE3FA8}"/>
    <cellStyle name="Normal 42 3 2 3" xfId="4589" xr:uid="{D8ADD317-3301-4CE8-9A5C-B5DA4E27F1A6}"/>
    <cellStyle name="Normal 42 3 2 3 2" xfId="7969" xr:uid="{884B15EF-81B6-405D-9569-DA3D807C50BB}"/>
    <cellStyle name="Normal 42 3 2 4" xfId="6269" xr:uid="{B901DDD2-BAAE-4391-AE18-BC54700F716F}"/>
    <cellStyle name="Normal 42 3 2_DEO ADIT Unprotected" xfId="3374" xr:uid="{9C136ADA-9EFB-42A4-891F-AB31366F798B}"/>
    <cellStyle name="Normal 42 3 3" xfId="2175" xr:uid="{00000000-0005-0000-0000-0000F8050000}"/>
    <cellStyle name="Normal 42 3 3 2" xfId="5425" xr:uid="{631B30DE-2375-4DE3-846B-CEA8849A894B}"/>
    <cellStyle name="Normal 42 3 3 2 2" xfId="8805" xr:uid="{0A3EEDA8-7306-4170-907D-4F415BFA164E}"/>
    <cellStyle name="Normal 42 3 3 3" xfId="7105" xr:uid="{CB2DD5C0-F3B4-4FA7-8B30-56A2C85246E5}"/>
    <cellStyle name="Normal 42 3 3_DEO ADIT Unprotected" xfId="3376" xr:uid="{F6D77C20-4A35-4B78-98D7-7CF29A563BBE}"/>
    <cellStyle name="Normal 42 3 4" xfId="4588" xr:uid="{14BFE162-E1D1-49E6-B4A5-21F3AC8DECE8}"/>
    <cellStyle name="Normal 42 3 4 2" xfId="7968" xr:uid="{03FF4270-B3B6-49FB-BED9-3EE91C5549AD}"/>
    <cellStyle name="Normal 42 3 5" xfId="6268" xr:uid="{E70606CC-2A3C-4ED2-82B4-1717358290FF}"/>
    <cellStyle name="Normal 42 3_DEO ADIT Unprotected" xfId="3373" xr:uid="{2C9F3010-E820-477E-A1B0-272239C0B497}"/>
    <cellStyle name="Normal 42 4" xfId="1261" xr:uid="{00000000-0005-0000-0000-0000F9050000}"/>
    <cellStyle name="Normal 42 4 2" xfId="2177" xr:uid="{00000000-0005-0000-0000-0000FA050000}"/>
    <cellStyle name="Normal 42 4 2 2" xfId="5427" xr:uid="{762439EC-7A62-4382-ACF4-F85EA6DCF59D}"/>
    <cellStyle name="Normal 42 4 2 2 2" xfId="8807" xr:uid="{4F53C188-D1A4-4C99-84FE-004C29B84B29}"/>
    <cellStyle name="Normal 42 4 2 3" xfId="7107" xr:uid="{046D132B-6D6B-49D9-9872-4F03209A019C}"/>
    <cellStyle name="Normal 42 4 2_DEO ADIT Unprotected" xfId="3378" xr:uid="{1BFF3029-DDAE-4DA5-B9F0-43686AED0A33}"/>
    <cellStyle name="Normal 42 4 3" xfId="4590" xr:uid="{31983A71-25AB-4A1E-B7E3-5BF983209396}"/>
    <cellStyle name="Normal 42 4 3 2" xfId="7970" xr:uid="{5FE1605D-0C6D-4F31-9A8D-B692274B4D6E}"/>
    <cellStyle name="Normal 42 4 4" xfId="6270" xr:uid="{537DC4F1-08F3-41DA-BEEE-A783303A145E}"/>
    <cellStyle name="Normal 42 4_DEO ADIT Unprotected" xfId="3377" xr:uid="{CA8DF689-9895-4A07-AAB9-7D469781FE9D}"/>
    <cellStyle name="Normal 42 5" xfId="2170" xr:uid="{00000000-0005-0000-0000-0000FB050000}"/>
    <cellStyle name="Normal 42 5 2" xfId="5420" xr:uid="{F1E7B884-BCE2-45E8-9A82-0B2889597FDE}"/>
    <cellStyle name="Normal 42 5 2 2" xfId="8800" xr:uid="{3F359B0F-9C5B-42D6-B8B0-C43087501713}"/>
    <cellStyle name="Normal 42 5 3" xfId="7100" xr:uid="{172AB509-2D2C-4C06-9C3C-0847BE33616D}"/>
    <cellStyle name="Normal 42 5_DEO ADIT Unprotected" xfId="3379" xr:uid="{4D63F535-B4B9-4207-9FBA-560B79FBE89E}"/>
    <cellStyle name="Normal 42 6" xfId="4583" xr:uid="{429662BF-109E-463E-9728-AAB67C66774F}"/>
    <cellStyle name="Normal 42 6 2" xfId="7963" xr:uid="{19FF9561-820E-4DD2-B36A-0A225F1CE8A2}"/>
    <cellStyle name="Normal 42 7" xfId="6263" xr:uid="{0F03CE9B-0125-453C-940E-FD62A4BF0D0E}"/>
    <cellStyle name="Normal 42_DEO ADIT Unprotected" xfId="3364" xr:uid="{6EF64B3F-7385-4D1E-A637-BD5B52E41BB9}"/>
    <cellStyle name="Normal 43" xfId="1262" xr:uid="{00000000-0005-0000-0000-0000FC050000}"/>
    <cellStyle name="Normal 43 2" xfId="1263" xr:uid="{00000000-0005-0000-0000-0000FD050000}"/>
    <cellStyle name="Normal 43 2 2" xfId="1264" xr:uid="{00000000-0005-0000-0000-0000FE050000}"/>
    <cellStyle name="Normal 43 2 2 2" xfId="1265" xr:uid="{00000000-0005-0000-0000-0000FF050000}"/>
    <cellStyle name="Normal 43 2 2 2 2" xfId="2181" xr:uid="{00000000-0005-0000-0000-000000060000}"/>
    <cellStyle name="Normal 43 2 2 2 2 2" xfId="5431" xr:uid="{241A28DA-0DD4-4121-AAD4-29526332D036}"/>
    <cellStyle name="Normal 43 2 2 2 2 2 2" xfId="8811" xr:uid="{B554A434-3608-4C8A-B8F6-119B7F713542}"/>
    <cellStyle name="Normal 43 2 2 2 2 3" xfId="7111" xr:uid="{9ED670A3-EB1C-461D-B969-CAD7F6CA07C7}"/>
    <cellStyle name="Normal 43 2 2 2 2_DEO ADIT Unprotected" xfId="3384" xr:uid="{3A4FDCCC-324C-4067-905F-9F83EB436A32}"/>
    <cellStyle name="Normal 43 2 2 2 3" xfId="4594" xr:uid="{E169A95A-6A10-4D1E-8F60-06BE51EEF195}"/>
    <cellStyle name="Normal 43 2 2 2 3 2" xfId="7974" xr:uid="{A653D7CF-F0D0-42F9-80A8-9C75983F054F}"/>
    <cellStyle name="Normal 43 2 2 2 4" xfId="6274" xr:uid="{4207A91A-7FF0-487C-9F70-7933E1CC25C6}"/>
    <cellStyle name="Normal 43 2 2 2_DEO ADIT Unprotected" xfId="3383" xr:uid="{2CAF14F5-35D0-412F-89D7-8FA0D9863A4B}"/>
    <cellStyle name="Normal 43 2 2 3" xfId="2180" xr:uid="{00000000-0005-0000-0000-000001060000}"/>
    <cellStyle name="Normal 43 2 2 3 2" xfId="5430" xr:uid="{6211EDC7-27E8-46CB-B2C1-95A3F672171C}"/>
    <cellStyle name="Normal 43 2 2 3 2 2" xfId="8810" xr:uid="{E4832818-6CD9-4DF5-96A4-49EF9ED30F3C}"/>
    <cellStyle name="Normal 43 2 2 3 3" xfId="7110" xr:uid="{E108908B-CC63-448F-A519-EA2BC335F9A4}"/>
    <cellStyle name="Normal 43 2 2 3_DEO ADIT Unprotected" xfId="3385" xr:uid="{29D25890-C923-435B-A3B1-27FACF168B44}"/>
    <cellStyle name="Normal 43 2 2 4" xfId="4593" xr:uid="{06A650C8-07BF-4157-941B-37ED710EC17A}"/>
    <cellStyle name="Normal 43 2 2 4 2" xfId="7973" xr:uid="{CA4CEF4F-AC21-4913-9C56-61B61CECA346}"/>
    <cellStyle name="Normal 43 2 2 5" xfId="6273" xr:uid="{89468490-C204-454D-B275-FA1EE8F5E5E5}"/>
    <cellStyle name="Normal 43 2 2_DEO ADIT Unprotected" xfId="3382" xr:uid="{E4D5F958-592F-45F8-9290-25F162F3931B}"/>
    <cellStyle name="Normal 43 2 3" xfId="1266" xr:uid="{00000000-0005-0000-0000-000002060000}"/>
    <cellStyle name="Normal 43 2 3 2" xfId="2182" xr:uid="{00000000-0005-0000-0000-000003060000}"/>
    <cellStyle name="Normal 43 2 3 2 2" xfId="5432" xr:uid="{2479BE26-1773-4527-B7FE-00226D79CCF5}"/>
    <cellStyle name="Normal 43 2 3 2 2 2" xfId="8812" xr:uid="{B38FB852-0B8F-423E-B4CD-C43E0F87B044}"/>
    <cellStyle name="Normal 43 2 3 2 3" xfId="7112" xr:uid="{740DC4A0-B902-4F43-A4E6-028E9A111AAF}"/>
    <cellStyle name="Normal 43 2 3 2_DEO ADIT Unprotected" xfId="3387" xr:uid="{0E8FFEAA-515E-4674-A60A-339A5A9BA93E}"/>
    <cellStyle name="Normal 43 2 3 3" xfId="4595" xr:uid="{C7FFE379-307D-4902-943A-FFB1C930E718}"/>
    <cellStyle name="Normal 43 2 3 3 2" xfId="7975" xr:uid="{B46F851B-296D-4ABF-8784-A841B6665212}"/>
    <cellStyle name="Normal 43 2 3 4" xfId="6275" xr:uid="{558E6830-FDA2-4675-8F8B-B9263B89BC38}"/>
    <cellStyle name="Normal 43 2 3_DEO ADIT Unprotected" xfId="3386" xr:uid="{9FD1E487-58FC-451B-A595-CA0128BB0336}"/>
    <cellStyle name="Normal 43 2 4" xfId="2179" xr:uid="{00000000-0005-0000-0000-000004060000}"/>
    <cellStyle name="Normal 43 2 4 2" xfId="5429" xr:uid="{16EB254E-D12E-460C-B719-7C67096A8646}"/>
    <cellStyle name="Normal 43 2 4 2 2" xfId="8809" xr:uid="{2E9896BA-F492-4545-B4CB-363753F338DC}"/>
    <cellStyle name="Normal 43 2 4 3" xfId="7109" xr:uid="{2ABF30C1-6151-4E00-8BEB-9182B25BE77D}"/>
    <cellStyle name="Normal 43 2 4_DEO ADIT Unprotected" xfId="3388" xr:uid="{62E410D7-9CF8-4D82-900A-750519E6C717}"/>
    <cellStyle name="Normal 43 2 5" xfId="4592" xr:uid="{13ADB9B2-C8B8-4212-9C42-B4A4DB9B1DEB}"/>
    <cellStyle name="Normal 43 2 5 2" xfId="7972" xr:uid="{24BE196A-C868-43FA-A035-D7B4F5B751AC}"/>
    <cellStyle name="Normal 43 2 6" xfId="6272" xr:uid="{1F520778-F416-41B3-9134-D6268F263CE0}"/>
    <cellStyle name="Normal 43 2_DEO ADIT Unprotected" xfId="3381" xr:uid="{7C168E96-4F42-4B98-BEE4-0921DFE67340}"/>
    <cellStyle name="Normal 43 3" xfId="1267" xr:uid="{00000000-0005-0000-0000-000005060000}"/>
    <cellStyle name="Normal 43 3 2" xfId="1268" xr:uid="{00000000-0005-0000-0000-000006060000}"/>
    <cellStyle name="Normal 43 3 2 2" xfId="2184" xr:uid="{00000000-0005-0000-0000-000007060000}"/>
    <cellStyle name="Normal 43 3 2 2 2" xfId="5434" xr:uid="{971AE731-2A50-422D-9EC3-FDEF933AEBBA}"/>
    <cellStyle name="Normal 43 3 2 2 2 2" xfId="8814" xr:uid="{6739F553-27A9-4CB8-8670-F48A742DE940}"/>
    <cellStyle name="Normal 43 3 2 2 3" xfId="7114" xr:uid="{F9CC6DAE-D67E-405D-919E-8AE3A8962DAA}"/>
    <cellStyle name="Normal 43 3 2 2_DEO ADIT Unprotected" xfId="3391" xr:uid="{3D24EDAE-28F9-4F2F-9A25-926AE557F47A}"/>
    <cellStyle name="Normal 43 3 2 3" xfId="4597" xr:uid="{93EC156D-8F83-484E-A26C-81E41FE4AA8A}"/>
    <cellStyle name="Normal 43 3 2 3 2" xfId="7977" xr:uid="{1E9B0DC8-AD38-465D-A5A1-4506BAD355E6}"/>
    <cellStyle name="Normal 43 3 2 4" xfId="6277" xr:uid="{CDD7E129-C69B-40A7-BC3F-808FBF24FADA}"/>
    <cellStyle name="Normal 43 3 2_DEO ADIT Unprotected" xfId="3390" xr:uid="{6816796F-4404-4E71-8634-CF119F26046B}"/>
    <cellStyle name="Normal 43 3 3" xfId="2183" xr:uid="{00000000-0005-0000-0000-000008060000}"/>
    <cellStyle name="Normal 43 3 3 2" xfId="5433" xr:uid="{8A849255-D079-4F12-87F4-E335305AF2FE}"/>
    <cellStyle name="Normal 43 3 3 2 2" xfId="8813" xr:uid="{D7C64689-AC57-42CE-9E6E-E0E5DC1BE824}"/>
    <cellStyle name="Normal 43 3 3 3" xfId="7113" xr:uid="{C200445A-0DAD-4A4A-8D53-E89CFF99A4C5}"/>
    <cellStyle name="Normal 43 3 3_DEO ADIT Unprotected" xfId="3392" xr:uid="{D412B352-BCD3-4923-8790-CD0CBAFF6A4F}"/>
    <cellStyle name="Normal 43 3 4" xfId="4596" xr:uid="{23507DAE-F06F-49C5-BCB8-B5700743C350}"/>
    <cellStyle name="Normal 43 3 4 2" xfId="7976" xr:uid="{28388A77-9D07-4B5C-B21F-749171AF5EE9}"/>
    <cellStyle name="Normal 43 3 5" xfId="6276" xr:uid="{187F7EE1-59B5-4F81-A17C-A2A0A3150DDB}"/>
    <cellStyle name="Normal 43 3_DEO ADIT Unprotected" xfId="3389" xr:uid="{BB8F8886-D090-47D5-8C87-49674D0B5A63}"/>
    <cellStyle name="Normal 43 4" xfId="1269" xr:uid="{00000000-0005-0000-0000-000009060000}"/>
    <cellStyle name="Normal 43 4 2" xfId="2185" xr:uid="{00000000-0005-0000-0000-00000A060000}"/>
    <cellStyle name="Normal 43 4 2 2" xfId="5435" xr:uid="{D442DBD0-7135-446F-B627-D1F645B34D4B}"/>
    <cellStyle name="Normal 43 4 2 2 2" xfId="8815" xr:uid="{A36C38DE-6784-4EF4-B9D2-480E73E176FB}"/>
    <cellStyle name="Normal 43 4 2 3" xfId="7115" xr:uid="{7D70111C-55A7-45C9-A3D0-2400DCC7F469}"/>
    <cellStyle name="Normal 43 4 2_DEO ADIT Unprotected" xfId="3394" xr:uid="{8B30C48D-04D6-4B5C-B39E-5F84D173EC07}"/>
    <cellStyle name="Normal 43 4 3" xfId="4598" xr:uid="{F763E069-28E8-415B-9CDB-9B186E3C84CE}"/>
    <cellStyle name="Normal 43 4 3 2" xfId="7978" xr:uid="{FBB3280B-1487-4194-91BA-0A3C2A6C7768}"/>
    <cellStyle name="Normal 43 4 4" xfId="6278" xr:uid="{7EAB05F0-DA38-41CA-AAB0-9A902CDEF348}"/>
    <cellStyle name="Normal 43 4_DEO ADIT Unprotected" xfId="3393" xr:uid="{C289C8A8-69F7-44FC-87FD-27CF80FBAF79}"/>
    <cellStyle name="Normal 43 5" xfId="2178" xr:uid="{00000000-0005-0000-0000-00000B060000}"/>
    <cellStyle name="Normal 43 5 2" xfId="5428" xr:uid="{926558F2-9B3D-4CB0-8723-81AA55B577BD}"/>
    <cellStyle name="Normal 43 5 2 2" xfId="8808" xr:uid="{89D0431F-A0DE-441B-81A4-6C82CBE23456}"/>
    <cellStyle name="Normal 43 5 3" xfId="7108" xr:uid="{43A64854-BCD4-42DE-8CDD-C2B2BDED1706}"/>
    <cellStyle name="Normal 43 5_DEO ADIT Unprotected" xfId="3395" xr:uid="{7C1A5DA4-43E2-4E79-898B-829F8D843978}"/>
    <cellStyle name="Normal 43 6" xfId="4591" xr:uid="{E91D691C-D9EB-4C45-A507-155A45AD4480}"/>
    <cellStyle name="Normal 43 6 2" xfId="7971" xr:uid="{1FD1EE2C-AF90-46AA-A62B-C393D7362E1D}"/>
    <cellStyle name="Normal 43 7" xfId="6271" xr:uid="{4BB00E6D-B270-46D4-906C-C2210C73984C}"/>
    <cellStyle name="Normal 43_DEO ADIT Unprotected" xfId="3380" xr:uid="{7C4A8E76-A220-442E-AC47-893A55FA0FEF}"/>
    <cellStyle name="Normal 44" xfId="1270" xr:uid="{00000000-0005-0000-0000-00000C060000}"/>
    <cellStyle name="Normal 44 2" xfId="1271" xr:uid="{00000000-0005-0000-0000-00000D060000}"/>
    <cellStyle name="Normal 44 2 2" xfId="1272" xr:uid="{00000000-0005-0000-0000-00000E060000}"/>
    <cellStyle name="Normal 44 2 2 2" xfId="1273" xr:uid="{00000000-0005-0000-0000-00000F060000}"/>
    <cellStyle name="Normal 44 2 2 2 2" xfId="2189" xr:uid="{00000000-0005-0000-0000-000010060000}"/>
    <cellStyle name="Normal 44 2 2 2 2 2" xfId="5439" xr:uid="{369AD9B6-4B57-4865-8E78-6FEF16C1B01E}"/>
    <cellStyle name="Normal 44 2 2 2 2 2 2" xfId="8819" xr:uid="{0229307F-8FEC-436F-8022-133CA620400D}"/>
    <cellStyle name="Normal 44 2 2 2 2 3" xfId="7119" xr:uid="{55430C3F-535B-4707-B919-53201EAA8F13}"/>
    <cellStyle name="Normal 44 2 2 2 2_DEO ADIT Unprotected" xfId="3400" xr:uid="{E310A4E2-AF49-403B-A16E-DB9E6450780B}"/>
    <cellStyle name="Normal 44 2 2 2 3" xfId="4602" xr:uid="{7A3CAB2F-5B6C-4145-9870-9F38C74C62AD}"/>
    <cellStyle name="Normal 44 2 2 2 3 2" xfId="7982" xr:uid="{396666C9-8EC0-47BB-A7C8-6310690EED02}"/>
    <cellStyle name="Normal 44 2 2 2 4" xfId="6282" xr:uid="{E852B698-3E27-4AEB-A471-AA0E09C2E759}"/>
    <cellStyle name="Normal 44 2 2 2_DEO ADIT Unprotected" xfId="3399" xr:uid="{2004AC2C-4D63-48F9-BA20-F465FBFE0866}"/>
    <cellStyle name="Normal 44 2 2 3" xfId="2188" xr:uid="{00000000-0005-0000-0000-000011060000}"/>
    <cellStyle name="Normal 44 2 2 3 2" xfId="5438" xr:uid="{EB8A4F46-F3BC-4062-B904-7F97826E5EBC}"/>
    <cellStyle name="Normal 44 2 2 3 2 2" xfId="8818" xr:uid="{47EF9A9E-043C-4066-A0C2-F562E9CA569A}"/>
    <cellStyle name="Normal 44 2 2 3 3" xfId="7118" xr:uid="{2235C7FC-333A-45A6-BB26-D039B4702618}"/>
    <cellStyle name="Normal 44 2 2 3_DEO ADIT Unprotected" xfId="3401" xr:uid="{9A829C62-B000-410C-99AF-EC3D3C98FB41}"/>
    <cellStyle name="Normal 44 2 2 4" xfId="4601" xr:uid="{1792527A-C6BD-4E4B-8DCE-64710A34E498}"/>
    <cellStyle name="Normal 44 2 2 4 2" xfId="7981" xr:uid="{407A902D-E86D-4992-A788-A485B34A93BA}"/>
    <cellStyle name="Normal 44 2 2 5" xfId="6281" xr:uid="{DE49840B-8E4C-4147-8C73-0493EAA12814}"/>
    <cellStyle name="Normal 44 2 2_DEO ADIT Unprotected" xfId="3398" xr:uid="{A3913A45-BAF1-4C18-B103-6111390A8C98}"/>
    <cellStyle name="Normal 44 2 3" xfId="1274" xr:uid="{00000000-0005-0000-0000-000012060000}"/>
    <cellStyle name="Normal 44 2 3 2" xfId="2190" xr:uid="{00000000-0005-0000-0000-000013060000}"/>
    <cellStyle name="Normal 44 2 3 2 2" xfId="5440" xr:uid="{B9600DC6-8A80-4950-9FCE-C4C3A19DD570}"/>
    <cellStyle name="Normal 44 2 3 2 2 2" xfId="8820" xr:uid="{E16BF1A4-A44F-42D0-9C73-FA923F48A12D}"/>
    <cellStyle name="Normal 44 2 3 2 3" xfId="7120" xr:uid="{DE1CB9F0-DF8B-4FF9-8A71-802DC1A557B1}"/>
    <cellStyle name="Normal 44 2 3 2_DEO ADIT Unprotected" xfId="3403" xr:uid="{ADC316F9-EA17-4F97-B441-AA70FF9806B7}"/>
    <cellStyle name="Normal 44 2 3 3" xfId="4603" xr:uid="{CF43E967-5023-4AB1-A787-A95EEB8B2EDE}"/>
    <cellStyle name="Normal 44 2 3 3 2" xfId="7983" xr:uid="{189A0F83-F232-4655-9F3D-8D69B156EB44}"/>
    <cellStyle name="Normal 44 2 3 4" xfId="6283" xr:uid="{B7F466A5-F3A3-450B-B42D-6CB68858457E}"/>
    <cellStyle name="Normal 44 2 3_DEO ADIT Unprotected" xfId="3402" xr:uid="{6F5366A8-7EA0-4C2F-BA42-9C72DD829979}"/>
    <cellStyle name="Normal 44 2 4" xfId="2187" xr:uid="{00000000-0005-0000-0000-000014060000}"/>
    <cellStyle name="Normal 44 2 4 2" xfId="5437" xr:uid="{CC0A98F0-5161-4FD7-9212-DF2F49BD79C4}"/>
    <cellStyle name="Normal 44 2 4 2 2" xfId="8817" xr:uid="{15B0EFB8-2D19-41A0-B45A-F154433F723E}"/>
    <cellStyle name="Normal 44 2 4 3" xfId="7117" xr:uid="{B6223BFA-4439-466A-9412-8E44CE5314FF}"/>
    <cellStyle name="Normal 44 2 4_DEO ADIT Unprotected" xfId="3404" xr:uid="{7732E481-A715-4E85-989A-F342933152DC}"/>
    <cellStyle name="Normal 44 2 5" xfId="4600" xr:uid="{CE077581-8A7D-44E4-829C-D394E588B8E6}"/>
    <cellStyle name="Normal 44 2 5 2" xfId="7980" xr:uid="{83AE402C-E14A-41EE-8A3C-FB40B5554ED0}"/>
    <cellStyle name="Normal 44 2 6" xfId="6280" xr:uid="{867A67C5-13CE-4B83-A6A1-5CAF29760ACF}"/>
    <cellStyle name="Normal 44 2_DEO ADIT Unprotected" xfId="3397" xr:uid="{1C3F3AB0-575A-43A9-8350-FC213FE5E70B}"/>
    <cellStyle name="Normal 44 3" xfId="1275" xr:uid="{00000000-0005-0000-0000-000015060000}"/>
    <cellStyle name="Normal 44 3 2" xfId="1276" xr:uid="{00000000-0005-0000-0000-000016060000}"/>
    <cellStyle name="Normal 44 3 2 2" xfId="2192" xr:uid="{00000000-0005-0000-0000-000017060000}"/>
    <cellStyle name="Normal 44 3 2 2 2" xfId="5442" xr:uid="{B5C08B34-33C0-4E72-8B95-29AFA5A03D91}"/>
    <cellStyle name="Normal 44 3 2 2 2 2" xfId="8822" xr:uid="{00567B34-D4F1-4FEF-90FC-EBF6C1AA943A}"/>
    <cellStyle name="Normal 44 3 2 2 3" xfId="7122" xr:uid="{83F1309D-761F-4514-87DB-48E2092777BB}"/>
    <cellStyle name="Normal 44 3 2 2_DEO ADIT Unprotected" xfId="3407" xr:uid="{28612655-C747-4F29-9DFB-249248C74B3D}"/>
    <cellStyle name="Normal 44 3 2 3" xfId="4605" xr:uid="{D6B0B3A6-E8E7-4ADE-B375-6BAE19816AB3}"/>
    <cellStyle name="Normal 44 3 2 3 2" xfId="7985" xr:uid="{F4495EA9-FF16-49C5-A595-86F36768F944}"/>
    <cellStyle name="Normal 44 3 2 4" xfId="6285" xr:uid="{782D914E-BE7A-4AF1-8068-7B85212B7830}"/>
    <cellStyle name="Normal 44 3 2_DEO ADIT Unprotected" xfId="3406" xr:uid="{18D9FDE2-D3EC-4A28-AAD9-E6FFBE3C8217}"/>
    <cellStyle name="Normal 44 3 3" xfId="2191" xr:uid="{00000000-0005-0000-0000-000018060000}"/>
    <cellStyle name="Normal 44 3 3 2" xfId="5441" xr:uid="{126B5E85-94EF-4B49-AC93-4ECAA5B45B81}"/>
    <cellStyle name="Normal 44 3 3 2 2" xfId="8821" xr:uid="{4A37DF19-0827-4633-927F-8E8A8365FB51}"/>
    <cellStyle name="Normal 44 3 3 3" xfId="7121" xr:uid="{449795E5-57CF-4951-A4E3-BECBD9E15D90}"/>
    <cellStyle name="Normal 44 3 3_DEO ADIT Unprotected" xfId="3408" xr:uid="{185EAC01-87B0-4D89-BCC1-31D4B3595843}"/>
    <cellStyle name="Normal 44 3 4" xfId="4604" xr:uid="{AC672E73-082B-4EA5-BAB5-7B7439A05A74}"/>
    <cellStyle name="Normal 44 3 4 2" xfId="7984" xr:uid="{B3D36751-0488-409D-A334-78682AB26532}"/>
    <cellStyle name="Normal 44 3 5" xfId="6284" xr:uid="{9C52324C-9754-4D28-8330-F030517B64F0}"/>
    <cellStyle name="Normal 44 3_DEO ADIT Unprotected" xfId="3405" xr:uid="{341FF12D-AC57-47C5-A55B-081B9D94A873}"/>
    <cellStyle name="Normal 44 4" xfId="1277" xr:uid="{00000000-0005-0000-0000-000019060000}"/>
    <cellStyle name="Normal 44 4 2" xfId="2193" xr:uid="{00000000-0005-0000-0000-00001A060000}"/>
    <cellStyle name="Normal 44 4 2 2" xfId="5443" xr:uid="{9D7E4FBF-F2BB-46E9-AB29-2524125D5084}"/>
    <cellStyle name="Normal 44 4 2 2 2" xfId="8823" xr:uid="{5E8E1586-8729-406F-9BF7-F1485921A5EF}"/>
    <cellStyle name="Normal 44 4 2 3" xfId="7123" xr:uid="{2346267B-E959-433B-B81C-4AF8ED349121}"/>
    <cellStyle name="Normal 44 4 2_DEO ADIT Unprotected" xfId="3410" xr:uid="{B2417483-C763-4595-9B9A-619E9A8F1FD8}"/>
    <cellStyle name="Normal 44 4 3" xfId="4606" xr:uid="{0A73E21E-5C4F-43A9-9E29-1F97309FE785}"/>
    <cellStyle name="Normal 44 4 3 2" xfId="7986" xr:uid="{9941E4CF-2734-43CF-9FE4-B2551B5E4479}"/>
    <cellStyle name="Normal 44 4 4" xfId="6286" xr:uid="{3071EA24-C590-41BA-BA36-11CB6171E001}"/>
    <cellStyle name="Normal 44 4_DEO ADIT Unprotected" xfId="3409" xr:uid="{9C19C5BA-227F-45AA-A1E7-79A15EE993F6}"/>
    <cellStyle name="Normal 44 5" xfId="2186" xr:uid="{00000000-0005-0000-0000-00001B060000}"/>
    <cellStyle name="Normal 44 5 2" xfId="5436" xr:uid="{C891759E-059A-447A-8FE6-2F52F43CD3EE}"/>
    <cellStyle name="Normal 44 5 2 2" xfId="8816" xr:uid="{6A30C7BA-1D3D-43DC-A066-850D6A7760BE}"/>
    <cellStyle name="Normal 44 5 3" xfId="7116" xr:uid="{DBC43BD8-74B8-4024-ACA3-97D05B8A4392}"/>
    <cellStyle name="Normal 44 5_DEO ADIT Unprotected" xfId="3411" xr:uid="{AE9CA1D1-0FFB-4961-90C1-2887FEB81AA0}"/>
    <cellStyle name="Normal 44 6" xfId="4599" xr:uid="{3A570600-299C-4A82-9C19-BC0F3B6B2C86}"/>
    <cellStyle name="Normal 44 6 2" xfId="7979" xr:uid="{4CB00C09-7CB4-4CD6-9663-2AE96AB19FB0}"/>
    <cellStyle name="Normal 44 7" xfId="6279" xr:uid="{595CFCBE-6373-4248-AFAF-E114EF63633B}"/>
    <cellStyle name="Normal 44_DEO ADIT Unprotected" xfId="3396" xr:uid="{F2FD9462-8801-4C2E-9FAE-7FE6D29AC025}"/>
    <cellStyle name="Normal 45" xfId="1278" xr:uid="{00000000-0005-0000-0000-00001C060000}"/>
    <cellStyle name="Normal 45 2" xfId="1279" xr:uid="{00000000-0005-0000-0000-00001D060000}"/>
    <cellStyle name="Normal 45 2 2" xfId="1280" xr:uid="{00000000-0005-0000-0000-00001E060000}"/>
    <cellStyle name="Normal 45 2 2 2" xfId="1281" xr:uid="{00000000-0005-0000-0000-00001F060000}"/>
    <cellStyle name="Normal 45 2 2 2 2" xfId="2197" xr:uid="{00000000-0005-0000-0000-000020060000}"/>
    <cellStyle name="Normal 45 2 2 2 2 2" xfId="5447" xr:uid="{2785A852-EE2D-409C-A1A3-2EC3F0CB282D}"/>
    <cellStyle name="Normal 45 2 2 2 2 2 2" xfId="8827" xr:uid="{A9030B8E-4023-4682-8092-9FF0DA457199}"/>
    <cellStyle name="Normal 45 2 2 2 2 3" xfId="7127" xr:uid="{712AB757-E466-47FB-B4C2-FF5A04EAC681}"/>
    <cellStyle name="Normal 45 2 2 2 2_DEO ADIT Unprotected" xfId="3416" xr:uid="{4016B93C-1912-4603-8A97-E52D754D7224}"/>
    <cellStyle name="Normal 45 2 2 2 3" xfId="4610" xr:uid="{3B774418-9349-4579-A75A-965DA7830AC2}"/>
    <cellStyle name="Normal 45 2 2 2 3 2" xfId="7990" xr:uid="{4A7C4382-AB9C-4FE9-A3DB-7EF9B9DC2431}"/>
    <cellStyle name="Normal 45 2 2 2 4" xfId="6290" xr:uid="{80D74F51-DA0A-45E4-ADFB-E9AAE94205D7}"/>
    <cellStyle name="Normal 45 2 2 2_DEO ADIT Unprotected" xfId="3415" xr:uid="{52391D66-4719-4656-95CF-D2DCCB3F77C6}"/>
    <cellStyle name="Normal 45 2 2 3" xfId="2196" xr:uid="{00000000-0005-0000-0000-000021060000}"/>
    <cellStyle name="Normal 45 2 2 3 2" xfId="5446" xr:uid="{EBE0E2DE-F7A0-4C87-9DC8-1CEA5ACFBB08}"/>
    <cellStyle name="Normal 45 2 2 3 2 2" xfId="8826" xr:uid="{61AACD96-CACE-4952-A7A0-ABDE55F263CB}"/>
    <cellStyle name="Normal 45 2 2 3 3" xfId="7126" xr:uid="{A5E8E521-9701-4F8B-A090-04F94BDB99B8}"/>
    <cellStyle name="Normal 45 2 2 3_DEO ADIT Unprotected" xfId="3417" xr:uid="{5BB789D6-2882-449E-A99D-8C1A9518FB37}"/>
    <cellStyle name="Normal 45 2 2 4" xfId="4609" xr:uid="{EB43D763-615F-46E3-8307-A707B5BD099B}"/>
    <cellStyle name="Normal 45 2 2 4 2" xfId="7989" xr:uid="{52CFA414-4A44-4E80-92C6-17064A58274B}"/>
    <cellStyle name="Normal 45 2 2 5" xfId="6289" xr:uid="{F5E364D4-96BD-4D28-965A-7839E18BFD86}"/>
    <cellStyle name="Normal 45 2 2_DEO ADIT Unprotected" xfId="3414" xr:uid="{46B3A490-9A25-4B5E-9E8C-B57EE63DA8A7}"/>
    <cellStyle name="Normal 45 2 3" xfId="1282" xr:uid="{00000000-0005-0000-0000-000022060000}"/>
    <cellStyle name="Normal 45 2 3 2" xfId="2198" xr:uid="{00000000-0005-0000-0000-000023060000}"/>
    <cellStyle name="Normal 45 2 3 2 2" xfId="5448" xr:uid="{B9C5C90B-BC24-4F67-8774-BC274E7BF375}"/>
    <cellStyle name="Normal 45 2 3 2 2 2" xfId="8828" xr:uid="{BD78AF67-FE4F-468A-9EF0-5356B9301B37}"/>
    <cellStyle name="Normal 45 2 3 2 3" xfId="7128" xr:uid="{C0DFD0FA-96EE-4677-853F-5E34B571C301}"/>
    <cellStyle name="Normal 45 2 3 2_DEO ADIT Unprotected" xfId="3419" xr:uid="{0B89930B-A211-4EE6-A30D-ECD91A916550}"/>
    <cellStyle name="Normal 45 2 3 3" xfId="4611" xr:uid="{C363FB0B-2127-41BE-B089-C9B397DB7083}"/>
    <cellStyle name="Normal 45 2 3 3 2" xfId="7991" xr:uid="{18E8521D-5DD7-47D7-9550-BCBE21407B6A}"/>
    <cellStyle name="Normal 45 2 3 4" xfId="6291" xr:uid="{BC77F27F-E5F6-4F1E-9B03-70A31F3D25C4}"/>
    <cellStyle name="Normal 45 2 3_DEO ADIT Unprotected" xfId="3418" xr:uid="{B9F4ECEE-1A2F-4E28-8B3C-208BE8051E18}"/>
    <cellStyle name="Normal 45 2 4" xfId="2195" xr:uid="{00000000-0005-0000-0000-000024060000}"/>
    <cellStyle name="Normal 45 2 4 2" xfId="5445" xr:uid="{D5C6B6DA-6401-49A4-A607-A994B4BACF0F}"/>
    <cellStyle name="Normal 45 2 4 2 2" xfId="8825" xr:uid="{8B635F49-3F90-4669-94DD-42A0245B7AEB}"/>
    <cellStyle name="Normal 45 2 4 3" xfId="7125" xr:uid="{E2A64F1A-4E2F-4598-B530-2BE7AA9F0391}"/>
    <cellStyle name="Normal 45 2 4_DEO ADIT Unprotected" xfId="3420" xr:uid="{9B4C7708-B3E1-42B7-AED6-ED162116DAC5}"/>
    <cellStyle name="Normal 45 2 5" xfId="4608" xr:uid="{B2338E9E-8156-4587-9389-406BCD0D8492}"/>
    <cellStyle name="Normal 45 2 5 2" xfId="7988" xr:uid="{601AE857-8970-4161-8E57-3DE1D6D688F2}"/>
    <cellStyle name="Normal 45 2 6" xfId="6288" xr:uid="{12CD6807-3C64-419A-8C8A-564ED2D46DC1}"/>
    <cellStyle name="Normal 45 2_DEO ADIT Unprotected" xfId="3413" xr:uid="{07CC0128-D162-4250-A298-78068222C205}"/>
    <cellStyle name="Normal 45 3" xfId="1283" xr:uid="{00000000-0005-0000-0000-000025060000}"/>
    <cellStyle name="Normal 45 3 2" xfId="1284" xr:uid="{00000000-0005-0000-0000-000026060000}"/>
    <cellStyle name="Normal 45 3 2 2" xfId="2200" xr:uid="{00000000-0005-0000-0000-000027060000}"/>
    <cellStyle name="Normal 45 3 2 2 2" xfId="5450" xr:uid="{9DCB0ACC-D041-4326-A839-5096709FA0BC}"/>
    <cellStyle name="Normal 45 3 2 2 2 2" xfId="8830" xr:uid="{8CC0ADFF-4961-44A3-BE38-02CD4FE49E08}"/>
    <cellStyle name="Normal 45 3 2 2 3" xfId="7130" xr:uid="{3E654F5B-FC7B-493A-93B7-9EF781C7DC8E}"/>
    <cellStyle name="Normal 45 3 2 2_DEO ADIT Unprotected" xfId="3423" xr:uid="{86E86C3A-979E-4230-B46C-4BE16A0D8453}"/>
    <cellStyle name="Normal 45 3 2 3" xfId="4613" xr:uid="{69617171-DF7F-4251-A54E-85A8FD15336F}"/>
    <cellStyle name="Normal 45 3 2 3 2" xfId="7993" xr:uid="{816C1D94-1ED1-47E0-94B2-AF5696DD97BB}"/>
    <cellStyle name="Normal 45 3 2 4" xfId="6293" xr:uid="{C3FA07E2-BE7C-4215-93BA-2D3AC31C07C4}"/>
    <cellStyle name="Normal 45 3 2_DEO ADIT Unprotected" xfId="3422" xr:uid="{4EEDEA6E-078E-4EC7-96B2-0124A81ED1C7}"/>
    <cellStyle name="Normal 45 3 3" xfId="2199" xr:uid="{00000000-0005-0000-0000-000028060000}"/>
    <cellStyle name="Normal 45 3 3 2" xfId="5449" xr:uid="{C7FF5BE6-EF94-4865-986E-5D8F1ED15EF4}"/>
    <cellStyle name="Normal 45 3 3 2 2" xfId="8829" xr:uid="{F11608E2-E38E-453D-9EBD-B2286763E561}"/>
    <cellStyle name="Normal 45 3 3 3" xfId="7129" xr:uid="{3CA1E1A7-6ACA-426B-9B2E-7B661D67AB20}"/>
    <cellStyle name="Normal 45 3 3_DEO ADIT Unprotected" xfId="3424" xr:uid="{47BF9406-AC91-4AFB-98CE-68A7527B7E70}"/>
    <cellStyle name="Normal 45 3 4" xfId="4612" xr:uid="{19DD20D9-1E60-4256-980D-2C9D1CDA9C8E}"/>
    <cellStyle name="Normal 45 3 4 2" xfId="7992" xr:uid="{3DDA3AB0-492D-4747-B14B-8CC5F0499E68}"/>
    <cellStyle name="Normal 45 3 5" xfId="6292" xr:uid="{470FE932-B0C9-4988-AAFD-CBD33ED0BFDD}"/>
    <cellStyle name="Normal 45 3_DEO ADIT Unprotected" xfId="3421" xr:uid="{2A64C4C0-9942-489D-8DCA-D09D4D106F9E}"/>
    <cellStyle name="Normal 45 4" xfId="1285" xr:uid="{00000000-0005-0000-0000-000029060000}"/>
    <cellStyle name="Normal 45 4 2" xfId="2201" xr:uid="{00000000-0005-0000-0000-00002A060000}"/>
    <cellStyle name="Normal 45 4 2 2" xfId="5451" xr:uid="{7A250BA3-7B99-4870-8032-B5D47EDCA86C}"/>
    <cellStyle name="Normal 45 4 2 2 2" xfId="8831" xr:uid="{0BFBF5A2-F3A9-4855-BA72-C775E4B69E9C}"/>
    <cellStyle name="Normal 45 4 2 3" xfId="7131" xr:uid="{ABC24E43-CB60-40D4-9616-3017D9F0F23C}"/>
    <cellStyle name="Normal 45 4 2_DEO ADIT Unprotected" xfId="3426" xr:uid="{41435D87-D01F-4DCD-B5E5-83CE5F70D9E0}"/>
    <cellStyle name="Normal 45 4 3" xfId="4614" xr:uid="{7A5CA9BB-9CAB-4738-99E4-83D6C32E3067}"/>
    <cellStyle name="Normal 45 4 3 2" xfId="7994" xr:uid="{7EAC9A0F-926B-471B-82E1-5E258AE87C72}"/>
    <cellStyle name="Normal 45 4 4" xfId="6294" xr:uid="{499426EF-85C3-45BD-B240-0CE0AAFA4A56}"/>
    <cellStyle name="Normal 45 4_DEO ADIT Unprotected" xfId="3425" xr:uid="{3F1F81C4-AB17-4D63-9DE2-1D88CFA42609}"/>
    <cellStyle name="Normal 45 5" xfId="2194" xr:uid="{00000000-0005-0000-0000-00002B060000}"/>
    <cellStyle name="Normal 45 5 2" xfId="5444" xr:uid="{910EE839-144C-437E-9922-9D383B7B4B76}"/>
    <cellStyle name="Normal 45 5 2 2" xfId="8824" xr:uid="{D2EE6F30-F5E8-4F63-A6BD-4F2007B74B04}"/>
    <cellStyle name="Normal 45 5 3" xfId="7124" xr:uid="{8BB32FB3-36CA-46AD-A9A0-1F2A518FAE33}"/>
    <cellStyle name="Normal 45 5_DEO ADIT Unprotected" xfId="3427" xr:uid="{20528C96-B193-4A31-837A-73FAB0F12E1B}"/>
    <cellStyle name="Normal 45 6" xfId="4607" xr:uid="{18268E1B-763A-4D00-89A7-57CBE64C2933}"/>
    <cellStyle name="Normal 45 6 2" xfId="7987" xr:uid="{EC419A4F-75D0-460A-A7BB-223DAE7364B6}"/>
    <cellStyle name="Normal 45 7" xfId="6287" xr:uid="{CAAAD510-EC04-4ABE-9CBE-82C1B5900726}"/>
    <cellStyle name="Normal 45_DEO ADIT Unprotected" xfId="3412" xr:uid="{FAC71E3F-BFB3-4D2B-9A70-67D858143450}"/>
    <cellStyle name="Normal 46" xfId="1286" xr:uid="{00000000-0005-0000-0000-00002C060000}"/>
    <cellStyle name="Normal 46 2" xfId="1287" xr:uid="{00000000-0005-0000-0000-00002D060000}"/>
    <cellStyle name="Normal 46 2 2" xfId="1288" xr:uid="{00000000-0005-0000-0000-00002E060000}"/>
    <cellStyle name="Normal 46 2 2 2" xfId="1289" xr:uid="{00000000-0005-0000-0000-00002F060000}"/>
    <cellStyle name="Normal 46 2 2 2 2" xfId="2205" xr:uid="{00000000-0005-0000-0000-000030060000}"/>
    <cellStyle name="Normal 46 2 2 2 2 2" xfId="5455" xr:uid="{F910FA6A-AB08-4035-9BB7-823024C0114E}"/>
    <cellStyle name="Normal 46 2 2 2 2 2 2" xfId="8835" xr:uid="{2227287E-8064-4112-97E0-230818B8153A}"/>
    <cellStyle name="Normal 46 2 2 2 2 3" xfId="7135" xr:uid="{8BBEC100-E328-4F24-B2E1-42BB7A29A66E}"/>
    <cellStyle name="Normal 46 2 2 2 2_DEO ADIT Unprotected" xfId="3432" xr:uid="{81089D48-C564-4D6D-BD59-F55F6EE8E255}"/>
    <cellStyle name="Normal 46 2 2 2 3" xfId="4618" xr:uid="{3659F066-34E7-4326-AA5C-12232BD1A207}"/>
    <cellStyle name="Normal 46 2 2 2 3 2" xfId="7998" xr:uid="{632B57BD-9E10-4907-8274-7A2854BA187A}"/>
    <cellStyle name="Normal 46 2 2 2 4" xfId="6298" xr:uid="{CCD9392F-611D-4675-9FDE-4A04B85564A7}"/>
    <cellStyle name="Normal 46 2 2 2_DEO ADIT Unprotected" xfId="3431" xr:uid="{1A42A30E-7810-4092-B688-427C58D05385}"/>
    <cellStyle name="Normal 46 2 2 3" xfId="2204" xr:uid="{00000000-0005-0000-0000-000031060000}"/>
    <cellStyle name="Normal 46 2 2 3 2" xfId="5454" xr:uid="{B3AEF573-5336-406D-8C6B-2B00A2960989}"/>
    <cellStyle name="Normal 46 2 2 3 2 2" xfId="8834" xr:uid="{BAA9DB23-065C-4C75-8001-E1697A68B154}"/>
    <cellStyle name="Normal 46 2 2 3 3" xfId="7134" xr:uid="{7BF0CEA4-D60F-49CA-8F33-706ABED48FE4}"/>
    <cellStyle name="Normal 46 2 2 3_DEO ADIT Unprotected" xfId="3433" xr:uid="{65DEB7DC-D77F-495D-9FB6-D5BAC868B70D}"/>
    <cellStyle name="Normal 46 2 2 4" xfId="4617" xr:uid="{B79150E0-AA6D-4803-AC6B-6C217DA28C4C}"/>
    <cellStyle name="Normal 46 2 2 4 2" xfId="7997" xr:uid="{5D41799B-3267-434C-B0E1-5AFD0015E3A3}"/>
    <cellStyle name="Normal 46 2 2 5" xfId="6297" xr:uid="{B1A540F6-E557-4181-A28D-95794CF11218}"/>
    <cellStyle name="Normal 46 2 2_DEO ADIT Unprotected" xfId="3430" xr:uid="{0B339B65-EE9C-4CC1-9CD6-90043A0C21A3}"/>
    <cellStyle name="Normal 46 2 3" xfId="1290" xr:uid="{00000000-0005-0000-0000-000032060000}"/>
    <cellStyle name="Normal 46 2 3 2" xfId="2206" xr:uid="{00000000-0005-0000-0000-000033060000}"/>
    <cellStyle name="Normal 46 2 3 2 2" xfId="5456" xr:uid="{9F895662-05EF-496B-84DF-F605091B5620}"/>
    <cellStyle name="Normal 46 2 3 2 2 2" xfId="8836" xr:uid="{2DF97CDD-3315-4C03-B39A-63AD3AA322E8}"/>
    <cellStyle name="Normal 46 2 3 2 3" xfId="7136" xr:uid="{8C22EE7E-2205-44B0-AC11-51F25D177A32}"/>
    <cellStyle name="Normal 46 2 3 2_DEO ADIT Unprotected" xfId="3435" xr:uid="{A605FE53-EB61-4924-A753-5013CD4F3806}"/>
    <cellStyle name="Normal 46 2 3 3" xfId="4619" xr:uid="{E2284279-56BF-4174-BF49-0192D0C67E7A}"/>
    <cellStyle name="Normal 46 2 3 3 2" xfId="7999" xr:uid="{E78D3F60-1B50-4947-B929-73AD1730E6A3}"/>
    <cellStyle name="Normal 46 2 3 4" xfId="6299" xr:uid="{ADF0D17A-B54B-4F54-8B4F-BDE8AC8C0AEB}"/>
    <cellStyle name="Normal 46 2 3_DEO ADIT Unprotected" xfId="3434" xr:uid="{8D6FD063-26E8-4920-9899-7057F0C1BFF0}"/>
    <cellStyle name="Normal 46 2 4" xfId="2203" xr:uid="{00000000-0005-0000-0000-000034060000}"/>
    <cellStyle name="Normal 46 2 4 2" xfId="5453" xr:uid="{512695A1-CAA4-4FA0-8CBB-0ED8A63EE3B7}"/>
    <cellStyle name="Normal 46 2 4 2 2" xfId="8833" xr:uid="{2D326587-B230-4C51-AECF-49072BC5D0C5}"/>
    <cellStyle name="Normal 46 2 4 3" xfId="7133" xr:uid="{01DCE6F9-0E83-4775-8DDA-36C4A10ACAB8}"/>
    <cellStyle name="Normal 46 2 4_DEO ADIT Unprotected" xfId="3436" xr:uid="{7693E0DE-CC73-4A79-9516-89B56F9B84CD}"/>
    <cellStyle name="Normal 46 2 5" xfId="4616" xr:uid="{B4F0881F-0D6B-4049-B678-3F0A23776DC9}"/>
    <cellStyle name="Normal 46 2 5 2" xfId="7996" xr:uid="{ADF7F2B1-C965-485D-96C3-C788BBEA973A}"/>
    <cellStyle name="Normal 46 2 6" xfId="6296" xr:uid="{84855A48-6372-47B1-B4D7-6A2DA2C53EF6}"/>
    <cellStyle name="Normal 46 2_DEO ADIT Unprotected" xfId="3429" xr:uid="{DEE6E370-C294-4DEE-8A5C-40C5BA0122B3}"/>
    <cellStyle name="Normal 46 3" xfId="1291" xr:uid="{00000000-0005-0000-0000-000035060000}"/>
    <cellStyle name="Normal 46 3 2" xfId="1292" xr:uid="{00000000-0005-0000-0000-000036060000}"/>
    <cellStyle name="Normal 46 3 2 2" xfId="2208" xr:uid="{00000000-0005-0000-0000-000037060000}"/>
    <cellStyle name="Normal 46 3 2 2 2" xfId="5458" xr:uid="{1F30722A-3B2F-48DB-90BD-90B84621D389}"/>
    <cellStyle name="Normal 46 3 2 2 2 2" xfId="8838" xr:uid="{EE9A33D6-6AB3-4BD5-BBA7-CB3AD9068311}"/>
    <cellStyle name="Normal 46 3 2 2 3" xfId="7138" xr:uid="{C1428F30-3E9B-4541-9BD5-B047B6BE2191}"/>
    <cellStyle name="Normal 46 3 2 2_DEO ADIT Unprotected" xfId="3439" xr:uid="{F99733CC-EE49-466C-AEF2-7B6F0F133706}"/>
    <cellStyle name="Normal 46 3 2 3" xfId="4621" xr:uid="{C9F02188-E54E-4FBE-87E0-7EFD61964C0B}"/>
    <cellStyle name="Normal 46 3 2 3 2" xfId="8001" xr:uid="{47B12B43-F018-4390-B61E-E30FF2678096}"/>
    <cellStyle name="Normal 46 3 2 4" xfId="6301" xr:uid="{7D09BD63-0E7B-406D-B20D-E2098C1D8CEB}"/>
    <cellStyle name="Normal 46 3 2_DEO ADIT Unprotected" xfId="3438" xr:uid="{17DCFEA5-EC3E-416A-A50A-25414A309AFE}"/>
    <cellStyle name="Normal 46 3 3" xfId="2207" xr:uid="{00000000-0005-0000-0000-000038060000}"/>
    <cellStyle name="Normal 46 3 3 2" xfId="5457" xr:uid="{C128F6B1-1BD0-442D-B97E-5C520CD42FB7}"/>
    <cellStyle name="Normal 46 3 3 2 2" xfId="8837" xr:uid="{0316E8D7-9CAF-438E-9FAF-FD2945B1E54C}"/>
    <cellStyle name="Normal 46 3 3 3" xfId="7137" xr:uid="{4FE0F01F-906C-4200-8558-40B18F52AA78}"/>
    <cellStyle name="Normal 46 3 3_DEO ADIT Unprotected" xfId="3440" xr:uid="{1E1BFC05-E0A8-43ED-8EB5-78B727F4DFC5}"/>
    <cellStyle name="Normal 46 3 4" xfId="4620" xr:uid="{FBEE55D7-4148-46EE-913E-ED52F06341F0}"/>
    <cellStyle name="Normal 46 3 4 2" xfId="8000" xr:uid="{57D33D73-E6B7-4B0A-A704-5B118F4CA67D}"/>
    <cellStyle name="Normal 46 3 5" xfId="6300" xr:uid="{0F09121B-46A0-4DE7-8167-78254C63DDC4}"/>
    <cellStyle name="Normal 46 3_DEO ADIT Unprotected" xfId="3437" xr:uid="{405289A4-F6A8-4BB9-BDF8-38E29B9F9BEB}"/>
    <cellStyle name="Normal 46 4" xfId="1293" xr:uid="{00000000-0005-0000-0000-000039060000}"/>
    <cellStyle name="Normal 46 4 2" xfId="2209" xr:uid="{00000000-0005-0000-0000-00003A060000}"/>
    <cellStyle name="Normal 46 4 2 2" xfId="5459" xr:uid="{0A250F24-C8CE-43BD-9A1C-E7BDB067E105}"/>
    <cellStyle name="Normal 46 4 2 2 2" xfId="8839" xr:uid="{60F3ED07-C520-4124-B627-C264DF7121E9}"/>
    <cellStyle name="Normal 46 4 2 3" xfId="7139" xr:uid="{2F729CD7-B70C-4718-B4A1-5A5CC3C666F8}"/>
    <cellStyle name="Normal 46 4 2_DEO ADIT Unprotected" xfId="3442" xr:uid="{2F14D511-973F-49B5-8FCF-60E5810742D5}"/>
    <cellStyle name="Normal 46 4 3" xfId="4622" xr:uid="{CE734787-72DD-4A6B-A0CE-83101A404429}"/>
    <cellStyle name="Normal 46 4 3 2" xfId="8002" xr:uid="{F6F34963-EE53-441B-A5D3-696D3EAD9472}"/>
    <cellStyle name="Normal 46 4 4" xfId="6302" xr:uid="{F50DF613-B4B6-4C83-B8BB-8019EB197FEE}"/>
    <cellStyle name="Normal 46 4_DEO ADIT Unprotected" xfId="3441" xr:uid="{4DB97C9A-4959-44CC-BB54-959D031B4081}"/>
    <cellStyle name="Normal 46 5" xfId="2202" xr:uid="{00000000-0005-0000-0000-00003B060000}"/>
    <cellStyle name="Normal 46 5 2" xfId="5452" xr:uid="{F54A6587-1D41-43FC-B7EF-C59D378D33B1}"/>
    <cellStyle name="Normal 46 5 2 2" xfId="8832" xr:uid="{DEE4CF42-6654-4D4D-9246-E7CC8DC6FB5E}"/>
    <cellStyle name="Normal 46 5 3" xfId="7132" xr:uid="{D49BB6CE-61F0-4653-A368-041DB5CF68F0}"/>
    <cellStyle name="Normal 46 5_DEO ADIT Unprotected" xfId="3443" xr:uid="{AB8077E7-49C4-454A-BAC8-BBF22EADC722}"/>
    <cellStyle name="Normal 46 6" xfId="4615" xr:uid="{E5E24A59-4E50-41EB-ABAB-91857A56FF17}"/>
    <cellStyle name="Normal 46 6 2" xfId="7995" xr:uid="{9E9B08EF-8830-43FE-97BD-481465D376D0}"/>
    <cellStyle name="Normal 46 7" xfId="6295" xr:uid="{D8B34924-04E7-498F-91B8-E58F21CA578F}"/>
    <cellStyle name="Normal 46_DEO ADIT Unprotected" xfId="3428" xr:uid="{52B51C64-03AF-4FB6-B7C5-2BB92B720CB2}"/>
    <cellStyle name="Normal 47" xfId="1294" xr:uid="{00000000-0005-0000-0000-00003C060000}"/>
    <cellStyle name="Normal 47 2" xfId="1295" xr:uid="{00000000-0005-0000-0000-00003D060000}"/>
    <cellStyle name="Normal 47 2 2" xfId="1296" xr:uid="{00000000-0005-0000-0000-00003E060000}"/>
    <cellStyle name="Normal 47 2 2 2" xfId="1297" xr:uid="{00000000-0005-0000-0000-00003F060000}"/>
    <cellStyle name="Normal 47 2 2 2 2" xfId="2213" xr:uid="{00000000-0005-0000-0000-000040060000}"/>
    <cellStyle name="Normal 47 2 2 2 2 2" xfId="5463" xr:uid="{36296FF6-A7B6-486A-BBD8-E09664E65951}"/>
    <cellStyle name="Normal 47 2 2 2 2 2 2" xfId="8843" xr:uid="{7F54A570-CB99-41AA-8369-A6A1D906BC62}"/>
    <cellStyle name="Normal 47 2 2 2 2 3" xfId="7143" xr:uid="{4BD862E8-716E-490D-8E84-C81B238F4C05}"/>
    <cellStyle name="Normal 47 2 2 2 2_DEO ADIT Unprotected" xfId="3448" xr:uid="{7A45EDAA-0E4E-46F1-AACD-CCC0718C1C63}"/>
    <cellStyle name="Normal 47 2 2 2 3" xfId="4626" xr:uid="{A792F894-B9DB-4FE7-93B7-B74F36756F64}"/>
    <cellStyle name="Normal 47 2 2 2 3 2" xfId="8006" xr:uid="{FE4163FC-0A0A-4ADF-98BE-5F4DEDA37C95}"/>
    <cellStyle name="Normal 47 2 2 2 4" xfId="6306" xr:uid="{4D2F7B0D-71EF-4488-8E22-607AE8220F71}"/>
    <cellStyle name="Normal 47 2 2 2_DEO ADIT Unprotected" xfId="3447" xr:uid="{F07C0E53-2652-4D19-85C7-C735CD9BB8B8}"/>
    <cellStyle name="Normal 47 2 2 3" xfId="2212" xr:uid="{00000000-0005-0000-0000-000041060000}"/>
    <cellStyle name="Normal 47 2 2 3 2" xfId="5462" xr:uid="{9DFC5441-1240-48C4-B35C-C7DF920DA7F2}"/>
    <cellStyle name="Normal 47 2 2 3 2 2" xfId="8842" xr:uid="{61F915AD-8ADD-45A1-8464-223663738A26}"/>
    <cellStyle name="Normal 47 2 2 3 3" xfId="7142" xr:uid="{AD9E3FB1-DB14-4D17-B7A2-A745B3359233}"/>
    <cellStyle name="Normal 47 2 2 3_DEO ADIT Unprotected" xfId="3449" xr:uid="{B5CD4E4D-68BC-483C-B564-FB91F67C9C18}"/>
    <cellStyle name="Normal 47 2 2 4" xfId="4625" xr:uid="{CE0D24D3-7BAA-4427-BAEA-41D92D9441CD}"/>
    <cellStyle name="Normal 47 2 2 4 2" xfId="8005" xr:uid="{A2A8D9EC-4B16-4523-AB90-1237632A5E31}"/>
    <cellStyle name="Normal 47 2 2 5" xfId="6305" xr:uid="{97DFA2F2-23DA-495B-AB1B-3B86516910BF}"/>
    <cellStyle name="Normal 47 2 2_DEO ADIT Unprotected" xfId="3446" xr:uid="{B7F0B03F-4399-44A4-AFAA-F9FA5BCC6433}"/>
    <cellStyle name="Normal 47 2 3" xfId="1298" xr:uid="{00000000-0005-0000-0000-000042060000}"/>
    <cellStyle name="Normal 47 2 3 2" xfId="2214" xr:uid="{00000000-0005-0000-0000-000043060000}"/>
    <cellStyle name="Normal 47 2 3 2 2" xfId="5464" xr:uid="{39912CFF-6D5E-4504-A8FC-97C822CFEDD8}"/>
    <cellStyle name="Normal 47 2 3 2 2 2" xfId="8844" xr:uid="{36E1A8E0-918F-478B-B9C5-8520AC8E004A}"/>
    <cellStyle name="Normal 47 2 3 2 3" xfId="7144" xr:uid="{F306CD85-235F-4A75-BD9C-2E97BB84E406}"/>
    <cellStyle name="Normal 47 2 3 2_DEO ADIT Unprotected" xfId="3451" xr:uid="{5968AB03-ECA7-4F9A-9CD0-65D8FB9CD575}"/>
    <cellStyle name="Normal 47 2 3 3" xfId="4627" xr:uid="{937A7149-8D86-407B-98AA-CC9FBCD0198E}"/>
    <cellStyle name="Normal 47 2 3 3 2" xfId="8007" xr:uid="{D677CB55-4567-4E55-9907-8BB7300CE1B1}"/>
    <cellStyle name="Normal 47 2 3 4" xfId="6307" xr:uid="{8F0E5D06-026C-4058-BD2A-EB4723552747}"/>
    <cellStyle name="Normal 47 2 3_DEO ADIT Unprotected" xfId="3450" xr:uid="{0EB59148-702E-401B-9248-5D138EC1DB43}"/>
    <cellStyle name="Normal 47 2 4" xfId="2211" xr:uid="{00000000-0005-0000-0000-000044060000}"/>
    <cellStyle name="Normal 47 2 4 2" xfId="5461" xr:uid="{74713941-AB2B-4044-A4E2-EF34AB12C245}"/>
    <cellStyle name="Normal 47 2 4 2 2" xfId="8841" xr:uid="{3C3999C7-3A0E-475F-8C1E-E227A9FAD6B4}"/>
    <cellStyle name="Normal 47 2 4 3" xfId="7141" xr:uid="{D2DD578B-6D52-4CD5-A6E3-87244D31DAAA}"/>
    <cellStyle name="Normal 47 2 4_DEO ADIT Unprotected" xfId="3452" xr:uid="{AA0EF347-FE71-445E-BD4F-37AF6F8F9E83}"/>
    <cellStyle name="Normal 47 2 5" xfId="4624" xr:uid="{3A8887C0-740A-476D-AFBE-1B266D68C7AC}"/>
    <cellStyle name="Normal 47 2 5 2" xfId="8004" xr:uid="{E2027407-B330-4CB5-9779-2C6BE5470884}"/>
    <cellStyle name="Normal 47 2 6" xfId="6304" xr:uid="{F7CDF74C-1917-4E26-AC80-410B5E05E888}"/>
    <cellStyle name="Normal 47 2_DEO ADIT Unprotected" xfId="3445" xr:uid="{C0082314-890B-4479-BAEC-3891189F2AF8}"/>
    <cellStyle name="Normal 47 3" xfId="1299" xr:uid="{00000000-0005-0000-0000-000045060000}"/>
    <cellStyle name="Normal 47 3 2" xfId="1300" xr:uid="{00000000-0005-0000-0000-000046060000}"/>
    <cellStyle name="Normal 47 3 2 2" xfId="2216" xr:uid="{00000000-0005-0000-0000-000047060000}"/>
    <cellStyle name="Normal 47 3 2 2 2" xfId="5466" xr:uid="{645617F6-A9D1-4769-8102-876BC4DF2DB9}"/>
    <cellStyle name="Normal 47 3 2 2 2 2" xfId="8846" xr:uid="{5B0EEAE1-AA52-40DC-8D28-4DF06DF6AAD4}"/>
    <cellStyle name="Normal 47 3 2 2 3" xfId="7146" xr:uid="{62CE12A4-F838-4BF9-ABB4-765ADDEF7082}"/>
    <cellStyle name="Normal 47 3 2 2_DEO ADIT Unprotected" xfId="3455" xr:uid="{7F296920-9DB1-46E9-952E-A9B9D4F9B4B8}"/>
    <cellStyle name="Normal 47 3 2 3" xfId="4629" xr:uid="{4208E1BD-5163-4067-B6E5-2E6235B002C5}"/>
    <cellStyle name="Normal 47 3 2 3 2" xfId="8009" xr:uid="{3F8E39CD-B188-4ADF-9DC3-A1F2121B06A2}"/>
    <cellStyle name="Normal 47 3 2 4" xfId="6309" xr:uid="{C2874DF1-4869-4CE1-8FB4-4FDB120494A8}"/>
    <cellStyle name="Normal 47 3 2_DEO ADIT Unprotected" xfId="3454" xr:uid="{58DB7097-7C7B-42FD-89EC-64605CCE20A1}"/>
    <cellStyle name="Normal 47 3 3" xfId="2215" xr:uid="{00000000-0005-0000-0000-000048060000}"/>
    <cellStyle name="Normal 47 3 3 2" xfId="5465" xr:uid="{4DD5FEDC-DC76-450A-AEAF-76A2A211AABD}"/>
    <cellStyle name="Normal 47 3 3 2 2" xfId="8845" xr:uid="{BFBA762E-8C36-450D-9B2D-4369CCCACD03}"/>
    <cellStyle name="Normal 47 3 3 3" xfId="7145" xr:uid="{E62AA9B1-B842-4242-A83C-24B221163A62}"/>
    <cellStyle name="Normal 47 3 3_DEO ADIT Unprotected" xfId="3456" xr:uid="{B62A7756-6C8C-4D34-B658-27A00BB9C24A}"/>
    <cellStyle name="Normal 47 3 4" xfId="4628" xr:uid="{74185192-A24F-4B02-8033-321F7369C8D7}"/>
    <cellStyle name="Normal 47 3 4 2" xfId="8008" xr:uid="{BA27349F-0F0E-4460-A092-9A420FB408C4}"/>
    <cellStyle name="Normal 47 3 5" xfId="6308" xr:uid="{37C16EFF-25E8-458B-ADDE-8D38AA2AEBE9}"/>
    <cellStyle name="Normal 47 3_DEO ADIT Unprotected" xfId="3453" xr:uid="{CF4B5099-D5E7-4C38-8BDE-71C130F622C8}"/>
    <cellStyle name="Normal 47 4" xfId="1301" xr:uid="{00000000-0005-0000-0000-000049060000}"/>
    <cellStyle name="Normal 47 4 2" xfId="2217" xr:uid="{00000000-0005-0000-0000-00004A060000}"/>
    <cellStyle name="Normal 47 4 2 2" xfId="5467" xr:uid="{BA9D9863-F307-4125-9B6D-E3F583AF8E8A}"/>
    <cellStyle name="Normal 47 4 2 2 2" xfId="8847" xr:uid="{9626A4FC-C55F-4CB6-B3A0-3EF168DDC8B6}"/>
    <cellStyle name="Normal 47 4 2 3" xfId="7147" xr:uid="{1CA74DE9-10B3-44FB-B367-E12A9FB20D0C}"/>
    <cellStyle name="Normal 47 4 2_DEO ADIT Unprotected" xfId="3458" xr:uid="{7D471567-3EB9-449D-A7F8-E64F91EB18F2}"/>
    <cellStyle name="Normal 47 4 3" xfId="4630" xr:uid="{D5837ED5-7202-4177-AA26-89FDA609E009}"/>
    <cellStyle name="Normal 47 4 3 2" xfId="8010" xr:uid="{D72A2D76-EF3D-4E72-A39D-A88C99120662}"/>
    <cellStyle name="Normal 47 4 4" xfId="6310" xr:uid="{810F7063-09F8-4BF1-87ED-A071D5F25C3D}"/>
    <cellStyle name="Normal 47 4_DEO ADIT Unprotected" xfId="3457" xr:uid="{7AA72CC7-4464-472A-8A98-1177D6DBE77A}"/>
    <cellStyle name="Normal 47 5" xfId="2210" xr:uid="{00000000-0005-0000-0000-00004B060000}"/>
    <cellStyle name="Normal 47 5 2" xfId="5460" xr:uid="{31DA4CD4-29B8-4032-9325-04DA7ABF150E}"/>
    <cellStyle name="Normal 47 5 2 2" xfId="8840" xr:uid="{BADDE7D4-F45C-40D6-B107-0ACB1A543F77}"/>
    <cellStyle name="Normal 47 5 3" xfId="7140" xr:uid="{925A55FD-669D-420E-936B-B002A13CC383}"/>
    <cellStyle name="Normal 47 5_DEO ADIT Unprotected" xfId="3459" xr:uid="{555A96C2-F606-4A1B-8F7D-A54BC3AF4AD3}"/>
    <cellStyle name="Normal 47 6" xfId="4623" xr:uid="{2E38580F-FB92-4F64-8627-A68A38FB9B05}"/>
    <cellStyle name="Normal 47 6 2" xfId="8003" xr:uid="{F3DC237A-4DC9-410F-A5E4-9501EB120165}"/>
    <cellStyle name="Normal 47 7" xfId="6303" xr:uid="{932147D7-C9CD-4354-BF52-DF98F6671A54}"/>
    <cellStyle name="Normal 47_DEO ADIT Unprotected" xfId="3444" xr:uid="{A30F42DA-6F63-4DCB-BB09-EC76958D5C99}"/>
    <cellStyle name="Normal 48" xfId="1302" xr:uid="{00000000-0005-0000-0000-00004C060000}"/>
    <cellStyle name="Normal 48 2" xfId="1303" xr:uid="{00000000-0005-0000-0000-00004D060000}"/>
    <cellStyle name="Normal 48 2 2" xfId="1304" xr:uid="{00000000-0005-0000-0000-00004E060000}"/>
    <cellStyle name="Normal 48 2 2 2" xfId="1305" xr:uid="{00000000-0005-0000-0000-00004F060000}"/>
    <cellStyle name="Normal 48 2 2 2 2" xfId="2221" xr:uid="{00000000-0005-0000-0000-000050060000}"/>
    <cellStyle name="Normal 48 2 2 2 2 2" xfId="5471" xr:uid="{169D440A-FA28-48A1-B075-EDBD0AAC5EE0}"/>
    <cellStyle name="Normal 48 2 2 2 2 2 2" xfId="8851" xr:uid="{393733BB-58F3-4D12-9D7F-F6AE1F8771FA}"/>
    <cellStyle name="Normal 48 2 2 2 2 3" xfId="7151" xr:uid="{F16FC50D-0351-4AEA-8949-20565763D44A}"/>
    <cellStyle name="Normal 48 2 2 2 2_DEO ADIT Unprotected" xfId="3464" xr:uid="{00AB292E-EB1A-4DFC-B4DE-335CD203844E}"/>
    <cellStyle name="Normal 48 2 2 2 3" xfId="4634" xr:uid="{79EB2300-EED5-498A-BEDF-3FBE59C09067}"/>
    <cellStyle name="Normal 48 2 2 2 3 2" xfId="8014" xr:uid="{24D2CDC7-5A0F-465F-A1AF-35FDE508A6EA}"/>
    <cellStyle name="Normal 48 2 2 2 4" xfId="6314" xr:uid="{83E10814-D225-4DFA-99A9-99F2722DF385}"/>
    <cellStyle name="Normal 48 2 2 2_DEO ADIT Unprotected" xfId="3463" xr:uid="{CE27CB1E-D25F-4789-B777-B807E8305901}"/>
    <cellStyle name="Normal 48 2 2 3" xfId="2220" xr:uid="{00000000-0005-0000-0000-000051060000}"/>
    <cellStyle name="Normal 48 2 2 3 2" xfId="5470" xr:uid="{EBD7B23A-C146-4C26-8E65-BFB4864B5368}"/>
    <cellStyle name="Normal 48 2 2 3 2 2" xfId="8850" xr:uid="{9E7202A4-6B6A-4937-B010-26F3E45837CF}"/>
    <cellStyle name="Normal 48 2 2 3 3" xfId="7150" xr:uid="{012935D1-097F-4655-9C86-3B0EE40E8B66}"/>
    <cellStyle name="Normal 48 2 2 3_DEO ADIT Unprotected" xfId="3465" xr:uid="{9262DE58-BB1E-4804-BB37-AC4DDAC51993}"/>
    <cellStyle name="Normal 48 2 2 4" xfId="4633" xr:uid="{9B9F6284-AB66-47BB-8246-EE18570FE021}"/>
    <cellStyle name="Normal 48 2 2 4 2" xfId="8013" xr:uid="{98C21C3D-0128-44B3-9EDF-6ED9C5351638}"/>
    <cellStyle name="Normal 48 2 2 5" xfId="6313" xr:uid="{1BD598A5-7065-425E-9281-23A0D727AEBA}"/>
    <cellStyle name="Normal 48 2 2_DEO ADIT Unprotected" xfId="3462" xr:uid="{EEAFA062-44D6-4B64-82EF-1D54596524C4}"/>
    <cellStyle name="Normal 48 2 3" xfId="1306" xr:uid="{00000000-0005-0000-0000-000052060000}"/>
    <cellStyle name="Normal 48 2 3 2" xfId="2222" xr:uid="{00000000-0005-0000-0000-000053060000}"/>
    <cellStyle name="Normal 48 2 3 2 2" xfId="5472" xr:uid="{003AB75B-FFF5-4254-A20B-BF9B22F494D8}"/>
    <cellStyle name="Normal 48 2 3 2 2 2" xfId="8852" xr:uid="{81D6719A-6266-4A93-835A-047C6890D80A}"/>
    <cellStyle name="Normal 48 2 3 2 3" xfId="7152" xr:uid="{18DAABAA-A458-459D-B861-63628E0B57D1}"/>
    <cellStyle name="Normal 48 2 3 2_DEO ADIT Unprotected" xfId="3467" xr:uid="{4DD5C506-C3D3-4B2A-8140-4E4DF162E7F9}"/>
    <cellStyle name="Normal 48 2 3 3" xfId="4635" xr:uid="{FBFD6487-C4FC-4F06-BEED-1CBD95BC08FC}"/>
    <cellStyle name="Normal 48 2 3 3 2" xfId="8015" xr:uid="{BB88C596-99F6-41D6-BE8D-3F619E053641}"/>
    <cellStyle name="Normal 48 2 3 4" xfId="6315" xr:uid="{AF815A0C-4563-4518-9FC8-05BAFE5BF038}"/>
    <cellStyle name="Normal 48 2 3_DEO ADIT Unprotected" xfId="3466" xr:uid="{E38902C5-F433-4CE3-BD5D-5575ED439EB1}"/>
    <cellStyle name="Normal 48 2 4" xfId="2219" xr:uid="{00000000-0005-0000-0000-000054060000}"/>
    <cellStyle name="Normal 48 2 4 2" xfId="5469" xr:uid="{5587D898-16F5-4F96-A6D8-2EEF5A50BD03}"/>
    <cellStyle name="Normal 48 2 4 2 2" xfId="8849" xr:uid="{E2725BE7-AF8B-48B2-9644-7CB15B543B83}"/>
    <cellStyle name="Normal 48 2 4 3" xfId="7149" xr:uid="{9F5480EE-93CF-4390-B0C0-DAA6C5E11064}"/>
    <cellStyle name="Normal 48 2 4_DEO ADIT Unprotected" xfId="3468" xr:uid="{69CA6595-6882-4C14-BA76-15976152C173}"/>
    <cellStyle name="Normal 48 2 5" xfId="4632" xr:uid="{D2C6D25B-7269-4281-B649-8F3771EDE2EF}"/>
    <cellStyle name="Normal 48 2 5 2" xfId="8012" xr:uid="{D2354A9A-C4C3-4516-A9EA-42C5E375D65A}"/>
    <cellStyle name="Normal 48 2 6" xfId="6312" xr:uid="{BA09487E-9A03-449D-AE76-B16352E63AB2}"/>
    <cellStyle name="Normal 48 2_DEO ADIT Unprotected" xfId="3461" xr:uid="{4D4E1235-A5A7-4199-8A09-FA29886F1974}"/>
    <cellStyle name="Normal 48 3" xfId="1307" xr:uid="{00000000-0005-0000-0000-000055060000}"/>
    <cellStyle name="Normal 48 3 2" xfId="1308" xr:uid="{00000000-0005-0000-0000-000056060000}"/>
    <cellStyle name="Normal 48 3 2 2" xfId="2224" xr:uid="{00000000-0005-0000-0000-000057060000}"/>
    <cellStyle name="Normal 48 3 2 2 2" xfId="5474" xr:uid="{AFD28D7A-D9D3-4795-B78A-3DDEDF4BEB4F}"/>
    <cellStyle name="Normal 48 3 2 2 2 2" xfId="8854" xr:uid="{2646809C-1BF2-4308-A28B-8FB52F06603C}"/>
    <cellStyle name="Normal 48 3 2 2 3" xfId="7154" xr:uid="{1FDF5ACC-B07E-48C3-9708-A755BADDE43A}"/>
    <cellStyle name="Normal 48 3 2 2_DEO ADIT Unprotected" xfId="3471" xr:uid="{828851C8-08C6-4C90-9EA8-BF6B054B7F5F}"/>
    <cellStyle name="Normal 48 3 2 3" xfId="4637" xr:uid="{2865FA3A-649E-47A9-90D4-144D18BA1EF4}"/>
    <cellStyle name="Normal 48 3 2 3 2" xfId="8017" xr:uid="{0EC5FBFF-26D9-47AC-90D3-3663AAB9943C}"/>
    <cellStyle name="Normal 48 3 2 4" xfId="6317" xr:uid="{58FBFE64-47E3-4AC0-9635-CFFABC482A47}"/>
    <cellStyle name="Normal 48 3 2_DEO ADIT Unprotected" xfId="3470" xr:uid="{4A212547-9C9F-4293-BCAF-FEA24C06ADA3}"/>
    <cellStyle name="Normal 48 3 3" xfId="2223" xr:uid="{00000000-0005-0000-0000-000058060000}"/>
    <cellStyle name="Normal 48 3 3 2" xfId="5473" xr:uid="{BD45DD53-3AFF-4020-BC5D-EE11DF2081C3}"/>
    <cellStyle name="Normal 48 3 3 2 2" xfId="8853" xr:uid="{DD850A5E-AAFE-40F1-8CE3-BCA15267A03C}"/>
    <cellStyle name="Normal 48 3 3 3" xfId="7153" xr:uid="{6870C58F-8851-4C4D-A285-2A7799C21AA3}"/>
    <cellStyle name="Normal 48 3 3_DEO ADIT Unprotected" xfId="3472" xr:uid="{45F92EC2-AE15-4D91-BC60-F0875EEF1153}"/>
    <cellStyle name="Normal 48 3 4" xfId="4636" xr:uid="{2FB403BA-AB9C-4974-A78A-457CAF0C94F0}"/>
    <cellStyle name="Normal 48 3 4 2" xfId="8016" xr:uid="{EE816883-D464-4693-9203-33B29B9B238A}"/>
    <cellStyle name="Normal 48 3 5" xfId="6316" xr:uid="{70E34DA5-32D6-4444-B9B0-1A42E03541D3}"/>
    <cellStyle name="Normal 48 3_DEO ADIT Unprotected" xfId="3469" xr:uid="{35DA8B90-5FE7-449D-A6D8-7403A191AB5B}"/>
    <cellStyle name="Normal 48 4" xfId="1309" xr:uid="{00000000-0005-0000-0000-000059060000}"/>
    <cellStyle name="Normal 48 4 2" xfId="2225" xr:uid="{00000000-0005-0000-0000-00005A060000}"/>
    <cellStyle name="Normal 48 4 2 2" xfId="5475" xr:uid="{C7770CF3-958F-468F-B7B1-85B4C1B0D4CB}"/>
    <cellStyle name="Normal 48 4 2 2 2" xfId="8855" xr:uid="{F539E7AD-A43F-44DC-A627-1D6B1485C246}"/>
    <cellStyle name="Normal 48 4 2 3" xfId="7155" xr:uid="{E48ED5D1-9152-426E-8D72-1C259AF8EDDF}"/>
    <cellStyle name="Normal 48 4 2_DEO ADIT Unprotected" xfId="3474" xr:uid="{ADD2D6A7-464B-4704-A4BC-3D6CB58AA0AF}"/>
    <cellStyle name="Normal 48 4 3" xfId="4638" xr:uid="{215FB128-8194-458A-BF2A-CE02678795CC}"/>
    <cellStyle name="Normal 48 4 3 2" xfId="8018" xr:uid="{15BF030F-5D60-4462-939E-19A9A2977B35}"/>
    <cellStyle name="Normal 48 4 4" xfId="6318" xr:uid="{1070A26D-BC4A-4AD3-8321-884232FDC8A3}"/>
    <cellStyle name="Normal 48 4_DEO ADIT Unprotected" xfId="3473" xr:uid="{8CE5C865-EC06-4FBA-B594-09D74B137ACA}"/>
    <cellStyle name="Normal 48 5" xfId="2218" xr:uid="{00000000-0005-0000-0000-00005B060000}"/>
    <cellStyle name="Normal 48 5 2" xfId="5468" xr:uid="{911AE107-0CA7-43BE-8E74-28CF574D8605}"/>
    <cellStyle name="Normal 48 5 2 2" xfId="8848" xr:uid="{86F0C647-307E-4D2D-83C5-6413A4191FDB}"/>
    <cellStyle name="Normal 48 5 3" xfId="7148" xr:uid="{D560DCD7-7277-4EC9-B4C5-C946DFFEBF80}"/>
    <cellStyle name="Normal 48 5_DEO ADIT Unprotected" xfId="3475" xr:uid="{BB18A90A-5155-4882-81E6-CA3C1BBE195E}"/>
    <cellStyle name="Normal 48 6" xfId="4631" xr:uid="{C5CD6C12-00B6-4F3C-93E8-F60D9148F038}"/>
    <cellStyle name="Normal 48 6 2" xfId="8011" xr:uid="{8DA19618-2EFB-4DF0-8935-73E0C117B29A}"/>
    <cellStyle name="Normal 48 7" xfId="6311" xr:uid="{F51EA807-B2BA-4371-9568-1778263C824B}"/>
    <cellStyle name="Normal 48_DEO ADIT Unprotected" xfId="3460" xr:uid="{1EC81AEA-AB3E-4488-A673-45C6F099330D}"/>
    <cellStyle name="Normal 49" xfId="1310" xr:uid="{00000000-0005-0000-0000-00005C060000}"/>
    <cellStyle name="Normal 49 2" xfId="1311" xr:uid="{00000000-0005-0000-0000-00005D060000}"/>
    <cellStyle name="Normal 5" xfId="182" xr:uid="{00000000-0005-0000-0000-00005E060000}"/>
    <cellStyle name="Normal 5 2" xfId="1312" xr:uid="{00000000-0005-0000-0000-00005F060000}"/>
    <cellStyle name="Normal 5 2 2" xfId="1313" xr:uid="{00000000-0005-0000-0000-000060060000}"/>
    <cellStyle name="Normal 5 2 2 2" xfId="1314" xr:uid="{00000000-0005-0000-0000-000061060000}"/>
    <cellStyle name="Normal 5 2 2 2 2" xfId="2228" xr:uid="{00000000-0005-0000-0000-000062060000}"/>
    <cellStyle name="Normal 5 2 2 2 2 2" xfId="5478" xr:uid="{CEF5C6A5-3B13-4DED-B6E9-3489B41ADD2D}"/>
    <cellStyle name="Normal 5 2 2 2 2 2 2" xfId="8858" xr:uid="{7F9AB89A-8EB4-4B5F-8176-3269B082A2B8}"/>
    <cellStyle name="Normal 5 2 2 2 2 3" xfId="7158" xr:uid="{98EBD1FA-39FF-4FF2-88F4-C0445275C619}"/>
    <cellStyle name="Normal 5 2 2 2 2_DEO ADIT Unprotected" xfId="3480" xr:uid="{9AE007A5-1C64-44A6-8205-7A9DFF3C97B9}"/>
    <cellStyle name="Normal 5 2 2 2 3" xfId="4641" xr:uid="{6F5E6650-6982-41E2-B6B2-4DB8580EFE7D}"/>
    <cellStyle name="Normal 5 2 2 2 3 2" xfId="8021" xr:uid="{021FAD2C-DE6F-4462-ACC1-A339EF068832}"/>
    <cellStyle name="Normal 5 2 2 2 4" xfId="6321" xr:uid="{155BB5B3-3C3E-4C6E-BEE3-7975923F3B43}"/>
    <cellStyle name="Normal 5 2 2 2_DEO ADIT Unprotected" xfId="3479" xr:uid="{FA40D082-2D66-4470-AA52-93D8671F88C1}"/>
    <cellStyle name="Normal 5 2 2 3" xfId="2227" xr:uid="{00000000-0005-0000-0000-000063060000}"/>
    <cellStyle name="Normal 5 2 2 3 2" xfId="5477" xr:uid="{F9894172-3C58-4EBA-AB1A-A5444435F673}"/>
    <cellStyle name="Normal 5 2 2 3 2 2" xfId="8857" xr:uid="{06792750-996B-44C1-8572-6B5A90768AB4}"/>
    <cellStyle name="Normal 5 2 2 3 3" xfId="7157" xr:uid="{DFA21FEF-A64D-4B26-8A62-B1F8A7632224}"/>
    <cellStyle name="Normal 5 2 2 3_DEO ADIT Unprotected" xfId="3481" xr:uid="{469833C7-D96A-4E44-82C6-A1899069F4C4}"/>
    <cellStyle name="Normal 5 2 2 4" xfId="4640" xr:uid="{BC7945FE-B3E7-46D4-9617-9CF94A159B50}"/>
    <cellStyle name="Normal 5 2 2 4 2" xfId="8020" xr:uid="{CF438730-3818-4735-9CB4-D7B08AD347EC}"/>
    <cellStyle name="Normal 5 2 2 5" xfId="6320" xr:uid="{77F16DB0-F60C-49CB-BDC8-C12EC8A7FB09}"/>
    <cellStyle name="Normal 5 2 2_DEO ADIT Unprotected" xfId="3478" xr:uid="{6D603BE8-D16D-46BB-9F35-5C76CB8DD4A7}"/>
    <cellStyle name="Normal 5 2 3" xfId="1315" xr:uid="{00000000-0005-0000-0000-000064060000}"/>
    <cellStyle name="Normal 5 2 3 2" xfId="2229" xr:uid="{00000000-0005-0000-0000-000065060000}"/>
    <cellStyle name="Normal 5 2 3 2 2" xfId="5479" xr:uid="{E3A28B6E-8141-479D-812E-72CF46AD8BE1}"/>
    <cellStyle name="Normal 5 2 3 2 2 2" xfId="8859" xr:uid="{146A89B6-C344-4522-9E7F-55D861598A5B}"/>
    <cellStyle name="Normal 5 2 3 2 3" xfId="7159" xr:uid="{BDCB6486-2475-41F4-9B3B-8EA8504D00E0}"/>
    <cellStyle name="Normal 5 2 3 2_DEO ADIT Unprotected" xfId="3483" xr:uid="{D6E7939B-93AD-4C30-A34F-EA1A5898D32B}"/>
    <cellStyle name="Normal 5 2 3 3" xfId="4642" xr:uid="{D8C00B15-7BC5-4241-B809-08104521BCC8}"/>
    <cellStyle name="Normal 5 2 3 3 2" xfId="8022" xr:uid="{0C41D177-D419-472B-A9CA-292455CF2EE6}"/>
    <cellStyle name="Normal 5 2 3 4" xfId="6322" xr:uid="{8B036A6C-0D3F-4E3D-813E-DEF12FA4D437}"/>
    <cellStyle name="Normal 5 2 3_DEO ADIT Unprotected" xfId="3482" xr:uid="{4FE773E0-49B8-41AA-96AE-61EE4E51F31A}"/>
    <cellStyle name="Normal 5 2 4" xfId="2226" xr:uid="{00000000-0005-0000-0000-000066060000}"/>
    <cellStyle name="Normal 5 2 4 2" xfId="5476" xr:uid="{7764939C-A258-46F9-906A-2BDE9935F18C}"/>
    <cellStyle name="Normal 5 2 4 2 2" xfId="8856" xr:uid="{AEA17914-BF45-45BE-9F38-1768FA0453C0}"/>
    <cellStyle name="Normal 5 2 4 3" xfId="7156" xr:uid="{A4010545-E546-4BDC-8EDD-FE68F2F1857E}"/>
    <cellStyle name="Normal 5 2 4_DEO ADIT Unprotected" xfId="3484" xr:uid="{83A99613-DA25-41DE-BEA8-821AC1F78E1E}"/>
    <cellStyle name="Normal 5 2 5" xfId="4639" xr:uid="{9995361C-6288-4312-8B82-D4D2D25AAA01}"/>
    <cellStyle name="Normal 5 2 5 2" xfId="8019" xr:uid="{09257AFB-B9E7-4A27-A69D-412C07FB49D3}"/>
    <cellStyle name="Normal 5 2 6" xfId="6319" xr:uid="{2371D752-6B66-4B5D-A1A7-B0E8F43275F4}"/>
    <cellStyle name="Normal 5 2_DEO ADIT Unprotected" xfId="3477" xr:uid="{F8EA7F6D-FA3D-4144-B815-A5D8F0879666}"/>
    <cellStyle name="Normal 5 3" xfId="1316" xr:uid="{00000000-0005-0000-0000-000067060000}"/>
    <cellStyle name="Normal 5 3 2" xfId="1317" xr:uid="{00000000-0005-0000-0000-000068060000}"/>
    <cellStyle name="Normal 5 3 2 2" xfId="2231" xr:uid="{00000000-0005-0000-0000-000069060000}"/>
    <cellStyle name="Normal 5 3 2 2 2" xfId="5481" xr:uid="{BE1A1E9E-B687-4A98-A6D2-5FABFE72F896}"/>
    <cellStyle name="Normal 5 3 2 2 2 2" xfId="8861" xr:uid="{54BAF030-48D3-480B-9868-588CFED24A62}"/>
    <cellStyle name="Normal 5 3 2 2 3" xfId="7161" xr:uid="{4DD64861-F783-498D-A226-851A3EA37505}"/>
    <cellStyle name="Normal 5 3 2 2_DEO ADIT Unprotected" xfId="3487" xr:uid="{85DE4F56-A3A0-4C5C-9873-FF4C2F29950E}"/>
    <cellStyle name="Normal 5 3 2 3" xfId="4644" xr:uid="{C2366D61-6675-472C-9512-8C58582CFBD3}"/>
    <cellStyle name="Normal 5 3 2 3 2" xfId="8024" xr:uid="{5EEFA492-A636-4551-BD28-C3AFBF76BC6C}"/>
    <cellStyle name="Normal 5 3 2 4" xfId="6324" xr:uid="{1E795CD3-DB22-458E-9DCF-6D2AFEB2654F}"/>
    <cellStyle name="Normal 5 3 2_DEO ADIT Unprotected" xfId="3486" xr:uid="{44D699D3-AFA1-4290-B8F3-2F0E4EC2B0AC}"/>
    <cellStyle name="Normal 5 3 3" xfId="2230" xr:uid="{00000000-0005-0000-0000-00006A060000}"/>
    <cellStyle name="Normal 5 3 3 2" xfId="5480" xr:uid="{A0BBCB59-6B26-4A18-8D61-6A01A08304C6}"/>
    <cellStyle name="Normal 5 3 3 2 2" xfId="8860" xr:uid="{1F2B6CD4-C32F-4E9A-9E75-3FDF9D9582E8}"/>
    <cellStyle name="Normal 5 3 3 3" xfId="7160" xr:uid="{F9C3144A-04DF-45C3-91EC-7ECE16F90FC0}"/>
    <cellStyle name="Normal 5 3 3_DEO ADIT Unprotected" xfId="3488" xr:uid="{1AC9323A-B38A-4F7E-AB1E-47D87F78FEC1}"/>
    <cellStyle name="Normal 5 3 4" xfId="4643" xr:uid="{ACB5C876-D2B5-46F0-9A3B-BAF640D86CD1}"/>
    <cellStyle name="Normal 5 3 4 2" xfId="8023" xr:uid="{D6B251ED-5359-422E-BB0A-E2ABD1797C5A}"/>
    <cellStyle name="Normal 5 3 5" xfId="6323" xr:uid="{F50BFD06-4C90-4705-89D2-218FE678AD6E}"/>
    <cellStyle name="Normal 5 3_DEO ADIT Unprotected" xfId="3485" xr:uid="{9131213A-5E94-4BB0-A72F-516E604C0BC3}"/>
    <cellStyle name="Normal 5 4" xfId="1318" xr:uid="{00000000-0005-0000-0000-00006B060000}"/>
    <cellStyle name="Normal 5 4 2" xfId="1319" xr:uid="{00000000-0005-0000-0000-00006C060000}"/>
    <cellStyle name="Normal 5 4 2 2" xfId="2233" xr:uid="{00000000-0005-0000-0000-00006D060000}"/>
    <cellStyle name="Normal 5 4 2 2 2" xfId="5483" xr:uid="{CF52A41A-DDFB-44C3-A358-BFE6E8CC993C}"/>
    <cellStyle name="Normal 5 4 2 2 2 2" xfId="8863" xr:uid="{FE88FCD2-4C35-42FC-A857-251C3DDC0526}"/>
    <cellStyle name="Normal 5 4 2 2 3" xfId="7163" xr:uid="{AAD60D49-76B8-4DC2-94ED-168E423D5004}"/>
    <cellStyle name="Normal 5 4 2 2_DEO ADIT Unprotected" xfId="3491" xr:uid="{309CA302-8CBA-4EBC-8BD0-F45C46E6B7D6}"/>
    <cellStyle name="Normal 5 4 2 3" xfId="4646" xr:uid="{F506C68A-5CD1-4E27-92C5-7E4EBE034014}"/>
    <cellStyle name="Normal 5 4 2 3 2" xfId="8026" xr:uid="{706E7E23-83F3-467E-8046-C43507090F08}"/>
    <cellStyle name="Normal 5 4 2 4" xfId="6326" xr:uid="{418CF688-35ED-4EEA-A307-1B2D0A0D0D31}"/>
    <cellStyle name="Normal 5 4 2_DEO ADIT Unprotected" xfId="3490" xr:uid="{D753FBFC-AC1E-4139-9753-574D814AFA0D}"/>
    <cellStyle name="Normal 5 4 3" xfId="2232" xr:uid="{00000000-0005-0000-0000-00006E060000}"/>
    <cellStyle name="Normal 5 4 3 2" xfId="5482" xr:uid="{CC6CD212-8A3C-4DFF-AEFC-6DB55EBB9E78}"/>
    <cellStyle name="Normal 5 4 3 2 2" xfId="8862" xr:uid="{8A7EF650-39A9-4A13-9567-1D3D3527B97B}"/>
    <cellStyle name="Normal 5 4 3 3" xfId="7162" xr:uid="{00B0A7EC-6955-4CEF-872E-844F51D7CA1D}"/>
    <cellStyle name="Normal 5 4 3_DEO ADIT Unprotected" xfId="3492" xr:uid="{BA546DDA-CC6C-4576-B0B5-AF8CD3A80134}"/>
    <cellStyle name="Normal 5 4 4" xfId="4645" xr:uid="{A99FF16B-CCA9-4BBE-BB8C-2B673286F2AC}"/>
    <cellStyle name="Normal 5 4 4 2" xfId="8025" xr:uid="{718A7C2F-CCDA-4692-8A51-BD253F0FAC72}"/>
    <cellStyle name="Normal 5 4 5" xfId="6325" xr:uid="{33B734CC-373B-42C4-B984-5204DB0767FD}"/>
    <cellStyle name="Normal 5 4_DEO ADIT Unprotected" xfId="3489" xr:uid="{4715FA47-BDD0-4FAB-B575-041FBD5896F3}"/>
    <cellStyle name="Normal 5 5" xfId="1320" xr:uid="{00000000-0005-0000-0000-00006F060000}"/>
    <cellStyle name="Normal 5 5 2" xfId="1321" xr:uid="{00000000-0005-0000-0000-000070060000}"/>
    <cellStyle name="Normal 5 5 2 2" xfId="2235" xr:uid="{00000000-0005-0000-0000-000071060000}"/>
    <cellStyle name="Normal 5 5 2 2 2" xfId="5485" xr:uid="{719EFAEC-62F7-412F-9A76-A893DD0F2894}"/>
    <cellStyle name="Normal 5 5 2 2 2 2" xfId="8865" xr:uid="{6561A645-9E9A-41F4-8D60-A96304738BF1}"/>
    <cellStyle name="Normal 5 5 2 2 3" xfId="7165" xr:uid="{1CD384DD-A3BB-428F-B60C-DEAB35675C50}"/>
    <cellStyle name="Normal 5 5 2 2_DEO ADIT Unprotected" xfId="3495" xr:uid="{FF8241D5-657B-4FC5-8AF9-9DD18D846F91}"/>
    <cellStyle name="Normal 5 5 2 3" xfId="4648" xr:uid="{DE1A09C4-8009-4B25-B7BF-8E4A1A76946D}"/>
    <cellStyle name="Normal 5 5 2 3 2" xfId="8028" xr:uid="{8329D1DA-02C7-417B-BAA2-FD9750433B9A}"/>
    <cellStyle name="Normal 5 5 2 4" xfId="6328" xr:uid="{64072338-730F-4388-8668-F5983DD42846}"/>
    <cellStyle name="Normal 5 5 2_DEO ADIT Unprotected" xfId="3494" xr:uid="{C025FBF3-398F-461E-972E-9EDC8289BD7E}"/>
    <cellStyle name="Normal 5 5 3" xfId="2234" xr:uid="{00000000-0005-0000-0000-000072060000}"/>
    <cellStyle name="Normal 5 5 3 2" xfId="5484" xr:uid="{223B20D7-9ABB-43CE-A45F-8C80B6C86717}"/>
    <cellStyle name="Normal 5 5 3 2 2" xfId="8864" xr:uid="{12D715C2-5B37-4EF1-9987-8F89CE29F74B}"/>
    <cellStyle name="Normal 5 5 3 3" xfId="7164" xr:uid="{54E11E71-EC2F-470A-96D1-036A992129E5}"/>
    <cellStyle name="Normal 5 5 3_DEO ADIT Unprotected" xfId="3496" xr:uid="{DBC1BAC1-5956-467B-AB56-1C46007D5BA4}"/>
    <cellStyle name="Normal 5 5 4" xfId="4647" xr:uid="{EF4F4592-5868-4F7D-ADB3-A3274844E7D3}"/>
    <cellStyle name="Normal 5 5 4 2" xfId="8027" xr:uid="{519D884E-0127-4EC2-AA5A-3E05631965BB}"/>
    <cellStyle name="Normal 5 5 5" xfId="6327" xr:uid="{7B911DA0-4713-4292-BDD1-87F8C65FF04C}"/>
    <cellStyle name="Normal 5 5_DEO ADIT Unprotected" xfId="3493" xr:uid="{41EAFC64-5E6F-4E70-9A97-A49E83FE6E27}"/>
    <cellStyle name="Normal 5_DEO ADIT Unprotected" xfId="3476" xr:uid="{5233CDF6-0589-4A90-B260-B729ACF0B2B1}"/>
    <cellStyle name="Normal 50" xfId="1322" xr:uid="{00000000-0005-0000-0000-000073060000}"/>
    <cellStyle name="Normal 50 2" xfId="1323" xr:uid="{00000000-0005-0000-0000-000074060000}"/>
    <cellStyle name="Normal 50 2 2" xfId="1324" xr:uid="{00000000-0005-0000-0000-000075060000}"/>
    <cellStyle name="Normal 50 2 2 2" xfId="1325" xr:uid="{00000000-0005-0000-0000-000076060000}"/>
    <cellStyle name="Normal 50 2 2 2 2" xfId="2239" xr:uid="{00000000-0005-0000-0000-000077060000}"/>
    <cellStyle name="Normal 50 2 2 2 2 2" xfId="5489" xr:uid="{88502F08-D0E5-4F44-83F1-FE7FFC03880F}"/>
    <cellStyle name="Normal 50 2 2 2 2 2 2" xfId="8869" xr:uid="{91F72DC5-B2B5-489D-9269-01FB1C84928B}"/>
    <cellStyle name="Normal 50 2 2 2 2 3" xfId="7169" xr:uid="{6841217A-BCC1-4056-84A2-B2BED45F34CB}"/>
    <cellStyle name="Normal 50 2 2 2 2_DEO ADIT Unprotected" xfId="3501" xr:uid="{84A3D83E-C38E-4C74-BB2D-B76321512B8D}"/>
    <cellStyle name="Normal 50 2 2 2 3" xfId="4652" xr:uid="{6B5148ED-BB9F-4DC3-B3DB-BE38365740B6}"/>
    <cellStyle name="Normal 50 2 2 2 3 2" xfId="8032" xr:uid="{11EBA98A-5C61-46A1-93F2-40C8C5AA240C}"/>
    <cellStyle name="Normal 50 2 2 2 4" xfId="6332" xr:uid="{65D776E9-2B51-42D3-9354-F04F7F073BE0}"/>
    <cellStyle name="Normal 50 2 2 2_DEO ADIT Unprotected" xfId="3500" xr:uid="{212B232C-A1D1-40D5-AEC5-EA3F3C350499}"/>
    <cellStyle name="Normal 50 2 2 3" xfId="2238" xr:uid="{00000000-0005-0000-0000-000078060000}"/>
    <cellStyle name="Normal 50 2 2 3 2" xfId="5488" xr:uid="{DD694104-A751-4046-A9E2-B7E18719BF69}"/>
    <cellStyle name="Normal 50 2 2 3 2 2" xfId="8868" xr:uid="{AEF21BC2-3526-4A67-A0E9-E20CD07F47A0}"/>
    <cellStyle name="Normal 50 2 2 3 3" xfId="7168" xr:uid="{58CD2079-98BC-45BB-9D5D-687853F2194E}"/>
    <cellStyle name="Normal 50 2 2 3_DEO ADIT Unprotected" xfId="3502" xr:uid="{BA3EA8AC-3001-4514-8699-62A1CEF3DF18}"/>
    <cellStyle name="Normal 50 2 2 4" xfId="4651" xr:uid="{552BAD74-5452-4C9E-819E-244D681B3605}"/>
    <cellStyle name="Normal 50 2 2 4 2" xfId="8031" xr:uid="{3B934D84-1FCE-4835-A21E-BBD343AA61FC}"/>
    <cellStyle name="Normal 50 2 2 5" xfId="6331" xr:uid="{60FCC174-B9F4-45AA-BB99-2BDF47C6B2C9}"/>
    <cellStyle name="Normal 50 2 2_DEO ADIT Unprotected" xfId="3499" xr:uid="{7EE80A3D-75BA-41E3-A763-1CA209C41F66}"/>
    <cellStyle name="Normal 50 2 3" xfId="1326" xr:uid="{00000000-0005-0000-0000-000079060000}"/>
    <cellStyle name="Normal 50 2 3 2" xfId="2240" xr:uid="{00000000-0005-0000-0000-00007A060000}"/>
    <cellStyle name="Normal 50 2 3 2 2" xfId="5490" xr:uid="{B1F9A2E6-0852-4344-9854-AB4A0F2A4894}"/>
    <cellStyle name="Normal 50 2 3 2 2 2" xfId="8870" xr:uid="{69AE0F86-D21D-4D1D-82AF-7B0B8D2B9E8D}"/>
    <cellStyle name="Normal 50 2 3 2 3" xfId="7170" xr:uid="{BD76E175-C220-425D-93D3-7D12136F0570}"/>
    <cellStyle name="Normal 50 2 3 2_DEO ADIT Unprotected" xfId="3504" xr:uid="{949187A6-682F-4C0C-958C-9EE1FDF81F6A}"/>
    <cellStyle name="Normal 50 2 3 3" xfId="4653" xr:uid="{DEE9587A-CBE0-4D75-BF9B-29116EE13C87}"/>
    <cellStyle name="Normal 50 2 3 3 2" xfId="8033" xr:uid="{8C428A5C-4A5D-42D2-BB54-B8A6F6336C40}"/>
    <cellStyle name="Normal 50 2 3 4" xfId="6333" xr:uid="{46D8D972-689B-475C-A272-F8DCD28B59D9}"/>
    <cellStyle name="Normal 50 2 3_DEO ADIT Unprotected" xfId="3503" xr:uid="{F47F4AE6-97B5-41DC-8591-3B9EF6D7247B}"/>
    <cellStyle name="Normal 50 2 4" xfId="2237" xr:uid="{00000000-0005-0000-0000-00007B060000}"/>
    <cellStyle name="Normal 50 2 4 2" xfId="5487" xr:uid="{301D5759-1A49-49A6-8BB8-19C37AF182CA}"/>
    <cellStyle name="Normal 50 2 4 2 2" xfId="8867" xr:uid="{B2A2AE72-5EFC-4621-9D56-20526286E54D}"/>
    <cellStyle name="Normal 50 2 4 3" xfId="7167" xr:uid="{CA63783D-2F33-4EDC-95BD-CD5B783CC69C}"/>
    <cellStyle name="Normal 50 2 4_DEO ADIT Unprotected" xfId="3505" xr:uid="{57BD1753-92A5-4628-9D70-47B9DB9A5381}"/>
    <cellStyle name="Normal 50 2 5" xfId="4650" xr:uid="{EF8227AD-D4A6-48C0-9A5E-FB703995DD38}"/>
    <cellStyle name="Normal 50 2 5 2" xfId="8030" xr:uid="{17D12A51-707B-432A-94C9-249C2847430D}"/>
    <cellStyle name="Normal 50 2 6" xfId="6330" xr:uid="{9A2A4E78-9898-4D77-A0B2-0667542146BA}"/>
    <cellStyle name="Normal 50 2_DEO ADIT Unprotected" xfId="3498" xr:uid="{1F4EFE3C-7D35-44B2-9D75-52604AFE16A1}"/>
    <cellStyle name="Normal 50 3" xfId="1327" xr:uid="{00000000-0005-0000-0000-00007C060000}"/>
    <cellStyle name="Normal 50 3 2" xfId="1328" xr:uid="{00000000-0005-0000-0000-00007D060000}"/>
    <cellStyle name="Normal 50 3 2 2" xfId="2242" xr:uid="{00000000-0005-0000-0000-00007E060000}"/>
    <cellStyle name="Normal 50 3 2 2 2" xfId="5492" xr:uid="{C4ED5438-0907-48F2-9C74-16C54B6D323F}"/>
    <cellStyle name="Normal 50 3 2 2 2 2" xfId="8872" xr:uid="{F3A62C2C-5B8E-4007-9456-F249E1CE89B6}"/>
    <cellStyle name="Normal 50 3 2 2 3" xfId="7172" xr:uid="{BAF90B11-3C92-442C-BB94-0CD19409B096}"/>
    <cellStyle name="Normal 50 3 2 2_DEO ADIT Unprotected" xfId="3508" xr:uid="{04C20430-9D46-433C-AB46-4216F0F70EE1}"/>
    <cellStyle name="Normal 50 3 2 3" xfId="4655" xr:uid="{4474032C-5F2A-4042-82CF-3525F6DCF193}"/>
    <cellStyle name="Normal 50 3 2 3 2" xfId="8035" xr:uid="{F0D60D87-BD38-42D0-9E9A-7BCAE92F2FB4}"/>
    <cellStyle name="Normal 50 3 2 4" xfId="6335" xr:uid="{F38DDE07-4A81-47B7-BE46-92B5C2C1BE5C}"/>
    <cellStyle name="Normal 50 3 2_DEO ADIT Unprotected" xfId="3507" xr:uid="{15ADC39B-BEA2-41CE-A897-C198FBDFAB13}"/>
    <cellStyle name="Normal 50 3 3" xfId="2241" xr:uid="{00000000-0005-0000-0000-00007F060000}"/>
    <cellStyle name="Normal 50 3 3 2" xfId="5491" xr:uid="{FFAD3900-0758-4086-96D9-67A2A3ABC456}"/>
    <cellStyle name="Normal 50 3 3 2 2" xfId="8871" xr:uid="{72470203-ABD8-4A9D-94DC-F7B0061F3C49}"/>
    <cellStyle name="Normal 50 3 3 3" xfId="7171" xr:uid="{0E1102BD-17BC-42F0-9CCB-24CA8483B4B5}"/>
    <cellStyle name="Normal 50 3 3_DEO ADIT Unprotected" xfId="3509" xr:uid="{07C0C542-7C81-442A-968A-12DB38DF8DA7}"/>
    <cellStyle name="Normal 50 3 4" xfId="4654" xr:uid="{55B09520-D827-4B05-81CB-3BAA8E6C219C}"/>
    <cellStyle name="Normal 50 3 4 2" xfId="8034" xr:uid="{18C152E1-177B-4AB9-9A72-81D4616CB9AA}"/>
    <cellStyle name="Normal 50 3 5" xfId="6334" xr:uid="{666BD01E-7C32-4F54-A18E-331FD965CDFE}"/>
    <cellStyle name="Normal 50 3_DEO ADIT Unprotected" xfId="3506" xr:uid="{2F57CBE6-B019-4140-88FF-3A6149FD4A43}"/>
    <cellStyle name="Normal 50 4" xfId="1329" xr:uid="{00000000-0005-0000-0000-000080060000}"/>
    <cellStyle name="Normal 50 4 2" xfId="2243" xr:uid="{00000000-0005-0000-0000-000081060000}"/>
    <cellStyle name="Normal 50 4 2 2" xfId="5493" xr:uid="{0ABAF232-56FF-47F7-BEDA-4EC1DCD9B5A9}"/>
    <cellStyle name="Normal 50 4 2 2 2" xfId="8873" xr:uid="{BC169A3E-880B-4D11-BF0E-9371FE35416B}"/>
    <cellStyle name="Normal 50 4 2 3" xfId="7173" xr:uid="{1990FC83-D040-4C42-91B1-76F81928798D}"/>
    <cellStyle name="Normal 50 4 2_DEO ADIT Unprotected" xfId="3511" xr:uid="{247B86A8-1D27-4391-A926-BE03E041D296}"/>
    <cellStyle name="Normal 50 4 3" xfId="4656" xr:uid="{E611ED01-069E-4A24-9AFD-E9F4D41C0DC5}"/>
    <cellStyle name="Normal 50 4 3 2" xfId="8036" xr:uid="{99586BC3-6867-44D2-8BD1-4C08A2E99E21}"/>
    <cellStyle name="Normal 50 4 4" xfId="6336" xr:uid="{D215D3DD-C90F-41BF-B1A5-2BDDB9E22088}"/>
    <cellStyle name="Normal 50 4_DEO ADIT Unprotected" xfId="3510" xr:uid="{179E7390-94D1-4C6C-95AF-711631D1AD6B}"/>
    <cellStyle name="Normal 50 5" xfId="2236" xr:uid="{00000000-0005-0000-0000-000082060000}"/>
    <cellStyle name="Normal 50 5 2" xfId="5486" xr:uid="{6D622A53-8E0D-4AAF-A327-CEC6B1490D3C}"/>
    <cellStyle name="Normal 50 5 2 2" xfId="8866" xr:uid="{E676D532-4DF1-46BD-99A8-19C3F10F1165}"/>
    <cellStyle name="Normal 50 5 3" xfId="7166" xr:uid="{7B2EC04E-0FFC-4A43-8C32-8140EA19C432}"/>
    <cellStyle name="Normal 50 5_DEO ADIT Unprotected" xfId="3512" xr:uid="{51BCCF17-2F7D-4973-AD9A-332723BA1879}"/>
    <cellStyle name="Normal 50 6" xfId="4649" xr:uid="{C2BCCCB6-8795-4689-A36C-57C4D254D8E0}"/>
    <cellStyle name="Normal 50 6 2" xfId="8029" xr:uid="{82EED4C1-69EB-4360-AEE9-812FE9DEDE1F}"/>
    <cellStyle name="Normal 50 7" xfId="6329" xr:uid="{8E8A9957-BF1C-4E87-8B2F-B2794A6DF7C6}"/>
    <cellStyle name="Normal 50_DEO ADIT Unprotected" xfId="3497" xr:uid="{7F398F68-45CF-4E90-833D-686B520468F0}"/>
    <cellStyle name="Normal 51" xfId="1330" xr:uid="{00000000-0005-0000-0000-000083060000}"/>
    <cellStyle name="Normal 51 2" xfId="1331" xr:uid="{00000000-0005-0000-0000-000084060000}"/>
    <cellStyle name="Normal 51 2 2" xfId="1332" xr:uid="{00000000-0005-0000-0000-000085060000}"/>
    <cellStyle name="Normal 51 2 2 2" xfId="1333" xr:uid="{00000000-0005-0000-0000-000086060000}"/>
    <cellStyle name="Normal 51 2 2 2 2" xfId="2247" xr:uid="{00000000-0005-0000-0000-000087060000}"/>
    <cellStyle name="Normal 51 2 2 2 2 2" xfId="5497" xr:uid="{BF46C7DC-A4DA-4C68-BF6D-E1C1B4D86C03}"/>
    <cellStyle name="Normal 51 2 2 2 2 2 2" xfId="8877" xr:uid="{665C42D9-A397-4488-893E-6DA0962ACF4B}"/>
    <cellStyle name="Normal 51 2 2 2 2 3" xfId="7177" xr:uid="{A8222027-D05B-4A20-9124-71CBDF9176AF}"/>
    <cellStyle name="Normal 51 2 2 2 2_DEO ADIT Unprotected" xfId="3517" xr:uid="{94AFC143-FDCA-4ECC-A3CA-B7009D6E4D3C}"/>
    <cellStyle name="Normal 51 2 2 2 3" xfId="4660" xr:uid="{0291C530-FABE-47E0-B092-E9B92C29B3A2}"/>
    <cellStyle name="Normal 51 2 2 2 3 2" xfId="8040" xr:uid="{1198834E-4335-4C26-BF2C-1D2E10306D9C}"/>
    <cellStyle name="Normal 51 2 2 2 4" xfId="6340" xr:uid="{B98F2974-7398-45BC-B5B7-64925726EC3F}"/>
    <cellStyle name="Normal 51 2 2 2_DEO ADIT Unprotected" xfId="3516" xr:uid="{E7110213-1603-4A46-8A47-6BFC9032418C}"/>
    <cellStyle name="Normal 51 2 2 3" xfId="2246" xr:uid="{00000000-0005-0000-0000-000088060000}"/>
    <cellStyle name="Normal 51 2 2 3 2" xfId="5496" xr:uid="{D8B8B436-D7D3-4B81-A044-5E1C6A250A75}"/>
    <cellStyle name="Normal 51 2 2 3 2 2" xfId="8876" xr:uid="{865D5D13-65C5-47FE-AC72-305D6F3017C8}"/>
    <cellStyle name="Normal 51 2 2 3 3" xfId="7176" xr:uid="{0D8AE97C-BC71-40A3-AAAF-0A14193E9246}"/>
    <cellStyle name="Normal 51 2 2 3_DEO ADIT Unprotected" xfId="3518" xr:uid="{85FEE7EA-B2F2-41D9-8A6E-C1CBF4938AD2}"/>
    <cellStyle name="Normal 51 2 2 4" xfId="4659" xr:uid="{E131A405-07DD-41D1-B52B-FE510114F2F4}"/>
    <cellStyle name="Normal 51 2 2 4 2" xfId="8039" xr:uid="{500AE1EF-90B4-41C5-AA18-4BD235B4ABD8}"/>
    <cellStyle name="Normal 51 2 2 5" xfId="6339" xr:uid="{456BC5F7-B973-4812-9E02-1919537881A5}"/>
    <cellStyle name="Normal 51 2 2_DEO ADIT Unprotected" xfId="3515" xr:uid="{8F84C10C-EE06-4C41-B92F-D1D719FA6BAD}"/>
    <cellStyle name="Normal 51 2 3" xfId="1334" xr:uid="{00000000-0005-0000-0000-000089060000}"/>
    <cellStyle name="Normal 51 2 3 2" xfId="2248" xr:uid="{00000000-0005-0000-0000-00008A060000}"/>
    <cellStyle name="Normal 51 2 3 2 2" xfId="5498" xr:uid="{A4FBA8D9-41ED-463E-A744-C46F6BA46DD0}"/>
    <cellStyle name="Normal 51 2 3 2 2 2" xfId="8878" xr:uid="{079B059C-76BF-49BD-9FDA-4E239866C278}"/>
    <cellStyle name="Normal 51 2 3 2 3" xfId="7178" xr:uid="{22D98147-2ACC-42F2-B387-15952117A9C5}"/>
    <cellStyle name="Normal 51 2 3 2_DEO ADIT Unprotected" xfId="3520" xr:uid="{19D955DE-8F92-4142-981E-017F934BFE76}"/>
    <cellStyle name="Normal 51 2 3 3" xfId="4661" xr:uid="{EC57D34A-0611-4C8A-97F7-7DADBBFA15B0}"/>
    <cellStyle name="Normal 51 2 3 3 2" xfId="8041" xr:uid="{9B025879-43A8-4B1E-A341-DC9F664B302A}"/>
    <cellStyle name="Normal 51 2 3 4" xfId="6341" xr:uid="{AA0E1A55-5202-4667-9486-8488D7EEADC1}"/>
    <cellStyle name="Normal 51 2 3_DEO ADIT Unprotected" xfId="3519" xr:uid="{2F1F669B-40B5-4742-B420-D484DC87B6A8}"/>
    <cellStyle name="Normal 51 2 4" xfId="2245" xr:uid="{00000000-0005-0000-0000-00008B060000}"/>
    <cellStyle name="Normal 51 2 4 2" xfId="5495" xr:uid="{B065A726-09BB-45A7-874C-14A12E42588A}"/>
    <cellStyle name="Normal 51 2 4 2 2" xfId="8875" xr:uid="{799DEDFF-DC4F-46AE-944D-0373E36C820C}"/>
    <cellStyle name="Normal 51 2 4 3" xfId="7175" xr:uid="{BCEC25AC-3B01-4189-896C-76C50235133E}"/>
    <cellStyle name="Normal 51 2 4_DEO ADIT Unprotected" xfId="3521" xr:uid="{8153BF27-4E9E-4ACA-A40E-52AC7AF75378}"/>
    <cellStyle name="Normal 51 2 5" xfId="4658" xr:uid="{D99CECDB-51EC-460E-AAFC-EAA0EAD56A30}"/>
    <cellStyle name="Normal 51 2 5 2" xfId="8038" xr:uid="{51082280-C76E-478E-8006-F132A91995F4}"/>
    <cellStyle name="Normal 51 2 6" xfId="6338" xr:uid="{7C1268B9-9B1E-407C-AC2D-60D5A30C0328}"/>
    <cellStyle name="Normal 51 2_DEO ADIT Unprotected" xfId="3514" xr:uid="{7EC94FE3-AA83-4114-BD30-0A32D1B1E537}"/>
    <cellStyle name="Normal 51 3" xfId="1335" xr:uid="{00000000-0005-0000-0000-00008C060000}"/>
    <cellStyle name="Normal 51 3 2" xfId="1336" xr:uid="{00000000-0005-0000-0000-00008D060000}"/>
    <cellStyle name="Normal 51 3 2 2" xfId="2250" xr:uid="{00000000-0005-0000-0000-00008E060000}"/>
    <cellStyle name="Normal 51 3 2 2 2" xfId="5500" xr:uid="{0B1E3ED1-8DB0-487E-B436-D1B27DA1A25A}"/>
    <cellStyle name="Normal 51 3 2 2 2 2" xfId="8880" xr:uid="{145569FE-AAC8-4DF1-AC89-BAB123EB1A96}"/>
    <cellStyle name="Normal 51 3 2 2 3" xfId="7180" xr:uid="{BD7EDA47-41D2-4852-8A8E-F520EA000145}"/>
    <cellStyle name="Normal 51 3 2 2_DEO ADIT Unprotected" xfId="3524" xr:uid="{0A18AE4F-9702-4FF0-9F8C-15E994D5CC1E}"/>
    <cellStyle name="Normal 51 3 2 3" xfId="4663" xr:uid="{B221C57B-8618-4A9D-8809-466D90365BEA}"/>
    <cellStyle name="Normal 51 3 2 3 2" xfId="8043" xr:uid="{B9416E3B-06B0-4392-9AC3-1D9FD78D179A}"/>
    <cellStyle name="Normal 51 3 2 4" xfId="6343" xr:uid="{0228300F-1725-41B1-BF06-17199C41B8C4}"/>
    <cellStyle name="Normal 51 3 2_DEO ADIT Unprotected" xfId="3523" xr:uid="{283283F7-C0FB-4DA5-86C8-99F70816AC12}"/>
    <cellStyle name="Normal 51 3 3" xfId="2249" xr:uid="{00000000-0005-0000-0000-00008F060000}"/>
    <cellStyle name="Normal 51 3 3 2" xfId="5499" xr:uid="{13B99E2E-AA45-4E44-A83B-EC9FD7D3B249}"/>
    <cellStyle name="Normal 51 3 3 2 2" xfId="8879" xr:uid="{E2C447DB-7CB5-4925-9E11-5DC87EE39CF1}"/>
    <cellStyle name="Normal 51 3 3 3" xfId="7179" xr:uid="{0834CDAF-656C-4F3C-B9AE-2536C79229BC}"/>
    <cellStyle name="Normal 51 3 3_DEO ADIT Unprotected" xfId="3525" xr:uid="{29890C65-5552-43A6-B6F7-A496DF069390}"/>
    <cellStyle name="Normal 51 3 4" xfId="4662" xr:uid="{0C5922DD-A0F2-467A-BD4B-FCF7D24EFCA3}"/>
    <cellStyle name="Normal 51 3 4 2" xfId="8042" xr:uid="{E5C1B4E9-8E28-4B26-88C5-87BC1B150A98}"/>
    <cellStyle name="Normal 51 3 5" xfId="6342" xr:uid="{5734EB6B-E30D-47E6-8BE3-F901F1D38A52}"/>
    <cellStyle name="Normal 51 3_DEO ADIT Unprotected" xfId="3522" xr:uid="{61D24B10-E097-4B9B-843D-49F0CF1D38E3}"/>
    <cellStyle name="Normal 51 4" xfId="1337" xr:uid="{00000000-0005-0000-0000-000090060000}"/>
    <cellStyle name="Normal 51 4 2" xfId="2251" xr:uid="{00000000-0005-0000-0000-000091060000}"/>
    <cellStyle name="Normal 51 4 2 2" xfId="5501" xr:uid="{E1EC724C-5819-4109-B5A2-946F390505EA}"/>
    <cellStyle name="Normal 51 4 2 2 2" xfId="8881" xr:uid="{D098C961-3AFD-4ED4-AB34-DFCEDDF9F4C2}"/>
    <cellStyle name="Normal 51 4 2 3" xfId="7181" xr:uid="{33C4E9D3-2113-46E4-81D5-5539275765F3}"/>
    <cellStyle name="Normal 51 4 2_DEO ADIT Unprotected" xfId="3527" xr:uid="{808CE667-C334-42F1-AA5F-76E08FC16234}"/>
    <cellStyle name="Normal 51 4 3" xfId="4664" xr:uid="{18438BE9-2B98-428E-BE07-C52C2A5A28BF}"/>
    <cellStyle name="Normal 51 4 3 2" xfId="8044" xr:uid="{BAD43570-0A4F-438A-8F59-BEEFDBB442B5}"/>
    <cellStyle name="Normal 51 4 4" xfId="6344" xr:uid="{FA406461-C688-4A7B-951F-320A6DBB276D}"/>
    <cellStyle name="Normal 51 4_DEO ADIT Unprotected" xfId="3526" xr:uid="{476F1B54-4882-413F-BE0A-C367D8C92FBB}"/>
    <cellStyle name="Normal 51 5" xfId="2244" xr:uid="{00000000-0005-0000-0000-000092060000}"/>
    <cellStyle name="Normal 51 5 2" xfId="5494" xr:uid="{61BBDE59-345F-41BA-88C9-1DC73A85509E}"/>
    <cellStyle name="Normal 51 5 2 2" xfId="8874" xr:uid="{2C15A18B-D987-43E5-BAEC-6D3435E1672D}"/>
    <cellStyle name="Normal 51 5 3" xfId="7174" xr:uid="{3469D1B2-3F32-4692-8523-DFC33BD81562}"/>
    <cellStyle name="Normal 51 5_DEO ADIT Unprotected" xfId="3528" xr:uid="{700C46D7-9A79-4FE6-A4D9-669F12F7D160}"/>
    <cellStyle name="Normal 51 6" xfId="4657" xr:uid="{F08E70DC-C55A-4788-83FA-E0AA1F9ADAFC}"/>
    <cellStyle name="Normal 51 6 2" xfId="8037" xr:uid="{601AF335-A8F3-4098-84E9-E17C773069D8}"/>
    <cellStyle name="Normal 51 7" xfId="6337" xr:uid="{0F79BBBD-9A0A-48B1-BBF8-CB6543809C9B}"/>
    <cellStyle name="Normal 51_DEO ADIT Unprotected" xfId="3513" xr:uid="{EF3812E3-9956-458F-BE50-6C9365A2723A}"/>
    <cellStyle name="Normal 52" xfId="1338" xr:uid="{00000000-0005-0000-0000-000093060000}"/>
    <cellStyle name="Normal 52 2" xfId="1339" xr:uid="{00000000-0005-0000-0000-000094060000}"/>
    <cellStyle name="Normal 52 2 2" xfId="1340" xr:uid="{00000000-0005-0000-0000-000095060000}"/>
    <cellStyle name="Normal 52 2 2 2" xfId="1341" xr:uid="{00000000-0005-0000-0000-000096060000}"/>
    <cellStyle name="Normal 52 2 2 2 2" xfId="2255" xr:uid="{00000000-0005-0000-0000-000097060000}"/>
    <cellStyle name="Normal 52 2 2 2 2 2" xfId="5505" xr:uid="{90D0FEEC-CFBA-472C-8047-942E61D635EC}"/>
    <cellStyle name="Normal 52 2 2 2 2 2 2" xfId="8885" xr:uid="{0B9BD17F-1EE6-4864-9D3A-85679C6D8957}"/>
    <cellStyle name="Normal 52 2 2 2 2 3" xfId="7185" xr:uid="{AF3E666D-8F1A-4B1D-A0C8-0BD8B652F659}"/>
    <cellStyle name="Normal 52 2 2 2 2_DEO ADIT Unprotected" xfId="3533" xr:uid="{416B166C-3B79-4138-8DAB-34B9AC297206}"/>
    <cellStyle name="Normal 52 2 2 2 3" xfId="4668" xr:uid="{24F17CC7-E521-4B94-BCE3-A936F9A66C87}"/>
    <cellStyle name="Normal 52 2 2 2 3 2" xfId="8048" xr:uid="{4E0B8992-12F5-4FDE-A902-5F211EF46BF8}"/>
    <cellStyle name="Normal 52 2 2 2 4" xfId="6348" xr:uid="{00601DA1-6077-4D0F-B334-CC716A3AC079}"/>
    <cellStyle name="Normal 52 2 2 2_DEO ADIT Unprotected" xfId="3532" xr:uid="{B8D57A0A-D94D-462A-8617-243B5771EFAF}"/>
    <cellStyle name="Normal 52 2 2 3" xfId="2254" xr:uid="{00000000-0005-0000-0000-000098060000}"/>
    <cellStyle name="Normal 52 2 2 3 2" xfId="5504" xr:uid="{01CA1823-9AA5-4525-90D6-6BF5AF81A7FC}"/>
    <cellStyle name="Normal 52 2 2 3 2 2" xfId="8884" xr:uid="{FDBB4227-247A-418F-9EA4-42979C8AA72D}"/>
    <cellStyle name="Normal 52 2 2 3 3" xfId="7184" xr:uid="{483BC85E-FB42-490C-B9F6-6BB09049E8E1}"/>
    <cellStyle name="Normal 52 2 2 3_DEO ADIT Unprotected" xfId="3534" xr:uid="{52DA178E-0396-4D6E-BC63-AF8C678F2E68}"/>
    <cellStyle name="Normal 52 2 2 4" xfId="4667" xr:uid="{EB4F5F17-3E56-4DCF-BF01-657C02E80345}"/>
    <cellStyle name="Normal 52 2 2 4 2" xfId="8047" xr:uid="{0F57A9F3-23E9-441E-96CB-766FD859A8E4}"/>
    <cellStyle name="Normal 52 2 2 5" xfId="6347" xr:uid="{CE962CC2-4C1A-48F2-9C43-BEE5A4A52B5E}"/>
    <cellStyle name="Normal 52 2 2_DEO ADIT Unprotected" xfId="3531" xr:uid="{ED35ADAE-71A9-4A2D-AC80-C5F845805A94}"/>
    <cellStyle name="Normal 52 2 3" xfId="1342" xr:uid="{00000000-0005-0000-0000-000099060000}"/>
    <cellStyle name="Normal 52 2 3 2" xfId="2256" xr:uid="{00000000-0005-0000-0000-00009A060000}"/>
    <cellStyle name="Normal 52 2 3 2 2" xfId="5506" xr:uid="{F9628452-2B6E-4C0E-BDFD-0E3BFE66EF8B}"/>
    <cellStyle name="Normal 52 2 3 2 2 2" xfId="8886" xr:uid="{8DE6071C-88FB-4097-B895-9E8074C02B81}"/>
    <cellStyle name="Normal 52 2 3 2 3" xfId="7186" xr:uid="{39D4277E-8CAC-4478-A6B7-531B9C375CD8}"/>
    <cellStyle name="Normal 52 2 3 2_DEO ADIT Unprotected" xfId="3536" xr:uid="{223DFBB3-AA29-4549-B331-D34EA675D93D}"/>
    <cellStyle name="Normal 52 2 3 3" xfId="4669" xr:uid="{E3DBC0CA-6E93-4CC3-87C9-8355A2936A3D}"/>
    <cellStyle name="Normal 52 2 3 3 2" xfId="8049" xr:uid="{9AF79794-1B67-4C80-81FF-70580848EDB0}"/>
    <cellStyle name="Normal 52 2 3 4" xfId="6349" xr:uid="{A4661C32-8406-4BCD-9B58-A7857916D1FE}"/>
    <cellStyle name="Normal 52 2 3_DEO ADIT Unprotected" xfId="3535" xr:uid="{DF735C41-EF7D-4557-9121-63719A46BD45}"/>
    <cellStyle name="Normal 52 2 4" xfId="2253" xr:uid="{00000000-0005-0000-0000-00009B060000}"/>
    <cellStyle name="Normal 52 2 4 2" xfId="5503" xr:uid="{3C2B63CE-5B2E-43CF-9980-D2A927835D93}"/>
    <cellStyle name="Normal 52 2 4 2 2" xfId="8883" xr:uid="{C59F4729-ACF8-486C-B381-61023D7D0717}"/>
    <cellStyle name="Normal 52 2 4 3" xfId="7183" xr:uid="{E7E0F732-7583-42B1-A56E-A5818B9B5FCF}"/>
    <cellStyle name="Normal 52 2 4_DEO ADIT Unprotected" xfId="3537" xr:uid="{0119BF1E-0593-4699-8F6A-ADF7964EED31}"/>
    <cellStyle name="Normal 52 2 5" xfId="4666" xr:uid="{CB8AB32F-EFF4-4FB9-941C-93AF21FD6609}"/>
    <cellStyle name="Normal 52 2 5 2" xfId="8046" xr:uid="{26360D7F-7DE7-441F-9C82-1898DEC09F3A}"/>
    <cellStyle name="Normal 52 2 6" xfId="6346" xr:uid="{5B7A724B-5FB8-4959-A1E9-96C8C06117EA}"/>
    <cellStyle name="Normal 52 2_DEO ADIT Unprotected" xfId="3530" xr:uid="{219A1472-0BE2-44BA-A0FF-2B675CE44930}"/>
    <cellStyle name="Normal 52 3" xfId="1343" xr:uid="{00000000-0005-0000-0000-00009C060000}"/>
    <cellStyle name="Normal 52 3 2" xfId="1344" xr:uid="{00000000-0005-0000-0000-00009D060000}"/>
    <cellStyle name="Normal 52 3 2 2" xfId="2258" xr:uid="{00000000-0005-0000-0000-00009E060000}"/>
    <cellStyle name="Normal 52 3 2 2 2" xfId="5508" xr:uid="{B8599F16-1463-4B72-8563-CD2217F6FA47}"/>
    <cellStyle name="Normal 52 3 2 2 2 2" xfId="8888" xr:uid="{1722C433-FAC2-4A4B-A145-5A69DCB0DA2D}"/>
    <cellStyle name="Normal 52 3 2 2 3" xfId="7188" xr:uid="{0E192D39-1FF4-449F-9C4C-5D58B849290F}"/>
    <cellStyle name="Normal 52 3 2 2_DEO ADIT Unprotected" xfId="3540" xr:uid="{664AC5E0-E4A2-4DDF-BB16-00C13AE2EC62}"/>
    <cellStyle name="Normal 52 3 2 3" xfId="4671" xr:uid="{8D124198-89D5-431C-B1E6-8A725278D455}"/>
    <cellStyle name="Normal 52 3 2 3 2" xfId="8051" xr:uid="{436527DB-5111-4BD3-9153-8CF5682A3C15}"/>
    <cellStyle name="Normal 52 3 2 4" xfId="6351" xr:uid="{98AFD916-67D3-4385-8787-A04D997E55E9}"/>
    <cellStyle name="Normal 52 3 2_DEO ADIT Unprotected" xfId="3539" xr:uid="{C711C54E-1D36-485D-927B-826B216B3112}"/>
    <cellStyle name="Normal 52 3 3" xfId="2257" xr:uid="{00000000-0005-0000-0000-00009F060000}"/>
    <cellStyle name="Normal 52 3 3 2" xfId="5507" xr:uid="{2198723E-F560-4184-AD5E-BCC717C55C30}"/>
    <cellStyle name="Normal 52 3 3 2 2" xfId="8887" xr:uid="{67444965-9839-46D3-A05C-BA064BDEDC52}"/>
    <cellStyle name="Normal 52 3 3 3" xfId="7187" xr:uid="{A2B234D6-6ED0-487E-873E-473E65F899C7}"/>
    <cellStyle name="Normal 52 3 3_DEO ADIT Unprotected" xfId="3541" xr:uid="{EF992E85-C7C7-43B5-9DCC-EC9110493904}"/>
    <cellStyle name="Normal 52 3 4" xfId="4670" xr:uid="{F96515EF-2A63-4BD3-B31B-00D6BC117130}"/>
    <cellStyle name="Normal 52 3 4 2" xfId="8050" xr:uid="{940104EF-81C7-4912-BD66-B655F86BF268}"/>
    <cellStyle name="Normal 52 3 5" xfId="6350" xr:uid="{1D5D5081-A90B-42A1-A4B2-E85FBB1EF2A8}"/>
    <cellStyle name="Normal 52 3_DEO ADIT Unprotected" xfId="3538" xr:uid="{C6FB4428-678E-419D-8DEA-5A5E95088421}"/>
    <cellStyle name="Normal 52 4" xfId="1345" xr:uid="{00000000-0005-0000-0000-0000A0060000}"/>
    <cellStyle name="Normal 52 4 2" xfId="2259" xr:uid="{00000000-0005-0000-0000-0000A1060000}"/>
    <cellStyle name="Normal 52 4 2 2" xfId="5509" xr:uid="{D70AE604-915D-4BA5-AF2D-E9AD753E4424}"/>
    <cellStyle name="Normal 52 4 2 2 2" xfId="8889" xr:uid="{F74F7E06-4BC7-4AC0-BE9F-B5A1A5E2E5EE}"/>
    <cellStyle name="Normal 52 4 2 3" xfId="7189" xr:uid="{124DD2B4-5A7F-46AB-8FAB-5A90076F5D8B}"/>
    <cellStyle name="Normal 52 4 2_DEO ADIT Unprotected" xfId="3543" xr:uid="{2C597152-3F5F-4D81-95C3-DDB289A988E2}"/>
    <cellStyle name="Normal 52 4 3" xfId="4672" xr:uid="{91C61CCD-FAFF-4670-995C-2DE3559AF305}"/>
    <cellStyle name="Normal 52 4 3 2" xfId="8052" xr:uid="{DE94BEC8-1092-4B32-A005-01D561125BA1}"/>
    <cellStyle name="Normal 52 4 4" xfId="6352" xr:uid="{41C67D04-1181-4CBB-A852-3CD120424A05}"/>
    <cellStyle name="Normal 52 4_DEO ADIT Unprotected" xfId="3542" xr:uid="{D9AECF82-CFD9-483E-8BB4-DC46286D04C4}"/>
    <cellStyle name="Normal 52 5" xfId="2252" xr:uid="{00000000-0005-0000-0000-0000A2060000}"/>
    <cellStyle name="Normal 52 5 2" xfId="5502" xr:uid="{07C0A0E9-2955-4470-AF5E-ED7116AAF426}"/>
    <cellStyle name="Normal 52 5 2 2" xfId="8882" xr:uid="{08EBE46D-52ED-4F06-BD8E-F17F03B58CC0}"/>
    <cellStyle name="Normal 52 5 3" xfId="7182" xr:uid="{BDCE55C1-F428-41BB-85AA-22B74CEB4C35}"/>
    <cellStyle name="Normal 52 5_DEO ADIT Unprotected" xfId="3544" xr:uid="{12EE938F-58A9-4F95-82B7-5F673C7FDAB6}"/>
    <cellStyle name="Normal 52 6" xfId="4665" xr:uid="{15CEF1B0-2516-47A3-B4FC-466638F82C87}"/>
    <cellStyle name="Normal 52 6 2" xfId="8045" xr:uid="{C981F792-C161-400E-9F45-9D5985CDC88B}"/>
    <cellStyle name="Normal 52 7" xfId="6345" xr:uid="{F5F142C6-713A-452B-AF80-9795A63A6138}"/>
    <cellStyle name="Normal 52_DEO ADIT Unprotected" xfId="3529" xr:uid="{28E0426D-5F35-4773-86C8-1A1E2FB536F1}"/>
    <cellStyle name="Normal 53" xfId="1346" xr:uid="{00000000-0005-0000-0000-0000A3060000}"/>
    <cellStyle name="Normal 53 2" xfId="1347" xr:uid="{00000000-0005-0000-0000-0000A4060000}"/>
    <cellStyle name="Normal 53 2 2" xfId="1348" xr:uid="{00000000-0005-0000-0000-0000A5060000}"/>
    <cellStyle name="Normal 53 2 2 2" xfId="1349" xr:uid="{00000000-0005-0000-0000-0000A6060000}"/>
    <cellStyle name="Normal 53 2 2 2 2" xfId="2263" xr:uid="{00000000-0005-0000-0000-0000A7060000}"/>
    <cellStyle name="Normal 53 2 2 2 2 2" xfId="5513" xr:uid="{9E622956-5AD4-43BB-B926-66C52C1689F4}"/>
    <cellStyle name="Normal 53 2 2 2 2 2 2" xfId="8893" xr:uid="{082E8105-B147-46E7-9152-A7E7D6976710}"/>
    <cellStyle name="Normal 53 2 2 2 2 3" xfId="7193" xr:uid="{7B60DDE8-535E-4EF6-A45D-945B4A31CE98}"/>
    <cellStyle name="Normal 53 2 2 2 2_DEO ADIT Unprotected" xfId="3549" xr:uid="{12EB17BE-D872-4A67-9472-6B0CED6F8E24}"/>
    <cellStyle name="Normal 53 2 2 2 3" xfId="4676" xr:uid="{27D703CE-86E8-41FC-A73A-7148579754A8}"/>
    <cellStyle name="Normal 53 2 2 2 3 2" xfId="8056" xr:uid="{D2344558-9068-4645-A55E-AF26F5E19FAB}"/>
    <cellStyle name="Normal 53 2 2 2 4" xfId="6356" xr:uid="{8D9A8348-0745-4D4A-9495-88839CD8883B}"/>
    <cellStyle name="Normal 53 2 2 2_DEO ADIT Unprotected" xfId="3548" xr:uid="{890C4709-B98F-49AF-BA2B-217D0CEEC13F}"/>
    <cellStyle name="Normal 53 2 2 3" xfId="2262" xr:uid="{00000000-0005-0000-0000-0000A8060000}"/>
    <cellStyle name="Normal 53 2 2 3 2" xfId="5512" xr:uid="{C2156D4F-E824-4895-AB8B-5CF0DF550C3D}"/>
    <cellStyle name="Normal 53 2 2 3 2 2" xfId="8892" xr:uid="{68DA540D-CC48-486E-9BB6-0AF92726EDBE}"/>
    <cellStyle name="Normal 53 2 2 3 3" xfId="7192" xr:uid="{A547E686-4642-42FF-8490-505C8950955F}"/>
    <cellStyle name="Normal 53 2 2 3_DEO ADIT Unprotected" xfId="3550" xr:uid="{BDB6B5DD-BC49-412B-9C67-C90A2FBDEF01}"/>
    <cellStyle name="Normal 53 2 2 4" xfId="4675" xr:uid="{95943725-97CB-4948-8510-BC2C47D1D4A6}"/>
    <cellStyle name="Normal 53 2 2 4 2" xfId="8055" xr:uid="{59E0675E-591E-4989-A87F-4ABB2DD304ED}"/>
    <cellStyle name="Normal 53 2 2 5" xfId="6355" xr:uid="{5D9A4F5E-7D21-4BB5-BA1C-6456BF967963}"/>
    <cellStyle name="Normal 53 2 2_DEO ADIT Unprotected" xfId="3547" xr:uid="{9E03FD27-33C3-43CF-BD55-A3D71A02AD26}"/>
    <cellStyle name="Normal 53 2 3" xfId="1350" xr:uid="{00000000-0005-0000-0000-0000A9060000}"/>
    <cellStyle name="Normal 53 2 3 2" xfId="2264" xr:uid="{00000000-0005-0000-0000-0000AA060000}"/>
    <cellStyle name="Normal 53 2 3 2 2" xfId="5514" xr:uid="{37A8AE05-339B-4638-B839-725397EE76FD}"/>
    <cellStyle name="Normal 53 2 3 2 2 2" xfId="8894" xr:uid="{125475D8-5C04-4757-8B36-C6AEDEE2D4A1}"/>
    <cellStyle name="Normal 53 2 3 2 3" xfId="7194" xr:uid="{F1288447-E849-4FC7-9954-45E11A5D2EBA}"/>
    <cellStyle name="Normal 53 2 3 2_DEO ADIT Unprotected" xfId="3552" xr:uid="{AA9ECA92-4858-4E9E-8ED5-5061BB23AEFB}"/>
    <cellStyle name="Normal 53 2 3 3" xfId="4677" xr:uid="{4B5C81AE-2335-42A0-89ED-1CB061B1F1FF}"/>
    <cellStyle name="Normal 53 2 3 3 2" xfId="8057" xr:uid="{F2DE759A-DC1C-47A3-AD16-83DDC10FBA81}"/>
    <cellStyle name="Normal 53 2 3 4" xfId="6357" xr:uid="{F6ED333B-82CF-42EF-BFC4-40BBBDAA6786}"/>
    <cellStyle name="Normal 53 2 3_DEO ADIT Unprotected" xfId="3551" xr:uid="{3905FABD-21B5-4F6B-8783-6D11301C49D6}"/>
    <cellStyle name="Normal 53 2 4" xfId="2261" xr:uid="{00000000-0005-0000-0000-0000AB060000}"/>
    <cellStyle name="Normal 53 2 4 2" xfId="5511" xr:uid="{4B229C96-BCFD-4FC7-B5C4-905967FFAA3B}"/>
    <cellStyle name="Normal 53 2 4 2 2" xfId="8891" xr:uid="{3E27B4D9-0A3D-498E-8874-0B4F87DE052C}"/>
    <cellStyle name="Normal 53 2 4 3" xfId="7191" xr:uid="{F7CE349F-7C69-44DB-A604-E053C5069545}"/>
    <cellStyle name="Normal 53 2 4_DEO ADIT Unprotected" xfId="3553" xr:uid="{3B98972F-4E07-4288-8398-FC443DA9EC8F}"/>
    <cellStyle name="Normal 53 2 5" xfId="4674" xr:uid="{E99624F8-4B9F-4443-8DB6-8961B4736A6B}"/>
    <cellStyle name="Normal 53 2 5 2" xfId="8054" xr:uid="{5A721941-B29F-4948-98A8-481CEB7B9A35}"/>
    <cellStyle name="Normal 53 2 6" xfId="6354" xr:uid="{34EFC571-5A56-43F4-B81F-1558215844A1}"/>
    <cellStyle name="Normal 53 2_DEO ADIT Unprotected" xfId="3546" xr:uid="{B48D80EE-0DFF-4D77-99F6-A7153CCB6538}"/>
    <cellStyle name="Normal 53 3" xfId="1351" xr:uid="{00000000-0005-0000-0000-0000AC060000}"/>
    <cellStyle name="Normal 53 3 2" xfId="1352" xr:uid="{00000000-0005-0000-0000-0000AD060000}"/>
    <cellStyle name="Normal 53 3 2 2" xfId="2266" xr:uid="{00000000-0005-0000-0000-0000AE060000}"/>
    <cellStyle name="Normal 53 3 2 2 2" xfId="5516" xr:uid="{5E0C374A-0EBF-4FFE-AFE4-54EB9289364E}"/>
    <cellStyle name="Normal 53 3 2 2 2 2" xfId="8896" xr:uid="{24173011-9DF3-4B33-A0B7-7947DB7C8C9D}"/>
    <cellStyle name="Normal 53 3 2 2 3" xfId="7196" xr:uid="{926462C3-0443-4F23-8298-ADA381B35E81}"/>
    <cellStyle name="Normal 53 3 2 2_DEO ADIT Unprotected" xfId="3556" xr:uid="{2BC6860C-AF8C-4683-9BA4-EADCB5FC98AA}"/>
    <cellStyle name="Normal 53 3 2 3" xfId="4679" xr:uid="{32868603-1109-4243-A070-832A701EE2ED}"/>
    <cellStyle name="Normal 53 3 2 3 2" xfId="8059" xr:uid="{6E8E2FE9-B589-41D7-8A9F-D2E10E3D7951}"/>
    <cellStyle name="Normal 53 3 2 4" xfId="6359" xr:uid="{AF50B652-467A-4957-9A38-FC7C4BCB1BA8}"/>
    <cellStyle name="Normal 53 3 2_DEO ADIT Unprotected" xfId="3555" xr:uid="{4D426882-9B7B-42ED-8965-AF7E453AC1BA}"/>
    <cellStyle name="Normal 53 3 3" xfId="2265" xr:uid="{00000000-0005-0000-0000-0000AF060000}"/>
    <cellStyle name="Normal 53 3 3 2" xfId="5515" xr:uid="{235F7BB6-2EFD-498F-AD8A-7AEA6A89D94C}"/>
    <cellStyle name="Normal 53 3 3 2 2" xfId="8895" xr:uid="{32F3E3DE-FFA4-412A-8F81-1B3C954745F0}"/>
    <cellStyle name="Normal 53 3 3 3" xfId="7195" xr:uid="{05F90323-E13D-4DB8-87CA-F3C2CA8B05AD}"/>
    <cellStyle name="Normal 53 3 3_DEO ADIT Unprotected" xfId="3557" xr:uid="{F099F1AF-D6C2-4D7C-9B07-85492087D431}"/>
    <cellStyle name="Normal 53 3 4" xfId="4678" xr:uid="{A1E5F4A2-C37D-41DC-B791-2F4F1A3D2229}"/>
    <cellStyle name="Normal 53 3 4 2" xfId="8058" xr:uid="{E3B8D354-0AEB-4EE6-9BDA-DC57BF88C2A1}"/>
    <cellStyle name="Normal 53 3 5" xfId="6358" xr:uid="{4C83F1A2-8FC0-4D42-B4FB-8C7690001461}"/>
    <cellStyle name="Normal 53 3_DEO ADIT Unprotected" xfId="3554" xr:uid="{09D052DB-0615-4965-9D9A-1732ED7FB864}"/>
    <cellStyle name="Normal 53 4" xfId="1353" xr:uid="{00000000-0005-0000-0000-0000B0060000}"/>
    <cellStyle name="Normal 53 4 2" xfId="2267" xr:uid="{00000000-0005-0000-0000-0000B1060000}"/>
    <cellStyle name="Normal 53 4 2 2" xfId="5517" xr:uid="{C672844F-1982-440D-976B-AB96C6CA29A7}"/>
    <cellStyle name="Normal 53 4 2 2 2" xfId="8897" xr:uid="{24974755-D97B-46B2-819A-A89A42F22324}"/>
    <cellStyle name="Normal 53 4 2 3" xfId="7197" xr:uid="{E89E926C-35B7-463F-8561-6AB6FF456F1B}"/>
    <cellStyle name="Normal 53 4 2_DEO ADIT Unprotected" xfId="3559" xr:uid="{C31EFB94-4585-4269-90C6-B64E41BD47E3}"/>
    <cellStyle name="Normal 53 4 3" xfId="4680" xr:uid="{811197E6-1C0E-4D06-84F9-07DC3A12801B}"/>
    <cellStyle name="Normal 53 4 3 2" xfId="8060" xr:uid="{F267D219-6C13-406C-B617-BD848F5D2891}"/>
    <cellStyle name="Normal 53 4 4" xfId="6360" xr:uid="{C650B302-84CD-4D07-822B-16F89C98DBDC}"/>
    <cellStyle name="Normal 53 4_DEO ADIT Unprotected" xfId="3558" xr:uid="{3348C970-EF8E-477F-9639-D062B73C9E5D}"/>
    <cellStyle name="Normal 53 5" xfId="2260" xr:uid="{00000000-0005-0000-0000-0000B2060000}"/>
    <cellStyle name="Normal 53 5 2" xfId="5510" xr:uid="{8BF7C4D1-FD4F-4C5C-9CFB-E80787E0E736}"/>
    <cellStyle name="Normal 53 5 2 2" xfId="8890" xr:uid="{72C6CCF1-6D85-49F1-A75E-A641D38B0CF7}"/>
    <cellStyle name="Normal 53 5 3" xfId="7190" xr:uid="{6A667FFF-5D92-4433-BD7F-6B26303BBE4C}"/>
    <cellStyle name="Normal 53 5_DEO ADIT Unprotected" xfId="3560" xr:uid="{043BF131-CBB2-49E5-8BB6-1427854E9640}"/>
    <cellStyle name="Normal 53 6" xfId="4673" xr:uid="{158DEACC-DA2F-464E-A46B-54E34413AFEF}"/>
    <cellStyle name="Normal 53 6 2" xfId="8053" xr:uid="{7E4B26B5-CC0E-4AA9-AE91-38E93324DD06}"/>
    <cellStyle name="Normal 53 7" xfId="6353" xr:uid="{B490787E-DB61-46F1-958E-FF709B703C25}"/>
    <cellStyle name="Normal 53_DEO ADIT Unprotected" xfId="3545" xr:uid="{1998FB2C-98EB-4CFC-8FA6-32BA0F97C47D}"/>
    <cellStyle name="Normal 54" xfId="1354" xr:uid="{00000000-0005-0000-0000-0000B3060000}"/>
    <cellStyle name="Normal 54 2" xfId="1355" xr:uid="{00000000-0005-0000-0000-0000B4060000}"/>
    <cellStyle name="Normal 54 2 2" xfId="1356" xr:uid="{00000000-0005-0000-0000-0000B5060000}"/>
    <cellStyle name="Normal 54 2 2 2" xfId="1357" xr:uid="{00000000-0005-0000-0000-0000B6060000}"/>
    <cellStyle name="Normal 54 2 2 2 2" xfId="2271" xr:uid="{00000000-0005-0000-0000-0000B7060000}"/>
    <cellStyle name="Normal 54 2 2 2 2 2" xfId="5521" xr:uid="{C83B169A-C22C-42AD-8A88-70BD1A9756D8}"/>
    <cellStyle name="Normal 54 2 2 2 2 2 2" xfId="8901" xr:uid="{B8DEEDD6-24AF-4B61-BFE7-ACC78208567B}"/>
    <cellStyle name="Normal 54 2 2 2 2 3" xfId="7201" xr:uid="{9190E965-EA6E-45E0-AA81-F6F39FF2D659}"/>
    <cellStyle name="Normal 54 2 2 2 2_DEO ADIT Unprotected" xfId="3565" xr:uid="{7599F0D5-B3E9-4F22-AB2D-74AC9E558985}"/>
    <cellStyle name="Normal 54 2 2 2 3" xfId="4684" xr:uid="{17802577-65B0-4AD4-8BA1-B019D9D9F0BB}"/>
    <cellStyle name="Normal 54 2 2 2 3 2" xfId="8064" xr:uid="{7C752589-D483-49A1-89C3-C6E943B152D2}"/>
    <cellStyle name="Normal 54 2 2 2 4" xfId="6364" xr:uid="{664FB4B4-10D8-4BD8-B34B-955104CAFEBD}"/>
    <cellStyle name="Normal 54 2 2 2_DEO ADIT Unprotected" xfId="3564" xr:uid="{4BE7902F-A48D-480C-94CB-256BF3D7F0C4}"/>
    <cellStyle name="Normal 54 2 2 3" xfId="2270" xr:uid="{00000000-0005-0000-0000-0000B8060000}"/>
    <cellStyle name="Normal 54 2 2 3 2" xfId="5520" xr:uid="{3111FB93-37CF-4C68-88DA-3405BFEDC787}"/>
    <cellStyle name="Normal 54 2 2 3 2 2" xfId="8900" xr:uid="{EF640645-9622-4239-92A8-C08F7C83394C}"/>
    <cellStyle name="Normal 54 2 2 3 3" xfId="7200" xr:uid="{AD0761AE-2846-4B7D-ACB3-97EEE88044BC}"/>
    <cellStyle name="Normal 54 2 2 3_DEO ADIT Unprotected" xfId="3566" xr:uid="{E51D5B24-F2C6-4FA5-9AA2-9E4D80151A45}"/>
    <cellStyle name="Normal 54 2 2 4" xfId="4683" xr:uid="{FA46F2B3-5BED-4D7F-B3FD-53FEBC8958BA}"/>
    <cellStyle name="Normal 54 2 2 4 2" xfId="8063" xr:uid="{A8E407DB-5B7B-416C-98FD-A0030923C6B4}"/>
    <cellStyle name="Normal 54 2 2 5" xfId="6363" xr:uid="{AB9186A4-453B-4465-A6FF-A3B44243514F}"/>
    <cellStyle name="Normal 54 2 2_DEO ADIT Unprotected" xfId="3563" xr:uid="{0FA3DF33-0BB1-4BBF-B711-CB47C8039BD4}"/>
    <cellStyle name="Normal 54 2 3" xfId="1358" xr:uid="{00000000-0005-0000-0000-0000B9060000}"/>
    <cellStyle name="Normal 54 2 3 2" xfId="2272" xr:uid="{00000000-0005-0000-0000-0000BA060000}"/>
    <cellStyle name="Normal 54 2 3 2 2" xfId="5522" xr:uid="{E299E4A7-1A39-4295-B9D9-5FB7B488065B}"/>
    <cellStyle name="Normal 54 2 3 2 2 2" xfId="8902" xr:uid="{EC1E5F24-2944-4068-B0AD-C422FEF23E9C}"/>
    <cellStyle name="Normal 54 2 3 2 3" xfId="7202" xr:uid="{19506342-D10C-48EA-9F16-42352487E485}"/>
    <cellStyle name="Normal 54 2 3 2_DEO ADIT Unprotected" xfId="3568" xr:uid="{AA341EB4-854C-4E04-A776-9F551C03BA77}"/>
    <cellStyle name="Normal 54 2 3 3" xfId="4685" xr:uid="{DBA7FDB9-8D7E-4733-95C8-D0B543527637}"/>
    <cellStyle name="Normal 54 2 3 3 2" xfId="8065" xr:uid="{276F315F-DA00-474B-8E38-92FE5DEC2A03}"/>
    <cellStyle name="Normal 54 2 3 4" xfId="6365" xr:uid="{5C64FA00-9141-4FD5-A391-1ECF87CC7555}"/>
    <cellStyle name="Normal 54 2 3_DEO ADIT Unprotected" xfId="3567" xr:uid="{47C5A543-902C-406F-961F-33E6D0DF5AA7}"/>
    <cellStyle name="Normal 54 2 4" xfId="2269" xr:uid="{00000000-0005-0000-0000-0000BB060000}"/>
    <cellStyle name="Normal 54 2 4 2" xfId="5519" xr:uid="{14652D85-2D66-4A7D-870F-6C20DA01BE2E}"/>
    <cellStyle name="Normal 54 2 4 2 2" xfId="8899" xr:uid="{EDBFB555-C865-4EF7-BFA2-00B1A40FF240}"/>
    <cellStyle name="Normal 54 2 4 3" xfId="7199" xr:uid="{91904D2D-5D67-4F48-8D52-9BFAE66F0165}"/>
    <cellStyle name="Normal 54 2 4_DEO ADIT Unprotected" xfId="3569" xr:uid="{76A4945A-1325-4067-885E-5A1B87D92365}"/>
    <cellStyle name="Normal 54 2 5" xfId="4682" xr:uid="{37C8B667-14CB-49AB-A5EE-1603BE01EA1D}"/>
    <cellStyle name="Normal 54 2 5 2" xfId="8062" xr:uid="{93D34A27-4980-4E52-B2F2-01EFF1E1B9F3}"/>
    <cellStyle name="Normal 54 2 6" xfId="6362" xr:uid="{8672DE55-ED2F-4EEF-A4C3-0D185A57BC0D}"/>
    <cellStyle name="Normal 54 2_DEO ADIT Unprotected" xfId="3562" xr:uid="{1FD5374E-5501-42BE-B6FC-D7612EC8BEF6}"/>
    <cellStyle name="Normal 54 3" xfId="1359" xr:uid="{00000000-0005-0000-0000-0000BC060000}"/>
    <cellStyle name="Normal 54 3 2" xfId="1360" xr:uid="{00000000-0005-0000-0000-0000BD060000}"/>
    <cellStyle name="Normal 54 3 2 2" xfId="2274" xr:uid="{00000000-0005-0000-0000-0000BE060000}"/>
    <cellStyle name="Normal 54 3 2 2 2" xfId="5524" xr:uid="{E1510F73-5ED7-42F3-B12D-705976EB3A4D}"/>
    <cellStyle name="Normal 54 3 2 2 2 2" xfId="8904" xr:uid="{A28EB4A9-4210-4A54-AF36-A1F397B17A92}"/>
    <cellStyle name="Normal 54 3 2 2 3" xfId="7204" xr:uid="{88074096-F4E3-445F-BD41-989C30F52611}"/>
    <cellStyle name="Normal 54 3 2 2_DEO ADIT Unprotected" xfId="3572" xr:uid="{1CA7A3A3-B217-46AD-A087-2E370E1EE5B8}"/>
    <cellStyle name="Normal 54 3 2 3" xfId="4687" xr:uid="{F4C77E8D-91B4-4CDD-9051-BBA6D99A7BDC}"/>
    <cellStyle name="Normal 54 3 2 3 2" xfId="8067" xr:uid="{77CB1EF5-4F32-4A2E-8C05-6894E5841A63}"/>
    <cellStyle name="Normal 54 3 2 4" xfId="6367" xr:uid="{2DDB7BC9-6665-478F-996C-2EC70930BCEA}"/>
    <cellStyle name="Normal 54 3 2_DEO ADIT Unprotected" xfId="3571" xr:uid="{4ADE8B59-BDC9-4370-8447-4ABAA1085ABF}"/>
    <cellStyle name="Normal 54 3 3" xfId="2273" xr:uid="{00000000-0005-0000-0000-0000BF060000}"/>
    <cellStyle name="Normal 54 3 3 2" xfId="5523" xr:uid="{30C8A5AE-8A7B-4300-A51D-745D48B5C762}"/>
    <cellStyle name="Normal 54 3 3 2 2" xfId="8903" xr:uid="{E53E09C3-BAE1-41C6-A08E-4B81FCF8D5D6}"/>
    <cellStyle name="Normal 54 3 3 3" xfId="7203" xr:uid="{202B1C09-8CAE-460E-924E-709508426A82}"/>
    <cellStyle name="Normal 54 3 3_DEO ADIT Unprotected" xfId="3573" xr:uid="{27465526-E7D0-45BC-8116-40CC8DB7F7C8}"/>
    <cellStyle name="Normal 54 3 4" xfId="4686" xr:uid="{C0EAEF7E-6102-47A2-828E-F6AA50F81B70}"/>
    <cellStyle name="Normal 54 3 4 2" xfId="8066" xr:uid="{0E79B1AD-B740-45D8-8A9C-C8294BBC3EDC}"/>
    <cellStyle name="Normal 54 3 5" xfId="6366" xr:uid="{9F912BA0-8737-4B9E-97B3-B6025C407140}"/>
    <cellStyle name="Normal 54 3_DEO ADIT Unprotected" xfId="3570" xr:uid="{17ACCC39-D6D2-4C7B-801C-F1BD3E2192CD}"/>
    <cellStyle name="Normal 54 4" xfId="1361" xr:uid="{00000000-0005-0000-0000-0000C0060000}"/>
    <cellStyle name="Normal 54 4 2" xfId="2275" xr:uid="{00000000-0005-0000-0000-0000C1060000}"/>
    <cellStyle name="Normal 54 4 2 2" xfId="5525" xr:uid="{710DB599-101B-47F1-8975-DEBD167C1B46}"/>
    <cellStyle name="Normal 54 4 2 2 2" xfId="8905" xr:uid="{1CA221B5-6CB7-4F9E-9C0B-B9ED2F6C686A}"/>
    <cellStyle name="Normal 54 4 2 3" xfId="7205" xr:uid="{DBA66845-BDA8-4390-B8F8-8272CC959FFC}"/>
    <cellStyle name="Normal 54 4 2_DEO ADIT Unprotected" xfId="3575" xr:uid="{CADDD995-2672-4100-A1E5-5DBBEE793C65}"/>
    <cellStyle name="Normal 54 4 3" xfId="4688" xr:uid="{2ED436AE-BE79-4F9F-A125-E17327B48DE7}"/>
    <cellStyle name="Normal 54 4 3 2" xfId="8068" xr:uid="{B74F5E95-1B5A-4239-8A42-AFFEAF423DA2}"/>
    <cellStyle name="Normal 54 4 4" xfId="6368" xr:uid="{275D852B-0172-43C6-8C02-6E0634B35DF4}"/>
    <cellStyle name="Normal 54 4_DEO ADIT Unprotected" xfId="3574" xr:uid="{718CC9DA-65FA-4EE5-AAFA-5E8CC99E61AE}"/>
    <cellStyle name="Normal 54 5" xfId="2268" xr:uid="{00000000-0005-0000-0000-0000C2060000}"/>
    <cellStyle name="Normal 54 5 2" xfId="5518" xr:uid="{CB487BAA-7A36-4CC4-AB29-93849F954669}"/>
    <cellStyle name="Normal 54 5 2 2" xfId="8898" xr:uid="{74B64140-5305-48D2-85BB-A2B19D691FD8}"/>
    <cellStyle name="Normal 54 5 3" xfId="7198" xr:uid="{BDD7695E-965A-490A-8ADD-343B484379E3}"/>
    <cellStyle name="Normal 54 5_DEO ADIT Unprotected" xfId="3576" xr:uid="{CBAA69E9-018B-40E9-85D9-0805EFB692BF}"/>
    <cellStyle name="Normal 54 6" xfId="4681" xr:uid="{A5206058-63D4-4C60-8E33-8C9E49E27251}"/>
    <cellStyle name="Normal 54 6 2" xfId="8061" xr:uid="{6F177EB2-776D-4F65-8150-57E885E1715C}"/>
    <cellStyle name="Normal 54 7" xfId="6361" xr:uid="{2B0A4C19-29C0-45E2-9F26-C41C40F8F88B}"/>
    <cellStyle name="Normal 54_DEO ADIT Unprotected" xfId="3561" xr:uid="{C18D3CD3-F92A-4ED6-BD82-DCBD91642F81}"/>
    <cellStyle name="Normal 55" xfId="1362" xr:uid="{00000000-0005-0000-0000-0000C3060000}"/>
    <cellStyle name="Normal 55 2" xfId="1363" xr:uid="{00000000-0005-0000-0000-0000C4060000}"/>
    <cellStyle name="Normal 55 2 2" xfId="1364" xr:uid="{00000000-0005-0000-0000-0000C5060000}"/>
    <cellStyle name="Normal 55 2 2 2" xfId="1365" xr:uid="{00000000-0005-0000-0000-0000C6060000}"/>
    <cellStyle name="Normal 55 2 2 2 2" xfId="2279" xr:uid="{00000000-0005-0000-0000-0000C7060000}"/>
    <cellStyle name="Normal 55 2 2 2 2 2" xfId="5529" xr:uid="{2A4E5079-C0DE-475C-83D1-01518466E969}"/>
    <cellStyle name="Normal 55 2 2 2 2 2 2" xfId="8909" xr:uid="{3FE784DF-3155-47AC-BDA9-A585C42251C2}"/>
    <cellStyle name="Normal 55 2 2 2 2 3" xfId="7209" xr:uid="{A5D63013-EB2F-415E-9889-67E08297F9BA}"/>
    <cellStyle name="Normal 55 2 2 2 2_DEO ADIT Unprotected" xfId="3581" xr:uid="{77A9194B-774D-45D4-BFC7-BCE4447A1E50}"/>
    <cellStyle name="Normal 55 2 2 2 3" xfId="4692" xr:uid="{577CBCC9-A1E3-4BC3-BDD8-EF837F70A5D7}"/>
    <cellStyle name="Normal 55 2 2 2 3 2" xfId="8072" xr:uid="{278A90F2-B0CA-4906-A57C-F5B13C27A2A9}"/>
    <cellStyle name="Normal 55 2 2 2 4" xfId="6372" xr:uid="{C19BF178-DE31-4380-9DEC-C0977C07E7CF}"/>
    <cellStyle name="Normal 55 2 2 2_DEO ADIT Unprotected" xfId="3580" xr:uid="{C91F210A-3649-46C0-B494-685066263269}"/>
    <cellStyle name="Normal 55 2 2 3" xfId="2278" xr:uid="{00000000-0005-0000-0000-0000C8060000}"/>
    <cellStyle name="Normal 55 2 2 3 2" xfId="5528" xr:uid="{FD13F9DC-061B-40AE-AA26-A652770C4023}"/>
    <cellStyle name="Normal 55 2 2 3 2 2" xfId="8908" xr:uid="{AB67B16C-F190-4D0D-B7BB-E9370FD360A2}"/>
    <cellStyle name="Normal 55 2 2 3 3" xfId="7208" xr:uid="{87138089-D634-4593-B6F2-4177ECE13673}"/>
    <cellStyle name="Normal 55 2 2 3_DEO ADIT Unprotected" xfId="3582" xr:uid="{06FB90A8-C680-46A5-A15A-783868D3276B}"/>
    <cellStyle name="Normal 55 2 2 4" xfId="4691" xr:uid="{AF5B0440-1EDE-4885-90DE-081FB77D8AE0}"/>
    <cellStyle name="Normal 55 2 2 4 2" xfId="8071" xr:uid="{2B87F39E-1E9B-4AC7-8E0C-AED70AF0CEF0}"/>
    <cellStyle name="Normal 55 2 2 5" xfId="6371" xr:uid="{4FD9DB45-9F83-4198-8E04-7FE38D4FEB99}"/>
    <cellStyle name="Normal 55 2 2_DEO ADIT Unprotected" xfId="3579" xr:uid="{58822E5A-32A0-4FC0-B357-5E7B7A825F39}"/>
    <cellStyle name="Normal 55 2 3" xfId="1366" xr:uid="{00000000-0005-0000-0000-0000C9060000}"/>
    <cellStyle name="Normal 55 2 3 2" xfId="2280" xr:uid="{00000000-0005-0000-0000-0000CA060000}"/>
    <cellStyle name="Normal 55 2 3 2 2" xfId="5530" xr:uid="{11F73754-343E-41BB-9E0E-6341E18C5810}"/>
    <cellStyle name="Normal 55 2 3 2 2 2" xfId="8910" xr:uid="{96CEDC96-8EE8-4C77-B092-6D3DACF731D9}"/>
    <cellStyle name="Normal 55 2 3 2 3" xfId="7210" xr:uid="{292E010F-F002-436D-8D9B-BFF6D151D85E}"/>
    <cellStyle name="Normal 55 2 3 2_DEO ADIT Unprotected" xfId="3584" xr:uid="{31DAE249-7371-4830-A167-8607066192E4}"/>
    <cellStyle name="Normal 55 2 3 3" xfId="4693" xr:uid="{39860B39-7168-4313-957C-AA0F5633B77F}"/>
    <cellStyle name="Normal 55 2 3 3 2" xfId="8073" xr:uid="{90C6C4A0-325F-4168-AC25-4C00391488E8}"/>
    <cellStyle name="Normal 55 2 3 4" xfId="6373" xr:uid="{60260110-DC77-4440-9919-62882D7442E5}"/>
    <cellStyle name="Normal 55 2 3_DEO ADIT Unprotected" xfId="3583" xr:uid="{5E09DC00-EF44-416B-8E22-7158D984EF58}"/>
    <cellStyle name="Normal 55 2 4" xfId="2277" xr:uid="{00000000-0005-0000-0000-0000CB060000}"/>
    <cellStyle name="Normal 55 2 4 2" xfId="5527" xr:uid="{E11E8EB8-66A3-4210-B0E1-1247EACFC6A2}"/>
    <cellStyle name="Normal 55 2 4 2 2" xfId="8907" xr:uid="{00F139DF-56FE-440D-8674-43DABB2B6604}"/>
    <cellStyle name="Normal 55 2 4 3" xfId="7207" xr:uid="{300C68A9-8B85-48C0-889A-90534D0B1F5F}"/>
    <cellStyle name="Normal 55 2 4_DEO ADIT Unprotected" xfId="3585" xr:uid="{E2DA5F40-B588-41AB-AC5B-B5D5BBBD745E}"/>
    <cellStyle name="Normal 55 2 5" xfId="4690" xr:uid="{426E8F54-5812-42B4-80FC-1F6ED64189D9}"/>
    <cellStyle name="Normal 55 2 5 2" xfId="8070" xr:uid="{EEB76376-4A62-4442-B46B-5F7E30069BD1}"/>
    <cellStyle name="Normal 55 2 6" xfId="6370" xr:uid="{D77E9362-1408-4920-8915-5E5D9563F60D}"/>
    <cellStyle name="Normal 55 2_DEO ADIT Unprotected" xfId="3578" xr:uid="{40E73147-25FB-495C-B837-72484D01553E}"/>
    <cellStyle name="Normal 55 3" xfId="1367" xr:uid="{00000000-0005-0000-0000-0000CC060000}"/>
    <cellStyle name="Normal 55 3 2" xfId="1368" xr:uid="{00000000-0005-0000-0000-0000CD060000}"/>
    <cellStyle name="Normal 55 3 2 2" xfId="2282" xr:uid="{00000000-0005-0000-0000-0000CE060000}"/>
    <cellStyle name="Normal 55 3 2 2 2" xfId="5532" xr:uid="{704DC31F-B7C3-423A-95EF-0B284E3304FF}"/>
    <cellStyle name="Normal 55 3 2 2 2 2" xfId="8912" xr:uid="{08065816-1E96-428A-97BF-680A1204A05D}"/>
    <cellStyle name="Normal 55 3 2 2 3" xfId="7212" xr:uid="{72B779E4-88A0-4426-9626-A0715754ED6F}"/>
    <cellStyle name="Normal 55 3 2 2_DEO ADIT Unprotected" xfId="3588" xr:uid="{2B56DB20-DC20-4096-8342-F2C67A762E50}"/>
    <cellStyle name="Normal 55 3 2 3" xfId="4695" xr:uid="{8D336F3C-21F1-4A67-A1FB-EC83ECBA7371}"/>
    <cellStyle name="Normal 55 3 2 3 2" xfId="8075" xr:uid="{6BF78C46-9594-4276-AD2E-F87919D4954B}"/>
    <cellStyle name="Normal 55 3 2 4" xfId="6375" xr:uid="{2EFF0D25-55B5-4033-9FA1-278EBB06D898}"/>
    <cellStyle name="Normal 55 3 2_DEO ADIT Unprotected" xfId="3587" xr:uid="{83FA4C97-2D3D-4589-A3F3-86E0001C94FE}"/>
    <cellStyle name="Normal 55 3 3" xfId="2281" xr:uid="{00000000-0005-0000-0000-0000CF060000}"/>
    <cellStyle name="Normal 55 3 3 2" xfId="5531" xr:uid="{0A8CFE84-AB9C-4787-B6B0-72158B1CDB3B}"/>
    <cellStyle name="Normal 55 3 3 2 2" xfId="8911" xr:uid="{C1080752-4931-4055-B3CF-6C5B5B8321C2}"/>
    <cellStyle name="Normal 55 3 3 3" xfId="7211" xr:uid="{4D2DB321-3004-49AB-BCDC-475AD0200B9E}"/>
    <cellStyle name="Normal 55 3 3_DEO ADIT Unprotected" xfId="3589" xr:uid="{4D70F040-0C7F-4DB2-A661-02CF1F6A003A}"/>
    <cellStyle name="Normal 55 3 4" xfId="4694" xr:uid="{99A73B24-4DA6-46E1-BF55-7D92B665867C}"/>
    <cellStyle name="Normal 55 3 4 2" xfId="8074" xr:uid="{D34352A5-280E-42E5-8CEA-C4B6384C845F}"/>
    <cellStyle name="Normal 55 3 5" xfId="6374" xr:uid="{310A3F73-A657-451A-9801-0BDB8917BB18}"/>
    <cellStyle name="Normal 55 3_DEO ADIT Unprotected" xfId="3586" xr:uid="{C784036F-8BE7-46C2-8F36-D64EF43069BB}"/>
    <cellStyle name="Normal 55 4" xfId="1369" xr:uid="{00000000-0005-0000-0000-0000D0060000}"/>
    <cellStyle name="Normal 55 4 2" xfId="2283" xr:uid="{00000000-0005-0000-0000-0000D1060000}"/>
    <cellStyle name="Normal 55 4 2 2" xfId="5533" xr:uid="{4D7DDA42-1463-417A-861E-66204EAD4A98}"/>
    <cellStyle name="Normal 55 4 2 2 2" xfId="8913" xr:uid="{36A2B2C2-EF26-49DD-A13D-1B7C2586A90A}"/>
    <cellStyle name="Normal 55 4 2 3" xfId="7213" xr:uid="{AA2FF7D7-B1E6-4D55-B69A-5A5C47EF8863}"/>
    <cellStyle name="Normal 55 4 2_DEO ADIT Unprotected" xfId="3591" xr:uid="{49494841-5888-4EA5-9513-B1425370499A}"/>
    <cellStyle name="Normal 55 4 3" xfId="4696" xr:uid="{FCC80730-0322-44D6-85ED-A95D4CFA9130}"/>
    <cellStyle name="Normal 55 4 3 2" xfId="8076" xr:uid="{DD5542E7-A356-44ED-B9C9-8D35FFAAE7CE}"/>
    <cellStyle name="Normal 55 4 4" xfId="6376" xr:uid="{37D60226-4E0C-4638-85CA-66F38E447314}"/>
    <cellStyle name="Normal 55 4_DEO ADIT Unprotected" xfId="3590" xr:uid="{38AE03F5-34B3-4F56-A177-E52EE9409C1E}"/>
    <cellStyle name="Normal 55 5" xfId="2276" xr:uid="{00000000-0005-0000-0000-0000D2060000}"/>
    <cellStyle name="Normal 55 5 2" xfId="5526" xr:uid="{7B64167C-F34D-4368-A805-8913B84CA136}"/>
    <cellStyle name="Normal 55 5 2 2" xfId="8906" xr:uid="{2F3F893D-24B5-48FE-B5FC-193576C25433}"/>
    <cellStyle name="Normal 55 5 3" xfId="7206" xr:uid="{126D3DF5-4234-4E11-829A-11A6DE0674CF}"/>
    <cellStyle name="Normal 55 5_DEO ADIT Unprotected" xfId="3592" xr:uid="{A3F5F97C-72DE-4D3B-B699-E21D7F1772D2}"/>
    <cellStyle name="Normal 55 6" xfId="4689" xr:uid="{71DC09F2-EF73-47BD-99E9-F70142709C7C}"/>
    <cellStyle name="Normal 55 6 2" xfId="8069" xr:uid="{EC56FDEF-7FA1-4DFC-9F3B-CEE5DBFF8C39}"/>
    <cellStyle name="Normal 55 7" xfId="6369" xr:uid="{16FB2303-61E8-4767-BF2B-13D228F35C4F}"/>
    <cellStyle name="Normal 55_DEO ADIT Unprotected" xfId="3577" xr:uid="{5935B569-38EA-4CFE-9902-013315CED076}"/>
    <cellStyle name="Normal 56" xfId="1370" xr:uid="{00000000-0005-0000-0000-0000D3060000}"/>
    <cellStyle name="Normal 56 2" xfId="1371" xr:uid="{00000000-0005-0000-0000-0000D4060000}"/>
    <cellStyle name="Normal 56 2 2" xfId="1372" xr:uid="{00000000-0005-0000-0000-0000D5060000}"/>
    <cellStyle name="Normal 56 2 2 2" xfId="1373" xr:uid="{00000000-0005-0000-0000-0000D6060000}"/>
    <cellStyle name="Normal 56 2 2 2 2" xfId="2287" xr:uid="{00000000-0005-0000-0000-0000D7060000}"/>
    <cellStyle name="Normal 56 2 2 2 2 2" xfId="5537" xr:uid="{D7441BB2-0D48-4BDE-A0BB-D0DE4D5B5F03}"/>
    <cellStyle name="Normal 56 2 2 2 2 2 2" xfId="8917" xr:uid="{45964625-B6E1-43FD-9E33-0C629DE882B2}"/>
    <cellStyle name="Normal 56 2 2 2 2 3" xfId="7217" xr:uid="{F91D3ABA-7837-437F-912B-0A125E28AF8D}"/>
    <cellStyle name="Normal 56 2 2 2 2_DEO ADIT Unprotected" xfId="3597" xr:uid="{E03A8C20-4B0F-48FE-A865-81169AFC255D}"/>
    <cellStyle name="Normal 56 2 2 2 3" xfId="4700" xr:uid="{1FBD2E6A-5512-453C-B288-64864DD32EBA}"/>
    <cellStyle name="Normal 56 2 2 2 3 2" xfId="8080" xr:uid="{77B183C6-3B5C-4D92-B2C6-3B59E765FFD5}"/>
    <cellStyle name="Normal 56 2 2 2 4" xfId="6380" xr:uid="{B02EA9E4-E38E-40D4-8CB1-BA9DC50DBBFB}"/>
    <cellStyle name="Normal 56 2 2 2_DEO ADIT Unprotected" xfId="3596" xr:uid="{6E6CEF58-B712-4260-86C2-68A9098881BF}"/>
    <cellStyle name="Normal 56 2 2 3" xfId="2286" xr:uid="{00000000-0005-0000-0000-0000D8060000}"/>
    <cellStyle name="Normal 56 2 2 3 2" xfId="5536" xr:uid="{29DC9BA6-C466-4BED-AA22-029F53035AD1}"/>
    <cellStyle name="Normal 56 2 2 3 2 2" xfId="8916" xr:uid="{75672974-83D8-4C57-9B45-02B481ED4AC8}"/>
    <cellStyle name="Normal 56 2 2 3 3" xfId="7216" xr:uid="{256FBEC6-BAC9-4BF2-9038-1CF9033FCF21}"/>
    <cellStyle name="Normal 56 2 2 3_DEO ADIT Unprotected" xfId="3598" xr:uid="{20F3386F-0D46-4625-BB39-9CF70EE610E5}"/>
    <cellStyle name="Normal 56 2 2 4" xfId="4699" xr:uid="{713A7BA3-FE29-4FD4-BD14-8F6FD9304DA9}"/>
    <cellStyle name="Normal 56 2 2 4 2" xfId="8079" xr:uid="{33FD615C-26D7-44AA-9A94-7301D9CF3AE2}"/>
    <cellStyle name="Normal 56 2 2 5" xfId="6379" xr:uid="{CD4E7BB2-782F-4893-9355-3D5C30E9D9AA}"/>
    <cellStyle name="Normal 56 2 2_DEO ADIT Unprotected" xfId="3595" xr:uid="{19C988C0-BF18-48DC-B9CE-4B252502675C}"/>
    <cellStyle name="Normal 56 2 3" xfId="1374" xr:uid="{00000000-0005-0000-0000-0000D9060000}"/>
    <cellStyle name="Normal 56 2 3 2" xfId="2288" xr:uid="{00000000-0005-0000-0000-0000DA060000}"/>
    <cellStyle name="Normal 56 2 3 2 2" xfId="5538" xr:uid="{7EC3ECCD-BEC7-4472-82DE-4F2A060B0A77}"/>
    <cellStyle name="Normal 56 2 3 2 2 2" xfId="8918" xr:uid="{E54FD747-642B-43DC-907C-564B55D312D3}"/>
    <cellStyle name="Normal 56 2 3 2 3" xfId="7218" xr:uid="{ED8AB6A1-FA42-4E7F-9A57-8EE94FD70A5F}"/>
    <cellStyle name="Normal 56 2 3 2_DEO ADIT Unprotected" xfId="3600" xr:uid="{AFB82B0A-932B-459C-B7D2-45D52937E78C}"/>
    <cellStyle name="Normal 56 2 3 3" xfId="4701" xr:uid="{29010685-D193-4AC2-B129-CDF6400F6940}"/>
    <cellStyle name="Normal 56 2 3 3 2" xfId="8081" xr:uid="{B48A87AE-C783-49DB-9931-7EDF4B6D9D8F}"/>
    <cellStyle name="Normal 56 2 3 4" xfId="6381" xr:uid="{AB934B79-B14D-4647-8EAB-B9785488CC28}"/>
    <cellStyle name="Normal 56 2 3_DEO ADIT Unprotected" xfId="3599" xr:uid="{ABE92111-BDE4-466B-A546-8FDDDC5DA87E}"/>
    <cellStyle name="Normal 56 2 4" xfId="2285" xr:uid="{00000000-0005-0000-0000-0000DB060000}"/>
    <cellStyle name="Normal 56 2 4 2" xfId="5535" xr:uid="{EED652A1-CD0C-4107-AFF5-1273F113B752}"/>
    <cellStyle name="Normal 56 2 4 2 2" xfId="8915" xr:uid="{E98318FE-63CA-41DB-8E42-28896182ADB0}"/>
    <cellStyle name="Normal 56 2 4 3" xfId="7215" xr:uid="{6A4729F8-3FFF-4EDD-A2F7-0BAB8410D989}"/>
    <cellStyle name="Normal 56 2 4_DEO ADIT Unprotected" xfId="3601" xr:uid="{44DB2101-9252-435F-A93F-1397F072E69E}"/>
    <cellStyle name="Normal 56 2 5" xfId="4698" xr:uid="{AA07A08E-0B63-4465-8564-298C5F347183}"/>
    <cellStyle name="Normal 56 2 5 2" xfId="8078" xr:uid="{0306BB58-F848-4247-ABB7-B4E627B785CD}"/>
    <cellStyle name="Normal 56 2 6" xfId="6378" xr:uid="{1C50A3B7-3DA6-445B-ABFB-B60E3A0AE1D0}"/>
    <cellStyle name="Normal 56 2_DEO ADIT Unprotected" xfId="3594" xr:uid="{36746938-C517-4849-A92C-282DB03C13AC}"/>
    <cellStyle name="Normal 56 3" xfId="1375" xr:uid="{00000000-0005-0000-0000-0000DC060000}"/>
    <cellStyle name="Normal 56 3 2" xfId="1376" xr:uid="{00000000-0005-0000-0000-0000DD060000}"/>
    <cellStyle name="Normal 56 3 2 2" xfId="2290" xr:uid="{00000000-0005-0000-0000-0000DE060000}"/>
    <cellStyle name="Normal 56 3 2 2 2" xfId="5540" xr:uid="{E31B7946-BEA6-457F-AC0F-6408CABD1A6C}"/>
    <cellStyle name="Normal 56 3 2 2 2 2" xfId="8920" xr:uid="{8B9F8EAA-7069-48B3-85D0-0F3722E50303}"/>
    <cellStyle name="Normal 56 3 2 2 3" xfId="7220" xr:uid="{461622F6-8BC5-433A-A535-570097B3A73D}"/>
    <cellStyle name="Normal 56 3 2 2_DEO ADIT Unprotected" xfId="3604" xr:uid="{6F23C56B-B0BE-4FC4-8C07-011790D680FB}"/>
    <cellStyle name="Normal 56 3 2 3" xfId="4703" xr:uid="{3569941A-8306-4FF3-A0A0-5A183BFFE6FB}"/>
    <cellStyle name="Normal 56 3 2 3 2" xfId="8083" xr:uid="{AD9C46F6-82DE-4D05-B763-25A7AA195B6D}"/>
    <cellStyle name="Normal 56 3 2 4" xfId="6383" xr:uid="{2DDB9DBF-E676-45C7-A5A1-0A07E904FAF7}"/>
    <cellStyle name="Normal 56 3 2_DEO ADIT Unprotected" xfId="3603" xr:uid="{6CED2133-327C-411B-A58F-8C048724A5D2}"/>
    <cellStyle name="Normal 56 3 3" xfId="2289" xr:uid="{00000000-0005-0000-0000-0000DF060000}"/>
    <cellStyle name="Normal 56 3 3 2" xfId="5539" xr:uid="{5AC45D65-7A1F-4AEE-9CB2-1372D47ED30E}"/>
    <cellStyle name="Normal 56 3 3 2 2" xfId="8919" xr:uid="{8A658BAF-19AF-4832-94DB-264DBAA5BFBF}"/>
    <cellStyle name="Normal 56 3 3 3" xfId="7219" xr:uid="{ED08AB6E-CC86-46D0-8EE4-85AB558C3D73}"/>
    <cellStyle name="Normal 56 3 3_DEO ADIT Unprotected" xfId="3605" xr:uid="{00DD700C-DD5F-440B-99EA-3E8F782D273E}"/>
    <cellStyle name="Normal 56 3 4" xfId="4702" xr:uid="{B7AB349F-6A1D-4A6C-8AEE-80FD486E2C7A}"/>
    <cellStyle name="Normal 56 3 4 2" xfId="8082" xr:uid="{F09B3989-F67A-4165-9F59-E01096F07F16}"/>
    <cellStyle name="Normal 56 3 5" xfId="6382" xr:uid="{37A8A55C-A8F2-49EA-8874-E5B01052D311}"/>
    <cellStyle name="Normal 56 3_DEO ADIT Unprotected" xfId="3602" xr:uid="{18BD31CA-7B28-42AE-8DE7-4D00AD980289}"/>
    <cellStyle name="Normal 56 4" xfId="1377" xr:uid="{00000000-0005-0000-0000-0000E0060000}"/>
    <cellStyle name="Normal 56 4 2" xfId="2291" xr:uid="{00000000-0005-0000-0000-0000E1060000}"/>
    <cellStyle name="Normal 56 4 2 2" xfId="5541" xr:uid="{6B6F0813-D5FE-46C0-A77F-2D08FC96103A}"/>
    <cellStyle name="Normal 56 4 2 2 2" xfId="8921" xr:uid="{AF924066-EF07-4126-A505-D7F3AEF49F28}"/>
    <cellStyle name="Normal 56 4 2 3" xfId="7221" xr:uid="{62676674-79B4-4858-8FFF-9B619453A7DE}"/>
    <cellStyle name="Normal 56 4 2_DEO ADIT Unprotected" xfId="3607" xr:uid="{6A3E11E1-74F2-4BBE-98CF-7FB586410362}"/>
    <cellStyle name="Normal 56 4 3" xfId="4704" xr:uid="{3747970A-69FA-45A6-B626-79E6A2DC3542}"/>
    <cellStyle name="Normal 56 4 3 2" xfId="8084" xr:uid="{91F9E5C0-7721-4D70-8106-F23BE26170EC}"/>
    <cellStyle name="Normal 56 4 4" xfId="6384" xr:uid="{7F11EA94-A038-4C4E-A7F0-BD5E9B690AB8}"/>
    <cellStyle name="Normal 56 4_DEO ADIT Unprotected" xfId="3606" xr:uid="{D9BF20D5-851A-4C26-96A8-77694AEC88B1}"/>
    <cellStyle name="Normal 56 5" xfId="2284" xr:uid="{00000000-0005-0000-0000-0000E2060000}"/>
    <cellStyle name="Normal 56 5 2" xfId="5534" xr:uid="{6E712F68-78F8-488A-AA54-93ED9E00285A}"/>
    <cellStyle name="Normal 56 5 2 2" xfId="8914" xr:uid="{2663F850-8D87-4DD3-8D6E-4B933C9A0309}"/>
    <cellStyle name="Normal 56 5 3" xfId="7214" xr:uid="{0F43FB2B-3602-443E-BC6E-AA0D681BFD64}"/>
    <cellStyle name="Normal 56 5_DEO ADIT Unprotected" xfId="3608" xr:uid="{67ECE9A9-F6D2-4974-8972-86C739F24A74}"/>
    <cellStyle name="Normal 56 6" xfId="4697" xr:uid="{AE84A229-FEC1-4D64-A971-E8C36691FCD0}"/>
    <cellStyle name="Normal 56 6 2" xfId="8077" xr:uid="{D55E3455-B491-4438-AABF-966EDEBE3D52}"/>
    <cellStyle name="Normal 56 7" xfId="6377" xr:uid="{98E2F4FD-E515-4137-AC14-F55494B2294F}"/>
    <cellStyle name="Normal 56_DEO ADIT Unprotected" xfId="3593" xr:uid="{0E2B8E48-020A-4ED7-B06C-5337D088E8F9}"/>
    <cellStyle name="Normal 57" xfId="1378" xr:uid="{00000000-0005-0000-0000-0000E3060000}"/>
    <cellStyle name="Normal 57 2" xfId="1379" xr:uid="{00000000-0005-0000-0000-0000E4060000}"/>
    <cellStyle name="Normal 57 2 2" xfId="1380" xr:uid="{00000000-0005-0000-0000-0000E5060000}"/>
    <cellStyle name="Normal 57 2 2 2" xfId="1381" xr:uid="{00000000-0005-0000-0000-0000E6060000}"/>
    <cellStyle name="Normal 57 2 2 2 2" xfId="2295" xr:uid="{00000000-0005-0000-0000-0000E7060000}"/>
    <cellStyle name="Normal 57 2 2 2 2 2" xfId="5545" xr:uid="{DFFCB441-59B7-4724-9EC6-FB8E803B8FC0}"/>
    <cellStyle name="Normal 57 2 2 2 2 2 2" xfId="8925" xr:uid="{01454ECD-3A9E-44B1-B7DB-DD022E7D7383}"/>
    <cellStyle name="Normal 57 2 2 2 2 3" xfId="7225" xr:uid="{67F88535-D48D-4F52-9C90-12AF73C89B03}"/>
    <cellStyle name="Normal 57 2 2 2 2_DEO ADIT Unprotected" xfId="3613" xr:uid="{0088C063-9DCC-4044-9D44-FECF621DF620}"/>
    <cellStyle name="Normal 57 2 2 2 3" xfId="4708" xr:uid="{D15D79DB-6B5D-481D-AB12-356C2073E50A}"/>
    <cellStyle name="Normal 57 2 2 2 3 2" xfId="8088" xr:uid="{847E8F30-4BF4-4786-AE18-B243D118F210}"/>
    <cellStyle name="Normal 57 2 2 2 4" xfId="6388" xr:uid="{C04F0307-DFE5-4F36-BB38-6B67703BA6CE}"/>
    <cellStyle name="Normal 57 2 2 2_DEO ADIT Unprotected" xfId="3612" xr:uid="{2BE2A5AF-0E4D-43E2-86B7-0B1F3F6D8E31}"/>
    <cellStyle name="Normal 57 2 2 3" xfId="2294" xr:uid="{00000000-0005-0000-0000-0000E8060000}"/>
    <cellStyle name="Normal 57 2 2 3 2" xfId="5544" xr:uid="{6E35A35D-E56C-49EC-97A4-F377CD78A928}"/>
    <cellStyle name="Normal 57 2 2 3 2 2" xfId="8924" xr:uid="{F557B5BC-485E-4C4A-856D-FF5834A0AE4B}"/>
    <cellStyle name="Normal 57 2 2 3 3" xfId="7224" xr:uid="{E914DA36-3796-4F8C-AB2B-0A5B95162D14}"/>
    <cellStyle name="Normal 57 2 2 3_DEO ADIT Unprotected" xfId="3614" xr:uid="{3D4E70D6-E893-42AD-ACDF-29F9B34B860F}"/>
    <cellStyle name="Normal 57 2 2 4" xfId="4707" xr:uid="{012F84E3-BE54-4507-8E4C-3DBB35EA721E}"/>
    <cellStyle name="Normal 57 2 2 4 2" xfId="8087" xr:uid="{7E0C1E73-0CCD-4F8E-A4F4-FF5F7C76EC95}"/>
    <cellStyle name="Normal 57 2 2 5" xfId="6387" xr:uid="{80DB0257-4C21-48FB-BEA6-FE6D856ED8B1}"/>
    <cellStyle name="Normal 57 2 2_DEO ADIT Unprotected" xfId="3611" xr:uid="{AD1D582E-7E81-4600-B140-19A2F6E714F9}"/>
    <cellStyle name="Normal 57 2 3" xfId="1382" xr:uid="{00000000-0005-0000-0000-0000E9060000}"/>
    <cellStyle name="Normal 57 2 3 2" xfId="2296" xr:uid="{00000000-0005-0000-0000-0000EA060000}"/>
    <cellStyle name="Normal 57 2 3 2 2" xfId="5546" xr:uid="{DF2FE22A-1A7B-4402-A2ED-48D847897ECE}"/>
    <cellStyle name="Normal 57 2 3 2 2 2" xfId="8926" xr:uid="{085E40C6-B4A0-4107-969F-92198F70473F}"/>
    <cellStyle name="Normal 57 2 3 2 3" xfId="7226" xr:uid="{C0C52266-6AC5-49B6-8911-D04A4F50CA86}"/>
    <cellStyle name="Normal 57 2 3 2_DEO ADIT Unprotected" xfId="3616" xr:uid="{81FCDA6F-4924-4404-9B57-F61AE729C7CA}"/>
    <cellStyle name="Normal 57 2 3 3" xfId="4709" xr:uid="{597DF107-0085-4E4D-BF97-CA0A52A9B8A4}"/>
    <cellStyle name="Normal 57 2 3 3 2" xfId="8089" xr:uid="{8DFFA4D9-8233-4950-8424-325D2391EEA7}"/>
    <cellStyle name="Normal 57 2 3 4" xfId="6389" xr:uid="{3B43F160-9378-4847-BDBF-B1CC62C56776}"/>
    <cellStyle name="Normal 57 2 3_DEO ADIT Unprotected" xfId="3615" xr:uid="{FD651632-ED80-4CD2-A281-4C1591674CED}"/>
    <cellStyle name="Normal 57 2 4" xfId="2293" xr:uid="{00000000-0005-0000-0000-0000EB060000}"/>
    <cellStyle name="Normal 57 2 4 2" xfId="5543" xr:uid="{B9ADB041-3DB8-4B0A-8BB5-3B6141FAEAA4}"/>
    <cellStyle name="Normal 57 2 4 2 2" xfId="8923" xr:uid="{0EF0133D-EC3A-4333-80DF-C7AAEF6F87C6}"/>
    <cellStyle name="Normal 57 2 4 3" xfId="7223" xr:uid="{077EC7A6-793F-48E4-B759-206D2E33A860}"/>
    <cellStyle name="Normal 57 2 4_DEO ADIT Unprotected" xfId="3617" xr:uid="{219308B8-9F09-4E19-8DB8-F83FEE6E0DCB}"/>
    <cellStyle name="Normal 57 2 5" xfId="4706" xr:uid="{698889C2-CF4B-4877-BB33-BB7209EBFDF3}"/>
    <cellStyle name="Normal 57 2 5 2" xfId="8086" xr:uid="{0EEF0403-C9B9-4529-B41B-0DCC40A80D31}"/>
    <cellStyle name="Normal 57 2 6" xfId="6386" xr:uid="{E7D102FB-9B7D-4641-A343-FBCA82CED699}"/>
    <cellStyle name="Normal 57 2_DEO ADIT Unprotected" xfId="3610" xr:uid="{361B8CA2-70A4-4720-BB85-780307A9BD73}"/>
    <cellStyle name="Normal 57 3" xfId="1383" xr:uid="{00000000-0005-0000-0000-0000EC060000}"/>
    <cellStyle name="Normal 57 3 2" xfId="1384" xr:uid="{00000000-0005-0000-0000-0000ED060000}"/>
    <cellStyle name="Normal 57 3 2 2" xfId="2298" xr:uid="{00000000-0005-0000-0000-0000EE060000}"/>
    <cellStyle name="Normal 57 3 2 2 2" xfId="5548" xr:uid="{ACE74BAC-46A8-420E-A255-2C957E85DDFB}"/>
    <cellStyle name="Normal 57 3 2 2 2 2" xfId="8928" xr:uid="{FFFB11CE-2277-4BAA-82F3-8641886ABAE5}"/>
    <cellStyle name="Normal 57 3 2 2 3" xfId="7228" xr:uid="{2A8117A9-4EB1-41B2-B25E-F095D0BBC675}"/>
    <cellStyle name="Normal 57 3 2 2_DEO ADIT Unprotected" xfId="3620" xr:uid="{C7BD16A6-FF1A-486F-BFAD-B9128121AA69}"/>
    <cellStyle name="Normal 57 3 2 3" xfId="4711" xr:uid="{B5BA4326-12B4-4C5D-9BA2-1A33804017B9}"/>
    <cellStyle name="Normal 57 3 2 3 2" xfId="8091" xr:uid="{5CE2E95F-C518-462E-836B-B7B370EDB7AA}"/>
    <cellStyle name="Normal 57 3 2 4" xfId="6391" xr:uid="{9B7E3D40-B1E7-4D1C-93E9-4BC1D607E331}"/>
    <cellStyle name="Normal 57 3 2_DEO ADIT Unprotected" xfId="3619" xr:uid="{D451E8EE-853E-49C0-AD98-8AD83A6BF8BD}"/>
    <cellStyle name="Normal 57 3 3" xfId="2297" xr:uid="{00000000-0005-0000-0000-0000EF060000}"/>
    <cellStyle name="Normal 57 3 3 2" xfId="5547" xr:uid="{AE17F253-D5ED-4B11-AAFE-16C9E5FD72A4}"/>
    <cellStyle name="Normal 57 3 3 2 2" xfId="8927" xr:uid="{7CDFB8D9-0AC9-4BD3-95E4-68F9D5B46F5E}"/>
    <cellStyle name="Normal 57 3 3 3" xfId="7227" xr:uid="{32DF97A7-2BDD-4315-8563-683F1CBE766E}"/>
    <cellStyle name="Normal 57 3 3_DEO ADIT Unprotected" xfId="3621" xr:uid="{9ECC10B7-5473-44E2-8736-CCC01F6F3069}"/>
    <cellStyle name="Normal 57 3 4" xfId="4710" xr:uid="{0DEE8C33-4333-4EE5-91B1-AB3A973DF140}"/>
    <cellStyle name="Normal 57 3 4 2" xfId="8090" xr:uid="{20252AF1-86D4-4381-A760-FF641AE4D822}"/>
    <cellStyle name="Normal 57 3 5" xfId="6390" xr:uid="{B96F7423-542C-4AB6-B371-1700B8FAC941}"/>
    <cellStyle name="Normal 57 3_DEO ADIT Unprotected" xfId="3618" xr:uid="{4E054746-A794-49DD-B60F-6645E445B43F}"/>
    <cellStyle name="Normal 57 4" xfId="1385" xr:uid="{00000000-0005-0000-0000-0000F0060000}"/>
    <cellStyle name="Normal 57 4 2" xfId="2299" xr:uid="{00000000-0005-0000-0000-0000F1060000}"/>
    <cellStyle name="Normal 57 4 2 2" xfId="5549" xr:uid="{647C7961-30D0-4F8B-B884-6E8996DBE436}"/>
    <cellStyle name="Normal 57 4 2 2 2" xfId="8929" xr:uid="{C2A57BFB-2D12-46DC-AF81-37B397F09F7A}"/>
    <cellStyle name="Normal 57 4 2 3" xfId="7229" xr:uid="{058FEC7F-66EE-4B07-AE8A-D3ADE1DE0288}"/>
    <cellStyle name="Normal 57 4 2_DEO ADIT Unprotected" xfId="3623" xr:uid="{42AF6D2B-AF27-4BDC-8AB8-D616ABA64415}"/>
    <cellStyle name="Normal 57 4 3" xfId="4712" xr:uid="{85112130-4427-4007-8ED0-8E424B2099D1}"/>
    <cellStyle name="Normal 57 4 3 2" xfId="8092" xr:uid="{81C6762A-02B0-4A23-9E97-5D07FB33982F}"/>
    <cellStyle name="Normal 57 4 4" xfId="6392" xr:uid="{D85037C5-557F-4980-A249-175F7CC06347}"/>
    <cellStyle name="Normal 57 4_DEO ADIT Unprotected" xfId="3622" xr:uid="{0B6376E4-96DF-43BE-9F51-82B55394E6B6}"/>
    <cellStyle name="Normal 57 5" xfId="2292" xr:uid="{00000000-0005-0000-0000-0000F2060000}"/>
    <cellStyle name="Normal 57 5 2" xfId="5542" xr:uid="{015A69FE-A332-49F5-A846-9CDD67B61AC2}"/>
    <cellStyle name="Normal 57 5 2 2" xfId="8922" xr:uid="{066E0347-D434-4BDF-B282-49F9DFD6CE9D}"/>
    <cellStyle name="Normal 57 5 3" xfId="7222" xr:uid="{1E6D07F3-51ED-4D99-A0E4-CAB465DACC4A}"/>
    <cellStyle name="Normal 57 5_DEO ADIT Unprotected" xfId="3624" xr:uid="{94CDA7D9-F47C-4381-A524-73CA3BAE6FC5}"/>
    <cellStyle name="Normal 57 6" xfId="4705" xr:uid="{C2939B67-5E19-41AE-AEB8-6C37636F4AC9}"/>
    <cellStyle name="Normal 57 6 2" xfId="8085" xr:uid="{1742351A-64E3-448B-B309-49BDD7CBF6DC}"/>
    <cellStyle name="Normal 57 7" xfId="6385" xr:uid="{92A2F23C-E9CB-4D5E-94A9-04E067A32A17}"/>
    <cellStyle name="Normal 57_DEO ADIT Unprotected" xfId="3609" xr:uid="{95737727-AAC8-4868-8CA8-9CA8AE9267F1}"/>
    <cellStyle name="Normal 58" xfId="1386" xr:uid="{00000000-0005-0000-0000-0000F3060000}"/>
    <cellStyle name="Normal 58 2" xfId="1387" xr:uid="{00000000-0005-0000-0000-0000F4060000}"/>
    <cellStyle name="Normal 58 2 2" xfId="1388" xr:uid="{00000000-0005-0000-0000-0000F5060000}"/>
    <cellStyle name="Normal 58 2 2 2" xfId="1389" xr:uid="{00000000-0005-0000-0000-0000F6060000}"/>
    <cellStyle name="Normal 58 2 2 2 2" xfId="2303" xr:uid="{00000000-0005-0000-0000-0000F7060000}"/>
    <cellStyle name="Normal 58 2 2 2 2 2" xfId="5553" xr:uid="{B208C558-CD22-46ED-BE7E-98A4795634E5}"/>
    <cellStyle name="Normal 58 2 2 2 2 2 2" xfId="8933" xr:uid="{B881CEA9-4FE3-436A-B2A4-211E565C93C9}"/>
    <cellStyle name="Normal 58 2 2 2 2 3" xfId="7233" xr:uid="{1AC54981-FE89-4668-90EC-39FF63D78B8A}"/>
    <cellStyle name="Normal 58 2 2 2 2_DEO ADIT Unprotected" xfId="3629" xr:uid="{CF818078-2EC9-43D8-8584-33E00F42BEE6}"/>
    <cellStyle name="Normal 58 2 2 2 3" xfId="4716" xr:uid="{DBCDF7AC-BCB9-4B5C-8641-D47A8D4D812C}"/>
    <cellStyle name="Normal 58 2 2 2 3 2" xfId="8096" xr:uid="{1E4AD638-16DE-4C02-9C54-58E2E8A718B6}"/>
    <cellStyle name="Normal 58 2 2 2 4" xfId="6396" xr:uid="{DBF6D61D-9347-4B3E-ADBF-5588284F23B1}"/>
    <cellStyle name="Normal 58 2 2 2_DEO ADIT Unprotected" xfId="3628" xr:uid="{DB8F21B3-C73C-4C19-9B87-7E514F712AEF}"/>
    <cellStyle name="Normal 58 2 2 3" xfId="2302" xr:uid="{00000000-0005-0000-0000-0000F8060000}"/>
    <cellStyle name="Normal 58 2 2 3 2" xfId="5552" xr:uid="{8256D6E4-F66F-4057-9066-BC9EC3457B6D}"/>
    <cellStyle name="Normal 58 2 2 3 2 2" xfId="8932" xr:uid="{F2CE4B0D-09F8-4289-9D25-4BA0B55666F1}"/>
    <cellStyle name="Normal 58 2 2 3 3" xfId="7232" xr:uid="{4B8EC755-5BF4-498C-A99E-E5B2A9B50136}"/>
    <cellStyle name="Normal 58 2 2 3_DEO ADIT Unprotected" xfId="3630" xr:uid="{E8AA6916-0BC7-45A4-B5EA-926FD83945EE}"/>
    <cellStyle name="Normal 58 2 2 4" xfId="4715" xr:uid="{A0268D67-69B6-4EBB-BE7E-35544B2B44E0}"/>
    <cellStyle name="Normal 58 2 2 4 2" xfId="8095" xr:uid="{EAB8D684-F1DC-4807-AB69-EA888BD935A4}"/>
    <cellStyle name="Normal 58 2 2 5" xfId="6395" xr:uid="{5169B8A9-2CF7-48EA-90A7-1779BFD05EE1}"/>
    <cellStyle name="Normal 58 2 2_DEO ADIT Unprotected" xfId="3627" xr:uid="{EC1CDEFB-860F-4B3A-84AB-E245A540F592}"/>
    <cellStyle name="Normal 58 2 3" xfId="1390" xr:uid="{00000000-0005-0000-0000-0000F9060000}"/>
    <cellStyle name="Normal 58 2 3 2" xfId="2304" xr:uid="{00000000-0005-0000-0000-0000FA060000}"/>
    <cellStyle name="Normal 58 2 3 2 2" xfId="5554" xr:uid="{5664C397-8CE7-47A4-A9C2-37F8003088A3}"/>
    <cellStyle name="Normal 58 2 3 2 2 2" xfId="8934" xr:uid="{AED35E72-2DAA-4FF4-A3C4-49EC9B15A6AD}"/>
    <cellStyle name="Normal 58 2 3 2 3" xfId="7234" xr:uid="{BA3B2E26-6D0F-4058-830C-407FF0D5052E}"/>
    <cellStyle name="Normal 58 2 3 2_DEO ADIT Unprotected" xfId="3632" xr:uid="{18B43AD4-03D3-4C89-8B58-EB6AEBD710A3}"/>
    <cellStyle name="Normal 58 2 3 3" xfId="4717" xr:uid="{4C5F11E9-14BC-4870-B910-61B75DD13E71}"/>
    <cellStyle name="Normal 58 2 3 3 2" xfId="8097" xr:uid="{E489316C-1009-458F-AA66-C8157494CFAD}"/>
    <cellStyle name="Normal 58 2 3 4" xfId="6397" xr:uid="{719B0493-4A11-49CE-BE80-106C78C89C7D}"/>
    <cellStyle name="Normal 58 2 3_DEO ADIT Unprotected" xfId="3631" xr:uid="{FAB5FB24-D0AC-4F3F-A7CE-1051407AB611}"/>
    <cellStyle name="Normal 58 2 4" xfId="2301" xr:uid="{00000000-0005-0000-0000-0000FB060000}"/>
    <cellStyle name="Normal 58 2 4 2" xfId="5551" xr:uid="{EB794E05-8E83-4FD4-89E2-8A973DBA2B96}"/>
    <cellStyle name="Normal 58 2 4 2 2" xfId="8931" xr:uid="{4BD24967-B7AE-4C9E-8AC8-85399D999DEB}"/>
    <cellStyle name="Normal 58 2 4 3" xfId="7231" xr:uid="{2C3064D7-2F0B-4C3E-9BE6-3AA1877D93BB}"/>
    <cellStyle name="Normal 58 2 4_DEO ADIT Unprotected" xfId="3633" xr:uid="{20D14395-E177-4819-8401-8852A7D1B27A}"/>
    <cellStyle name="Normal 58 2 5" xfId="4714" xr:uid="{91EB6E10-18BE-4B9D-9A2A-4CD37E5DBABD}"/>
    <cellStyle name="Normal 58 2 5 2" xfId="8094" xr:uid="{225736A4-5CC7-4D85-B424-2D03B5E62EDF}"/>
    <cellStyle name="Normal 58 2 6" xfId="6394" xr:uid="{9BD3FB82-2FD5-43C3-AD7D-F090D75B66AE}"/>
    <cellStyle name="Normal 58 2_DEO ADIT Unprotected" xfId="3626" xr:uid="{A12811D1-F41D-4B77-B1C5-EB14975268B9}"/>
    <cellStyle name="Normal 58 3" xfId="1391" xr:uid="{00000000-0005-0000-0000-0000FC060000}"/>
    <cellStyle name="Normal 58 3 2" xfId="1392" xr:uid="{00000000-0005-0000-0000-0000FD060000}"/>
    <cellStyle name="Normal 58 3 2 2" xfId="2306" xr:uid="{00000000-0005-0000-0000-0000FE060000}"/>
    <cellStyle name="Normal 58 3 2 2 2" xfId="5556" xr:uid="{600FAFC1-97F6-4355-8516-707D9F380E3B}"/>
    <cellStyle name="Normal 58 3 2 2 2 2" xfId="8936" xr:uid="{0754D1E0-08F7-46D0-8D28-020695F31C29}"/>
    <cellStyle name="Normal 58 3 2 2 3" xfId="7236" xr:uid="{02B579FB-CA9F-4C6D-883D-2BE4F4F5F7D4}"/>
    <cellStyle name="Normal 58 3 2 2_DEO ADIT Unprotected" xfId="3636" xr:uid="{9D12159A-0705-449C-B010-9C3CB7131FEC}"/>
    <cellStyle name="Normal 58 3 2 3" xfId="4719" xr:uid="{852C748E-4236-4324-96ED-947C1A2B4C74}"/>
    <cellStyle name="Normal 58 3 2 3 2" xfId="8099" xr:uid="{D2DD4E74-0C1B-48A9-9792-D8EF01CB16A7}"/>
    <cellStyle name="Normal 58 3 2 4" xfId="6399" xr:uid="{27105DF1-1DE8-43F0-A9CB-887394AFB524}"/>
    <cellStyle name="Normal 58 3 2_DEO ADIT Unprotected" xfId="3635" xr:uid="{1C60D60C-7964-4337-B854-19EA1A91F435}"/>
    <cellStyle name="Normal 58 3 3" xfId="2305" xr:uid="{00000000-0005-0000-0000-0000FF060000}"/>
    <cellStyle name="Normal 58 3 3 2" xfId="5555" xr:uid="{4372E297-671A-4A39-9AAA-189356AC5C61}"/>
    <cellStyle name="Normal 58 3 3 2 2" xfId="8935" xr:uid="{1FB93213-B791-458E-AF35-E9B9345B0E2F}"/>
    <cellStyle name="Normal 58 3 3 3" xfId="7235" xr:uid="{8D754554-0B8D-4EA5-86AD-7E2DDA9BB7DD}"/>
    <cellStyle name="Normal 58 3 3_DEO ADIT Unprotected" xfId="3637" xr:uid="{9982AC01-D6C9-470D-9A5E-E6B6DE6FADA0}"/>
    <cellStyle name="Normal 58 3 4" xfId="4718" xr:uid="{1B48286D-531A-4817-B034-02360F7E2A68}"/>
    <cellStyle name="Normal 58 3 4 2" xfId="8098" xr:uid="{5D55808F-39C9-4FB9-9CD5-DE9BD04E846C}"/>
    <cellStyle name="Normal 58 3 5" xfId="6398" xr:uid="{FE603096-558D-4E9A-93FF-E045BB3516A5}"/>
    <cellStyle name="Normal 58 3_DEO ADIT Unprotected" xfId="3634" xr:uid="{72D2CAE4-ECD3-4F7A-9A71-A7D49FCC6733}"/>
    <cellStyle name="Normal 58 4" xfId="1393" xr:uid="{00000000-0005-0000-0000-000000070000}"/>
    <cellStyle name="Normal 58 4 2" xfId="2307" xr:uid="{00000000-0005-0000-0000-000001070000}"/>
    <cellStyle name="Normal 58 4 2 2" xfId="5557" xr:uid="{DBB91FB1-FD01-4DFE-88C5-53D5D6394D1B}"/>
    <cellStyle name="Normal 58 4 2 2 2" xfId="8937" xr:uid="{0113CC28-BBD8-4DEB-A0B5-70ADD949AB56}"/>
    <cellStyle name="Normal 58 4 2 3" xfId="7237" xr:uid="{C8AC7466-0777-4C89-B71A-92357283E0A3}"/>
    <cellStyle name="Normal 58 4 2_DEO ADIT Unprotected" xfId="3639" xr:uid="{F2990E38-5559-4A72-8C82-275001D0D98A}"/>
    <cellStyle name="Normal 58 4 3" xfId="4720" xr:uid="{5759E20D-25BA-42C6-9244-DB3146B35619}"/>
    <cellStyle name="Normal 58 4 3 2" xfId="8100" xr:uid="{F3192716-6D3B-488A-A1DA-EB2F36150697}"/>
    <cellStyle name="Normal 58 4 4" xfId="6400" xr:uid="{1A9FBDFB-9B9D-4B66-B3DB-5A90779FD4B5}"/>
    <cellStyle name="Normal 58 4_DEO ADIT Unprotected" xfId="3638" xr:uid="{58AE584C-C37F-45C7-BAC6-EAAE9F107C9F}"/>
    <cellStyle name="Normal 58 5" xfId="2300" xr:uid="{00000000-0005-0000-0000-000002070000}"/>
    <cellStyle name="Normal 58 5 2" xfId="5550" xr:uid="{1F0CF23E-6148-4A45-9A31-E62FFED724ED}"/>
    <cellStyle name="Normal 58 5 2 2" xfId="8930" xr:uid="{2626248E-F334-4DD5-9729-D1A323CC3413}"/>
    <cellStyle name="Normal 58 5 3" xfId="7230" xr:uid="{8180D041-7A47-4AAB-ADB1-65EA9FDA9456}"/>
    <cellStyle name="Normal 58 5_DEO ADIT Unprotected" xfId="3640" xr:uid="{7D9ADCAC-FAE5-4175-BB41-AF9A854C90DB}"/>
    <cellStyle name="Normal 58 6" xfId="4713" xr:uid="{2FDC0D08-CF6D-43A8-A0B9-2B24BF808B82}"/>
    <cellStyle name="Normal 58 6 2" xfId="8093" xr:uid="{68AB4F09-CE1A-42A7-8D62-8C273841AF01}"/>
    <cellStyle name="Normal 58 7" xfId="6393" xr:uid="{9B664642-4E58-4AA1-9075-6F27C08C7729}"/>
    <cellStyle name="Normal 58_DEO ADIT Unprotected" xfId="3625" xr:uid="{E91E752A-3257-4BC4-8C2E-ADF83396495A}"/>
    <cellStyle name="Normal 59" xfId="1394" xr:uid="{00000000-0005-0000-0000-000003070000}"/>
    <cellStyle name="Normal 59 2" xfId="1395" xr:uid="{00000000-0005-0000-0000-000004070000}"/>
    <cellStyle name="Normal 59 2 2" xfId="1396" xr:uid="{00000000-0005-0000-0000-000005070000}"/>
    <cellStyle name="Normal 59 2 2 2" xfId="1397" xr:uid="{00000000-0005-0000-0000-000006070000}"/>
    <cellStyle name="Normal 59 2 2 2 2" xfId="2311" xr:uid="{00000000-0005-0000-0000-000007070000}"/>
    <cellStyle name="Normal 59 2 2 2 2 2" xfId="5561" xr:uid="{E47B8DA9-388E-46B4-BD4A-7A68FD94401E}"/>
    <cellStyle name="Normal 59 2 2 2 2 2 2" xfId="8941" xr:uid="{5B4B24D4-0F4A-497A-8FCF-71D3BF0F6458}"/>
    <cellStyle name="Normal 59 2 2 2 2 3" xfId="7241" xr:uid="{35EB6A81-C8FB-4171-82BE-7739B45D5BAC}"/>
    <cellStyle name="Normal 59 2 2 2 2_DEO ADIT Unprotected" xfId="3645" xr:uid="{0CCB4045-19FE-4DC3-A38A-BD3889D35C1F}"/>
    <cellStyle name="Normal 59 2 2 2 3" xfId="4724" xr:uid="{57068D20-ABB5-4745-837C-6B29BAB1A2BC}"/>
    <cellStyle name="Normal 59 2 2 2 3 2" xfId="8104" xr:uid="{8E267A36-0660-4058-A93B-2173F66EF7C1}"/>
    <cellStyle name="Normal 59 2 2 2 4" xfId="6404" xr:uid="{BE121A00-4C6D-4DCA-88B2-D53DA6169BEE}"/>
    <cellStyle name="Normal 59 2 2 2_DEO ADIT Unprotected" xfId="3644" xr:uid="{E7687160-4BD0-424A-83EF-B7C31804E00A}"/>
    <cellStyle name="Normal 59 2 2 3" xfId="2310" xr:uid="{00000000-0005-0000-0000-000008070000}"/>
    <cellStyle name="Normal 59 2 2 3 2" xfId="5560" xr:uid="{FEAD1463-75A4-4F0E-A1BF-30EBD60FA108}"/>
    <cellStyle name="Normal 59 2 2 3 2 2" xfId="8940" xr:uid="{112CD3AE-DC0E-4381-ABA9-A86F6EE2E673}"/>
    <cellStyle name="Normal 59 2 2 3 3" xfId="7240" xr:uid="{12684F94-CE26-42A8-BD14-DA69E31846BF}"/>
    <cellStyle name="Normal 59 2 2 3_DEO ADIT Unprotected" xfId="3646" xr:uid="{9713139D-EFD9-43A0-8668-1B88A801C17A}"/>
    <cellStyle name="Normal 59 2 2 4" xfId="4723" xr:uid="{61AD6C3D-7529-40E5-AC5F-B7378319E2C6}"/>
    <cellStyle name="Normal 59 2 2 4 2" xfId="8103" xr:uid="{BAFE0138-451C-49AB-A931-99D79263F3C6}"/>
    <cellStyle name="Normal 59 2 2 5" xfId="6403" xr:uid="{08F580DB-1C34-4308-A078-BC25ED5D16DB}"/>
    <cellStyle name="Normal 59 2 2_DEO ADIT Unprotected" xfId="3643" xr:uid="{4581B983-4E3C-4FE8-A5F4-D66678CE7A7A}"/>
    <cellStyle name="Normal 59 2 3" xfId="1398" xr:uid="{00000000-0005-0000-0000-000009070000}"/>
    <cellStyle name="Normal 59 2 3 2" xfId="2312" xr:uid="{00000000-0005-0000-0000-00000A070000}"/>
    <cellStyle name="Normal 59 2 3 2 2" xfId="5562" xr:uid="{0492FBF4-74BE-4B04-A741-A18C247ADD2A}"/>
    <cellStyle name="Normal 59 2 3 2 2 2" xfId="8942" xr:uid="{C87F01A4-CF34-4B33-A21C-B4121E52A81B}"/>
    <cellStyle name="Normal 59 2 3 2 3" xfId="7242" xr:uid="{8C28848B-102E-4913-8B97-D386539C33A5}"/>
    <cellStyle name="Normal 59 2 3 2_DEO ADIT Unprotected" xfId="3648" xr:uid="{339B70A8-7E1F-4332-A0BA-8EADAEA2A616}"/>
    <cellStyle name="Normal 59 2 3 3" xfId="4725" xr:uid="{B5B8441C-088B-4971-853A-6022D29F6035}"/>
    <cellStyle name="Normal 59 2 3 3 2" xfId="8105" xr:uid="{948F1133-6E0F-4D56-8754-80390B101CCD}"/>
    <cellStyle name="Normal 59 2 3 4" xfId="6405" xr:uid="{30FFAD68-257E-4140-A4D6-8884A3D47FB1}"/>
    <cellStyle name="Normal 59 2 3_DEO ADIT Unprotected" xfId="3647" xr:uid="{E04B41AC-5F9A-4A84-A42B-83C750C51B14}"/>
    <cellStyle name="Normal 59 2 4" xfId="2309" xr:uid="{00000000-0005-0000-0000-00000B070000}"/>
    <cellStyle name="Normal 59 2 4 2" xfId="5559" xr:uid="{D8046E77-9704-4A79-B0AD-DF7D901226E9}"/>
    <cellStyle name="Normal 59 2 4 2 2" xfId="8939" xr:uid="{E73A74AE-3C48-4F37-BC82-781ECF7FE104}"/>
    <cellStyle name="Normal 59 2 4 3" xfId="7239" xr:uid="{81953BA2-82B4-47D7-9C65-6982D401FC13}"/>
    <cellStyle name="Normal 59 2 4_DEO ADIT Unprotected" xfId="3649" xr:uid="{F3188CB5-DB65-4826-82B7-EE10B9DC1DBE}"/>
    <cellStyle name="Normal 59 2 5" xfId="4722" xr:uid="{9ECF6EEF-3F87-400E-B35B-DA51AC369242}"/>
    <cellStyle name="Normal 59 2 5 2" xfId="8102" xr:uid="{F055C95A-2EEB-4178-98B5-14321A0B2FEB}"/>
    <cellStyle name="Normal 59 2 6" xfId="6402" xr:uid="{229414C0-539B-47E3-B94E-8073F5A4655D}"/>
    <cellStyle name="Normal 59 2_DEO ADIT Unprotected" xfId="3642" xr:uid="{F0E1DD1B-1D7C-4357-BFAD-5B43C216F855}"/>
    <cellStyle name="Normal 59 3" xfId="1399" xr:uid="{00000000-0005-0000-0000-00000C070000}"/>
    <cellStyle name="Normal 59 3 2" xfId="1400" xr:uid="{00000000-0005-0000-0000-00000D070000}"/>
    <cellStyle name="Normal 59 3 2 2" xfId="2314" xr:uid="{00000000-0005-0000-0000-00000E070000}"/>
    <cellStyle name="Normal 59 3 2 2 2" xfId="5564" xr:uid="{37EDF676-D453-4AC0-8931-E9E93904CDF2}"/>
    <cellStyle name="Normal 59 3 2 2 2 2" xfId="8944" xr:uid="{B931D0E8-6018-43B3-978F-9802EF627CEB}"/>
    <cellStyle name="Normal 59 3 2 2 3" xfId="7244" xr:uid="{8BDF4FC3-6B96-49FB-8189-C3487DD404B9}"/>
    <cellStyle name="Normal 59 3 2 2_DEO ADIT Unprotected" xfId="3652" xr:uid="{50B26A8E-037E-4B51-9F2A-18492748D5D1}"/>
    <cellStyle name="Normal 59 3 2 3" xfId="4727" xr:uid="{68BF0788-AF01-4AB9-92E6-58A5AFAB4B80}"/>
    <cellStyle name="Normal 59 3 2 3 2" xfId="8107" xr:uid="{611D8487-4614-4CFC-803B-968BC7C46B00}"/>
    <cellStyle name="Normal 59 3 2 4" xfId="6407" xr:uid="{52DA091C-F494-4893-A5F4-8D883650E080}"/>
    <cellStyle name="Normal 59 3 2_DEO ADIT Unprotected" xfId="3651" xr:uid="{8BB284D4-3BFA-413F-B181-94F2A476F72A}"/>
    <cellStyle name="Normal 59 3 3" xfId="2313" xr:uid="{00000000-0005-0000-0000-00000F070000}"/>
    <cellStyle name="Normal 59 3 3 2" xfId="5563" xr:uid="{CA6A0BC7-9267-499A-844B-28E208131EC5}"/>
    <cellStyle name="Normal 59 3 3 2 2" xfId="8943" xr:uid="{50A1306B-8217-4138-B398-9018E454DC47}"/>
    <cellStyle name="Normal 59 3 3 3" xfId="7243" xr:uid="{F3259A86-9A44-4CCC-88B4-4BEF175BE644}"/>
    <cellStyle name="Normal 59 3 3_DEO ADIT Unprotected" xfId="3653" xr:uid="{B1783DED-C6A7-49FC-91C6-E2219C705CA7}"/>
    <cellStyle name="Normal 59 3 4" xfId="4726" xr:uid="{3EA0CBF9-0679-47E1-A175-5B2D18F29186}"/>
    <cellStyle name="Normal 59 3 4 2" xfId="8106" xr:uid="{14496B1A-DC39-4987-AEEE-F42E3CA7869A}"/>
    <cellStyle name="Normal 59 3 5" xfId="6406" xr:uid="{BF919765-AA69-4177-B6C3-B54AEF57C118}"/>
    <cellStyle name="Normal 59 3_DEO ADIT Unprotected" xfId="3650" xr:uid="{811F8EDE-F143-4E46-9CD2-01494EE4E3C4}"/>
    <cellStyle name="Normal 59 4" xfId="1401" xr:uid="{00000000-0005-0000-0000-000010070000}"/>
    <cellStyle name="Normal 59 4 2" xfId="2315" xr:uid="{00000000-0005-0000-0000-000011070000}"/>
    <cellStyle name="Normal 59 4 2 2" xfId="5565" xr:uid="{66AFD8C4-8384-47A7-B7B8-CAF56FA7B22A}"/>
    <cellStyle name="Normal 59 4 2 2 2" xfId="8945" xr:uid="{9C89CE4B-AF2F-4976-94D0-299A736B5EFD}"/>
    <cellStyle name="Normal 59 4 2 3" xfId="7245" xr:uid="{F51C7441-3C3A-4C2A-8A7A-9A5B3683B0AC}"/>
    <cellStyle name="Normal 59 4 2_DEO ADIT Unprotected" xfId="3655" xr:uid="{9A3AA050-94CD-4D25-9F7C-23FFAF9A32F2}"/>
    <cellStyle name="Normal 59 4 3" xfId="4728" xr:uid="{2FCC0443-A524-4CDC-B59C-140D899D485F}"/>
    <cellStyle name="Normal 59 4 3 2" xfId="8108" xr:uid="{1A404D07-015B-4BDB-A584-FCE4DD3A86C2}"/>
    <cellStyle name="Normal 59 4 4" xfId="6408" xr:uid="{66DCEB43-77BF-4650-9F46-C5D0C32C5855}"/>
    <cellStyle name="Normal 59 4_DEO ADIT Unprotected" xfId="3654" xr:uid="{EC6B0A69-6A71-49C2-9478-C0B8625185C4}"/>
    <cellStyle name="Normal 59 5" xfId="2308" xr:uid="{00000000-0005-0000-0000-000012070000}"/>
    <cellStyle name="Normal 59 5 2" xfId="5558" xr:uid="{E8B04368-43D2-498A-A087-5EEA556E8F22}"/>
    <cellStyle name="Normal 59 5 2 2" xfId="8938" xr:uid="{A03EA92D-CD28-429C-86E8-C31A6A1FBDF1}"/>
    <cellStyle name="Normal 59 5 3" xfId="7238" xr:uid="{858256E6-603E-4FC2-BFCF-6CC3E09AAF10}"/>
    <cellStyle name="Normal 59 5_DEO ADIT Unprotected" xfId="3656" xr:uid="{A203786D-D6D1-49F4-9CAA-434A9670A81B}"/>
    <cellStyle name="Normal 59 6" xfId="4721" xr:uid="{1421A31F-2D19-450C-8E24-17AF0FE77FA1}"/>
    <cellStyle name="Normal 59 6 2" xfId="8101" xr:uid="{CDB3B082-8675-4B5D-BEFC-97B050CA05BE}"/>
    <cellStyle name="Normal 59 7" xfId="6401" xr:uid="{DE348321-D48F-4EFB-85F8-3C8DBE1615F9}"/>
    <cellStyle name="Normal 59_DEO ADIT Unprotected" xfId="3641" xr:uid="{51C55F7C-7DA6-40BE-962D-DE2C8FED7E70}"/>
    <cellStyle name="Normal 6" xfId="15" xr:uid="{00000000-0005-0000-0000-000013070000}"/>
    <cellStyle name="Normal 6 2" xfId="577" xr:uid="{00000000-0005-0000-0000-000014070000}"/>
    <cellStyle name="Normal 6 2 2" xfId="1402" xr:uid="{00000000-0005-0000-0000-000015070000}"/>
    <cellStyle name="Normal 6 3" xfId="1403" xr:uid="{00000000-0005-0000-0000-000016070000}"/>
    <cellStyle name="Normal 6 4" xfId="1404" xr:uid="{00000000-0005-0000-0000-000017070000}"/>
    <cellStyle name="Normal 6 4 2" xfId="1405" xr:uid="{00000000-0005-0000-0000-000018070000}"/>
    <cellStyle name="Normal 6 4 2 2" xfId="2317" xr:uid="{00000000-0005-0000-0000-000019070000}"/>
    <cellStyle name="Normal 6 4 2 2 2" xfId="5567" xr:uid="{3189E00A-174E-436F-AB5E-424639567B6D}"/>
    <cellStyle name="Normal 6 4 2 2 2 2" xfId="8947" xr:uid="{866834AF-0C9A-4F17-9166-2A58B0E7F739}"/>
    <cellStyle name="Normal 6 4 2 2 3" xfId="7247" xr:uid="{D25A6A2A-7D86-4291-B518-93A6A93CF0F1}"/>
    <cellStyle name="Normal 6 4 2 2_DEO ADIT Unprotected" xfId="3660" xr:uid="{7C0191FE-E4F5-452E-BEDB-BBAAC4D10371}"/>
    <cellStyle name="Normal 6 4 2 3" xfId="4730" xr:uid="{38F30051-C6E7-4E56-ABE7-ECD25C8872D1}"/>
    <cellStyle name="Normal 6 4 2 3 2" xfId="8110" xr:uid="{7B44AB2F-2A77-4554-9655-B2D01671B8B6}"/>
    <cellStyle name="Normal 6 4 2 4" xfId="6410" xr:uid="{6F6E01EB-A41D-47D5-BDF5-1E4C51E505A0}"/>
    <cellStyle name="Normal 6 4 2_DEO ADIT Unprotected" xfId="3659" xr:uid="{BA073D80-BF57-4EE4-B373-B49067104390}"/>
    <cellStyle name="Normal 6 4 3" xfId="2316" xr:uid="{00000000-0005-0000-0000-00001A070000}"/>
    <cellStyle name="Normal 6 4 3 2" xfId="5566" xr:uid="{D9728861-8596-412D-9092-92B0EC924CCB}"/>
    <cellStyle name="Normal 6 4 3 2 2" xfId="8946" xr:uid="{4E1CC35D-B1B8-49B9-8591-B17AF38E4289}"/>
    <cellStyle name="Normal 6 4 3 3" xfId="7246" xr:uid="{B46D80AC-F407-4E8A-9E49-3FF437E8FAFE}"/>
    <cellStyle name="Normal 6 4 3_DEO ADIT Unprotected" xfId="3661" xr:uid="{232F5168-ED8C-48F2-A2D5-C0DB4576651D}"/>
    <cellStyle name="Normal 6 4 4" xfId="4729" xr:uid="{D03060BD-A8BA-414F-8C26-C1DBB89B0DB0}"/>
    <cellStyle name="Normal 6 4 4 2" xfId="8109" xr:uid="{B1BAC134-F20A-482C-A9AB-E9978583E195}"/>
    <cellStyle name="Normal 6 4 5" xfId="6409" xr:uid="{2165DCEE-4D10-4DC3-B186-34FB3ED36B3D}"/>
    <cellStyle name="Normal 6 4_DEO ADIT Unprotected" xfId="3658" xr:uid="{6427DA40-EA3F-4EA9-9373-DA3BF1486BEA}"/>
    <cellStyle name="Normal 6_DEO ADIT Unprotected" xfId="3657" xr:uid="{E4DAF1B6-A776-4D42-B5B4-7D1441693BA6}"/>
    <cellStyle name="Normal 60" xfId="1406" xr:uid="{00000000-0005-0000-0000-00001B070000}"/>
    <cellStyle name="Normal 60 2" xfId="1407" xr:uid="{00000000-0005-0000-0000-00001C070000}"/>
    <cellStyle name="Normal 60 2 2" xfId="1408" xr:uid="{00000000-0005-0000-0000-00001D070000}"/>
    <cellStyle name="Normal 60 2 2 2" xfId="1409" xr:uid="{00000000-0005-0000-0000-00001E070000}"/>
    <cellStyle name="Normal 60 2 2 2 2" xfId="2321" xr:uid="{00000000-0005-0000-0000-00001F070000}"/>
    <cellStyle name="Normal 60 2 2 2 2 2" xfId="5571" xr:uid="{3C30CF41-F435-4EDA-805B-2BF475FEAAE8}"/>
    <cellStyle name="Normal 60 2 2 2 2 2 2" xfId="8951" xr:uid="{5157A07C-51CD-4470-816E-6F1BE28E9A80}"/>
    <cellStyle name="Normal 60 2 2 2 2 3" xfId="7251" xr:uid="{C50F7231-04CE-49B8-B733-EFCDAB9FD17F}"/>
    <cellStyle name="Normal 60 2 2 2 2_DEO ADIT Unprotected" xfId="3666" xr:uid="{FC764CF0-7485-4900-B559-1B167D1C2690}"/>
    <cellStyle name="Normal 60 2 2 2 3" xfId="4734" xr:uid="{DAF133EF-2255-4E61-A1BE-51A7A9E10890}"/>
    <cellStyle name="Normal 60 2 2 2 3 2" xfId="8114" xr:uid="{0787A19B-F4F0-4106-B68C-F25BA32D54F0}"/>
    <cellStyle name="Normal 60 2 2 2 4" xfId="6414" xr:uid="{FF421F6B-41AA-488E-A792-1E2274F05A64}"/>
    <cellStyle name="Normal 60 2 2 2_DEO ADIT Unprotected" xfId="3665" xr:uid="{56E99F91-EC22-43CF-8513-398FD235627A}"/>
    <cellStyle name="Normal 60 2 2 3" xfId="2320" xr:uid="{00000000-0005-0000-0000-000020070000}"/>
    <cellStyle name="Normal 60 2 2 3 2" xfId="5570" xr:uid="{13A800BA-A0C8-49AD-A01D-06F1731882B4}"/>
    <cellStyle name="Normal 60 2 2 3 2 2" xfId="8950" xr:uid="{D227ABDD-D976-41D3-98CF-7352617193BF}"/>
    <cellStyle name="Normal 60 2 2 3 3" xfId="7250" xr:uid="{98B0E8ED-F1CE-4921-AA69-B5D0688E4F02}"/>
    <cellStyle name="Normal 60 2 2 3_DEO ADIT Unprotected" xfId="3667" xr:uid="{32067AE5-5470-4ACB-9FB3-06C0EEEE7CAE}"/>
    <cellStyle name="Normal 60 2 2 4" xfId="4733" xr:uid="{942ECD40-1914-4FD6-A6D0-F6F0A58B1E78}"/>
    <cellStyle name="Normal 60 2 2 4 2" xfId="8113" xr:uid="{418245D2-4F93-424C-99F1-D7FCB7596EED}"/>
    <cellStyle name="Normal 60 2 2 5" xfId="6413" xr:uid="{0364F216-598C-4D00-95DF-E50CE93882D3}"/>
    <cellStyle name="Normal 60 2 2_DEO ADIT Unprotected" xfId="3664" xr:uid="{9C1A3BA7-CFEE-4199-806A-26E8E2E71F63}"/>
    <cellStyle name="Normal 60 2 3" xfId="1410" xr:uid="{00000000-0005-0000-0000-000021070000}"/>
    <cellStyle name="Normal 60 2 3 2" xfId="2322" xr:uid="{00000000-0005-0000-0000-000022070000}"/>
    <cellStyle name="Normal 60 2 3 2 2" xfId="5572" xr:uid="{229FE353-E118-4997-AE71-59AD34FB1072}"/>
    <cellStyle name="Normal 60 2 3 2 2 2" xfId="8952" xr:uid="{884562F5-1820-4BFD-B366-36A3597AA715}"/>
    <cellStyle name="Normal 60 2 3 2 3" xfId="7252" xr:uid="{23F613C7-8BA1-4B16-8511-3158AFC08471}"/>
    <cellStyle name="Normal 60 2 3 2_DEO ADIT Unprotected" xfId="3669" xr:uid="{710CCD29-7E02-43F3-8115-F9FB2FE6C17A}"/>
    <cellStyle name="Normal 60 2 3 3" xfId="4735" xr:uid="{7B1D942C-9E4D-4B9B-A765-EF2DD8318CE5}"/>
    <cellStyle name="Normal 60 2 3 3 2" xfId="8115" xr:uid="{3EC0E774-06A7-4D2B-BC51-F8CAB83B9417}"/>
    <cellStyle name="Normal 60 2 3 4" xfId="6415" xr:uid="{BFEF575E-0618-420C-B58F-F99CBD057056}"/>
    <cellStyle name="Normal 60 2 3_DEO ADIT Unprotected" xfId="3668" xr:uid="{02B7A1CE-B0DB-41E3-A4F5-9172320F0CAC}"/>
    <cellStyle name="Normal 60 2 4" xfId="2319" xr:uid="{00000000-0005-0000-0000-000023070000}"/>
    <cellStyle name="Normal 60 2 4 2" xfId="5569" xr:uid="{C75CA2B9-0FD5-4835-B5B5-EEC8A97AF72B}"/>
    <cellStyle name="Normal 60 2 4 2 2" xfId="8949" xr:uid="{8B346ED4-3120-4C94-A2D5-1EF90C7AC78A}"/>
    <cellStyle name="Normal 60 2 4 3" xfId="7249" xr:uid="{A2BA17DC-E3E7-4A00-B5A9-F1339C9BCE42}"/>
    <cellStyle name="Normal 60 2 4_DEO ADIT Unprotected" xfId="3670" xr:uid="{B9646C19-D87B-48B5-94AD-695F9A5FE396}"/>
    <cellStyle name="Normal 60 2 5" xfId="4732" xr:uid="{997A8048-3978-4A00-A1FB-4CFD045FBF53}"/>
    <cellStyle name="Normal 60 2 5 2" xfId="8112" xr:uid="{C1B714F0-76C8-4846-AEE8-D2B3644F0ACD}"/>
    <cellStyle name="Normal 60 2 6" xfId="6412" xr:uid="{A86554ED-826E-47C8-93A3-97F8B8464E1B}"/>
    <cellStyle name="Normal 60 2_DEO ADIT Unprotected" xfId="3663" xr:uid="{C77B67E3-5C63-4C4F-A524-1B142CDC334A}"/>
    <cellStyle name="Normal 60 3" xfId="1411" xr:uid="{00000000-0005-0000-0000-000024070000}"/>
    <cellStyle name="Normal 60 3 2" xfId="1412" xr:uid="{00000000-0005-0000-0000-000025070000}"/>
    <cellStyle name="Normal 60 3 2 2" xfId="2324" xr:uid="{00000000-0005-0000-0000-000026070000}"/>
    <cellStyle name="Normal 60 3 2 2 2" xfId="5574" xr:uid="{F4118F7C-82DD-4C9E-AE53-5DF5AB45EC2F}"/>
    <cellStyle name="Normal 60 3 2 2 2 2" xfId="8954" xr:uid="{976B4050-7AB0-4DA4-8966-74164A81CD8B}"/>
    <cellStyle name="Normal 60 3 2 2 3" xfId="7254" xr:uid="{864AB83D-50D1-4674-80C2-768BD74913CC}"/>
    <cellStyle name="Normal 60 3 2 2_DEO ADIT Unprotected" xfId="3673" xr:uid="{F4B0F71D-D935-4B39-A5C8-C481C02FD187}"/>
    <cellStyle name="Normal 60 3 2 3" xfId="4737" xr:uid="{01CE24EE-02EB-4FA5-9B6B-AB1E0CBE8BEC}"/>
    <cellStyle name="Normal 60 3 2 3 2" xfId="8117" xr:uid="{047CF0E3-2EFD-4626-9339-1DE2E407D5FA}"/>
    <cellStyle name="Normal 60 3 2 4" xfId="6417" xr:uid="{DB758CE1-9949-48E8-83C8-31FC9767156E}"/>
    <cellStyle name="Normal 60 3 2_DEO ADIT Unprotected" xfId="3672" xr:uid="{BA14E1AF-B9BB-408A-8113-9BB6B4475BDA}"/>
    <cellStyle name="Normal 60 3 3" xfId="2323" xr:uid="{00000000-0005-0000-0000-000027070000}"/>
    <cellStyle name="Normal 60 3 3 2" xfId="5573" xr:uid="{4E697EE9-F9B0-4B54-A7C2-3DE278AC4BEF}"/>
    <cellStyle name="Normal 60 3 3 2 2" xfId="8953" xr:uid="{353BD01E-EC03-4FB6-B1CC-48E76AA67FC5}"/>
    <cellStyle name="Normal 60 3 3 3" xfId="7253" xr:uid="{7F4491D5-0B88-4650-B66E-9C6CCC557D27}"/>
    <cellStyle name="Normal 60 3 3_DEO ADIT Unprotected" xfId="3674" xr:uid="{B33BBF7D-0799-4556-99E5-07A1DB1F4A4A}"/>
    <cellStyle name="Normal 60 3 4" xfId="4736" xr:uid="{6CF82302-00EB-4CB0-80AA-4416B89407DA}"/>
    <cellStyle name="Normal 60 3 4 2" xfId="8116" xr:uid="{22563C17-2C93-478D-9554-FDB8A4D1F9DE}"/>
    <cellStyle name="Normal 60 3 5" xfId="6416" xr:uid="{550CD3F8-451A-4508-B48B-165B656ECB94}"/>
    <cellStyle name="Normal 60 3_DEO ADIT Unprotected" xfId="3671" xr:uid="{60F77B66-E0E1-43B0-8278-286302309840}"/>
    <cellStyle name="Normal 60 4" xfId="1413" xr:uid="{00000000-0005-0000-0000-000028070000}"/>
    <cellStyle name="Normal 60 4 2" xfId="2325" xr:uid="{00000000-0005-0000-0000-000029070000}"/>
    <cellStyle name="Normal 60 4 2 2" xfId="5575" xr:uid="{30AB570A-4860-4676-A323-EAB1FE02980E}"/>
    <cellStyle name="Normal 60 4 2 2 2" xfId="8955" xr:uid="{41DE2AE5-C42C-4B57-A477-120E28A2372C}"/>
    <cellStyle name="Normal 60 4 2 3" xfId="7255" xr:uid="{A6CED744-45B4-4CDD-82FA-E4521ADEA5BA}"/>
    <cellStyle name="Normal 60 4 2_DEO ADIT Unprotected" xfId="3676" xr:uid="{BEB98D83-B201-4F2D-BCAC-FA0326CD429C}"/>
    <cellStyle name="Normal 60 4 3" xfId="4738" xr:uid="{9E30D719-9066-48D1-9DD6-6E84E4037723}"/>
    <cellStyle name="Normal 60 4 3 2" xfId="8118" xr:uid="{F203E15D-3DC0-4223-8B16-419BF47B1E9F}"/>
    <cellStyle name="Normal 60 4 4" xfId="6418" xr:uid="{90EAE308-D07C-4642-8226-D747711F7520}"/>
    <cellStyle name="Normal 60 4_DEO ADIT Unprotected" xfId="3675" xr:uid="{20EF169D-BC67-4E18-AC89-61DD90B49532}"/>
    <cellStyle name="Normal 60 5" xfId="2318" xr:uid="{00000000-0005-0000-0000-00002A070000}"/>
    <cellStyle name="Normal 60 5 2" xfId="5568" xr:uid="{BD136A87-9D1E-4674-9468-78D67A8514D5}"/>
    <cellStyle name="Normal 60 5 2 2" xfId="8948" xr:uid="{323AA6AD-C2AE-479E-9093-A83A15B1024A}"/>
    <cellStyle name="Normal 60 5 3" xfId="7248" xr:uid="{6A7CD620-985A-4AFA-BC4C-089F179D8703}"/>
    <cellStyle name="Normal 60 5_DEO ADIT Unprotected" xfId="3677" xr:uid="{7BFCB3D0-67B0-4B66-8F8A-ED04DFE3188F}"/>
    <cellStyle name="Normal 60 6" xfId="4731" xr:uid="{144C02BB-29B7-44C4-A142-1EDF18A2AB51}"/>
    <cellStyle name="Normal 60 6 2" xfId="8111" xr:uid="{333A686B-D9F4-4607-9DE2-D3AEC15B9727}"/>
    <cellStyle name="Normal 60 7" xfId="6411" xr:uid="{57AE54C1-21BD-49C9-89AC-37BABE58BF9F}"/>
    <cellStyle name="Normal 60_DEO ADIT Unprotected" xfId="3662" xr:uid="{493D639C-6916-48FC-96FE-9E456BA992CF}"/>
    <cellStyle name="Normal 61" xfId="1414" xr:uid="{00000000-0005-0000-0000-00002B070000}"/>
    <cellStyle name="Normal 61 2" xfId="1415" xr:uid="{00000000-0005-0000-0000-00002C070000}"/>
    <cellStyle name="Normal 61 2 2" xfId="1416" xr:uid="{00000000-0005-0000-0000-00002D070000}"/>
    <cellStyle name="Normal 61 2 2 2" xfId="1417" xr:uid="{00000000-0005-0000-0000-00002E070000}"/>
    <cellStyle name="Normal 61 2 2 2 2" xfId="2329" xr:uid="{00000000-0005-0000-0000-00002F070000}"/>
    <cellStyle name="Normal 61 2 2 2 2 2" xfId="5579" xr:uid="{3FEF7035-860A-483D-AA98-1AFBD2FB9148}"/>
    <cellStyle name="Normal 61 2 2 2 2 2 2" xfId="8959" xr:uid="{52A8DD56-EBF3-4091-B393-306FB47D1194}"/>
    <cellStyle name="Normal 61 2 2 2 2 3" xfId="7259" xr:uid="{97889E97-05C2-4E90-B00D-6C07C8E4E0BD}"/>
    <cellStyle name="Normal 61 2 2 2 2_DEO ADIT Unprotected" xfId="3682" xr:uid="{EA5B81D0-0A71-4FFF-A3ED-E75B859BC32B}"/>
    <cellStyle name="Normal 61 2 2 2 3" xfId="4742" xr:uid="{887C8B69-B0DE-4BCB-9BC0-D719587ED0C3}"/>
    <cellStyle name="Normal 61 2 2 2 3 2" xfId="8122" xr:uid="{98C4B8A6-6410-4F35-B41B-8CD77D0DAF63}"/>
    <cellStyle name="Normal 61 2 2 2 4" xfId="6422" xr:uid="{BC4A74E2-DCD4-4538-9F46-7F8EB36D223E}"/>
    <cellStyle name="Normal 61 2 2 2_DEO ADIT Unprotected" xfId="3681" xr:uid="{F93FE3AA-6347-48BA-96D0-767BE6AE9F3A}"/>
    <cellStyle name="Normal 61 2 2 3" xfId="2328" xr:uid="{00000000-0005-0000-0000-000030070000}"/>
    <cellStyle name="Normal 61 2 2 3 2" xfId="5578" xr:uid="{3C9AF106-4FCD-4816-9888-56BAB5B0C4FB}"/>
    <cellStyle name="Normal 61 2 2 3 2 2" xfId="8958" xr:uid="{6F31FDB1-AA42-449D-B03A-0C15990424C1}"/>
    <cellStyle name="Normal 61 2 2 3 3" xfId="7258" xr:uid="{6A63C0C1-B7F8-4AFC-B2C0-F85BE8FCA563}"/>
    <cellStyle name="Normal 61 2 2 3_DEO ADIT Unprotected" xfId="3683" xr:uid="{1EC99F62-B2EE-4025-8022-E474511CFB21}"/>
    <cellStyle name="Normal 61 2 2 4" xfId="4741" xr:uid="{EDFFAE6D-0313-403C-A458-0E1CFC7B43E8}"/>
    <cellStyle name="Normal 61 2 2 4 2" xfId="8121" xr:uid="{9FB9DC83-C100-4303-BF0D-07C9B1F15D99}"/>
    <cellStyle name="Normal 61 2 2 5" xfId="6421" xr:uid="{30F37B38-4761-4BFF-A135-CCC711F4F147}"/>
    <cellStyle name="Normal 61 2 2_DEO ADIT Unprotected" xfId="3680" xr:uid="{9F14C1FE-8030-43D2-B070-C971ECB5A1A1}"/>
    <cellStyle name="Normal 61 2 3" xfId="1418" xr:uid="{00000000-0005-0000-0000-000031070000}"/>
    <cellStyle name="Normal 61 2 3 2" xfId="2330" xr:uid="{00000000-0005-0000-0000-000032070000}"/>
    <cellStyle name="Normal 61 2 3 2 2" xfId="5580" xr:uid="{7817B233-BDB2-44F6-A493-3878B878A19D}"/>
    <cellStyle name="Normal 61 2 3 2 2 2" xfId="8960" xr:uid="{7E21BED2-D03F-45BC-A055-97DEBC2C5F92}"/>
    <cellStyle name="Normal 61 2 3 2 3" xfId="7260" xr:uid="{50E3C6AE-B7DB-4E57-8006-99F460504E65}"/>
    <cellStyle name="Normal 61 2 3 2_DEO ADIT Unprotected" xfId="3685" xr:uid="{ED6A9AC5-F0B2-445C-B766-7DA8AFBFDFAD}"/>
    <cellStyle name="Normal 61 2 3 3" xfId="4743" xr:uid="{C5DA7025-EF53-40A3-90D2-8DAD8770BD58}"/>
    <cellStyle name="Normal 61 2 3 3 2" xfId="8123" xr:uid="{839081A3-1F33-4E3D-AB40-5D1CD0CABA2D}"/>
    <cellStyle name="Normal 61 2 3 4" xfId="6423" xr:uid="{46E13103-44AF-4268-AA2C-21591BF22C21}"/>
    <cellStyle name="Normal 61 2 3_DEO ADIT Unprotected" xfId="3684" xr:uid="{8A09905A-A151-4AA8-956B-2DD539E78B0A}"/>
    <cellStyle name="Normal 61 2 4" xfId="2327" xr:uid="{00000000-0005-0000-0000-000033070000}"/>
    <cellStyle name="Normal 61 2 4 2" xfId="5577" xr:uid="{7498460B-6294-4EDA-94F0-2E7BFFAE2E30}"/>
    <cellStyle name="Normal 61 2 4 2 2" xfId="8957" xr:uid="{BBFC33F7-DC4F-474C-8DC1-956A3EE3A1F1}"/>
    <cellStyle name="Normal 61 2 4 3" xfId="7257" xr:uid="{9D7ACF9F-4216-4A55-B07E-85C69A4030A8}"/>
    <cellStyle name="Normal 61 2 4_DEO ADIT Unprotected" xfId="3686" xr:uid="{31872099-8928-4B49-9EDB-4DCF781F8087}"/>
    <cellStyle name="Normal 61 2 5" xfId="4740" xr:uid="{476A2F5E-F76B-4512-9D57-03EBF3923BAF}"/>
    <cellStyle name="Normal 61 2 5 2" xfId="8120" xr:uid="{66788BA6-4A04-4B61-9046-1059C03CC59F}"/>
    <cellStyle name="Normal 61 2 6" xfId="6420" xr:uid="{F2876B04-C484-4928-B353-3563258A3AF9}"/>
    <cellStyle name="Normal 61 2_DEO ADIT Unprotected" xfId="3679" xr:uid="{9642C9B4-3129-4F18-B9C0-B694AF6DAE7D}"/>
    <cellStyle name="Normal 61 3" xfId="1419" xr:uid="{00000000-0005-0000-0000-000034070000}"/>
    <cellStyle name="Normal 61 3 2" xfId="1420" xr:uid="{00000000-0005-0000-0000-000035070000}"/>
    <cellStyle name="Normal 61 3 2 2" xfId="2332" xr:uid="{00000000-0005-0000-0000-000036070000}"/>
    <cellStyle name="Normal 61 3 2 2 2" xfId="5582" xr:uid="{E7A0ABE1-34FC-4FE5-B062-C5E089142002}"/>
    <cellStyle name="Normal 61 3 2 2 2 2" xfId="8962" xr:uid="{A1DACFC6-FE43-41FD-926A-2F097B648A77}"/>
    <cellStyle name="Normal 61 3 2 2 3" xfId="7262" xr:uid="{34B2ADFB-01F2-4922-A48B-E6DF76E78631}"/>
    <cellStyle name="Normal 61 3 2 2_DEO ADIT Unprotected" xfId="3689" xr:uid="{6244B54E-8F12-4464-B58E-D055AA0BFBD4}"/>
    <cellStyle name="Normal 61 3 2 3" xfId="4745" xr:uid="{289D5272-E937-47DD-A9CD-1517429CC450}"/>
    <cellStyle name="Normal 61 3 2 3 2" xfId="8125" xr:uid="{CE85441A-DD50-4BE4-BD12-3F9EB0662C04}"/>
    <cellStyle name="Normal 61 3 2 4" xfId="6425" xr:uid="{C33634BC-70D9-4B7B-A91A-5D84CCC778B3}"/>
    <cellStyle name="Normal 61 3 2_DEO ADIT Unprotected" xfId="3688" xr:uid="{54D9356E-5D28-4F67-84B0-8A8B32EBB3D7}"/>
    <cellStyle name="Normal 61 3 3" xfId="2331" xr:uid="{00000000-0005-0000-0000-000037070000}"/>
    <cellStyle name="Normal 61 3 3 2" xfId="5581" xr:uid="{E9257DDB-315C-44E8-AE4E-99E62D1E02D8}"/>
    <cellStyle name="Normal 61 3 3 2 2" xfId="8961" xr:uid="{5BA1611A-C654-44D0-8123-217684DA9476}"/>
    <cellStyle name="Normal 61 3 3 3" xfId="7261" xr:uid="{E9F96ABB-8240-4462-8369-4BF7AE2BD92A}"/>
    <cellStyle name="Normal 61 3 3_DEO ADIT Unprotected" xfId="3690" xr:uid="{D40AE0FD-C37F-4858-B525-F9C58CD82389}"/>
    <cellStyle name="Normal 61 3 4" xfId="4744" xr:uid="{60F50F31-58F2-4933-B42B-759FB81A34A7}"/>
    <cellStyle name="Normal 61 3 4 2" xfId="8124" xr:uid="{C80BF99D-0AB6-4028-9606-D98DB81736A7}"/>
    <cellStyle name="Normal 61 3 5" xfId="6424" xr:uid="{27FE570A-CC0A-48D7-A23F-4C4ED7D40D17}"/>
    <cellStyle name="Normal 61 3_DEO ADIT Unprotected" xfId="3687" xr:uid="{D57D85B1-9AA6-48F1-A7EA-A623413EF014}"/>
    <cellStyle name="Normal 61 4" xfId="1421" xr:uid="{00000000-0005-0000-0000-000038070000}"/>
    <cellStyle name="Normal 61 4 2" xfId="2333" xr:uid="{00000000-0005-0000-0000-000039070000}"/>
    <cellStyle name="Normal 61 4 2 2" xfId="5583" xr:uid="{0B2DE1B0-00CA-4076-B77C-B78C6BEB7448}"/>
    <cellStyle name="Normal 61 4 2 2 2" xfId="8963" xr:uid="{F1EC22A5-560A-4475-90B6-E623928FF019}"/>
    <cellStyle name="Normal 61 4 2 3" xfId="7263" xr:uid="{F9DB1BB2-4BC6-4E39-B668-624E1E16BED9}"/>
    <cellStyle name="Normal 61 4 2_DEO ADIT Unprotected" xfId="3692" xr:uid="{8586040F-B4ED-4E91-993F-D99742937768}"/>
    <cellStyle name="Normal 61 4 3" xfId="4746" xr:uid="{DEEE0F97-969D-492C-B294-C9642DFBBC0D}"/>
    <cellStyle name="Normal 61 4 3 2" xfId="8126" xr:uid="{903B8826-0F1E-4409-BC11-25F1BE6D56F9}"/>
    <cellStyle name="Normal 61 4 4" xfId="6426" xr:uid="{9AFB5C9F-77EC-4FAA-A546-4D7E071BBEB1}"/>
    <cellStyle name="Normal 61 4_DEO ADIT Unprotected" xfId="3691" xr:uid="{5B113C5A-0932-4E62-B6A2-A8A578305D69}"/>
    <cellStyle name="Normal 61 5" xfId="2326" xr:uid="{00000000-0005-0000-0000-00003A070000}"/>
    <cellStyle name="Normal 61 5 2" xfId="5576" xr:uid="{64434084-1BB5-4666-85A7-62E818029033}"/>
    <cellStyle name="Normal 61 5 2 2" xfId="8956" xr:uid="{0C88EE49-075B-4F00-A18C-DC39C11196A8}"/>
    <cellStyle name="Normal 61 5 3" xfId="7256" xr:uid="{6C330354-34FE-4471-8E8C-E5F76464D9CD}"/>
    <cellStyle name="Normal 61 5_DEO ADIT Unprotected" xfId="3693" xr:uid="{41576322-D885-4DF5-AE94-F113D5ADBA7C}"/>
    <cellStyle name="Normal 61 6" xfId="4739" xr:uid="{8A9C5220-C052-4D6B-AEAA-7B5F8E7EE146}"/>
    <cellStyle name="Normal 61 6 2" xfId="8119" xr:uid="{30BD86E9-DE1A-4967-8A49-5C3B6BA33552}"/>
    <cellStyle name="Normal 61 7" xfId="6419" xr:uid="{A1FDAC1C-EC28-4DE9-82FA-A49327B64EC1}"/>
    <cellStyle name="Normal 61_DEO ADIT Unprotected" xfId="3678" xr:uid="{7986823B-36D5-439B-949A-E9753FBD50EB}"/>
    <cellStyle name="Normal 62" xfId="1422" xr:uid="{00000000-0005-0000-0000-00003B070000}"/>
    <cellStyle name="Normal 62 2" xfId="1423" xr:uid="{00000000-0005-0000-0000-00003C070000}"/>
    <cellStyle name="Normal 62 2 2" xfId="1424" xr:uid="{00000000-0005-0000-0000-00003D070000}"/>
    <cellStyle name="Normal 62 2 2 2" xfId="1425" xr:uid="{00000000-0005-0000-0000-00003E070000}"/>
    <cellStyle name="Normal 62 2 2 2 2" xfId="2337" xr:uid="{00000000-0005-0000-0000-00003F070000}"/>
    <cellStyle name="Normal 62 2 2 2 2 2" xfId="5587" xr:uid="{C2139EB7-FDE9-4306-B687-55D6930CE9B0}"/>
    <cellStyle name="Normal 62 2 2 2 2 2 2" xfId="8967" xr:uid="{2EC8F0C9-7FCC-4137-BEB2-6E52ED4CF2D0}"/>
    <cellStyle name="Normal 62 2 2 2 2 3" xfId="7267" xr:uid="{C2567EEC-057B-4A12-BB19-CA025CCFC0D5}"/>
    <cellStyle name="Normal 62 2 2 2 2_DEO ADIT Unprotected" xfId="3698" xr:uid="{916DF66B-7EFE-4F08-8877-91929B80977E}"/>
    <cellStyle name="Normal 62 2 2 2 3" xfId="4750" xr:uid="{B095EC99-E877-4E79-9BC6-FFB31F3674A0}"/>
    <cellStyle name="Normal 62 2 2 2 3 2" xfId="8130" xr:uid="{CF06718B-D775-458A-9BFA-69F34284A298}"/>
    <cellStyle name="Normal 62 2 2 2 4" xfId="6430" xr:uid="{66719F39-6686-4499-B36A-5F1C409003DE}"/>
    <cellStyle name="Normal 62 2 2 2_DEO ADIT Unprotected" xfId="3697" xr:uid="{D3F1D127-6BA5-4483-A12F-568EE0CA0F2A}"/>
    <cellStyle name="Normal 62 2 2 3" xfId="2336" xr:uid="{00000000-0005-0000-0000-000040070000}"/>
    <cellStyle name="Normal 62 2 2 3 2" xfId="5586" xr:uid="{8DCE2692-47E3-4028-ADFF-90B3D7BC2F71}"/>
    <cellStyle name="Normal 62 2 2 3 2 2" xfId="8966" xr:uid="{AEF82173-4C6D-4C93-9235-6AB180AEAE26}"/>
    <cellStyle name="Normal 62 2 2 3 3" xfId="7266" xr:uid="{08E24509-7061-43DC-AA02-A77336015ACD}"/>
    <cellStyle name="Normal 62 2 2 3_DEO ADIT Unprotected" xfId="3699" xr:uid="{84C9FC00-C035-47D5-9C0F-576091B8EFCC}"/>
    <cellStyle name="Normal 62 2 2 4" xfId="4749" xr:uid="{EC625ED6-69BE-4084-B7FC-FE21EB785B34}"/>
    <cellStyle name="Normal 62 2 2 4 2" xfId="8129" xr:uid="{FAC0D6DB-3523-4E6C-8FA4-CCCF3CD3FEA7}"/>
    <cellStyle name="Normal 62 2 2 5" xfId="6429" xr:uid="{68616B54-448A-4F62-87D3-024EF1C8E95C}"/>
    <cellStyle name="Normal 62 2 2_DEO ADIT Unprotected" xfId="3696" xr:uid="{7AFC61E1-C793-44E5-99C2-BAF52C0A6A9B}"/>
    <cellStyle name="Normal 62 2 3" xfId="1426" xr:uid="{00000000-0005-0000-0000-000041070000}"/>
    <cellStyle name="Normal 62 2 3 2" xfId="2338" xr:uid="{00000000-0005-0000-0000-000042070000}"/>
    <cellStyle name="Normal 62 2 3 2 2" xfId="5588" xr:uid="{D67633A8-A491-471A-B3B3-D34F92C47937}"/>
    <cellStyle name="Normal 62 2 3 2 2 2" xfId="8968" xr:uid="{415E7CE3-C0FF-4552-9806-74591B8B3D18}"/>
    <cellStyle name="Normal 62 2 3 2 3" xfId="7268" xr:uid="{1155FD79-1B1C-42A6-9656-1428A60C3EF1}"/>
    <cellStyle name="Normal 62 2 3 2_DEO ADIT Unprotected" xfId="3701" xr:uid="{8185D217-D1E3-4A41-8D71-331CEBFA3C04}"/>
    <cellStyle name="Normal 62 2 3 3" xfId="4751" xr:uid="{703D335C-7BC1-40B6-B9B0-4D68A343218B}"/>
    <cellStyle name="Normal 62 2 3 3 2" xfId="8131" xr:uid="{2F8C8854-9EED-4FE9-B6A6-97CE807F219E}"/>
    <cellStyle name="Normal 62 2 3 4" xfId="6431" xr:uid="{94C4825E-A3A9-4D85-96C4-DE238A94950B}"/>
    <cellStyle name="Normal 62 2 3_DEO ADIT Unprotected" xfId="3700" xr:uid="{68843E30-C19A-41E8-9571-3881BD80627A}"/>
    <cellStyle name="Normal 62 2 4" xfId="2335" xr:uid="{00000000-0005-0000-0000-000043070000}"/>
    <cellStyle name="Normal 62 2 4 2" xfId="5585" xr:uid="{5E706FB4-85E4-43BF-AB0A-9DD2C80D08AC}"/>
    <cellStyle name="Normal 62 2 4 2 2" xfId="8965" xr:uid="{2016C2DC-FCAB-4ECA-92B4-8C1B6F936AFC}"/>
    <cellStyle name="Normal 62 2 4 3" xfId="7265" xr:uid="{D9655072-0910-4672-96D0-0396E7D4ED9D}"/>
    <cellStyle name="Normal 62 2 4_DEO ADIT Unprotected" xfId="3702" xr:uid="{8E9F4F48-1AFA-4AB6-B2C1-5771A8149D42}"/>
    <cellStyle name="Normal 62 2 5" xfId="4748" xr:uid="{7AD21B0E-F6C8-41C7-976C-AA6B86C01EB2}"/>
    <cellStyle name="Normal 62 2 5 2" xfId="8128" xr:uid="{D6622DB3-189A-4A4D-ACE7-26A19D1D5471}"/>
    <cellStyle name="Normal 62 2 6" xfId="6428" xr:uid="{83A739FC-2230-42A1-A1E2-B1C3CEA7101F}"/>
    <cellStyle name="Normal 62 2_DEO ADIT Unprotected" xfId="3695" xr:uid="{3097FDB9-DC8E-4E23-98BE-52A82A53EDFE}"/>
    <cellStyle name="Normal 62 3" xfId="1427" xr:uid="{00000000-0005-0000-0000-000044070000}"/>
    <cellStyle name="Normal 62 3 2" xfId="1428" xr:uid="{00000000-0005-0000-0000-000045070000}"/>
    <cellStyle name="Normal 62 3 2 2" xfId="2340" xr:uid="{00000000-0005-0000-0000-000046070000}"/>
    <cellStyle name="Normal 62 3 2 2 2" xfId="5590" xr:uid="{0526A975-CBB0-4580-B2FD-0CCC3BFCBFA9}"/>
    <cellStyle name="Normal 62 3 2 2 2 2" xfId="8970" xr:uid="{B3E21013-CAD5-4912-91C8-33B1977DF800}"/>
    <cellStyle name="Normal 62 3 2 2 3" xfId="7270" xr:uid="{BFA17E11-ADFD-4EC1-B5BC-E2D092D31A5A}"/>
    <cellStyle name="Normal 62 3 2 2_DEO ADIT Unprotected" xfId="3705" xr:uid="{AA7190DD-1229-43F8-82BE-3A30E9212DA7}"/>
    <cellStyle name="Normal 62 3 2 3" xfId="4753" xr:uid="{9801C854-A68C-40E5-B05B-8E244B601AA0}"/>
    <cellStyle name="Normal 62 3 2 3 2" xfId="8133" xr:uid="{F0DD934B-5D67-4FB6-9D10-8A1AED26A449}"/>
    <cellStyle name="Normal 62 3 2 4" xfId="6433" xr:uid="{DAA45254-E6E1-4804-BF6E-75E8ECEA8F2E}"/>
    <cellStyle name="Normal 62 3 2_DEO ADIT Unprotected" xfId="3704" xr:uid="{44D72688-455E-4FAA-9125-F56B41FB8F8D}"/>
    <cellStyle name="Normal 62 3 3" xfId="2339" xr:uid="{00000000-0005-0000-0000-000047070000}"/>
    <cellStyle name="Normal 62 3 3 2" xfId="5589" xr:uid="{7EAE5402-9910-4B73-876E-AB4707AAA4C4}"/>
    <cellStyle name="Normal 62 3 3 2 2" xfId="8969" xr:uid="{A460978A-7001-4633-A5A7-56C2CD27AB71}"/>
    <cellStyle name="Normal 62 3 3 3" xfId="7269" xr:uid="{9BB67E67-FE07-4D45-B6B4-DCB66D9D857C}"/>
    <cellStyle name="Normal 62 3 3_DEO ADIT Unprotected" xfId="3706" xr:uid="{41C660F4-6F52-4F41-91C3-9AD2DFF380A0}"/>
    <cellStyle name="Normal 62 3 4" xfId="4752" xr:uid="{26AC65BD-D4D4-488E-A812-2574ED18CBA8}"/>
    <cellStyle name="Normal 62 3 4 2" xfId="8132" xr:uid="{A583F31F-FE96-4DA9-9C6E-70CB239D5E3B}"/>
    <cellStyle name="Normal 62 3 5" xfId="6432" xr:uid="{F96F55EA-1DED-4EF6-80DA-C346F69C41D4}"/>
    <cellStyle name="Normal 62 3_DEO ADIT Unprotected" xfId="3703" xr:uid="{2150065E-A3C1-4536-AA6A-8E013E4065C2}"/>
    <cellStyle name="Normal 62 4" xfId="1429" xr:uid="{00000000-0005-0000-0000-000048070000}"/>
    <cellStyle name="Normal 62 4 2" xfId="2341" xr:uid="{00000000-0005-0000-0000-000049070000}"/>
    <cellStyle name="Normal 62 4 2 2" xfId="5591" xr:uid="{62A1F2D8-A498-42E4-B8E1-3C0F7220CFAA}"/>
    <cellStyle name="Normal 62 4 2 2 2" xfId="8971" xr:uid="{FDDBB6F2-A889-4F8E-B2F4-65235F354300}"/>
    <cellStyle name="Normal 62 4 2 3" xfId="7271" xr:uid="{57ED5C06-6FA6-4BE5-8B44-D080A831E482}"/>
    <cellStyle name="Normal 62 4 2_DEO ADIT Unprotected" xfId="3708" xr:uid="{437D41C7-452D-4180-A7AB-893708C44985}"/>
    <cellStyle name="Normal 62 4 3" xfId="4754" xr:uid="{8EA6EAAC-6C1E-48AB-8655-BE22CA0F4C94}"/>
    <cellStyle name="Normal 62 4 3 2" xfId="8134" xr:uid="{8BE205C7-FF5B-48ED-B7F2-48072E649C22}"/>
    <cellStyle name="Normal 62 4 4" xfId="6434" xr:uid="{24E2D9EC-4D7E-4E8D-858C-25E1619AD44E}"/>
    <cellStyle name="Normal 62 4_DEO ADIT Unprotected" xfId="3707" xr:uid="{FD15A1B8-6816-45A3-8C8B-F6BBFF82C073}"/>
    <cellStyle name="Normal 62 5" xfId="2334" xr:uid="{00000000-0005-0000-0000-00004A070000}"/>
    <cellStyle name="Normal 62 5 2" xfId="5584" xr:uid="{19772EE2-02D5-41CB-951E-A3943F6E956D}"/>
    <cellStyle name="Normal 62 5 2 2" xfId="8964" xr:uid="{F806216A-107B-4655-A8D8-F2184CD8D1D9}"/>
    <cellStyle name="Normal 62 5 3" xfId="7264" xr:uid="{B15C4BAD-2178-4396-83D1-3A01645FA131}"/>
    <cellStyle name="Normal 62 5_DEO ADIT Unprotected" xfId="3709" xr:uid="{EE74B6FA-5723-40F5-8A9E-E49B310DF272}"/>
    <cellStyle name="Normal 62 6" xfId="4747" xr:uid="{CD895F40-F5F2-495D-989B-C5BE4256B83B}"/>
    <cellStyle name="Normal 62 6 2" xfId="8127" xr:uid="{3327C260-90CA-43DE-85A8-B481A488FD6E}"/>
    <cellStyle name="Normal 62 7" xfId="6427" xr:uid="{AB9351CB-B2CA-43E2-8B55-6FE89E0ADB9F}"/>
    <cellStyle name="Normal 62_DEO ADIT Unprotected" xfId="3694" xr:uid="{9EB7BB68-9C32-49D6-9FE7-22301EC49D86}"/>
    <cellStyle name="Normal 63" xfId="1430" xr:uid="{00000000-0005-0000-0000-00004B070000}"/>
    <cellStyle name="Normal 63 2" xfId="1431" xr:uid="{00000000-0005-0000-0000-00004C070000}"/>
    <cellStyle name="Normal 63 2 2" xfId="1432" xr:uid="{00000000-0005-0000-0000-00004D070000}"/>
    <cellStyle name="Normal 63 2 2 2" xfId="1433" xr:uid="{00000000-0005-0000-0000-00004E070000}"/>
    <cellStyle name="Normal 63 2 2 2 2" xfId="2345" xr:uid="{00000000-0005-0000-0000-00004F070000}"/>
    <cellStyle name="Normal 63 2 2 2 2 2" xfId="5595" xr:uid="{B6740E44-7933-4846-B108-1EDDE49B4578}"/>
    <cellStyle name="Normal 63 2 2 2 2 2 2" xfId="8975" xr:uid="{50880EC2-D6A8-4716-9874-484ED309C8EA}"/>
    <cellStyle name="Normal 63 2 2 2 2 3" xfId="7275" xr:uid="{61E19665-2F0B-4320-BD23-A2E97372359E}"/>
    <cellStyle name="Normal 63 2 2 2 2_DEO ADIT Unprotected" xfId="3714" xr:uid="{BDF175C9-AC87-4487-86FB-50DEF1697370}"/>
    <cellStyle name="Normal 63 2 2 2 3" xfId="4758" xr:uid="{CB70FA4C-04BB-4A7B-ADD3-DBA5D85B1F1D}"/>
    <cellStyle name="Normal 63 2 2 2 3 2" xfId="8138" xr:uid="{9AD93C47-6F1C-413B-B3C0-E7096FB5D72B}"/>
    <cellStyle name="Normal 63 2 2 2 4" xfId="6438" xr:uid="{3522B612-792A-4996-BB5D-C568F9F493CE}"/>
    <cellStyle name="Normal 63 2 2 2_DEO ADIT Unprotected" xfId="3713" xr:uid="{A407C890-A5F1-42AE-9E91-32D8FB4EAAF5}"/>
    <cellStyle name="Normal 63 2 2 3" xfId="2344" xr:uid="{00000000-0005-0000-0000-000050070000}"/>
    <cellStyle name="Normal 63 2 2 3 2" xfId="5594" xr:uid="{6B42003F-50D3-4B71-92A7-22F103A36AE0}"/>
    <cellStyle name="Normal 63 2 2 3 2 2" xfId="8974" xr:uid="{5B85ADBE-813A-4D57-9E21-5080AAFD2448}"/>
    <cellStyle name="Normal 63 2 2 3 3" xfId="7274" xr:uid="{9976F4D5-B89E-4A42-9F07-124E8546F9D9}"/>
    <cellStyle name="Normal 63 2 2 3_DEO ADIT Unprotected" xfId="3715" xr:uid="{5BE0BBAC-2A56-4112-AE9E-76AEFDB28B71}"/>
    <cellStyle name="Normal 63 2 2 4" xfId="4757" xr:uid="{0115778C-06EF-4114-BB14-58227341F6E0}"/>
    <cellStyle name="Normal 63 2 2 4 2" xfId="8137" xr:uid="{044FAE4A-D001-4C42-9E57-906D93799236}"/>
    <cellStyle name="Normal 63 2 2 5" xfId="6437" xr:uid="{6B0B01B7-D4E7-407A-A662-52767A15CADE}"/>
    <cellStyle name="Normal 63 2 2_DEO ADIT Unprotected" xfId="3712" xr:uid="{EF917F91-134F-419B-9552-B17ADBCE0693}"/>
    <cellStyle name="Normal 63 2 3" xfId="1434" xr:uid="{00000000-0005-0000-0000-000051070000}"/>
    <cellStyle name="Normal 63 2 3 2" xfId="2346" xr:uid="{00000000-0005-0000-0000-000052070000}"/>
    <cellStyle name="Normal 63 2 3 2 2" xfId="5596" xr:uid="{34E515D1-0B82-46D0-B156-55278CFD6280}"/>
    <cellStyle name="Normal 63 2 3 2 2 2" xfId="8976" xr:uid="{94B36BBE-A1DD-44A9-A05E-FB45A2F3C863}"/>
    <cellStyle name="Normal 63 2 3 2 3" xfId="7276" xr:uid="{69ADE86A-81F3-47C4-8439-F64E2F4AFF4E}"/>
    <cellStyle name="Normal 63 2 3 2_DEO ADIT Unprotected" xfId="3717" xr:uid="{F059B885-7CBD-4F4E-8A26-0964BE04C200}"/>
    <cellStyle name="Normal 63 2 3 3" xfId="4759" xr:uid="{B4DCF09D-0DAD-4C87-8909-4352B9A41982}"/>
    <cellStyle name="Normal 63 2 3 3 2" xfId="8139" xr:uid="{F55AF448-DB1B-40FE-A223-4FD04CAB1B6F}"/>
    <cellStyle name="Normal 63 2 3 4" xfId="6439" xr:uid="{2F58288D-3D99-4161-9B71-869C5CD9AC9B}"/>
    <cellStyle name="Normal 63 2 3_DEO ADIT Unprotected" xfId="3716" xr:uid="{8D538C82-AA35-411A-912F-ADF3CA7BB761}"/>
    <cellStyle name="Normal 63 2 4" xfId="2343" xr:uid="{00000000-0005-0000-0000-000053070000}"/>
    <cellStyle name="Normal 63 2 4 2" xfId="5593" xr:uid="{F3441D19-05C5-411E-8B8D-8AB35F9F16F0}"/>
    <cellStyle name="Normal 63 2 4 2 2" xfId="8973" xr:uid="{70506D06-3061-43E2-8A07-F92755406C69}"/>
    <cellStyle name="Normal 63 2 4 3" xfId="7273" xr:uid="{8D283EF8-574A-46C4-BA0C-6C1866B0F46D}"/>
    <cellStyle name="Normal 63 2 4_DEO ADIT Unprotected" xfId="3718" xr:uid="{8A73BF9F-06E0-443E-A47D-A00A81142E9F}"/>
    <cellStyle name="Normal 63 2 5" xfId="4756" xr:uid="{84AD9FBB-6EE1-4B06-ABDD-0AEC065DEBC2}"/>
    <cellStyle name="Normal 63 2 5 2" xfId="8136" xr:uid="{B9760CF4-07C0-4231-A400-47B85D278291}"/>
    <cellStyle name="Normal 63 2 6" xfId="6436" xr:uid="{B8CE1F2B-0F1C-4BF1-BAFE-449F21367807}"/>
    <cellStyle name="Normal 63 2_DEO ADIT Unprotected" xfId="3711" xr:uid="{3B8F9B4D-B7BF-4480-A0C7-477706EB14EE}"/>
    <cellStyle name="Normal 63 3" xfId="1435" xr:uid="{00000000-0005-0000-0000-000054070000}"/>
    <cellStyle name="Normal 63 3 2" xfId="1436" xr:uid="{00000000-0005-0000-0000-000055070000}"/>
    <cellStyle name="Normal 63 3 2 2" xfId="2348" xr:uid="{00000000-0005-0000-0000-000056070000}"/>
    <cellStyle name="Normal 63 3 2 2 2" xfId="5598" xr:uid="{95100089-9A0D-475D-84B8-10618E3E2C76}"/>
    <cellStyle name="Normal 63 3 2 2 2 2" xfId="8978" xr:uid="{43840417-2795-483A-9E8F-8C0D842BC4C9}"/>
    <cellStyle name="Normal 63 3 2 2 3" xfId="7278" xr:uid="{95084B0C-2F39-49C4-BF29-908F136C1440}"/>
    <cellStyle name="Normal 63 3 2 2_DEO ADIT Unprotected" xfId="3721" xr:uid="{774761A8-4334-46E3-9128-707980894A0C}"/>
    <cellStyle name="Normal 63 3 2 3" xfId="4761" xr:uid="{0F062EEF-143F-4ECA-8FC3-896D31D44AE7}"/>
    <cellStyle name="Normal 63 3 2 3 2" xfId="8141" xr:uid="{F86813C9-C4A8-4FFC-B2D9-A9EA3D02D7D8}"/>
    <cellStyle name="Normal 63 3 2 4" xfId="6441" xr:uid="{6CFD903E-F95D-4415-BFE8-7A6C34159ACE}"/>
    <cellStyle name="Normal 63 3 2_DEO ADIT Unprotected" xfId="3720" xr:uid="{93106BEB-153A-4C5E-9C79-59145A304813}"/>
    <cellStyle name="Normal 63 3 3" xfId="2347" xr:uid="{00000000-0005-0000-0000-000057070000}"/>
    <cellStyle name="Normal 63 3 3 2" xfId="5597" xr:uid="{A1E66234-694A-45AF-AE63-15ECC8B7FAC1}"/>
    <cellStyle name="Normal 63 3 3 2 2" xfId="8977" xr:uid="{A6559674-C040-4AE7-9DAA-64E8D004A9F4}"/>
    <cellStyle name="Normal 63 3 3 3" xfId="7277" xr:uid="{13F02CDB-BFEA-4E85-99C3-7181C8EC62B4}"/>
    <cellStyle name="Normal 63 3 3_DEO ADIT Unprotected" xfId="3722" xr:uid="{29DAF6DF-E3BE-4A32-8CE6-CA5A1726B006}"/>
    <cellStyle name="Normal 63 3 4" xfId="4760" xr:uid="{4D4C7AF7-3AFE-4CA2-B90F-EA488F31C0C9}"/>
    <cellStyle name="Normal 63 3 4 2" xfId="8140" xr:uid="{9AB63AB0-BF14-473B-95C5-6EB469304ED9}"/>
    <cellStyle name="Normal 63 3 5" xfId="6440" xr:uid="{899D3757-1243-4570-A75F-9034E18B6920}"/>
    <cellStyle name="Normal 63 3_DEO ADIT Unprotected" xfId="3719" xr:uid="{7D2DBC18-E8AD-4159-A29A-52FDE848CF48}"/>
    <cellStyle name="Normal 63 4" xfId="1437" xr:uid="{00000000-0005-0000-0000-000058070000}"/>
    <cellStyle name="Normal 63 4 2" xfId="2349" xr:uid="{00000000-0005-0000-0000-000059070000}"/>
    <cellStyle name="Normal 63 4 2 2" xfId="5599" xr:uid="{255F1DC5-BE55-4505-885B-47E29457BB2E}"/>
    <cellStyle name="Normal 63 4 2 2 2" xfId="8979" xr:uid="{DF937F45-1E8C-4D84-9F77-E3E44F4AF73F}"/>
    <cellStyle name="Normal 63 4 2 3" xfId="7279" xr:uid="{849344DD-244E-4751-AA5A-F832F97F465C}"/>
    <cellStyle name="Normal 63 4 2_DEO ADIT Unprotected" xfId="3724" xr:uid="{F864812E-A08D-4FA4-A5DE-F509744A7A48}"/>
    <cellStyle name="Normal 63 4 3" xfId="4762" xr:uid="{7BC399D9-833F-4113-B2FE-FC8456BAC062}"/>
    <cellStyle name="Normal 63 4 3 2" xfId="8142" xr:uid="{038BDF9E-97A7-4DD0-ADA1-B820C21C490F}"/>
    <cellStyle name="Normal 63 4 4" xfId="6442" xr:uid="{49EB549C-7AC3-4B13-827D-24199CD4D3F0}"/>
    <cellStyle name="Normal 63 4_DEO ADIT Unprotected" xfId="3723" xr:uid="{9B47082B-3E24-428B-B583-F5661F441E7C}"/>
    <cellStyle name="Normal 63 5" xfId="2342" xr:uid="{00000000-0005-0000-0000-00005A070000}"/>
    <cellStyle name="Normal 63 5 2" xfId="5592" xr:uid="{F30655A2-3176-4F40-AF68-C63A7364F0DA}"/>
    <cellStyle name="Normal 63 5 2 2" xfId="8972" xr:uid="{A9B142BC-858F-43DC-8F37-0F2928631F5E}"/>
    <cellStyle name="Normal 63 5 3" xfId="7272" xr:uid="{E7FC5321-383A-46D7-B378-F29D8667EE58}"/>
    <cellStyle name="Normal 63 5_DEO ADIT Unprotected" xfId="3725" xr:uid="{2D6AF014-837E-4A28-B2AC-B6BB7D0577C5}"/>
    <cellStyle name="Normal 63 6" xfId="4755" xr:uid="{95DCEC02-4A2A-4938-B529-126222E892EF}"/>
    <cellStyle name="Normal 63 6 2" xfId="8135" xr:uid="{7047836F-3CEC-4888-ADE8-FA9B89B37044}"/>
    <cellStyle name="Normal 63 7" xfId="6435" xr:uid="{7EAB4750-5B4F-4414-8434-90C785891CC9}"/>
    <cellStyle name="Normal 63_DEO ADIT Unprotected" xfId="3710" xr:uid="{F2C88C48-D725-4E60-A274-CD17EEF7E52B}"/>
    <cellStyle name="Normal 64" xfId="1438" xr:uid="{00000000-0005-0000-0000-00005B070000}"/>
    <cellStyle name="Normal 64 2" xfId="1439" xr:uid="{00000000-0005-0000-0000-00005C070000}"/>
    <cellStyle name="Normal 64 2 2" xfId="1440" xr:uid="{00000000-0005-0000-0000-00005D070000}"/>
    <cellStyle name="Normal 64 2 2 2" xfId="2352" xr:uid="{00000000-0005-0000-0000-00005E070000}"/>
    <cellStyle name="Normal 64 2 2 2 2" xfId="5602" xr:uid="{859C6394-6392-4F48-AB11-C39857237B61}"/>
    <cellStyle name="Normal 64 2 2 2 2 2" xfId="8982" xr:uid="{AF0BA553-42F7-4E49-9497-971B447FE614}"/>
    <cellStyle name="Normal 64 2 2 2 3" xfId="7282" xr:uid="{65E91E91-9F8D-40A6-98F8-164EA1C44C67}"/>
    <cellStyle name="Normal 64 2 2 2_DEO ADIT Unprotected" xfId="3729" xr:uid="{D7BEABC9-8467-43B7-8EE7-A0F3B47D53B6}"/>
    <cellStyle name="Normal 64 2 2 3" xfId="4765" xr:uid="{5B97A5F0-B93F-4EF5-A809-26EDE18DFB95}"/>
    <cellStyle name="Normal 64 2 2 3 2" xfId="8145" xr:uid="{9EC0EF2E-94C1-4AAA-80F8-C35F54F5E1CC}"/>
    <cellStyle name="Normal 64 2 2 4" xfId="6445" xr:uid="{0F2CC476-56A3-47F8-94C1-6D19AD3E23F3}"/>
    <cellStyle name="Normal 64 2 2_DEO ADIT Unprotected" xfId="3728" xr:uid="{B6DD46D0-391C-4779-BB12-B24C26C6C397}"/>
    <cellStyle name="Normal 64 2 3" xfId="2351" xr:uid="{00000000-0005-0000-0000-00005F070000}"/>
    <cellStyle name="Normal 64 2 3 2" xfId="5601" xr:uid="{5F437CE8-18A6-47DA-9D3D-1F8190BFB3ED}"/>
    <cellStyle name="Normal 64 2 3 2 2" xfId="8981" xr:uid="{30F7EF6D-948F-4E1A-AD1F-4A03E9EB5297}"/>
    <cellStyle name="Normal 64 2 3 3" xfId="7281" xr:uid="{DC38C3D7-8045-4873-AB58-D1DAA32AEFA7}"/>
    <cellStyle name="Normal 64 2 3_DEO ADIT Unprotected" xfId="3730" xr:uid="{F52A8F13-A251-44EB-A1D5-31D8330B4DC9}"/>
    <cellStyle name="Normal 64 2 4" xfId="4764" xr:uid="{E4EDD719-B742-424E-98B0-00A47AB2281F}"/>
    <cellStyle name="Normal 64 2 4 2" xfId="8144" xr:uid="{B7CB24B3-3EE0-4982-83F1-D3FC2CD7D785}"/>
    <cellStyle name="Normal 64 2 5" xfId="6444" xr:uid="{2F9915AA-1F4A-4C54-B234-AB3523B451CA}"/>
    <cellStyle name="Normal 64 2_DEO ADIT Unprotected" xfId="3727" xr:uid="{4D174C92-90DC-438E-802F-9FBCDF999BAB}"/>
    <cellStyle name="Normal 64 3" xfId="1441" xr:uid="{00000000-0005-0000-0000-000060070000}"/>
    <cellStyle name="Normal 64 3 2" xfId="2353" xr:uid="{00000000-0005-0000-0000-000061070000}"/>
    <cellStyle name="Normal 64 3 2 2" xfId="5603" xr:uid="{F110FAAE-D003-4D0E-90C4-9982D91CCCBD}"/>
    <cellStyle name="Normal 64 3 2 2 2" xfId="8983" xr:uid="{F1A26942-D4C2-461A-912F-BDEFC786E55E}"/>
    <cellStyle name="Normal 64 3 2 3" xfId="7283" xr:uid="{0EC4D1B8-9533-49EC-A712-674437AF54B2}"/>
    <cellStyle name="Normal 64 3 2_DEO ADIT Unprotected" xfId="3732" xr:uid="{BDF96631-24B2-41DB-9233-B325183CAEC2}"/>
    <cellStyle name="Normal 64 3 3" xfId="4766" xr:uid="{A7340E8A-4C77-48D7-B6FB-87329A414B99}"/>
    <cellStyle name="Normal 64 3 3 2" xfId="8146" xr:uid="{C83C202A-73E0-4E4E-982C-DD01E39F64F7}"/>
    <cellStyle name="Normal 64 3 4" xfId="6446" xr:uid="{7A58B0E9-AD7E-418A-8113-615DF5A7D3A6}"/>
    <cellStyle name="Normal 64 3_DEO ADIT Unprotected" xfId="3731" xr:uid="{352E5A00-C97A-492D-A21B-10F5222D9C5D}"/>
    <cellStyle name="Normal 64 4" xfId="2350" xr:uid="{00000000-0005-0000-0000-000062070000}"/>
    <cellStyle name="Normal 64 4 2" xfId="5600" xr:uid="{F04D0BAC-3FD7-488A-86B1-23B199BB2814}"/>
    <cellStyle name="Normal 64 4 2 2" xfId="8980" xr:uid="{39EBF423-9D02-47AE-85F3-F0377943D92B}"/>
    <cellStyle name="Normal 64 4 3" xfId="7280" xr:uid="{A8BC149F-4B34-4032-8353-E7DE975708EE}"/>
    <cellStyle name="Normal 64 4_DEO ADIT Unprotected" xfId="3733" xr:uid="{CBC281DA-658B-479D-9BC2-A9A9F2D4C18A}"/>
    <cellStyle name="Normal 64 5" xfId="4763" xr:uid="{EEE8DD7E-C2FF-4DEF-9445-EAD25F0C2EEE}"/>
    <cellStyle name="Normal 64 5 2" xfId="8143" xr:uid="{390FC412-2943-4948-8627-5AFF3B5F6297}"/>
    <cellStyle name="Normal 64 6" xfId="6443" xr:uid="{03B36187-2D1D-47FC-A5B6-A178BA3C2537}"/>
    <cellStyle name="Normal 64_DEO ADIT Unprotected" xfId="3726" xr:uid="{8632B8D7-789F-4499-AAE5-E9FF94DFB8FF}"/>
    <cellStyle name="Normal 65" xfId="1442" xr:uid="{00000000-0005-0000-0000-000063070000}"/>
    <cellStyle name="Normal 65 2" xfId="1443" xr:uid="{00000000-0005-0000-0000-000064070000}"/>
    <cellStyle name="Normal 65 2 2" xfId="1444" xr:uid="{00000000-0005-0000-0000-000065070000}"/>
    <cellStyle name="Normal 65 2 2 2" xfId="2356" xr:uid="{00000000-0005-0000-0000-000066070000}"/>
    <cellStyle name="Normal 65 2 2 2 2" xfId="5606" xr:uid="{59367634-55AA-4729-857F-30C108CC559C}"/>
    <cellStyle name="Normal 65 2 2 2 2 2" xfId="8986" xr:uid="{1637C23F-97C2-40E1-8BA2-FAA35B3F1BC9}"/>
    <cellStyle name="Normal 65 2 2 2 3" xfId="7286" xr:uid="{645019C6-23E8-4F59-9CCF-42A8B2BD61BA}"/>
    <cellStyle name="Normal 65 2 2 2_DEO ADIT Unprotected" xfId="3737" xr:uid="{90FC87AB-2796-4E1D-89EB-9840956F9136}"/>
    <cellStyle name="Normal 65 2 2 3" xfId="4769" xr:uid="{41D8D81D-2F69-4BE4-A1B9-9EF8A55E5938}"/>
    <cellStyle name="Normal 65 2 2 3 2" xfId="8149" xr:uid="{7A85B238-8CEB-40CE-B1A3-3E1C706FC44D}"/>
    <cellStyle name="Normal 65 2 2 4" xfId="6449" xr:uid="{4919310F-9EE1-490E-B839-4067B4A6B7EB}"/>
    <cellStyle name="Normal 65 2 2_DEO ADIT Unprotected" xfId="3736" xr:uid="{5E50B727-5330-4851-9796-B0C1AEB984B8}"/>
    <cellStyle name="Normal 65 2 3" xfId="2355" xr:uid="{00000000-0005-0000-0000-000067070000}"/>
    <cellStyle name="Normal 65 2 3 2" xfId="5605" xr:uid="{40146EEF-C6D4-42A1-B22A-12F3C3D2580D}"/>
    <cellStyle name="Normal 65 2 3 2 2" xfId="8985" xr:uid="{B672B5A5-9F24-4751-A903-C922506E9C3F}"/>
    <cellStyle name="Normal 65 2 3 3" xfId="7285" xr:uid="{54B33A48-D41A-4724-8422-62EC858E79B7}"/>
    <cellStyle name="Normal 65 2 3_DEO ADIT Unprotected" xfId="3738" xr:uid="{9832D9EB-8366-433E-8E2A-29427880A613}"/>
    <cellStyle name="Normal 65 2 4" xfId="4768" xr:uid="{6EC9264A-8395-4C00-B684-3D2043B35355}"/>
    <cellStyle name="Normal 65 2 4 2" xfId="8148" xr:uid="{E8E0B991-CF22-4B37-80CF-594F76502401}"/>
    <cellStyle name="Normal 65 2 5" xfId="6448" xr:uid="{6379E576-B85E-4DAD-AA1A-6836D3B364A0}"/>
    <cellStyle name="Normal 65 2_DEO ADIT Unprotected" xfId="3735" xr:uid="{34038A7D-C9BF-4F5E-8234-BE42D483B59C}"/>
    <cellStyle name="Normal 65 3" xfId="1445" xr:uid="{00000000-0005-0000-0000-000068070000}"/>
    <cellStyle name="Normal 65 3 2" xfId="2357" xr:uid="{00000000-0005-0000-0000-000069070000}"/>
    <cellStyle name="Normal 65 3 2 2" xfId="5607" xr:uid="{43E2B5FD-1930-4425-A906-FD98D6C55D7F}"/>
    <cellStyle name="Normal 65 3 2 2 2" xfId="8987" xr:uid="{05E37A98-433D-4478-BD81-5053D4121FBF}"/>
    <cellStyle name="Normal 65 3 2 3" xfId="7287" xr:uid="{23D968EE-7AF0-43DE-8334-EA2C9ECC5FBD}"/>
    <cellStyle name="Normal 65 3 2_DEO ADIT Unprotected" xfId="3740" xr:uid="{C7D22965-2291-464A-B29A-0FF4D61D3A6B}"/>
    <cellStyle name="Normal 65 3 3" xfId="4770" xr:uid="{29CDE5BB-AE39-4D3A-A780-3CD38E4E8397}"/>
    <cellStyle name="Normal 65 3 3 2" xfId="8150" xr:uid="{5BE6036C-97C6-4725-9599-9F1E1A1E435A}"/>
    <cellStyle name="Normal 65 3 4" xfId="6450" xr:uid="{542C3044-1E3C-4C50-836B-DF19F229748B}"/>
    <cellStyle name="Normal 65 3_DEO ADIT Unprotected" xfId="3739" xr:uid="{F9773342-539C-4217-BE4C-6A5AF9B4BFCB}"/>
    <cellStyle name="Normal 65 4" xfId="2354" xr:uid="{00000000-0005-0000-0000-00006A070000}"/>
    <cellStyle name="Normal 65 4 2" xfId="5604" xr:uid="{476CAD6F-4F68-4578-AE65-EF160C747C07}"/>
    <cellStyle name="Normal 65 4 2 2" xfId="8984" xr:uid="{00B0E494-2F07-45DC-8C5D-1637CF2A0F26}"/>
    <cellStyle name="Normal 65 4 3" xfId="7284" xr:uid="{5641C574-CB6D-41A9-9B58-C5F22B81FEAE}"/>
    <cellStyle name="Normal 65 4_DEO ADIT Unprotected" xfId="3741" xr:uid="{53639135-AC93-4EB8-B293-8D7DF69FC569}"/>
    <cellStyle name="Normal 65 5" xfId="4767" xr:uid="{A258D4C1-9D0A-4CF1-A63D-EE95703028BA}"/>
    <cellStyle name="Normal 65 5 2" xfId="8147" xr:uid="{B9C8F6B0-897D-4346-9907-3A0B3980A41D}"/>
    <cellStyle name="Normal 65 6" xfId="6447" xr:uid="{7D716337-CAF2-4E75-A4F1-6C005857FC0E}"/>
    <cellStyle name="Normal 65_DEO ADIT Unprotected" xfId="3734" xr:uid="{2B218A2C-3826-4C3B-954C-DF1D663EA9EF}"/>
    <cellStyle name="Normal 66" xfId="1446" xr:uid="{00000000-0005-0000-0000-00006B070000}"/>
    <cellStyle name="Normal 66 2" xfId="1447" xr:uid="{00000000-0005-0000-0000-00006C070000}"/>
    <cellStyle name="Normal 66 2 2" xfId="1448" xr:uid="{00000000-0005-0000-0000-00006D070000}"/>
    <cellStyle name="Normal 66 2 2 2" xfId="2360" xr:uid="{00000000-0005-0000-0000-00006E070000}"/>
    <cellStyle name="Normal 66 2 2 2 2" xfId="5610" xr:uid="{77786765-9526-4576-829B-49FACC897433}"/>
    <cellStyle name="Normal 66 2 2 2 2 2" xfId="8990" xr:uid="{F98001F8-ACB9-48E2-9FE5-B4C9C5200BE7}"/>
    <cellStyle name="Normal 66 2 2 2 3" xfId="7290" xr:uid="{96650B17-83E0-44DD-B427-F32E1DD51D6E}"/>
    <cellStyle name="Normal 66 2 2 2_DEO ADIT Unprotected" xfId="3745" xr:uid="{E50CF043-349D-4936-BBE7-83979577C18F}"/>
    <cellStyle name="Normal 66 2 2 3" xfId="4773" xr:uid="{15516D8F-223A-47FE-B7FB-57896DC8586C}"/>
    <cellStyle name="Normal 66 2 2 3 2" xfId="8153" xr:uid="{677D0FAB-EB91-4E8C-A82D-8E0D4A91D2C0}"/>
    <cellStyle name="Normal 66 2 2 4" xfId="6453" xr:uid="{C8E5BA3F-5542-405B-95C7-251A2029B3C1}"/>
    <cellStyle name="Normal 66 2 2_DEO ADIT Unprotected" xfId="3744" xr:uid="{F97E175E-5AE5-4F16-963D-FD9614D3B955}"/>
    <cellStyle name="Normal 66 2 3" xfId="2359" xr:uid="{00000000-0005-0000-0000-00006F070000}"/>
    <cellStyle name="Normal 66 2 3 2" xfId="5609" xr:uid="{26A9CCBD-50D7-427E-B56B-4EA5BBBDBCA4}"/>
    <cellStyle name="Normal 66 2 3 2 2" xfId="8989" xr:uid="{DC35EC9C-DDCC-448D-A355-2E8F96D8B5E6}"/>
    <cellStyle name="Normal 66 2 3 3" xfId="7289" xr:uid="{48869EDE-20E8-439D-8BDB-7D0792B6F291}"/>
    <cellStyle name="Normal 66 2 3_DEO ADIT Unprotected" xfId="3746" xr:uid="{42E40229-67C1-4167-A038-6A10C1B27DF4}"/>
    <cellStyle name="Normal 66 2 4" xfId="4772" xr:uid="{EE332FF6-4B6A-4BB6-8495-9E92D72ACE91}"/>
    <cellStyle name="Normal 66 2 4 2" xfId="8152" xr:uid="{7335D4B7-575A-4B3D-895E-23EE512C9216}"/>
    <cellStyle name="Normal 66 2 5" xfId="6452" xr:uid="{EE66CA5A-4CD4-4388-8576-93C466CAD630}"/>
    <cellStyle name="Normal 66 2_DEO ADIT Unprotected" xfId="3743" xr:uid="{2C4C54F4-783C-4338-9184-E4A9F1730E1A}"/>
    <cellStyle name="Normal 66 3" xfId="1449" xr:uid="{00000000-0005-0000-0000-000070070000}"/>
    <cellStyle name="Normal 66 3 2" xfId="2361" xr:uid="{00000000-0005-0000-0000-000071070000}"/>
    <cellStyle name="Normal 66 3 2 2" xfId="5611" xr:uid="{21CD2399-5EA2-4580-9094-BD8806509BFB}"/>
    <cellStyle name="Normal 66 3 2 2 2" xfId="8991" xr:uid="{B6A1EA64-CC39-4863-B05C-8407C35E6C47}"/>
    <cellStyle name="Normal 66 3 2 3" xfId="7291" xr:uid="{CC5FF599-8042-4B03-A9A9-C2E3B635CAA5}"/>
    <cellStyle name="Normal 66 3 2_DEO ADIT Unprotected" xfId="3748" xr:uid="{522E66AE-5569-4B85-A4D5-8862577611EB}"/>
    <cellStyle name="Normal 66 3 3" xfId="4774" xr:uid="{77D0826E-842F-42E8-BDB6-23F7F8EED941}"/>
    <cellStyle name="Normal 66 3 3 2" xfId="8154" xr:uid="{D8C00251-8D1F-4F02-8DBD-94CB515D9D2E}"/>
    <cellStyle name="Normal 66 3 4" xfId="6454" xr:uid="{29386A74-7D35-4F35-B057-9CE47D405AAF}"/>
    <cellStyle name="Normal 66 3_DEO ADIT Unprotected" xfId="3747" xr:uid="{81EE4C21-002C-4D64-91A7-E7F8666D27FA}"/>
    <cellStyle name="Normal 66 4" xfId="2358" xr:uid="{00000000-0005-0000-0000-000072070000}"/>
    <cellStyle name="Normal 66 4 2" xfId="5608" xr:uid="{7074CE24-7535-456A-ACC3-38B5BF9533AB}"/>
    <cellStyle name="Normal 66 4 2 2" xfId="8988" xr:uid="{E63ACF01-9F58-4008-9288-EA8A1BD588AE}"/>
    <cellStyle name="Normal 66 4 3" xfId="7288" xr:uid="{EAD93088-4802-495C-8CF0-BA1DBC51AC62}"/>
    <cellStyle name="Normal 66 4_DEO ADIT Unprotected" xfId="3749" xr:uid="{C06783FB-3EAE-411D-955D-2824479A6790}"/>
    <cellStyle name="Normal 66 5" xfId="4771" xr:uid="{3875ACCD-DAE9-4A88-B05E-45AC4C3E6A50}"/>
    <cellStyle name="Normal 66 5 2" xfId="8151" xr:uid="{41403C2B-5FFB-4361-B612-CF339F4C7F61}"/>
    <cellStyle name="Normal 66 6" xfId="6451" xr:uid="{68A9D67F-B3BD-4ECA-B8CA-36C506AC3E0A}"/>
    <cellStyle name="Normal 66_DEO ADIT Unprotected" xfId="3742" xr:uid="{1B22981D-8835-4D56-A180-FBC48C5AF5EF}"/>
    <cellStyle name="Normal 67" xfId="1450" xr:uid="{00000000-0005-0000-0000-000073070000}"/>
    <cellStyle name="Normal 67 2" xfId="1451" xr:uid="{00000000-0005-0000-0000-000074070000}"/>
    <cellStyle name="Normal 67 2 2" xfId="1452" xr:uid="{00000000-0005-0000-0000-000075070000}"/>
    <cellStyle name="Normal 67 2 2 2" xfId="2364" xr:uid="{00000000-0005-0000-0000-000076070000}"/>
    <cellStyle name="Normal 67 2 2 2 2" xfId="5614" xr:uid="{8A12398C-5FA1-448C-9DC4-E74A46511C54}"/>
    <cellStyle name="Normal 67 2 2 2 2 2" xfId="8994" xr:uid="{A17F7B0D-C834-4198-BE89-1FDDFD8C951C}"/>
    <cellStyle name="Normal 67 2 2 2 3" xfId="7294" xr:uid="{E31264C2-68D8-4D85-A2B4-77E081986C6F}"/>
    <cellStyle name="Normal 67 2 2 2_DEO ADIT Unprotected" xfId="3753" xr:uid="{7141F7A5-A96B-4F6B-A485-13F75EC0B391}"/>
    <cellStyle name="Normal 67 2 2 3" xfId="4777" xr:uid="{2DC0F3A0-2E53-4873-A8BC-30C4345BD96F}"/>
    <cellStyle name="Normal 67 2 2 3 2" xfId="8157" xr:uid="{828D3743-5C79-4070-969E-CEDB667F03A5}"/>
    <cellStyle name="Normal 67 2 2 4" xfId="6457" xr:uid="{B9EDC6CA-DC59-4F49-B978-5D71E91A17ED}"/>
    <cellStyle name="Normal 67 2 2_DEO ADIT Unprotected" xfId="3752" xr:uid="{16AABBB4-85B0-4CFF-AF38-330FA02D8A30}"/>
    <cellStyle name="Normal 67 2 3" xfId="2363" xr:uid="{00000000-0005-0000-0000-000077070000}"/>
    <cellStyle name="Normal 67 2 3 2" xfId="5613" xr:uid="{24703455-48C0-42B7-BFA0-74D22009432F}"/>
    <cellStyle name="Normal 67 2 3 2 2" xfId="8993" xr:uid="{6FA6C7FD-D106-4217-B2B4-82F9EE2BBF3D}"/>
    <cellStyle name="Normal 67 2 3 3" xfId="7293" xr:uid="{DDF796F1-80B4-42D7-B1DE-C6FD217BD4EB}"/>
    <cellStyle name="Normal 67 2 3_DEO ADIT Unprotected" xfId="3754" xr:uid="{60971615-EE94-4EDD-9516-4A505C9275A5}"/>
    <cellStyle name="Normal 67 2 4" xfId="4776" xr:uid="{3F47447D-10DD-40EA-9097-1480DD7DD29E}"/>
    <cellStyle name="Normal 67 2 4 2" xfId="8156" xr:uid="{9ACAED18-C06E-4952-BD99-5E297E132019}"/>
    <cellStyle name="Normal 67 2 5" xfId="6456" xr:uid="{FC401803-CEFD-4965-BA4F-A4351D015DF3}"/>
    <cellStyle name="Normal 67 2_DEO ADIT Unprotected" xfId="3751" xr:uid="{1FC9C945-2304-418F-B383-1B1E0402B5B0}"/>
    <cellStyle name="Normal 67 3" xfId="1453" xr:uid="{00000000-0005-0000-0000-000078070000}"/>
    <cellStyle name="Normal 67 3 2" xfId="2365" xr:uid="{00000000-0005-0000-0000-000079070000}"/>
    <cellStyle name="Normal 67 3 2 2" xfId="5615" xr:uid="{1B79C469-1014-4E00-96D1-4E5DD89FF67F}"/>
    <cellStyle name="Normal 67 3 2 2 2" xfId="8995" xr:uid="{4894600B-7AC4-4A2D-A63A-ADD8939F6BE8}"/>
    <cellStyle name="Normal 67 3 2 3" xfId="7295" xr:uid="{DB17546B-8CB9-4A07-B435-71A2F4E8C401}"/>
    <cellStyle name="Normal 67 3 2_DEO ADIT Unprotected" xfId="3756" xr:uid="{2CC1C810-4BFB-4EC9-9BCB-50EADCC7EDD0}"/>
    <cellStyle name="Normal 67 3 3" xfId="4778" xr:uid="{8686D471-94B1-4B2C-83C2-9FC57C98FD9A}"/>
    <cellStyle name="Normal 67 3 3 2" xfId="8158" xr:uid="{92A87837-26E3-4DF8-94E4-E5585FD30E86}"/>
    <cellStyle name="Normal 67 3 4" xfId="6458" xr:uid="{A57F80F6-6269-40E7-BEFE-57F24E7F9D35}"/>
    <cellStyle name="Normal 67 3_DEO ADIT Unprotected" xfId="3755" xr:uid="{2755F735-03C1-4C34-9BA4-19939DB3D2D8}"/>
    <cellStyle name="Normal 67 4" xfId="2362" xr:uid="{00000000-0005-0000-0000-00007A070000}"/>
    <cellStyle name="Normal 67 4 2" xfId="5612" xr:uid="{15DB9FF2-E6AD-411F-9651-B22F61422F21}"/>
    <cellStyle name="Normal 67 4 2 2" xfId="8992" xr:uid="{29867D2F-1D0B-496A-8BC7-D7EE7A283CB0}"/>
    <cellStyle name="Normal 67 4 3" xfId="7292" xr:uid="{158A2B97-3AFA-49DE-A3A1-13BC2ED926E6}"/>
    <cellStyle name="Normal 67 4_DEO ADIT Unprotected" xfId="3757" xr:uid="{8EE7247E-7A3C-4CDC-A83B-198C1840D94F}"/>
    <cellStyle name="Normal 67 5" xfId="4775" xr:uid="{246534E8-1C40-40A0-8ABD-5D5659D5C285}"/>
    <cellStyle name="Normal 67 5 2" xfId="8155" xr:uid="{26D0A19C-202F-454B-AC0E-968E8D50BC93}"/>
    <cellStyle name="Normal 67 6" xfId="6455" xr:uid="{08F22E86-D50A-4350-BD24-99310DC28C18}"/>
    <cellStyle name="Normal 67_DEO ADIT Unprotected" xfId="3750" xr:uid="{C7E1624D-D376-4950-A6BE-F47C4A5C46ED}"/>
    <cellStyle name="Normal 68" xfId="1454" xr:uid="{00000000-0005-0000-0000-00007B070000}"/>
    <cellStyle name="Normal 68 2" xfId="1455" xr:uid="{00000000-0005-0000-0000-00007C070000}"/>
    <cellStyle name="Normal 68 2 2" xfId="1456" xr:uid="{00000000-0005-0000-0000-00007D070000}"/>
    <cellStyle name="Normal 68 2 2 2" xfId="2368" xr:uid="{00000000-0005-0000-0000-00007E070000}"/>
    <cellStyle name="Normal 68 2 2 2 2" xfId="5618" xr:uid="{2D03E715-1DF8-4288-9B9F-75A7F033786D}"/>
    <cellStyle name="Normal 68 2 2 2 2 2" xfId="8998" xr:uid="{48A5315A-F224-4E0E-B92A-F66E8AE71DBE}"/>
    <cellStyle name="Normal 68 2 2 2 3" xfId="7298" xr:uid="{DAFC7F00-C0E3-46AC-A8D9-58EBA7B6D219}"/>
    <cellStyle name="Normal 68 2 2 2_DEO ADIT Unprotected" xfId="3761" xr:uid="{17F953CB-8EF2-4130-810C-671EC92F54A9}"/>
    <cellStyle name="Normal 68 2 2 3" xfId="4781" xr:uid="{3E11C655-EA4A-4246-A803-8A6939FD9972}"/>
    <cellStyle name="Normal 68 2 2 3 2" xfId="8161" xr:uid="{34C065EB-0241-4870-B557-C5DCB92C2AB2}"/>
    <cellStyle name="Normal 68 2 2 4" xfId="6461" xr:uid="{6FE530A3-22B9-43FD-A130-D2F8F35E610B}"/>
    <cellStyle name="Normal 68 2 2_DEO ADIT Unprotected" xfId="3760" xr:uid="{1186FEA9-BE23-4CDC-9D04-095054238EB7}"/>
    <cellStyle name="Normal 68 2 3" xfId="2367" xr:uid="{00000000-0005-0000-0000-00007F070000}"/>
    <cellStyle name="Normal 68 2 3 2" xfId="5617" xr:uid="{D0DD879D-8B24-40CC-9B15-30E07D573FD9}"/>
    <cellStyle name="Normal 68 2 3 2 2" xfId="8997" xr:uid="{E595434E-E52D-4226-BDBC-B5504BBF16A0}"/>
    <cellStyle name="Normal 68 2 3 3" xfId="7297" xr:uid="{F09E9C31-D930-4978-83FA-9A4A41CE4D05}"/>
    <cellStyle name="Normal 68 2 3_DEO ADIT Unprotected" xfId="3762" xr:uid="{99E602AE-4D15-4927-8C88-2DF57769E5DD}"/>
    <cellStyle name="Normal 68 2 4" xfId="4780" xr:uid="{2D380482-2B7E-461A-887F-9D1E22C6A707}"/>
    <cellStyle name="Normal 68 2 4 2" xfId="8160" xr:uid="{3E590316-E3CB-4CD7-8860-D0256130B5AE}"/>
    <cellStyle name="Normal 68 2 5" xfId="6460" xr:uid="{08631AB4-7363-4E77-B655-26667ECB9B29}"/>
    <cellStyle name="Normal 68 2_DEO ADIT Unprotected" xfId="3759" xr:uid="{29840B15-1686-450D-A309-E626A84D0C88}"/>
    <cellStyle name="Normal 68 3" xfId="1457" xr:uid="{00000000-0005-0000-0000-000080070000}"/>
    <cellStyle name="Normal 68 3 2" xfId="2369" xr:uid="{00000000-0005-0000-0000-000081070000}"/>
    <cellStyle name="Normal 68 3 2 2" xfId="5619" xr:uid="{850B90D1-744B-4E31-BF55-99AC23665BE9}"/>
    <cellStyle name="Normal 68 3 2 2 2" xfId="8999" xr:uid="{FE3060DD-A675-4EE4-8882-9EC2E6931DDC}"/>
    <cellStyle name="Normal 68 3 2 3" xfId="7299" xr:uid="{1D88D4DB-C7F0-4FC6-A911-DEAF8A9E91CD}"/>
    <cellStyle name="Normal 68 3 2_DEO ADIT Unprotected" xfId="3764" xr:uid="{FD5858D6-BEBE-4A91-A5B6-F8C02C2DE711}"/>
    <cellStyle name="Normal 68 3 3" xfId="4782" xr:uid="{225FA37E-CAFB-42B5-B86A-6A320289E0BB}"/>
    <cellStyle name="Normal 68 3 3 2" xfId="8162" xr:uid="{9245E9F8-CF24-4417-95B1-0EBBC9A8F7E4}"/>
    <cellStyle name="Normal 68 3 4" xfId="6462" xr:uid="{3C8711C1-21AA-41BA-B568-410390CC7EE7}"/>
    <cellStyle name="Normal 68 3_DEO ADIT Unprotected" xfId="3763" xr:uid="{08A7F0BB-7315-4226-B653-7FC4A653AAEF}"/>
    <cellStyle name="Normal 68 4" xfId="2366" xr:uid="{00000000-0005-0000-0000-000082070000}"/>
    <cellStyle name="Normal 68 4 2" xfId="5616" xr:uid="{8227D3CD-8196-412A-9278-3EC00FFD9721}"/>
    <cellStyle name="Normal 68 4 2 2" xfId="8996" xr:uid="{06CC7DAC-AFB4-4B73-A918-DCBFFB589F26}"/>
    <cellStyle name="Normal 68 4 3" xfId="7296" xr:uid="{C64110DA-1BD4-4A00-8C83-2698E297B9F4}"/>
    <cellStyle name="Normal 68 4_DEO ADIT Unprotected" xfId="3765" xr:uid="{E5EEE349-3AE0-40E6-859C-D198E5FEC670}"/>
    <cellStyle name="Normal 68 5" xfId="4779" xr:uid="{38DB6996-1FB9-4C2D-8BED-B58C16A3F6E0}"/>
    <cellStyle name="Normal 68 5 2" xfId="8159" xr:uid="{94ABCC79-2CED-4B55-89A0-54E7AF4ABE05}"/>
    <cellStyle name="Normal 68 6" xfId="6459" xr:uid="{C77907C1-41C6-4128-98C4-293585101D9B}"/>
    <cellStyle name="Normal 68_DEO ADIT Unprotected" xfId="3758" xr:uid="{631849E7-D73E-4FC5-81B5-5D9FD93B1338}"/>
    <cellStyle name="Normal 69" xfId="1458" xr:uid="{00000000-0005-0000-0000-000083070000}"/>
    <cellStyle name="Normal 69 2" xfId="1459" xr:uid="{00000000-0005-0000-0000-000084070000}"/>
    <cellStyle name="Normal 69 2 2" xfId="2371" xr:uid="{00000000-0005-0000-0000-000085070000}"/>
    <cellStyle name="Normal 69 2 2 2" xfId="5621" xr:uid="{EA9F70CA-7CD2-4842-8B6F-DB709A6C511E}"/>
    <cellStyle name="Normal 69 2 2 2 2" xfId="9001" xr:uid="{79E48729-CD1C-45AA-99BB-A85FE2E69E0A}"/>
    <cellStyle name="Normal 69 2 2 3" xfId="7301" xr:uid="{317C3D8A-B10C-471E-9A15-9F0F78B129BE}"/>
    <cellStyle name="Normal 69 2 2_DEO ADIT Unprotected" xfId="3768" xr:uid="{D9A17391-0773-484F-BB5C-E41E3A181C53}"/>
    <cellStyle name="Normal 69 2 3" xfId="4784" xr:uid="{39BE9641-623F-4927-A574-7F97DCD23F43}"/>
    <cellStyle name="Normal 69 2 3 2" xfId="8164" xr:uid="{4A1C3D69-D169-4B22-B47E-851B69AA8C59}"/>
    <cellStyle name="Normal 69 2 4" xfId="6464" xr:uid="{9080CD5D-9A83-4A45-B6F5-17F8761285D2}"/>
    <cellStyle name="Normal 69 2_DEO ADIT Unprotected" xfId="3767" xr:uid="{51D04A98-088A-4845-BC7B-FFF1B998CAE0}"/>
    <cellStyle name="Normal 69 3" xfId="2370" xr:uid="{00000000-0005-0000-0000-000086070000}"/>
    <cellStyle name="Normal 69 3 2" xfId="5620" xr:uid="{AA215BEF-1603-444C-914D-80A7AC5FBAE7}"/>
    <cellStyle name="Normal 69 3 2 2" xfId="9000" xr:uid="{62582273-92F8-4804-A2D3-0B316135C460}"/>
    <cellStyle name="Normal 69 3 3" xfId="7300" xr:uid="{52D3AEBF-8047-4ABB-9BAD-67D5EB59385F}"/>
    <cellStyle name="Normal 69 3_DEO ADIT Unprotected" xfId="3769" xr:uid="{8E69F836-356E-4343-B97D-0C2074755D1C}"/>
    <cellStyle name="Normal 69 4" xfId="4783" xr:uid="{CF5B075D-125F-4255-B6B4-FD0925415845}"/>
    <cellStyle name="Normal 69 4 2" xfId="8163" xr:uid="{BE19FF4B-9C62-46E7-B39D-58D041D102D0}"/>
    <cellStyle name="Normal 69 5" xfId="6463" xr:uid="{D5E404F9-C5D7-4A47-A56F-4355DBCDA336}"/>
    <cellStyle name="Normal 69_DEO ADIT Unprotected" xfId="3766" xr:uid="{A388A6B8-7670-47A6-BD59-9B96B417A3B9}"/>
    <cellStyle name="Normal 7" xfId="326" xr:uid="{00000000-0005-0000-0000-000087070000}"/>
    <cellStyle name="Normal 7 2" xfId="338" xr:uid="{00000000-0005-0000-0000-000088070000}"/>
    <cellStyle name="Normal 7 2 2" xfId="1460" xr:uid="{00000000-0005-0000-0000-000089070000}"/>
    <cellStyle name="Normal 7 2 2 2" xfId="1461" xr:uid="{00000000-0005-0000-0000-00008A070000}"/>
    <cellStyle name="Normal 7 2 2 2 2" xfId="2373" xr:uid="{00000000-0005-0000-0000-00008B070000}"/>
    <cellStyle name="Normal 7 2 2 2 2 2" xfId="5623" xr:uid="{7795B174-D256-45E8-B241-A335B82AA212}"/>
    <cellStyle name="Normal 7 2 2 2 2 2 2" xfId="9003" xr:uid="{7E7D7F4E-5639-47B8-B0D4-F32346F8BA0E}"/>
    <cellStyle name="Normal 7 2 2 2 2 3" xfId="7303" xr:uid="{B2D4F64B-D4CC-4971-9383-47DCE790B13A}"/>
    <cellStyle name="Normal 7 2 2 2 2_DEO ADIT Unprotected" xfId="3774" xr:uid="{60116654-D386-438A-A2EF-F24BCC081039}"/>
    <cellStyle name="Normal 7 2 2 2 3" xfId="4786" xr:uid="{32D701B0-5D69-472C-8868-7ACD33135DFD}"/>
    <cellStyle name="Normal 7 2 2 2 3 2" xfId="8166" xr:uid="{6191B989-1EE2-4BA5-AB7E-D59BFB3DF705}"/>
    <cellStyle name="Normal 7 2 2 2 4" xfId="6466" xr:uid="{58BC6DD7-5BA9-4934-A637-038841C51460}"/>
    <cellStyle name="Normal 7 2 2 2_DEO ADIT Unprotected" xfId="3773" xr:uid="{3A6B5E3E-27C6-4031-B7A5-17922DDE9836}"/>
    <cellStyle name="Normal 7 2 2 3" xfId="2372" xr:uid="{00000000-0005-0000-0000-00008C070000}"/>
    <cellStyle name="Normal 7 2 2 3 2" xfId="5622" xr:uid="{7D86FF70-14FE-4127-B571-B898F763E6ED}"/>
    <cellStyle name="Normal 7 2 2 3 2 2" xfId="9002" xr:uid="{736C8C13-3D31-42FA-88CB-962731CCE651}"/>
    <cellStyle name="Normal 7 2 2 3 3" xfId="7302" xr:uid="{5032D73A-B059-452C-9C8A-73B0ED0D008C}"/>
    <cellStyle name="Normal 7 2 2 3_DEO ADIT Unprotected" xfId="3775" xr:uid="{4A45F7CB-0257-400E-A160-129BC37CA685}"/>
    <cellStyle name="Normal 7 2 2 4" xfId="4785" xr:uid="{3B1BE518-1BA7-4255-8FE4-8D3023173382}"/>
    <cellStyle name="Normal 7 2 2 4 2" xfId="8165" xr:uid="{0D5454E4-E76E-4C05-809A-5D3B1FA4C91D}"/>
    <cellStyle name="Normal 7 2 2 5" xfId="6465" xr:uid="{C3AB07EC-DA33-49FC-80E9-6F701EA530D6}"/>
    <cellStyle name="Normal 7 2 2_DEO ADIT Unprotected" xfId="3772" xr:uid="{D4D95265-1648-4648-96F5-535EEE85ED3A}"/>
    <cellStyle name="Normal 7 2 3" xfId="1462" xr:uid="{00000000-0005-0000-0000-00008D070000}"/>
    <cellStyle name="Normal 7 2 3 2" xfId="2374" xr:uid="{00000000-0005-0000-0000-00008E070000}"/>
    <cellStyle name="Normal 7 2 3 2 2" xfId="5624" xr:uid="{DFAAE01C-50A8-4D65-ABF4-921296295180}"/>
    <cellStyle name="Normal 7 2 3 2 2 2" xfId="9004" xr:uid="{A1CF2439-812F-40AD-8794-E4230161F438}"/>
    <cellStyle name="Normal 7 2 3 2 3" xfId="7304" xr:uid="{F8975F1C-A23A-47D2-AD09-64DDF9694944}"/>
    <cellStyle name="Normal 7 2 3 2_DEO ADIT Unprotected" xfId="3777" xr:uid="{1F91A459-A6D0-4B7F-A246-235B42883591}"/>
    <cellStyle name="Normal 7 2 3 3" xfId="4787" xr:uid="{A8DA6AC9-6950-48E0-8B40-C59C507DDAC6}"/>
    <cellStyle name="Normal 7 2 3 3 2" xfId="8167" xr:uid="{12D12E47-E10E-4745-8764-B5663DC68A49}"/>
    <cellStyle name="Normal 7 2 3 4" xfId="6467" xr:uid="{F317297E-E70F-4386-A156-88C32F83AA20}"/>
    <cellStyle name="Normal 7 2 3_DEO ADIT Unprotected" xfId="3776" xr:uid="{D764EF1C-CCE8-4FD2-BBD2-B60082A1800F}"/>
    <cellStyle name="Normal 7 2_DEO ADIT Unprotected" xfId="3771" xr:uid="{FCA05436-CE94-4C2E-98B6-25A4481ACD08}"/>
    <cellStyle name="Normal 7 3" xfId="1463" xr:uid="{00000000-0005-0000-0000-00008F070000}"/>
    <cellStyle name="Normal 7 3 2" xfId="1464" xr:uid="{00000000-0005-0000-0000-000090070000}"/>
    <cellStyle name="Normal 7 3 2 2" xfId="2376" xr:uid="{00000000-0005-0000-0000-000091070000}"/>
    <cellStyle name="Normal 7 3 2 2 2" xfId="5626" xr:uid="{C66EFCFF-C4CE-4E62-B0F1-21758361AFDA}"/>
    <cellStyle name="Normal 7 3 2 2 2 2" xfId="9006" xr:uid="{088E92B5-01C1-4352-B799-D5B9C2EDC462}"/>
    <cellStyle name="Normal 7 3 2 2 3" xfId="7306" xr:uid="{12B6E73D-3B78-4B38-B411-135CE0ACD9F4}"/>
    <cellStyle name="Normal 7 3 2 2_DEO ADIT Unprotected" xfId="3780" xr:uid="{179CFBC7-80AD-438B-86DD-C898293F36C8}"/>
    <cellStyle name="Normal 7 3 2 3" xfId="4789" xr:uid="{7E98324A-F5ED-4831-A03E-40356CBF8550}"/>
    <cellStyle name="Normal 7 3 2 3 2" xfId="8169" xr:uid="{0D7713E3-2261-42EF-BFAF-690FEDB64333}"/>
    <cellStyle name="Normal 7 3 2 4" xfId="6469" xr:uid="{D2366EBB-B052-487A-B379-E32548399B1F}"/>
    <cellStyle name="Normal 7 3 2_DEO ADIT Unprotected" xfId="3779" xr:uid="{BB840593-B1E2-4DC1-82D6-E8C3ECBC3DD0}"/>
    <cellStyle name="Normal 7 3 3" xfId="2375" xr:uid="{00000000-0005-0000-0000-000092070000}"/>
    <cellStyle name="Normal 7 3 3 2" xfId="5625" xr:uid="{1663D7A9-D29E-4CA7-829B-C861E4691E08}"/>
    <cellStyle name="Normal 7 3 3 2 2" xfId="9005" xr:uid="{54E3B0B4-1442-464B-9AD2-A39E299A7B0A}"/>
    <cellStyle name="Normal 7 3 3 3" xfId="7305" xr:uid="{C1C052EB-AADA-49F1-BAFD-D140B19288D3}"/>
    <cellStyle name="Normal 7 3 3_DEO ADIT Unprotected" xfId="3781" xr:uid="{2B487BA9-461E-4A1F-8A3B-1C33F0AB08BE}"/>
    <cellStyle name="Normal 7 3 4" xfId="4788" xr:uid="{49C4F1F6-565F-432F-8DF0-25B677C0ABAB}"/>
    <cellStyle name="Normal 7 3 4 2" xfId="8168" xr:uid="{827D63B5-0876-4591-814E-1E56742C2D2A}"/>
    <cellStyle name="Normal 7 3 5" xfId="6468" xr:uid="{E0A91274-1F90-4151-9CA9-9F4D36502242}"/>
    <cellStyle name="Normal 7 3_DEO ADIT Unprotected" xfId="3778" xr:uid="{437668A1-4E77-4AE1-8BB6-09B3921329BA}"/>
    <cellStyle name="Normal 7 4" xfId="1465" xr:uid="{00000000-0005-0000-0000-000093070000}"/>
    <cellStyle name="Normal 7 4 2" xfId="1466" xr:uid="{00000000-0005-0000-0000-000094070000}"/>
    <cellStyle name="Normal 7 4 2 2" xfId="2378" xr:uid="{00000000-0005-0000-0000-000095070000}"/>
    <cellStyle name="Normal 7 4 2 2 2" xfId="5628" xr:uid="{F8247899-DA4A-4A1B-9D32-FD4E5455FFB0}"/>
    <cellStyle name="Normal 7 4 2 2 2 2" xfId="9008" xr:uid="{FF2D55BB-EB27-46A9-B536-64FDA1393AB0}"/>
    <cellStyle name="Normal 7 4 2 2 3" xfId="7308" xr:uid="{F6225F27-0169-47A4-9F85-2DDC21B35172}"/>
    <cellStyle name="Normal 7 4 2 2_DEO ADIT Unprotected" xfId="3784" xr:uid="{A18C473C-2898-4967-8C8E-44493B391B99}"/>
    <cellStyle name="Normal 7 4 2 3" xfId="4791" xr:uid="{36044580-79DB-4C7C-A966-E75A2C419F1E}"/>
    <cellStyle name="Normal 7 4 2 3 2" xfId="8171" xr:uid="{7ABC6FAA-B2A0-47CA-A19C-B9CF17CCC69B}"/>
    <cellStyle name="Normal 7 4 2 4" xfId="6471" xr:uid="{99FF0F6E-03CF-42E0-BBEA-28EB9B70EF59}"/>
    <cellStyle name="Normal 7 4 2_DEO ADIT Unprotected" xfId="3783" xr:uid="{E38E4983-EB59-4591-B280-6ED6459D1051}"/>
    <cellStyle name="Normal 7 4 3" xfId="2377" xr:uid="{00000000-0005-0000-0000-000096070000}"/>
    <cellStyle name="Normal 7 4 3 2" xfId="5627" xr:uid="{AEE76ACD-B272-4772-96F6-0340BCF1FF46}"/>
    <cellStyle name="Normal 7 4 3 2 2" xfId="9007" xr:uid="{EB87AA11-BD54-4D34-B6BF-289BD6B34F40}"/>
    <cellStyle name="Normal 7 4 3 3" xfId="7307" xr:uid="{2D235F75-ACB3-4D42-A51B-A55F6FD0DF63}"/>
    <cellStyle name="Normal 7 4 3_DEO ADIT Unprotected" xfId="3785" xr:uid="{E0C2985C-B221-4B0A-B78E-AA8F4652BF33}"/>
    <cellStyle name="Normal 7 4 4" xfId="4790" xr:uid="{9E2DF3FE-1435-49E4-9F73-DD7AF431B958}"/>
    <cellStyle name="Normal 7 4 4 2" xfId="8170" xr:uid="{A131CC1A-39E4-4112-8349-829BB4AACFEF}"/>
    <cellStyle name="Normal 7 4 5" xfId="6470" xr:uid="{6EB1E1C2-88A0-4847-9027-5A26AF30F2D7}"/>
    <cellStyle name="Normal 7 4_DEO ADIT Unprotected" xfId="3782" xr:uid="{74D8E6EA-B86F-4FAC-8723-EF1D3533A24C}"/>
    <cellStyle name="Normal 7_DEO ADIT Unprotected" xfId="3770" xr:uid="{8F20830F-3E9F-4F02-BE28-12CDDD21D771}"/>
    <cellStyle name="Normal 70" xfId="1467" xr:uid="{00000000-0005-0000-0000-000097070000}"/>
    <cellStyle name="Normal 71" xfId="1468" xr:uid="{00000000-0005-0000-0000-000098070000}"/>
    <cellStyle name="Normal 71 2" xfId="1469" xr:uid="{00000000-0005-0000-0000-000099070000}"/>
    <cellStyle name="Normal 71 2 2" xfId="2380" xr:uid="{00000000-0005-0000-0000-00009A070000}"/>
    <cellStyle name="Normal 71 2 2 2" xfId="5630" xr:uid="{37572A9B-9F67-476D-8481-911123CEEDE4}"/>
    <cellStyle name="Normal 71 2 2 2 2" xfId="9010" xr:uid="{02E5AE4D-A19F-45B9-BF5B-56E5B4D1F935}"/>
    <cellStyle name="Normal 71 2 2 3" xfId="7310" xr:uid="{3604E86D-19A2-41D3-8255-BE6AE6D93420}"/>
    <cellStyle name="Normal 71 2 2_DEO ADIT Unprotected" xfId="3788" xr:uid="{849C8E5E-F5AF-4403-80B5-D004F38EA2A2}"/>
    <cellStyle name="Normal 71 2 3" xfId="4793" xr:uid="{C4D62490-2ED9-4977-B1E6-54777C411952}"/>
    <cellStyle name="Normal 71 2 3 2" xfId="8173" xr:uid="{8AB5563C-B263-4529-8E58-1A197BD8AC4B}"/>
    <cellStyle name="Normal 71 2 4" xfId="6473" xr:uid="{22CB6554-F5E0-48F5-B780-7CD845D52292}"/>
    <cellStyle name="Normal 71 2_DEO ADIT Unprotected" xfId="3787" xr:uid="{758B05C3-498B-43BA-8EFC-EFAF7FDFEEC7}"/>
    <cellStyle name="Normal 71 3" xfId="2379" xr:uid="{00000000-0005-0000-0000-00009B070000}"/>
    <cellStyle name="Normal 71 3 2" xfId="5629" xr:uid="{2E9D4330-A828-423F-BDBD-0596C2B23DE7}"/>
    <cellStyle name="Normal 71 3 2 2" xfId="9009" xr:uid="{7E280D1F-EF4F-4210-B986-3A4DE505F1EE}"/>
    <cellStyle name="Normal 71 3 3" xfId="7309" xr:uid="{49CF375E-360D-4B8F-A736-AFFAC2D360F5}"/>
    <cellStyle name="Normal 71 3_DEO ADIT Unprotected" xfId="3789" xr:uid="{5E937CBE-0FC9-417F-9F36-CCC13B550C8A}"/>
    <cellStyle name="Normal 71 4" xfId="4792" xr:uid="{C8076627-CD11-4340-AB4B-089C0708905C}"/>
    <cellStyle name="Normal 71 4 2" xfId="8172" xr:uid="{E5AD013B-ABD9-40B4-934A-FD26F94BEB6B}"/>
    <cellStyle name="Normal 71 5" xfId="6472" xr:uid="{5C00EBEC-FDD3-4779-A507-3571750E3571}"/>
    <cellStyle name="Normal 71_DEO ADIT Unprotected" xfId="3786" xr:uid="{03D9D111-5103-47C4-BA01-3B3580B3F1BA}"/>
    <cellStyle name="Normal 72" xfId="1470" xr:uid="{00000000-0005-0000-0000-00009C070000}"/>
    <cellStyle name="Normal 73" xfId="1471" xr:uid="{00000000-0005-0000-0000-00009D070000}"/>
    <cellStyle name="Normal 73 2" xfId="1472" xr:uid="{00000000-0005-0000-0000-00009E070000}"/>
    <cellStyle name="Normal 73 2 2" xfId="2382" xr:uid="{00000000-0005-0000-0000-00009F070000}"/>
    <cellStyle name="Normal 73 2 2 2" xfId="5632" xr:uid="{36703CD4-E10A-4DFD-BE1A-83DE22833342}"/>
    <cellStyle name="Normal 73 2 2 2 2" xfId="9012" xr:uid="{AE28CDCF-2EC2-40F6-83A8-2B2D240F7A70}"/>
    <cellStyle name="Normal 73 2 2 3" xfId="7312" xr:uid="{2F0A6C08-D5FA-4C7B-9269-F959D32DB0FE}"/>
    <cellStyle name="Normal 73 2 2_DEO ADIT Unprotected" xfId="3792" xr:uid="{CC5D8A54-F5CC-4B39-BBC2-A2E489A0B59D}"/>
    <cellStyle name="Normal 73 2 3" xfId="4795" xr:uid="{A4C953F7-B27A-44CD-A5B1-7E3B5FED7B42}"/>
    <cellStyle name="Normal 73 2 3 2" xfId="8175" xr:uid="{E03857FA-BD46-4B22-BC65-2C1919D7A75A}"/>
    <cellStyle name="Normal 73 2 4" xfId="6475" xr:uid="{6ED0DBB8-AB65-4CF7-BCE6-977227C30D78}"/>
    <cellStyle name="Normal 73 2_DEO ADIT Unprotected" xfId="3791" xr:uid="{B7EF22D7-A1B6-478E-AE53-7D305889D001}"/>
    <cellStyle name="Normal 73 3" xfId="2381" xr:uid="{00000000-0005-0000-0000-0000A0070000}"/>
    <cellStyle name="Normal 73 3 2" xfId="5631" xr:uid="{6F47F292-921F-45E0-A708-5594FA4606B7}"/>
    <cellStyle name="Normal 73 3 2 2" xfId="9011" xr:uid="{38F34005-2510-41EB-B3C0-F9F1397DA913}"/>
    <cellStyle name="Normal 73 3 3" xfId="7311" xr:uid="{6A4186E8-7C92-4601-9A9B-9EB48F2FFC43}"/>
    <cellStyle name="Normal 73 3_DEO ADIT Unprotected" xfId="3793" xr:uid="{6926292A-3831-4D89-9996-745CF1D331C2}"/>
    <cellStyle name="Normal 73 4" xfId="4794" xr:uid="{04FDD95F-6DF2-4652-88DC-AFA2049C978B}"/>
    <cellStyle name="Normal 73 4 2" xfId="8174" xr:uid="{A723C869-F3E3-4CA6-A676-998B101CDC23}"/>
    <cellStyle name="Normal 73 5" xfId="6474" xr:uid="{3ADEE56F-8160-4ED5-9908-F882F42AF37B}"/>
    <cellStyle name="Normal 73_DEO ADIT Unprotected" xfId="3790" xr:uid="{ABEDE850-3240-49FD-84A1-39A8BE83CC11}"/>
    <cellStyle name="Normal 74" xfId="1473" xr:uid="{00000000-0005-0000-0000-0000A1070000}"/>
    <cellStyle name="Normal 75" xfId="1474" xr:uid="{00000000-0005-0000-0000-0000A2070000}"/>
    <cellStyle name="Normal 76" xfId="1475" xr:uid="{00000000-0005-0000-0000-0000A3070000}"/>
    <cellStyle name="Normal 76 2" xfId="1476" xr:uid="{00000000-0005-0000-0000-0000A4070000}"/>
    <cellStyle name="Normal 76 2 2" xfId="2384" xr:uid="{00000000-0005-0000-0000-0000A5070000}"/>
    <cellStyle name="Normal 76 2 2 2" xfId="5634" xr:uid="{D69FD0FE-73CF-459F-9B83-EA642AC15F9C}"/>
    <cellStyle name="Normal 76 2 2 2 2" xfId="9014" xr:uid="{4662B119-7BC0-4CF4-9F28-0DD29D7E952F}"/>
    <cellStyle name="Normal 76 2 2 3" xfId="7314" xr:uid="{636F9451-B9A5-4CA9-9987-AB7FF727536C}"/>
    <cellStyle name="Normal 76 2 2_DEO ADIT Unprotected" xfId="3796" xr:uid="{FF79ED7A-17F0-44B4-A7A5-DA650B3F4652}"/>
    <cellStyle name="Normal 76 2 3" xfId="4797" xr:uid="{15AC957D-AC57-4206-8D98-3B55EF0A4FFD}"/>
    <cellStyle name="Normal 76 2 3 2" xfId="8177" xr:uid="{FD3715CD-518D-4520-AB2A-EB777B158BEF}"/>
    <cellStyle name="Normal 76 2 4" xfId="6477" xr:uid="{288633EA-B81A-4524-9FCA-7DF93C063EAD}"/>
    <cellStyle name="Normal 76 2_DEO ADIT Unprotected" xfId="3795" xr:uid="{B6F817E7-751F-43C2-89D5-553BF6121DAB}"/>
    <cellStyle name="Normal 76 3" xfId="2383" xr:uid="{00000000-0005-0000-0000-0000A6070000}"/>
    <cellStyle name="Normal 76 3 2" xfId="5633" xr:uid="{D32F441C-8A2B-44B1-9E6F-87064038F713}"/>
    <cellStyle name="Normal 76 3 2 2" xfId="9013" xr:uid="{8E8BA9CC-5B2A-4208-BA00-1FABC13CDB7F}"/>
    <cellStyle name="Normal 76 3 3" xfId="7313" xr:uid="{71ACBA6C-061F-444C-9F5C-C5F4040E64AF}"/>
    <cellStyle name="Normal 76 3_DEO ADIT Unprotected" xfId="3797" xr:uid="{8BE36A91-F044-4B09-ADB5-D92E0BF2A026}"/>
    <cellStyle name="Normal 76 4" xfId="4796" xr:uid="{019CA88B-ED87-4E3A-A520-62CA27F3F5F1}"/>
    <cellStyle name="Normal 76 4 2" xfId="8176" xr:uid="{0EBEB63B-1491-45B7-BFBF-FBC004B4BFE6}"/>
    <cellStyle name="Normal 76 5" xfId="6476" xr:uid="{E0E2D4FB-DF88-46F3-B120-AF276CAF0EE8}"/>
    <cellStyle name="Normal 76_DEO ADIT Unprotected" xfId="3794" xr:uid="{20C19EF8-9F48-4903-B598-172D02232F51}"/>
    <cellStyle name="Normal 77" xfId="1477" xr:uid="{00000000-0005-0000-0000-0000A7070000}"/>
    <cellStyle name="Normal 77 2" xfId="1478" xr:uid="{00000000-0005-0000-0000-0000A8070000}"/>
    <cellStyle name="Normal 77 2 2" xfId="2386" xr:uid="{00000000-0005-0000-0000-0000A9070000}"/>
    <cellStyle name="Normal 77 2 2 2" xfId="5636" xr:uid="{85C9B59A-8675-43BB-8343-D01DA18E92AB}"/>
    <cellStyle name="Normal 77 2 2 2 2" xfId="9016" xr:uid="{56AA70D7-8533-4916-B385-B100DF1D43CA}"/>
    <cellStyle name="Normal 77 2 2 3" xfId="7316" xr:uid="{D9FDE497-8BF2-4D25-9242-A508DEFABEC6}"/>
    <cellStyle name="Normal 77 2 2_DEO ADIT Unprotected" xfId="3800" xr:uid="{27A50C99-A9C8-4773-BBDE-D3F9A49261C4}"/>
    <cellStyle name="Normal 77 2 3" xfId="4799" xr:uid="{C5F361EE-F568-451A-B857-842CB07CDA0F}"/>
    <cellStyle name="Normal 77 2 3 2" xfId="8179" xr:uid="{1B08D8A7-1074-4551-8368-2E872A9B5937}"/>
    <cellStyle name="Normal 77 2 4" xfId="6479" xr:uid="{6A13A8DD-401B-48BF-8C3D-A33F0BE4C61C}"/>
    <cellStyle name="Normal 77 2_DEO ADIT Unprotected" xfId="3799" xr:uid="{728E10AE-057F-44F1-81A2-2B785E6A9372}"/>
    <cellStyle name="Normal 77 3" xfId="2385" xr:uid="{00000000-0005-0000-0000-0000AA070000}"/>
    <cellStyle name="Normal 77 3 2" xfId="5635" xr:uid="{AF69D96A-738B-4E97-A9AB-BC2C25F5B37C}"/>
    <cellStyle name="Normal 77 3 2 2" xfId="9015" xr:uid="{750F90B2-90FC-4EDA-84FB-A5D0A52768C0}"/>
    <cellStyle name="Normal 77 3 3" xfId="7315" xr:uid="{F2E0CF64-BA80-4277-BB95-15DFA068A2E3}"/>
    <cellStyle name="Normal 77 3_DEO ADIT Unprotected" xfId="3801" xr:uid="{1037541D-757F-45A8-BDD2-0374EFF4163C}"/>
    <cellStyle name="Normal 77 4" xfId="4798" xr:uid="{F1912835-0F92-4166-81E3-CF51BA0B77B2}"/>
    <cellStyle name="Normal 77 4 2" xfId="8178" xr:uid="{054A9E64-1903-4924-9878-19A5BBC77B9C}"/>
    <cellStyle name="Normal 77 5" xfId="6478" xr:uid="{0011662A-9A43-45CE-B875-C19B20AB5145}"/>
    <cellStyle name="Normal 77_DEO ADIT Unprotected" xfId="3798" xr:uid="{DF6EBB58-5FFA-477B-926D-1C5B9BAFB42A}"/>
    <cellStyle name="Normal 78" xfId="1479" xr:uid="{00000000-0005-0000-0000-0000AB070000}"/>
    <cellStyle name="Normal 78 2" xfId="1480" xr:uid="{00000000-0005-0000-0000-0000AC070000}"/>
    <cellStyle name="Normal 78 2 2" xfId="2388" xr:uid="{00000000-0005-0000-0000-0000AD070000}"/>
    <cellStyle name="Normal 78 2 2 2" xfId="5638" xr:uid="{F1579352-B021-4109-939B-7D7552BB4761}"/>
    <cellStyle name="Normal 78 2 2 2 2" xfId="9018" xr:uid="{2E69A77D-0BD8-4E18-AEED-59302D1E8E69}"/>
    <cellStyle name="Normal 78 2 2 3" xfId="7318" xr:uid="{75417740-3649-49DB-92DD-5F20BFC2ECC0}"/>
    <cellStyle name="Normal 78 2 2_DEO ADIT Unprotected" xfId="3804" xr:uid="{80681DC1-5C25-4A6E-B460-DA3A19875878}"/>
    <cellStyle name="Normal 78 2 3" xfId="4801" xr:uid="{9C0DD456-7FA1-4399-B812-A48A0F8A3CA6}"/>
    <cellStyle name="Normal 78 2 3 2" xfId="8181" xr:uid="{52F8AD4B-C395-4A28-83BC-4ADAFA9E612D}"/>
    <cellStyle name="Normal 78 2 4" xfId="6481" xr:uid="{E3849BFA-056E-44D2-9CB4-FF2EEDDEB9D6}"/>
    <cellStyle name="Normal 78 2_DEO ADIT Unprotected" xfId="3803" xr:uid="{0100BAF0-38F5-4D8D-803B-3AEB4EDD93BF}"/>
    <cellStyle name="Normal 78 3" xfId="2387" xr:uid="{00000000-0005-0000-0000-0000AE070000}"/>
    <cellStyle name="Normal 78 3 2" xfId="5637" xr:uid="{A7C55947-5CC8-44B2-9C70-B4F3C48F4C84}"/>
    <cellStyle name="Normal 78 3 2 2" xfId="9017" xr:uid="{1D981125-7EFB-4989-8101-27910A656077}"/>
    <cellStyle name="Normal 78 3 3" xfId="7317" xr:uid="{866C81C7-F060-43DD-BEDC-2BF94E91FACF}"/>
    <cellStyle name="Normal 78 3_DEO ADIT Unprotected" xfId="3805" xr:uid="{EA840BCE-11D7-42AE-B942-1F62C2B4FAFC}"/>
    <cellStyle name="Normal 78 4" xfId="4800" xr:uid="{EE4B0258-BDA3-4E4A-9E31-A455F27F1BA0}"/>
    <cellStyle name="Normal 78 4 2" xfId="8180" xr:uid="{46853FD7-E567-475D-9E35-EA2E92AB0423}"/>
    <cellStyle name="Normal 78 5" xfId="6480" xr:uid="{6B0477E5-AA37-4CF7-9862-E0322F2D4C1C}"/>
    <cellStyle name="Normal 78_DEO ADIT Unprotected" xfId="3802" xr:uid="{D238473A-41D4-4518-A077-38B5DDF149D5}"/>
    <cellStyle name="Normal 79" xfId="1481" xr:uid="{00000000-0005-0000-0000-0000AF070000}"/>
    <cellStyle name="Normal 79 2" xfId="1482" xr:uid="{00000000-0005-0000-0000-0000B0070000}"/>
    <cellStyle name="Normal 79 2 2" xfId="2390" xr:uid="{00000000-0005-0000-0000-0000B1070000}"/>
    <cellStyle name="Normal 79 2 2 2" xfId="5640" xr:uid="{C86B184E-0D64-4184-A2C9-45BE30C2B59D}"/>
    <cellStyle name="Normal 79 2 2 2 2" xfId="9020" xr:uid="{39614470-FA9D-496B-A780-F6049500652B}"/>
    <cellStyle name="Normal 79 2 2 3" xfId="7320" xr:uid="{9F77E851-FE81-46FB-A66D-CD687C5A3090}"/>
    <cellStyle name="Normal 79 2 2_DEO ADIT Unprotected" xfId="3808" xr:uid="{B4B15190-17FC-4BD0-8D12-B27092D1F1A1}"/>
    <cellStyle name="Normal 79 2 3" xfId="4803" xr:uid="{922F6363-6E7C-44CC-AA1C-5CA29C4C62F1}"/>
    <cellStyle name="Normal 79 2 3 2" xfId="8183" xr:uid="{B65F17B9-6840-4F05-B134-28275685C563}"/>
    <cellStyle name="Normal 79 2 4" xfId="6483" xr:uid="{34284FB5-1CC3-4432-8C85-8B389A304B83}"/>
    <cellStyle name="Normal 79 2_DEO ADIT Unprotected" xfId="3807" xr:uid="{BA18B078-6A28-4D42-A5DD-7C054FAA2EA0}"/>
    <cellStyle name="Normal 79 3" xfId="2389" xr:uid="{00000000-0005-0000-0000-0000B2070000}"/>
    <cellStyle name="Normal 79 3 2" xfId="5639" xr:uid="{D09578A7-10A7-42DC-A3EE-EB039BC48833}"/>
    <cellStyle name="Normal 79 3 2 2" xfId="9019" xr:uid="{7DD511AC-548E-40D5-B245-24A70950B476}"/>
    <cellStyle name="Normal 79 3 3" xfId="7319" xr:uid="{E8A94665-5C72-416D-8136-014040A4E926}"/>
    <cellStyle name="Normal 79 3_DEO ADIT Unprotected" xfId="3809" xr:uid="{0093D3CE-5893-4C94-AD3C-E81D9B1BF1E0}"/>
    <cellStyle name="Normal 79 4" xfId="4802" xr:uid="{27BA9273-F395-41ED-8236-589C235E4C16}"/>
    <cellStyle name="Normal 79 4 2" xfId="8182" xr:uid="{CC23FB92-6AB9-4C40-9714-8A9C03668B2E}"/>
    <cellStyle name="Normal 79 5" xfId="6482" xr:uid="{B41C1707-F414-4AA7-B802-41A0515429DB}"/>
    <cellStyle name="Normal 79_DEO ADIT Unprotected" xfId="3806" xr:uid="{F3F03D04-1121-4C91-B8FF-691AB3C18156}"/>
    <cellStyle name="Normal 8" xfId="328" xr:uid="{00000000-0005-0000-0000-0000B3070000}"/>
    <cellStyle name="Normal 8 10" xfId="438" xr:uid="{00000000-0005-0000-0000-0000B4070000}"/>
    <cellStyle name="Normal 8 10 2" xfId="479" xr:uid="{00000000-0005-0000-0000-0000B5070000}"/>
    <cellStyle name="Normal 8 10 2 2" xfId="1672" xr:uid="{00000000-0005-0000-0000-0000B6070000}"/>
    <cellStyle name="Normal 8 10 2 2 2" xfId="4922" xr:uid="{3B84FE62-76B7-4456-B190-AD60443F6EAF}"/>
    <cellStyle name="Normal 8 10 2 2 2 2" xfId="8302" xr:uid="{3BEE3391-3525-4377-973F-B30BB8B2276E}"/>
    <cellStyle name="Normal 8 10 2 2 3" xfId="6602" xr:uid="{52ADE3FB-E7B8-48F8-93AF-1208B98CC64F}"/>
    <cellStyle name="Normal 8 10 2 2_DEO ADIT Unprotected" xfId="3813" xr:uid="{857A9A7B-6B5F-43F2-8903-DD9A83E4E4D4}"/>
    <cellStyle name="Normal 8 10 2 3" xfId="4085" xr:uid="{63D58114-25FF-4EA8-90E9-693F8E0F6856}"/>
    <cellStyle name="Normal 8 10 2 3 2" xfId="7465" xr:uid="{34055F74-9388-4528-AF52-2F3E3A262059}"/>
    <cellStyle name="Normal 8 10 2 4" xfId="5764" xr:uid="{41F09973-B0CE-48D9-9D11-C84899DCDA78}"/>
    <cellStyle name="Normal 8 10 2_DEO ADIT Unprotected" xfId="3812" xr:uid="{6C29B9B8-D6A6-47E5-95E3-ADDD99F3FB8B}"/>
    <cellStyle name="Normal 8 10 3" xfId="1640" xr:uid="{00000000-0005-0000-0000-0000B7070000}"/>
    <cellStyle name="Normal 8 10 3 2" xfId="4890" xr:uid="{0778BD56-BED0-4EB1-A4B0-50770E7C5574}"/>
    <cellStyle name="Normal 8 10 3 2 2" xfId="8270" xr:uid="{7781FA85-8922-425C-9034-CF645D71E313}"/>
    <cellStyle name="Normal 8 10 3 3" xfId="6570" xr:uid="{09361CEE-2F7C-4A9D-94E8-B389CCB41924}"/>
    <cellStyle name="Normal 8 10 3_DEO ADIT Unprotected" xfId="3814" xr:uid="{1D1F935A-9957-4E31-9821-48F59E27F4BF}"/>
    <cellStyle name="Normal 8 10 4" xfId="4053" xr:uid="{FFFAD3E7-9C54-4340-BAE8-1602BF3FBB56}"/>
    <cellStyle name="Normal 8 10 4 2" xfId="7433" xr:uid="{8D4A33C3-DF61-47FA-9A81-50E5E92B0B04}"/>
    <cellStyle name="Normal 8 10 5" xfId="5732" xr:uid="{33DD232D-9064-468E-A279-417ECF354BE9}"/>
    <cellStyle name="Normal 8 10_DEO ADIT Unprotected" xfId="3811" xr:uid="{1872D960-950F-4170-AA51-B02504EEA70D}"/>
    <cellStyle name="Normal 8 11" xfId="471" xr:uid="{00000000-0005-0000-0000-0000B8070000}"/>
    <cellStyle name="Normal 8 11 2" xfId="1664" xr:uid="{00000000-0005-0000-0000-0000B9070000}"/>
    <cellStyle name="Normal 8 11 2 2" xfId="4914" xr:uid="{2B440D03-80BC-4726-80F1-750D5AF1D1A4}"/>
    <cellStyle name="Normal 8 11 2 2 2" xfId="8294" xr:uid="{8B7C6631-5C8A-429C-91A2-79B250C14BB6}"/>
    <cellStyle name="Normal 8 11 2 3" xfId="6594" xr:uid="{ABB6C8F3-A79A-4D09-8A00-9D6AFE1EFE0F}"/>
    <cellStyle name="Normal 8 11 2_DEO ADIT Unprotected" xfId="3816" xr:uid="{4E56EF4A-AF72-4584-8929-3DE0DE072300}"/>
    <cellStyle name="Normal 8 11 3" xfId="4077" xr:uid="{67E240F1-D486-4C86-809B-5AC0BC40449F}"/>
    <cellStyle name="Normal 8 11 3 2" xfId="7457" xr:uid="{B7A3EB89-EFE2-4488-BD6D-8751D517960D}"/>
    <cellStyle name="Normal 8 11 4" xfId="5756" xr:uid="{4BCDAB1D-65A7-4103-BB0A-22EBA6F6BBC7}"/>
    <cellStyle name="Normal 8 11_DEO ADIT Unprotected" xfId="3815" xr:uid="{D5683F0D-0E9E-4032-A9D5-F0C34F807473}"/>
    <cellStyle name="Normal 8 12" xfId="504" xr:uid="{00000000-0005-0000-0000-0000BA070000}"/>
    <cellStyle name="Normal 8 12 2" xfId="1696" xr:uid="{00000000-0005-0000-0000-0000BB070000}"/>
    <cellStyle name="Normal 8 12 2 2" xfId="4946" xr:uid="{D779F96B-2E23-4E1E-B847-EAE9E5F64217}"/>
    <cellStyle name="Normal 8 12 2 2 2" xfId="8326" xr:uid="{3A567C78-DD03-4A6F-9418-F86206D0E00F}"/>
    <cellStyle name="Normal 8 12 2 3" xfId="6626" xr:uid="{39BBE19C-2452-4B86-AF6F-7A17FD932CA2}"/>
    <cellStyle name="Normal 8 12 2_DEO ADIT Unprotected" xfId="3818" xr:uid="{730B233A-4C95-42B1-B878-A645E6BA7169}"/>
    <cellStyle name="Normal 8 12 3" xfId="4109" xr:uid="{FD1E2564-57A8-4C6C-BFFC-45E66D618FE4}"/>
    <cellStyle name="Normal 8 12 3 2" xfId="7489" xr:uid="{75697DC3-EC5C-481B-BDA0-68826A346C73}"/>
    <cellStyle name="Normal 8 12 4" xfId="5788" xr:uid="{8A9F04EE-CBF7-4AF5-B99C-6073E5BE9D05}"/>
    <cellStyle name="Normal 8 12_DEO ADIT Unprotected" xfId="3817" xr:uid="{EFD4B730-7E62-4DE3-8EAA-4478778B7E42}"/>
    <cellStyle name="Normal 8 13" xfId="1626" xr:uid="{00000000-0005-0000-0000-0000BC070000}"/>
    <cellStyle name="Normal 8 13 2" xfId="4876" xr:uid="{39C33935-D7DF-4FB2-8322-418AA914E291}"/>
    <cellStyle name="Normal 8 13 2 2" xfId="8256" xr:uid="{05270FC0-3FEB-47E5-BF9B-8B2BED161372}"/>
    <cellStyle name="Normal 8 13 3" xfId="6556" xr:uid="{CF4C4E21-238C-4645-B704-DC4630E2FA0D}"/>
    <cellStyle name="Normal 8 13_DEO ADIT Unprotected" xfId="3819" xr:uid="{F3E03244-64C1-4CE1-85E1-CF26967BB4DB}"/>
    <cellStyle name="Normal 8 14" xfId="4039" xr:uid="{80A7E0CF-9088-46A3-9B3B-5951D932E211}"/>
    <cellStyle name="Normal 8 14 2" xfId="7419" xr:uid="{B2B949CF-8F26-4266-ACDA-1E0B6F030C87}"/>
    <cellStyle name="Normal 8 15" xfId="5716" xr:uid="{2143FB15-14A3-4EEA-89F3-2856206E0CE8}"/>
    <cellStyle name="Normal 8 2" xfId="339" xr:uid="{00000000-0005-0000-0000-0000BD070000}"/>
    <cellStyle name="Normal 8 2 2" xfId="448" xr:uid="{00000000-0005-0000-0000-0000BE070000}"/>
    <cellStyle name="Normal 8 2 2 2" xfId="485" xr:uid="{00000000-0005-0000-0000-0000BF070000}"/>
    <cellStyle name="Normal 8 2 2 2 2" xfId="1678" xr:uid="{00000000-0005-0000-0000-0000C0070000}"/>
    <cellStyle name="Normal 8 2 2 2 2 2" xfId="4928" xr:uid="{7BD2641C-BADF-4C96-A0CC-41B1EDA22F93}"/>
    <cellStyle name="Normal 8 2 2 2 2 2 2" xfId="8308" xr:uid="{85D83D2D-2056-465D-8132-75C066508514}"/>
    <cellStyle name="Normal 8 2 2 2 2 3" xfId="6608" xr:uid="{5D87F871-F7B8-4D03-ABF5-B66CBBE816F0}"/>
    <cellStyle name="Normal 8 2 2 2 2_DEO ADIT Unprotected" xfId="3823" xr:uid="{AB5A9D85-3103-4C8F-A2CA-A3099249851C}"/>
    <cellStyle name="Normal 8 2 2 2 3" xfId="4091" xr:uid="{EFD982AF-B79B-4355-A171-2652B2CFE60F}"/>
    <cellStyle name="Normal 8 2 2 2 3 2" xfId="7471" xr:uid="{08BCF30F-721D-4BA7-83BA-59B13935AF18}"/>
    <cellStyle name="Normal 8 2 2 2 4" xfId="5770" xr:uid="{C7DA9CF9-0339-4005-91F5-973CA53411D3}"/>
    <cellStyle name="Normal 8 2 2 2_DEO ADIT Unprotected" xfId="3822" xr:uid="{30F1FB2E-28D2-4552-B8E7-91A53341530D}"/>
    <cellStyle name="Normal 8 2 2 3" xfId="1646" xr:uid="{00000000-0005-0000-0000-0000C1070000}"/>
    <cellStyle name="Normal 8 2 2 3 2" xfId="4896" xr:uid="{A9E53EAE-B65F-4AD0-955E-DF64ECA2828E}"/>
    <cellStyle name="Normal 8 2 2 3 2 2" xfId="8276" xr:uid="{D2D40E74-9FF4-4134-BA66-6EF061308242}"/>
    <cellStyle name="Normal 8 2 2 3 3" xfId="6576" xr:uid="{ED9B67A7-E977-4036-96BA-4CB7480AFFE9}"/>
    <cellStyle name="Normal 8 2 2 3_DEO ADIT Unprotected" xfId="3824" xr:uid="{AF46DC2C-17EF-4EBF-B744-F53155869281}"/>
    <cellStyle name="Normal 8 2 2 4" xfId="4059" xr:uid="{5CBD036A-B3A9-434A-8819-DE8C36D23D78}"/>
    <cellStyle name="Normal 8 2 2 4 2" xfId="7439" xr:uid="{4E376C0E-0DE6-460F-8BAE-64AA9B00A845}"/>
    <cellStyle name="Normal 8 2 2 5" xfId="5738" xr:uid="{9405A2B1-674F-46C7-9C6C-A5DFF8A36AA5}"/>
    <cellStyle name="Normal 8 2 2_DEO ADIT Unprotected" xfId="3821" xr:uid="{C186B9F7-9C34-4766-963D-310E3A81E8CD}"/>
    <cellStyle name="Normal 8 2 3" xfId="462" xr:uid="{00000000-0005-0000-0000-0000C2070000}"/>
    <cellStyle name="Normal 8 2 3 2" xfId="496" xr:uid="{00000000-0005-0000-0000-0000C3070000}"/>
    <cellStyle name="Normal 8 2 3 2 2" xfId="1689" xr:uid="{00000000-0005-0000-0000-0000C4070000}"/>
    <cellStyle name="Normal 8 2 3 2 2 2" xfId="4939" xr:uid="{7D298B17-BBD4-43E7-A90B-FD5E0833346F}"/>
    <cellStyle name="Normal 8 2 3 2 2 2 2" xfId="8319" xr:uid="{EC3E892A-0075-4217-9567-EEDFE3567349}"/>
    <cellStyle name="Normal 8 2 3 2 2 3" xfId="6619" xr:uid="{8B428940-B93F-4DC1-AD1F-0AC4F28A2F87}"/>
    <cellStyle name="Normal 8 2 3 2 2_DEO ADIT Unprotected" xfId="3827" xr:uid="{5E8C310E-1F2B-4039-A69C-46DA176BF7E4}"/>
    <cellStyle name="Normal 8 2 3 2 3" xfId="4102" xr:uid="{83146FA4-9499-4521-8F3C-D94ED163E655}"/>
    <cellStyle name="Normal 8 2 3 2 3 2" xfId="7482" xr:uid="{BC96E7E8-23A8-4933-A1E8-51A9EE3D2662}"/>
    <cellStyle name="Normal 8 2 3 2 4" xfId="5781" xr:uid="{983BB058-17BA-4938-BF3D-4B6063119CF7}"/>
    <cellStyle name="Normal 8 2 3 2_DEO ADIT Unprotected" xfId="3826" xr:uid="{F4430C27-D05F-4993-8D0A-4C27DF818EFF}"/>
    <cellStyle name="Normal 8 2 3 3" xfId="1657" xr:uid="{00000000-0005-0000-0000-0000C5070000}"/>
    <cellStyle name="Normal 8 2 3 3 2" xfId="4907" xr:uid="{65E37A9E-5A62-46AF-88A9-27BB6B7E79CF}"/>
    <cellStyle name="Normal 8 2 3 3 2 2" xfId="8287" xr:uid="{41B38DAE-A794-4CA1-8939-62BB0B15DC7B}"/>
    <cellStyle name="Normal 8 2 3 3 3" xfId="6587" xr:uid="{B7C02DE0-F78D-4490-9EB1-E419EE3C8A58}"/>
    <cellStyle name="Normal 8 2 3 3_DEO ADIT Unprotected" xfId="3828" xr:uid="{9955C6DA-A771-4196-AEA9-E9F541AE5ACB}"/>
    <cellStyle name="Normal 8 2 3 4" xfId="4070" xr:uid="{F2859267-753B-40C7-B627-BC46362933AD}"/>
    <cellStyle name="Normal 8 2 3 4 2" xfId="7450" xr:uid="{C29C1D8F-2276-40AE-BD8B-6CF7F656F767}"/>
    <cellStyle name="Normal 8 2 3 5" xfId="5749" xr:uid="{F56F09EB-956B-401C-BFFA-7D3FE1CC40D8}"/>
    <cellStyle name="Normal 8 2 3_DEO ADIT Unprotected" xfId="3825" xr:uid="{36831298-05F3-4694-A5C7-EDAD13DB0BA1}"/>
    <cellStyle name="Normal 8 2 4" xfId="440" xr:uid="{00000000-0005-0000-0000-0000C6070000}"/>
    <cellStyle name="Normal 8 2 4 2" xfId="480" xr:uid="{00000000-0005-0000-0000-0000C7070000}"/>
    <cellStyle name="Normal 8 2 4 2 2" xfId="1673" xr:uid="{00000000-0005-0000-0000-0000C8070000}"/>
    <cellStyle name="Normal 8 2 4 2 2 2" xfId="4923" xr:uid="{A0DBD1EE-9B36-4F12-86E2-3997BC218691}"/>
    <cellStyle name="Normal 8 2 4 2 2 2 2" xfId="8303" xr:uid="{BDBF276D-D31A-4750-8EB6-436BE84CC60B}"/>
    <cellStyle name="Normal 8 2 4 2 2 3" xfId="6603" xr:uid="{5F49DDF0-894B-4A29-8487-DD1C3BE5FD6F}"/>
    <cellStyle name="Normal 8 2 4 2 2_DEO ADIT Unprotected" xfId="3831" xr:uid="{BD7D2EFA-2A45-4F12-A4E2-5EB5D37D818C}"/>
    <cellStyle name="Normal 8 2 4 2 3" xfId="4086" xr:uid="{500BEC51-3863-474B-AFCF-B009B28B5AC3}"/>
    <cellStyle name="Normal 8 2 4 2 3 2" xfId="7466" xr:uid="{5B619CF3-6F4B-4EF8-ABF0-836D166AA61D}"/>
    <cellStyle name="Normal 8 2 4 2 4" xfId="5765" xr:uid="{5D0BD894-A322-4B90-8A12-14E4EB1E5CA0}"/>
    <cellStyle name="Normal 8 2 4 2_DEO ADIT Unprotected" xfId="3830" xr:uid="{91BB11AB-5F45-4EF5-9BA9-266A23575CFE}"/>
    <cellStyle name="Normal 8 2 4 3" xfId="1641" xr:uid="{00000000-0005-0000-0000-0000C9070000}"/>
    <cellStyle name="Normal 8 2 4 3 2" xfId="4891" xr:uid="{EE835EF4-479C-480F-9B29-B7D3E23EFA77}"/>
    <cellStyle name="Normal 8 2 4 3 2 2" xfId="8271" xr:uid="{EC676007-E923-430A-9BF4-ECA593C83E1E}"/>
    <cellStyle name="Normal 8 2 4 3 3" xfId="6571" xr:uid="{70A3A0AA-FE9E-45EA-9743-EF851F6EBEFC}"/>
    <cellStyle name="Normal 8 2 4 3_DEO ADIT Unprotected" xfId="3832" xr:uid="{8797D5B6-1AC2-4D41-8E08-78772A938AFC}"/>
    <cellStyle name="Normal 8 2 4 4" xfId="4054" xr:uid="{5BD1CEBC-D695-4483-8820-0484C86236D0}"/>
    <cellStyle name="Normal 8 2 4 4 2" xfId="7434" xr:uid="{ABF1941A-6AF4-4C8A-8F9A-B9E98BFAA6FD}"/>
    <cellStyle name="Normal 8 2 4 5" xfId="5733" xr:uid="{192F1D4F-239D-45F8-B75B-C3C7D163C2FB}"/>
    <cellStyle name="Normal 8 2 4_DEO ADIT Unprotected" xfId="3829" xr:uid="{CB45F584-4766-4913-8588-2C0262F327AC}"/>
    <cellStyle name="Normal 8 2 5" xfId="472" xr:uid="{00000000-0005-0000-0000-0000CA070000}"/>
    <cellStyle name="Normal 8 2 5 2" xfId="1665" xr:uid="{00000000-0005-0000-0000-0000CB070000}"/>
    <cellStyle name="Normal 8 2 5 2 2" xfId="4915" xr:uid="{FC2F53B8-D630-47BB-840A-B45EFD2695D6}"/>
    <cellStyle name="Normal 8 2 5 2 2 2" xfId="8295" xr:uid="{A49D5143-7D98-4277-8C8C-38933F401BCA}"/>
    <cellStyle name="Normal 8 2 5 2 3" xfId="6595" xr:uid="{EA6DBE5F-5B11-44F9-9532-D14A24C10AEB}"/>
    <cellStyle name="Normal 8 2 5 2_DEO ADIT Unprotected" xfId="3834" xr:uid="{B11689D0-CCF6-426D-80FE-26B21E787CF2}"/>
    <cellStyle name="Normal 8 2 5 3" xfId="4078" xr:uid="{E01D8C32-15A2-4DE2-9CF1-252B2B6E7336}"/>
    <cellStyle name="Normal 8 2 5 3 2" xfId="7458" xr:uid="{4F251438-A6AB-48CF-AEE9-8F7C50C67C2D}"/>
    <cellStyle name="Normal 8 2 5 4" xfId="5757" xr:uid="{824EB0D9-4ABB-41B2-9B38-7DA477654E56}"/>
    <cellStyle name="Normal 8 2 5_DEO ADIT Unprotected" xfId="3833" xr:uid="{F58EAEE8-0B1F-41A4-AE26-CE5465D22A07}"/>
    <cellStyle name="Normal 8 2 6" xfId="505" xr:uid="{00000000-0005-0000-0000-0000CC070000}"/>
    <cellStyle name="Normal 8 2 6 2" xfId="1697" xr:uid="{00000000-0005-0000-0000-0000CD070000}"/>
    <cellStyle name="Normal 8 2 6 2 2" xfId="4947" xr:uid="{38622920-E9D4-4D9D-9357-51103E0F398B}"/>
    <cellStyle name="Normal 8 2 6 2 2 2" xfId="8327" xr:uid="{2F93A887-E5DC-4E97-85AE-3472603BA226}"/>
    <cellStyle name="Normal 8 2 6 2 3" xfId="6627" xr:uid="{F79EDCEA-2CE9-49A9-8F51-17E85A2E14C1}"/>
    <cellStyle name="Normal 8 2 6 2_DEO ADIT Unprotected" xfId="3836" xr:uid="{44830AF6-DABB-4A1F-A893-A582160042EF}"/>
    <cellStyle name="Normal 8 2 6 3" xfId="4110" xr:uid="{97E1BBD5-C4F2-4BEE-B3BC-E82F51335961}"/>
    <cellStyle name="Normal 8 2 6 3 2" xfId="7490" xr:uid="{655070AF-381C-437F-8BE9-4FFB80BFF3D9}"/>
    <cellStyle name="Normal 8 2 6 4" xfId="5789" xr:uid="{BC43FDD8-1D0C-474A-8414-357FF4EF9F40}"/>
    <cellStyle name="Normal 8 2 6_DEO ADIT Unprotected" xfId="3835" xr:uid="{7F8C3F77-5D2F-4FE1-A27B-1566F4C5390A}"/>
    <cellStyle name="Normal 8 2 7" xfId="1628" xr:uid="{00000000-0005-0000-0000-0000CE070000}"/>
    <cellStyle name="Normal 8 2 7 2" xfId="4878" xr:uid="{88C08748-B2B8-4CEF-9729-6DFC8D2FA859}"/>
    <cellStyle name="Normal 8 2 7 2 2" xfId="8258" xr:uid="{9B366846-23B4-4DE9-87CD-1B576552EDE5}"/>
    <cellStyle name="Normal 8 2 7 3" xfId="6558" xr:uid="{8AE6D785-31C8-4568-B2FB-A6B319D26844}"/>
    <cellStyle name="Normal 8 2 7_DEO ADIT Unprotected" xfId="3837" xr:uid="{A4730C6E-6570-47D3-88BA-C11AE58AD322}"/>
    <cellStyle name="Normal 8 2 8" xfId="4041" xr:uid="{70F3131E-7FD0-4B62-8953-0802FF2F1646}"/>
    <cellStyle name="Normal 8 2 8 2" xfId="7421" xr:uid="{92589DC2-7D62-476D-B100-A190AFB223DA}"/>
    <cellStyle name="Normal 8 2 9" xfId="5718" xr:uid="{85561651-D190-43D0-83AE-7E22337FF95B}"/>
    <cellStyle name="Normal 8 2_DEO ADIT Unprotected" xfId="3820" xr:uid="{A21E3543-BEDD-4F8A-BA7E-418FA29302FA}"/>
    <cellStyle name="Normal 8 3" xfId="357" xr:uid="{00000000-0005-0000-0000-0000CF070000}"/>
    <cellStyle name="Normal 8 3 2" xfId="449" xr:uid="{00000000-0005-0000-0000-0000D0070000}"/>
    <cellStyle name="Normal 8 3 2 2" xfId="486" xr:uid="{00000000-0005-0000-0000-0000D1070000}"/>
    <cellStyle name="Normal 8 3 2 2 2" xfId="1679" xr:uid="{00000000-0005-0000-0000-0000D2070000}"/>
    <cellStyle name="Normal 8 3 2 2 2 2" xfId="4929" xr:uid="{ACB306D5-3330-487B-B253-FCCADDD2B104}"/>
    <cellStyle name="Normal 8 3 2 2 2 2 2" xfId="8309" xr:uid="{D51C97CE-6A68-47E8-8B90-4DF6ED6EC522}"/>
    <cellStyle name="Normal 8 3 2 2 2 3" xfId="6609" xr:uid="{BADB7059-9B5D-4814-AC57-3A2EF56BCCB6}"/>
    <cellStyle name="Normal 8 3 2 2 2_DEO ADIT Unprotected" xfId="3841" xr:uid="{62DDA836-2A77-4CB6-ACCD-5BFAB1D33F92}"/>
    <cellStyle name="Normal 8 3 2 2 3" xfId="4092" xr:uid="{E67E57E4-EB74-4A0A-B12E-3C0F5D414476}"/>
    <cellStyle name="Normal 8 3 2 2 3 2" xfId="7472" xr:uid="{A87A0878-3C0D-4308-83D5-A2641DA5152A}"/>
    <cellStyle name="Normal 8 3 2 2 4" xfId="5771" xr:uid="{40708E92-1F79-45A0-A7D6-3F23D27D831B}"/>
    <cellStyle name="Normal 8 3 2 2_DEO ADIT Unprotected" xfId="3840" xr:uid="{4615D8AB-9449-413B-9F71-B699CD769105}"/>
    <cellStyle name="Normal 8 3 2 3" xfId="1647" xr:uid="{00000000-0005-0000-0000-0000D3070000}"/>
    <cellStyle name="Normal 8 3 2 3 2" xfId="4897" xr:uid="{EB1991D9-8E5B-40FB-B067-46D3AD386135}"/>
    <cellStyle name="Normal 8 3 2 3 2 2" xfId="8277" xr:uid="{F613769F-EA27-4EB9-9F54-C334738380CC}"/>
    <cellStyle name="Normal 8 3 2 3 3" xfId="6577" xr:uid="{33650F16-5188-433B-B647-4041E7C7A128}"/>
    <cellStyle name="Normal 8 3 2 3_DEO ADIT Unprotected" xfId="3842" xr:uid="{BD696BA8-303A-46DC-AA67-7B3930B3BE51}"/>
    <cellStyle name="Normal 8 3 2 4" xfId="4060" xr:uid="{40AD89B9-0AA1-40B1-A4D6-91EE1BB7E484}"/>
    <cellStyle name="Normal 8 3 2 4 2" xfId="7440" xr:uid="{7EBE8F0A-1889-434A-81DC-A23DD14D2CE0}"/>
    <cellStyle name="Normal 8 3 2 5" xfId="5739" xr:uid="{62E64D2A-4AA3-448E-AD3A-8D72F1D6D43A}"/>
    <cellStyle name="Normal 8 3 2_DEO ADIT Unprotected" xfId="3839" xr:uid="{37FEC5E1-0A9B-4D31-9D8B-F0A71B6F659F}"/>
    <cellStyle name="Normal 8 3 3" xfId="463" xr:uid="{00000000-0005-0000-0000-0000D4070000}"/>
    <cellStyle name="Normal 8 3 3 2" xfId="497" xr:uid="{00000000-0005-0000-0000-0000D5070000}"/>
    <cellStyle name="Normal 8 3 3 2 2" xfId="1690" xr:uid="{00000000-0005-0000-0000-0000D6070000}"/>
    <cellStyle name="Normal 8 3 3 2 2 2" xfId="4940" xr:uid="{64D570C4-0110-4104-B144-1BE6693DCAF2}"/>
    <cellStyle name="Normal 8 3 3 2 2 2 2" xfId="8320" xr:uid="{B4100B99-F710-46CA-81CE-B4047489704A}"/>
    <cellStyle name="Normal 8 3 3 2 2 3" xfId="6620" xr:uid="{A2640431-DD17-4807-8929-CA2D726BEDD0}"/>
    <cellStyle name="Normal 8 3 3 2 2_DEO ADIT Unprotected" xfId="3845" xr:uid="{B80782E6-49EB-4163-A879-F05382F89389}"/>
    <cellStyle name="Normal 8 3 3 2 3" xfId="4103" xr:uid="{87B55012-AA86-4E6F-91B6-DBCA32EE1838}"/>
    <cellStyle name="Normal 8 3 3 2 3 2" xfId="7483" xr:uid="{36D78493-ED9E-4B94-A912-46D5286AA615}"/>
    <cellStyle name="Normal 8 3 3 2 4" xfId="5782" xr:uid="{77192AD2-2713-47B5-B75B-F12C43C2E20F}"/>
    <cellStyle name="Normal 8 3 3 2_DEO ADIT Unprotected" xfId="3844" xr:uid="{B7F16C84-F9BF-47CA-8F72-39FE06023DFD}"/>
    <cellStyle name="Normal 8 3 3 3" xfId="1658" xr:uid="{00000000-0005-0000-0000-0000D7070000}"/>
    <cellStyle name="Normal 8 3 3 3 2" xfId="4908" xr:uid="{462451A7-B845-4D17-B9E8-6963F75C6F71}"/>
    <cellStyle name="Normal 8 3 3 3 2 2" xfId="8288" xr:uid="{5585DA4B-0603-4DB7-9F79-A03D780C1091}"/>
    <cellStyle name="Normal 8 3 3 3 3" xfId="6588" xr:uid="{00B14C40-AEED-4B08-90B5-23E649C5EF52}"/>
    <cellStyle name="Normal 8 3 3 3_DEO ADIT Unprotected" xfId="3846" xr:uid="{244D1A5E-AE67-4317-A2C0-F8C121328D80}"/>
    <cellStyle name="Normal 8 3 3 4" xfId="4071" xr:uid="{84AC3EA3-C38A-4C35-8628-4E0ACB957ECE}"/>
    <cellStyle name="Normal 8 3 3 4 2" xfId="7451" xr:uid="{D954D27F-6CFE-4F11-9D4B-4C0128BDA6F5}"/>
    <cellStyle name="Normal 8 3 3 5" xfId="5750" xr:uid="{58C8F2DD-F840-4C65-86AF-DE200B6A0C6F}"/>
    <cellStyle name="Normal 8 3 3_DEO ADIT Unprotected" xfId="3843" xr:uid="{98B855BE-2EE7-4E15-85F2-577BBA103DA6}"/>
    <cellStyle name="Normal 8 3 4" xfId="442" xr:uid="{00000000-0005-0000-0000-0000D8070000}"/>
    <cellStyle name="Normal 8 3 4 2" xfId="481" xr:uid="{00000000-0005-0000-0000-0000D9070000}"/>
    <cellStyle name="Normal 8 3 4 2 2" xfId="1674" xr:uid="{00000000-0005-0000-0000-0000DA070000}"/>
    <cellStyle name="Normal 8 3 4 2 2 2" xfId="4924" xr:uid="{A59A3674-ACC4-42ED-B297-C3E625081531}"/>
    <cellStyle name="Normal 8 3 4 2 2 2 2" xfId="8304" xr:uid="{DAFB29AE-BC0B-4BC9-8277-8C620306E67A}"/>
    <cellStyle name="Normal 8 3 4 2 2 3" xfId="6604" xr:uid="{7D1E21C7-7559-446D-A6A8-A98E101DE6D6}"/>
    <cellStyle name="Normal 8 3 4 2 2_DEO ADIT Unprotected" xfId="3849" xr:uid="{7A7527C4-AD22-4C4C-819D-213BD6414690}"/>
    <cellStyle name="Normal 8 3 4 2 3" xfId="4087" xr:uid="{B5714B87-ED13-4EF9-AE51-DEE63F016061}"/>
    <cellStyle name="Normal 8 3 4 2 3 2" xfId="7467" xr:uid="{09E69FBC-40FA-4953-A91A-85D8A481FBFF}"/>
    <cellStyle name="Normal 8 3 4 2 4" xfId="5766" xr:uid="{CC59CB78-3C94-4B54-A259-A3A72FF5CE5C}"/>
    <cellStyle name="Normal 8 3 4 2_DEO ADIT Unprotected" xfId="3848" xr:uid="{C7F34358-3C9F-4FD6-A360-5C97D8F9A224}"/>
    <cellStyle name="Normal 8 3 4 3" xfId="1642" xr:uid="{00000000-0005-0000-0000-0000DB070000}"/>
    <cellStyle name="Normal 8 3 4 3 2" xfId="4892" xr:uid="{B6FCCD43-3CF9-4792-B156-A17C067DE2D7}"/>
    <cellStyle name="Normal 8 3 4 3 2 2" xfId="8272" xr:uid="{B5340575-E2CC-45F0-B385-5FE45E36DD34}"/>
    <cellStyle name="Normal 8 3 4 3 3" xfId="6572" xr:uid="{9E3FECF6-0413-4328-A8AE-3AEF5E7BB9AF}"/>
    <cellStyle name="Normal 8 3 4 3_DEO ADIT Unprotected" xfId="3850" xr:uid="{CC3414F6-50EC-4D39-96A6-A14B5B213E8A}"/>
    <cellStyle name="Normal 8 3 4 4" xfId="4055" xr:uid="{51ECB9D5-3147-44D1-9949-4DD67C3E3DA4}"/>
    <cellStyle name="Normal 8 3 4 4 2" xfId="7435" xr:uid="{CB0D6B64-15A9-4657-B4CA-83D3F47EEE26}"/>
    <cellStyle name="Normal 8 3 4 5" xfId="5734" xr:uid="{38A17F3B-59BC-4238-8FFE-002F3FE8A4A9}"/>
    <cellStyle name="Normal 8 3 4_DEO ADIT Unprotected" xfId="3847" xr:uid="{A3270FC9-1D04-42C3-997F-D7D64173357A}"/>
    <cellStyle name="Normal 8 3 5" xfId="473" xr:uid="{00000000-0005-0000-0000-0000DC070000}"/>
    <cellStyle name="Normal 8 3 5 2" xfId="1666" xr:uid="{00000000-0005-0000-0000-0000DD070000}"/>
    <cellStyle name="Normal 8 3 5 2 2" xfId="4916" xr:uid="{C13B39AB-7FA4-43F4-A69C-1F834DE12013}"/>
    <cellStyle name="Normal 8 3 5 2 2 2" xfId="8296" xr:uid="{4E851F5A-2541-4D62-B32C-2A7D39488FED}"/>
    <cellStyle name="Normal 8 3 5 2 3" xfId="6596" xr:uid="{5B16CD4E-ACE6-4B07-99DF-4A87CDD105F3}"/>
    <cellStyle name="Normal 8 3 5 2_DEO ADIT Unprotected" xfId="3852" xr:uid="{D0390E21-62EA-4EFA-9E9D-77FD8B5BDDC9}"/>
    <cellStyle name="Normal 8 3 5 3" xfId="4079" xr:uid="{3EA25056-2067-44A5-A587-554EB2E58996}"/>
    <cellStyle name="Normal 8 3 5 3 2" xfId="7459" xr:uid="{4CFA1C14-22A9-481A-BDB3-C7672AD7A257}"/>
    <cellStyle name="Normal 8 3 5 4" xfId="5758" xr:uid="{B7C2572E-80EA-4A01-BA25-0E45789B338A}"/>
    <cellStyle name="Normal 8 3 5_DEO ADIT Unprotected" xfId="3851" xr:uid="{8F8520D6-459E-48E3-9074-D2250D409D91}"/>
    <cellStyle name="Normal 8 3 6" xfId="506" xr:uid="{00000000-0005-0000-0000-0000DE070000}"/>
    <cellStyle name="Normal 8 3 6 2" xfId="1698" xr:uid="{00000000-0005-0000-0000-0000DF070000}"/>
    <cellStyle name="Normal 8 3 6 2 2" xfId="4948" xr:uid="{E49B92D7-FEEE-4E2E-A22B-38CF0633C836}"/>
    <cellStyle name="Normal 8 3 6 2 2 2" xfId="8328" xr:uid="{205E81FE-04BA-403B-AB70-560204660B7C}"/>
    <cellStyle name="Normal 8 3 6 2 3" xfId="6628" xr:uid="{C83996BD-FAC9-4299-8D60-5DA1AE6A4AD2}"/>
    <cellStyle name="Normal 8 3 6 2_DEO ADIT Unprotected" xfId="3854" xr:uid="{80F5A598-B0C1-422F-A2BD-459080197844}"/>
    <cellStyle name="Normal 8 3 6 3" xfId="4111" xr:uid="{36A0E0F4-D4D7-4BE4-9858-6A9DD53C10A9}"/>
    <cellStyle name="Normal 8 3 6 3 2" xfId="7491" xr:uid="{2822BFD7-3966-4DBC-8B1B-A26EE9F54AE4}"/>
    <cellStyle name="Normal 8 3 6 4" xfId="5790" xr:uid="{C9FD1F42-DC1E-48A1-81B3-BC35B66768C9}"/>
    <cellStyle name="Normal 8 3 6_DEO ADIT Unprotected" xfId="3853" xr:uid="{3B27F0C3-B627-475D-99EF-B7013F0D6BD9}"/>
    <cellStyle name="Normal 8 3 7" xfId="1631" xr:uid="{00000000-0005-0000-0000-0000E0070000}"/>
    <cellStyle name="Normal 8 3 7 2" xfId="4881" xr:uid="{852F50CD-C15C-431A-9CFC-9727AE29533D}"/>
    <cellStyle name="Normal 8 3 7 2 2" xfId="8261" xr:uid="{81A27BAC-3831-43EA-9C1D-1D816708A69E}"/>
    <cellStyle name="Normal 8 3 7 3" xfId="6561" xr:uid="{47843694-FA9E-4CE6-9937-7882A0198F26}"/>
    <cellStyle name="Normal 8 3 7_DEO ADIT Unprotected" xfId="3855" xr:uid="{F60E75A0-1708-45A4-A5B5-5F410C88AD5C}"/>
    <cellStyle name="Normal 8 3 8" xfId="4044" xr:uid="{4F1D412F-A897-49DE-8C02-273383DAD4E3}"/>
    <cellStyle name="Normal 8 3 8 2" xfId="7424" xr:uid="{E35BE391-E557-43D4-A870-D2CD95EA4E81}"/>
    <cellStyle name="Normal 8 3 9" xfId="5723" xr:uid="{A2BF02BA-C208-43BB-806F-1FCFE583C1BB}"/>
    <cellStyle name="Normal 8 3_DEO ADIT Unprotected" xfId="3838" xr:uid="{5480101B-483E-45B4-90A7-FD9BDAF17354}"/>
    <cellStyle name="Normal 8 4" xfId="367" xr:uid="{00000000-0005-0000-0000-0000E1070000}"/>
    <cellStyle name="Normal 8 4 2" xfId="451" xr:uid="{00000000-0005-0000-0000-0000E2070000}"/>
    <cellStyle name="Normal 8 4 2 2" xfId="488" xr:uid="{00000000-0005-0000-0000-0000E3070000}"/>
    <cellStyle name="Normal 8 4 2 2 2" xfId="1681" xr:uid="{00000000-0005-0000-0000-0000E4070000}"/>
    <cellStyle name="Normal 8 4 2 2 2 2" xfId="4931" xr:uid="{4FA890C9-944D-4077-97B2-935834DECCE7}"/>
    <cellStyle name="Normal 8 4 2 2 2 2 2" xfId="8311" xr:uid="{9B7A783E-4E4F-4F9B-8ADA-F7DB797915DA}"/>
    <cellStyle name="Normal 8 4 2 2 2 3" xfId="6611" xr:uid="{D96C5392-DBB0-4A69-8AF2-6A342423E0E0}"/>
    <cellStyle name="Normal 8 4 2 2 2_DEO ADIT Unprotected" xfId="3859" xr:uid="{15A96985-F258-4FBA-BE19-AAAECAEFFC83}"/>
    <cellStyle name="Normal 8 4 2 2 3" xfId="4094" xr:uid="{404230D9-AEDE-4BD8-B5FE-133CB622225B}"/>
    <cellStyle name="Normal 8 4 2 2 3 2" xfId="7474" xr:uid="{A60E6644-08C1-4E2A-AD9C-183BE7BA1EDD}"/>
    <cellStyle name="Normal 8 4 2 2 4" xfId="5773" xr:uid="{2E1110D6-5F5B-432B-B909-F7B77C783293}"/>
    <cellStyle name="Normal 8 4 2 2_DEO ADIT Unprotected" xfId="3858" xr:uid="{56280DE1-0707-48AE-BF81-C9F522400658}"/>
    <cellStyle name="Normal 8 4 2 3" xfId="1649" xr:uid="{00000000-0005-0000-0000-0000E5070000}"/>
    <cellStyle name="Normal 8 4 2 3 2" xfId="4899" xr:uid="{70A6B139-5A08-48BA-A5B5-46D01B024998}"/>
    <cellStyle name="Normal 8 4 2 3 2 2" xfId="8279" xr:uid="{20377682-2C99-451B-B9AB-4EF84009B386}"/>
    <cellStyle name="Normal 8 4 2 3 3" xfId="6579" xr:uid="{6F2C8240-9A63-49AE-BD96-E38855112FA7}"/>
    <cellStyle name="Normal 8 4 2 3_DEO ADIT Unprotected" xfId="3860" xr:uid="{CD3F2582-2138-4FFF-8D57-ECDD634DD0B1}"/>
    <cellStyle name="Normal 8 4 2 4" xfId="4062" xr:uid="{7A50C002-4BD1-45D3-B047-5C2278B57449}"/>
    <cellStyle name="Normal 8 4 2 4 2" xfId="7442" xr:uid="{B777FFE4-AC44-4B72-9C0E-F52AD267DFFA}"/>
    <cellStyle name="Normal 8 4 2 5" xfId="5741" xr:uid="{4D9EC777-B055-4D19-8A95-C52A71ECDD31}"/>
    <cellStyle name="Normal 8 4 2_DEO ADIT Unprotected" xfId="3857" xr:uid="{128CFF6E-2A1B-4150-A8AE-094D8743E716}"/>
    <cellStyle name="Normal 8 4 3" xfId="465" xr:uid="{00000000-0005-0000-0000-0000E6070000}"/>
    <cellStyle name="Normal 8 4 3 2" xfId="499" xr:uid="{00000000-0005-0000-0000-0000E7070000}"/>
    <cellStyle name="Normal 8 4 3 2 2" xfId="1692" xr:uid="{00000000-0005-0000-0000-0000E8070000}"/>
    <cellStyle name="Normal 8 4 3 2 2 2" xfId="4942" xr:uid="{7A12A9DB-74F5-4A6B-B5D8-544F5EDB676F}"/>
    <cellStyle name="Normal 8 4 3 2 2 2 2" xfId="8322" xr:uid="{048A59A4-D12F-4F4F-BC5F-C27A1CB5545D}"/>
    <cellStyle name="Normal 8 4 3 2 2 3" xfId="6622" xr:uid="{BD021DA2-821A-4BB8-9F7E-134AFEFFE055}"/>
    <cellStyle name="Normal 8 4 3 2 2_DEO ADIT Unprotected" xfId="3863" xr:uid="{932E0C2E-26AE-444D-80C4-018277B1BDAA}"/>
    <cellStyle name="Normal 8 4 3 2 3" xfId="4105" xr:uid="{4ECC4CC2-91D1-47A7-9D90-6C1092F09328}"/>
    <cellStyle name="Normal 8 4 3 2 3 2" xfId="7485" xr:uid="{5CE624F1-DBE4-4CA9-B71E-79A9EDA8525C}"/>
    <cellStyle name="Normal 8 4 3 2 4" xfId="5784" xr:uid="{796C6970-4970-41CA-9843-EA8EB5028282}"/>
    <cellStyle name="Normal 8 4 3 2_DEO ADIT Unprotected" xfId="3862" xr:uid="{24E627C7-46C7-4CC8-8BDD-54D3CD5BD909}"/>
    <cellStyle name="Normal 8 4 3 3" xfId="1660" xr:uid="{00000000-0005-0000-0000-0000E9070000}"/>
    <cellStyle name="Normal 8 4 3 3 2" xfId="4910" xr:uid="{F06635D5-E26D-4169-B893-18CDBBDF7C9E}"/>
    <cellStyle name="Normal 8 4 3 3 2 2" xfId="8290" xr:uid="{76E6F729-F87A-4A27-80B2-60BAA5D6CBE5}"/>
    <cellStyle name="Normal 8 4 3 3 3" xfId="6590" xr:uid="{B9D5D59F-C069-4E4D-8AD5-DD68354E94A6}"/>
    <cellStyle name="Normal 8 4 3 3_DEO ADIT Unprotected" xfId="3864" xr:uid="{0A5F0C78-9259-4D91-8DDB-3C3F96219D69}"/>
    <cellStyle name="Normal 8 4 3 4" xfId="4073" xr:uid="{3FFC9439-0B29-4E56-B776-F676CC4F5CD0}"/>
    <cellStyle name="Normal 8 4 3 4 2" xfId="7453" xr:uid="{9FCEA1EC-DA95-4C86-9F47-9E81D3CA5A54}"/>
    <cellStyle name="Normal 8 4 3 5" xfId="5752" xr:uid="{5EBA64EA-9B86-45A1-9B20-B338D472CE82}"/>
    <cellStyle name="Normal 8 4 3_DEO ADIT Unprotected" xfId="3861" xr:uid="{51C52A42-43F4-452E-BF7C-818CB329DAC6}"/>
    <cellStyle name="Normal 8 4 4" xfId="445" xr:uid="{00000000-0005-0000-0000-0000EA070000}"/>
    <cellStyle name="Normal 8 4 4 2" xfId="483" xr:uid="{00000000-0005-0000-0000-0000EB070000}"/>
    <cellStyle name="Normal 8 4 4 2 2" xfId="1676" xr:uid="{00000000-0005-0000-0000-0000EC070000}"/>
    <cellStyle name="Normal 8 4 4 2 2 2" xfId="4926" xr:uid="{4E44A200-BCCE-4BA1-AC0C-1F6D7EDB832C}"/>
    <cellStyle name="Normal 8 4 4 2 2 2 2" xfId="8306" xr:uid="{66D07036-6B3E-44EF-A951-F9EDF545CD5A}"/>
    <cellStyle name="Normal 8 4 4 2 2 3" xfId="6606" xr:uid="{82499D18-AC50-4858-B175-59117EEB32F3}"/>
    <cellStyle name="Normal 8 4 4 2 2_DEO ADIT Unprotected" xfId="3867" xr:uid="{8160D1B9-470D-4914-80E9-39C017A277E6}"/>
    <cellStyle name="Normal 8 4 4 2 3" xfId="4089" xr:uid="{DF25A6C7-1FDC-4FD3-A132-91B79005A8FF}"/>
    <cellStyle name="Normal 8 4 4 2 3 2" xfId="7469" xr:uid="{74F16F4F-AA85-4BC5-810D-8ABA431B75D7}"/>
    <cellStyle name="Normal 8 4 4 2 4" xfId="5768" xr:uid="{6F8E5E9B-E477-4653-AFE2-F04166B5A4AA}"/>
    <cellStyle name="Normal 8 4 4 2_DEO ADIT Unprotected" xfId="3866" xr:uid="{CB376F55-37B9-428A-935B-5F18E121A33D}"/>
    <cellStyle name="Normal 8 4 4 3" xfId="1644" xr:uid="{00000000-0005-0000-0000-0000ED070000}"/>
    <cellStyle name="Normal 8 4 4 3 2" xfId="4894" xr:uid="{667E62D4-6F6B-4497-A790-0185242E500A}"/>
    <cellStyle name="Normal 8 4 4 3 2 2" xfId="8274" xr:uid="{9B572311-1682-4AC6-8784-80E5CF44A258}"/>
    <cellStyle name="Normal 8 4 4 3 3" xfId="6574" xr:uid="{8045C736-16B6-4C6E-B62F-BD66F8D62A5C}"/>
    <cellStyle name="Normal 8 4 4 3_DEO ADIT Unprotected" xfId="3868" xr:uid="{8D9BD0F3-EE84-45EF-B825-DCFFE96E3B51}"/>
    <cellStyle name="Normal 8 4 4 4" xfId="4057" xr:uid="{E8194BBC-41EE-43B5-9B88-65696F79E6B2}"/>
    <cellStyle name="Normal 8 4 4 4 2" xfId="7437" xr:uid="{EDB00ED6-1010-48F7-A433-0AAE3E485003}"/>
    <cellStyle name="Normal 8 4 4 5" xfId="5736" xr:uid="{524C36DA-E871-4B28-A588-FA73E37572B5}"/>
    <cellStyle name="Normal 8 4 4_DEO ADIT Unprotected" xfId="3865" xr:uid="{7E3B5127-8B0B-4078-A372-F8D353088466}"/>
    <cellStyle name="Normal 8 4 5" xfId="475" xr:uid="{00000000-0005-0000-0000-0000EE070000}"/>
    <cellStyle name="Normal 8 4 5 2" xfId="1668" xr:uid="{00000000-0005-0000-0000-0000EF070000}"/>
    <cellStyle name="Normal 8 4 5 2 2" xfId="4918" xr:uid="{C06D9550-90B3-4BFD-B164-F4970E04969F}"/>
    <cellStyle name="Normal 8 4 5 2 2 2" xfId="8298" xr:uid="{44D99DC0-2094-411C-8AC1-9B30432B87CC}"/>
    <cellStyle name="Normal 8 4 5 2 3" xfId="6598" xr:uid="{D0E9B92C-ADCF-44C9-AF50-6E3EAE6D7465}"/>
    <cellStyle name="Normal 8 4 5 2_DEO ADIT Unprotected" xfId="3870" xr:uid="{940B5C3B-2828-470E-B3FA-8FCCC1C99C1D}"/>
    <cellStyle name="Normal 8 4 5 3" xfId="4081" xr:uid="{8FCE15CA-9A9C-471C-AB9B-3DA79D8F343F}"/>
    <cellStyle name="Normal 8 4 5 3 2" xfId="7461" xr:uid="{8BFB6ED0-3346-4ACB-A9AE-05783A6F7D5E}"/>
    <cellStyle name="Normal 8 4 5 4" xfId="5760" xr:uid="{15D8BA86-02F5-4F16-94FF-B6C7960DF856}"/>
    <cellStyle name="Normal 8 4 5_DEO ADIT Unprotected" xfId="3869" xr:uid="{6FB703E4-29B3-446E-8C9F-DFC977D43C43}"/>
    <cellStyle name="Normal 8 4 6" xfId="508" xr:uid="{00000000-0005-0000-0000-0000F0070000}"/>
    <cellStyle name="Normal 8 4 6 2" xfId="1700" xr:uid="{00000000-0005-0000-0000-0000F1070000}"/>
    <cellStyle name="Normal 8 4 6 2 2" xfId="4950" xr:uid="{7C75A2BB-AF43-4A10-B169-0F25597256E9}"/>
    <cellStyle name="Normal 8 4 6 2 2 2" xfId="8330" xr:uid="{88AB18CE-059E-4B40-9448-14E057C07E88}"/>
    <cellStyle name="Normal 8 4 6 2 3" xfId="6630" xr:uid="{E61FFC8E-F176-466A-83AD-B138C0EF075C}"/>
    <cellStyle name="Normal 8 4 6 2_DEO ADIT Unprotected" xfId="3872" xr:uid="{64691C80-7CC4-4063-9E6A-B1D984802E84}"/>
    <cellStyle name="Normal 8 4 6 3" xfId="4113" xr:uid="{878232E0-5326-465A-B61E-B2B04CE521CF}"/>
    <cellStyle name="Normal 8 4 6 3 2" xfId="7493" xr:uid="{D8DD6854-6350-43FD-9061-C0B52BB7BFCA}"/>
    <cellStyle name="Normal 8 4 6 4" xfId="5792" xr:uid="{E1BF30CF-333C-4F85-8D2F-AC03FF94B3D7}"/>
    <cellStyle name="Normal 8 4 6_DEO ADIT Unprotected" xfId="3871" xr:uid="{2471DA89-4501-4C32-BE7C-BB4091F5359E}"/>
    <cellStyle name="Normal 8 4 7" xfId="1635" xr:uid="{00000000-0005-0000-0000-0000F2070000}"/>
    <cellStyle name="Normal 8 4 7 2" xfId="4885" xr:uid="{B418574F-5CCB-4AA6-91ED-F672892D7C9D}"/>
    <cellStyle name="Normal 8 4 7 2 2" xfId="8265" xr:uid="{863CC0A9-8928-4710-B290-F2CFE6EA58AB}"/>
    <cellStyle name="Normal 8 4 7 3" xfId="6565" xr:uid="{CEEC7D6B-AE12-4A90-91E5-8697898081DA}"/>
    <cellStyle name="Normal 8 4 7_DEO ADIT Unprotected" xfId="3873" xr:uid="{9392A5EB-8B83-448A-938C-FCFA0563DD09}"/>
    <cellStyle name="Normal 8 4 8" xfId="4048" xr:uid="{09F9F65B-4863-477C-BF82-0324CC8E338B}"/>
    <cellStyle name="Normal 8 4 8 2" xfId="7428" xr:uid="{F0765701-27F0-4541-ADEB-2FE4FBFC7F50}"/>
    <cellStyle name="Normal 8 4 9" xfId="5727" xr:uid="{88FA1D65-9F5C-4AFB-8AA5-DE03C88D4B61}"/>
    <cellStyle name="Normal 8 4_DEO ADIT Unprotected" xfId="3856" xr:uid="{BC991E44-38F5-4331-93B8-9239B878E4BD}"/>
    <cellStyle name="Normal 8 5" xfId="415" xr:uid="{00000000-0005-0000-0000-0000F3070000}"/>
    <cellStyle name="Normal 8 5 2" xfId="466" xr:uid="{00000000-0005-0000-0000-0000F4070000}"/>
    <cellStyle name="Normal 8 5 2 2" xfId="500" xr:uid="{00000000-0005-0000-0000-0000F5070000}"/>
    <cellStyle name="Normal 8 5 2 2 2" xfId="1693" xr:uid="{00000000-0005-0000-0000-0000F6070000}"/>
    <cellStyle name="Normal 8 5 2 2 2 2" xfId="4943" xr:uid="{F6E493E7-0DC0-4454-AFF1-ECD68E4AE886}"/>
    <cellStyle name="Normal 8 5 2 2 2 2 2" xfId="8323" xr:uid="{338A6A79-4AA2-477A-B117-25F5AF1860F3}"/>
    <cellStyle name="Normal 8 5 2 2 2 3" xfId="6623" xr:uid="{9A41592F-BF1C-430A-83B0-172A25B20E7F}"/>
    <cellStyle name="Normal 8 5 2 2 2_DEO ADIT Unprotected" xfId="3877" xr:uid="{DCE3A646-C68C-41AB-9C2C-C6EFD85278FA}"/>
    <cellStyle name="Normal 8 5 2 2 3" xfId="4106" xr:uid="{C269558D-8BCF-41A2-8462-316438772D81}"/>
    <cellStyle name="Normal 8 5 2 2 3 2" xfId="7486" xr:uid="{494F8A44-5D2C-4F15-8DBB-1F5437AFD9AE}"/>
    <cellStyle name="Normal 8 5 2 2 4" xfId="5785" xr:uid="{068DDE2C-96E4-4ECD-9E88-BF008D2A2424}"/>
    <cellStyle name="Normal 8 5 2 2_DEO ADIT Unprotected" xfId="3876" xr:uid="{7D37D7D9-8BDA-4FE3-ADC5-EF4B7B3AB6D4}"/>
    <cellStyle name="Normal 8 5 2 3" xfId="1661" xr:uid="{00000000-0005-0000-0000-0000F7070000}"/>
    <cellStyle name="Normal 8 5 2 3 2" xfId="4911" xr:uid="{7A761AD8-EAFA-48E2-BD9D-80F7672F1786}"/>
    <cellStyle name="Normal 8 5 2 3 2 2" xfId="8291" xr:uid="{F4D0546C-216B-4C22-BAFD-9E97DD61C89C}"/>
    <cellStyle name="Normal 8 5 2 3 3" xfId="6591" xr:uid="{67530020-9B4C-4103-A755-D3B9B4CD70F5}"/>
    <cellStyle name="Normal 8 5 2 3_DEO ADIT Unprotected" xfId="3878" xr:uid="{F8B20010-3FAE-4570-BF13-9A1ACD6F7F33}"/>
    <cellStyle name="Normal 8 5 2 4" xfId="4074" xr:uid="{B9B8EA64-A157-4720-A397-4AA316AE2EDC}"/>
    <cellStyle name="Normal 8 5 2 4 2" xfId="7454" xr:uid="{3137F7EA-8CB8-4FCD-B095-BDB97579B679}"/>
    <cellStyle name="Normal 8 5 2 5" xfId="5753" xr:uid="{7E206ADF-8B67-45E8-9F87-15FE34AE3E5D}"/>
    <cellStyle name="Normal 8 5 2_DEO ADIT Unprotected" xfId="3875" xr:uid="{AE9B15DF-68EE-4132-AE55-9B6839CD692F}"/>
    <cellStyle name="Normal 8 5 3" xfId="457" xr:uid="{00000000-0005-0000-0000-0000F8070000}"/>
    <cellStyle name="Normal 8 5 3 2" xfId="492" xr:uid="{00000000-0005-0000-0000-0000F9070000}"/>
    <cellStyle name="Normal 8 5 3 2 2" xfId="1685" xr:uid="{00000000-0005-0000-0000-0000FA070000}"/>
    <cellStyle name="Normal 8 5 3 2 2 2" xfId="4935" xr:uid="{75B1A0DE-8C2C-42AF-828D-A051A7F6817C}"/>
    <cellStyle name="Normal 8 5 3 2 2 2 2" xfId="8315" xr:uid="{8AA52572-89AA-4879-81F2-5144C79DCC49}"/>
    <cellStyle name="Normal 8 5 3 2 2 3" xfId="6615" xr:uid="{F57004F8-1EA3-4AB0-B1B3-91C3ACF9D695}"/>
    <cellStyle name="Normal 8 5 3 2 2_DEO ADIT Unprotected" xfId="3881" xr:uid="{51C09360-028C-4944-925A-80CB686614F8}"/>
    <cellStyle name="Normal 8 5 3 2 3" xfId="4098" xr:uid="{660105B7-9580-4249-88D5-083BCFA9FD39}"/>
    <cellStyle name="Normal 8 5 3 2 3 2" xfId="7478" xr:uid="{13D91E7D-49A7-44E0-8941-9216547D6281}"/>
    <cellStyle name="Normal 8 5 3 2 4" xfId="5777" xr:uid="{0AFA87A0-BC6D-4DA1-A14D-902D1A8B4C2E}"/>
    <cellStyle name="Normal 8 5 3 2_DEO ADIT Unprotected" xfId="3880" xr:uid="{3BCEF28C-E8C0-4503-BF69-8C5E0550D00B}"/>
    <cellStyle name="Normal 8 5 3 3" xfId="1653" xr:uid="{00000000-0005-0000-0000-0000FB070000}"/>
    <cellStyle name="Normal 8 5 3 3 2" xfId="4903" xr:uid="{FEDD7C30-211B-425A-975D-CDC1698FBB69}"/>
    <cellStyle name="Normal 8 5 3 3 2 2" xfId="8283" xr:uid="{AA1CF6F0-A25A-4965-9E6E-BF72B9F11C92}"/>
    <cellStyle name="Normal 8 5 3 3 3" xfId="6583" xr:uid="{A626FF39-618E-44E1-AD09-5F165240DCCF}"/>
    <cellStyle name="Normal 8 5 3 3_DEO ADIT Unprotected" xfId="3882" xr:uid="{FE231CC1-E0ED-4C5C-A27C-4C8A1DDBB341}"/>
    <cellStyle name="Normal 8 5 3 4" xfId="4066" xr:uid="{409B3099-490C-4B93-8704-16B2CB620252}"/>
    <cellStyle name="Normal 8 5 3 4 2" xfId="7446" xr:uid="{5E8A2666-8CF5-4303-BAD5-3A8C2BE23D81}"/>
    <cellStyle name="Normal 8 5 3 5" xfId="5745" xr:uid="{907C66C8-B509-4E1B-915C-A5D681B8BF15}"/>
    <cellStyle name="Normal 8 5 3_DEO ADIT Unprotected" xfId="3879" xr:uid="{CDF88751-1D22-4BD1-99D0-E14B5F67BA58}"/>
    <cellStyle name="Normal 8 5 4" xfId="476" xr:uid="{00000000-0005-0000-0000-0000FC070000}"/>
    <cellStyle name="Normal 8 5 4 2" xfId="1669" xr:uid="{00000000-0005-0000-0000-0000FD070000}"/>
    <cellStyle name="Normal 8 5 4 2 2" xfId="4919" xr:uid="{78A10A4D-44AC-4A48-9591-FB01EB90D709}"/>
    <cellStyle name="Normal 8 5 4 2 2 2" xfId="8299" xr:uid="{EDC760DA-A109-4622-B88F-F19D3097DBBE}"/>
    <cellStyle name="Normal 8 5 4 2 3" xfId="6599" xr:uid="{15523B3C-CFE2-4588-8AB5-05502BC2F26E}"/>
    <cellStyle name="Normal 8 5 4 2_DEO ADIT Unprotected" xfId="3884" xr:uid="{46970A82-9EF9-44CA-A639-A7D3FBBBC44D}"/>
    <cellStyle name="Normal 8 5 4 3" xfId="4082" xr:uid="{4BCAA027-8DC6-414C-A2A9-E119ED020805}"/>
    <cellStyle name="Normal 8 5 4 3 2" xfId="7462" xr:uid="{570B373A-B509-4B1C-A267-750C0753F483}"/>
    <cellStyle name="Normal 8 5 4 4" xfId="5761" xr:uid="{56FFA8DA-4423-4C39-A696-2E466D4E6C50}"/>
    <cellStyle name="Normal 8 5 4_DEO ADIT Unprotected" xfId="3883" xr:uid="{F7F79661-32C2-4404-A5BD-CB3DADAAC874}"/>
    <cellStyle name="Normal 8 5 5" xfId="509" xr:uid="{00000000-0005-0000-0000-0000FE070000}"/>
    <cellStyle name="Normal 8 5 5 2" xfId="1701" xr:uid="{00000000-0005-0000-0000-0000FF070000}"/>
    <cellStyle name="Normal 8 5 5 2 2" xfId="4951" xr:uid="{259ED9D4-6EB7-4BD8-B666-30A362655514}"/>
    <cellStyle name="Normal 8 5 5 2 2 2" xfId="8331" xr:uid="{3847F182-0FDC-4644-9AA0-ACB29708EAF7}"/>
    <cellStyle name="Normal 8 5 5 2 3" xfId="6631" xr:uid="{8A775A1D-0771-4A60-9CEC-06E8F59A2336}"/>
    <cellStyle name="Normal 8 5 5 2_DEO ADIT Unprotected" xfId="3886" xr:uid="{B7C32A60-8526-44F8-807A-24452707A9B4}"/>
    <cellStyle name="Normal 8 5 5 3" xfId="4114" xr:uid="{54942285-EEB4-4485-A9CB-831AE9DBB1BA}"/>
    <cellStyle name="Normal 8 5 5 3 2" xfId="7494" xr:uid="{3C8BB3C6-7A6C-432B-9627-64F957E5A528}"/>
    <cellStyle name="Normal 8 5 5 4" xfId="5793" xr:uid="{4764C1C1-38D6-417D-A4A9-AD435BA2FA16}"/>
    <cellStyle name="Normal 8 5 5_DEO ADIT Unprotected" xfId="3885" xr:uid="{F02D84D2-75C4-4EA7-8EFF-2BBDFFCE1265}"/>
    <cellStyle name="Normal 8 5 6" xfId="1636" xr:uid="{00000000-0005-0000-0000-000000080000}"/>
    <cellStyle name="Normal 8 5 6 2" xfId="4886" xr:uid="{39B356EF-6FB0-41B9-B9D0-BA7FE8202440}"/>
    <cellStyle name="Normal 8 5 6 2 2" xfId="8266" xr:uid="{6711AE6F-A8A1-4964-B367-24CE4E9BBBE2}"/>
    <cellStyle name="Normal 8 5 6 3" xfId="6566" xr:uid="{3C1E658D-3F94-41A3-A128-31D810E90025}"/>
    <cellStyle name="Normal 8 5 6_DEO ADIT Unprotected" xfId="3887" xr:uid="{E84BB5D2-69BC-4096-914C-BA2A897FDFE8}"/>
    <cellStyle name="Normal 8 5 7" xfId="4049" xr:uid="{3323196D-0A46-46DF-8E24-92F85DC07C9D}"/>
    <cellStyle name="Normal 8 5 7 2" xfId="7429" xr:uid="{620A2BE3-5688-4407-8CBD-4042A8C7C079}"/>
    <cellStyle name="Normal 8 5 8" xfId="5728" xr:uid="{635B1B76-FA6F-4E6E-919F-4AA695CD46D6}"/>
    <cellStyle name="Normal 8 5_DEO ADIT Unprotected" xfId="3874" xr:uid="{633C4D06-C1BC-4F72-9C3F-720FD8FB2035}"/>
    <cellStyle name="Normal 8 6" xfId="419" xr:uid="{00000000-0005-0000-0000-000001080000}"/>
    <cellStyle name="Normal 8 6 2" xfId="467" xr:uid="{00000000-0005-0000-0000-000002080000}"/>
    <cellStyle name="Normal 8 6 2 2" xfId="501" xr:uid="{00000000-0005-0000-0000-000003080000}"/>
    <cellStyle name="Normal 8 6 2 2 2" xfId="1694" xr:uid="{00000000-0005-0000-0000-000004080000}"/>
    <cellStyle name="Normal 8 6 2 2 2 2" xfId="4944" xr:uid="{A65945E0-4531-4BF3-B431-6E1F80F4E9A2}"/>
    <cellStyle name="Normal 8 6 2 2 2 2 2" xfId="8324" xr:uid="{9E5E1E3A-35A6-4CF6-BEDA-D32FCBE8AB5F}"/>
    <cellStyle name="Normal 8 6 2 2 2 3" xfId="6624" xr:uid="{237FBCCE-A452-4485-B13A-6AEC34FF3A91}"/>
    <cellStyle name="Normal 8 6 2 2 2_DEO ADIT Unprotected" xfId="3891" xr:uid="{87AE6404-5159-4D43-9D43-918E5C14A9C7}"/>
    <cellStyle name="Normal 8 6 2 2 3" xfId="4107" xr:uid="{0BA10847-B679-4BC8-86E3-542D5B477AE4}"/>
    <cellStyle name="Normal 8 6 2 2 3 2" xfId="7487" xr:uid="{EB7B5D42-445B-42FB-A7BF-4F937FEC41CA}"/>
    <cellStyle name="Normal 8 6 2 2 4" xfId="5786" xr:uid="{D335F3F8-07DF-4DFB-AD5F-94ECEEB5BD3B}"/>
    <cellStyle name="Normal 8 6 2 2_DEO ADIT Unprotected" xfId="3890" xr:uid="{DE54B1ED-61CE-46DC-AAFB-E88EC4F80BC5}"/>
    <cellStyle name="Normal 8 6 2 3" xfId="1662" xr:uid="{00000000-0005-0000-0000-000005080000}"/>
    <cellStyle name="Normal 8 6 2 3 2" xfId="4912" xr:uid="{7490087B-8146-4D34-9381-6FF9B202EBCF}"/>
    <cellStyle name="Normal 8 6 2 3 2 2" xfId="8292" xr:uid="{9649EE12-85F4-4E8A-BB2E-0ECB1D9A78B8}"/>
    <cellStyle name="Normal 8 6 2 3 3" xfId="6592" xr:uid="{CB534847-8075-4B65-A612-6595E7BDAED9}"/>
    <cellStyle name="Normal 8 6 2 3_DEO ADIT Unprotected" xfId="3892" xr:uid="{BD477F02-9B17-47D1-9CB4-450EDA9848DB}"/>
    <cellStyle name="Normal 8 6 2 4" xfId="4075" xr:uid="{274D8BF2-33BE-4550-8E97-3E721E4B4CA5}"/>
    <cellStyle name="Normal 8 6 2 4 2" xfId="7455" xr:uid="{92C9112B-918B-43F0-A990-2B0B537F3974}"/>
    <cellStyle name="Normal 8 6 2 5" xfId="5754" xr:uid="{75AC4357-69C6-402D-B0B9-B37A18E58E57}"/>
    <cellStyle name="Normal 8 6 2_DEO ADIT Unprotected" xfId="3889" xr:uid="{3C333D85-0CAC-45C7-9777-2E912090C250}"/>
    <cellStyle name="Normal 8 6 3" xfId="458" xr:uid="{00000000-0005-0000-0000-000006080000}"/>
    <cellStyle name="Normal 8 6 3 2" xfId="493" xr:uid="{00000000-0005-0000-0000-000007080000}"/>
    <cellStyle name="Normal 8 6 3 2 2" xfId="1686" xr:uid="{00000000-0005-0000-0000-000008080000}"/>
    <cellStyle name="Normal 8 6 3 2 2 2" xfId="4936" xr:uid="{034DE616-5261-4704-95AB-EF00DB029C27}"/>
    <cellStyle name="Normal 8 6 3 2 2 2 2" xfId="8316" xr:uid="{C5CAA617-CD85-433B-8A97-058B965D79B3}"/>
    <cellStyle name="Normal 8 6 3 2 2 3" xfId="6616" xr:uid="{E14EF758-AC81-45AD-BB9B-0B25CD1BFDB9}"/>
    <cellStyle name="Normal 8 6 3 2 2_DEO ADIT Unprotected" xfId="3895" xr:uid="{E733B382-A79F-4D32-B115-9A8F94DCFF29}"/>
    <cellStyle name="Normal 8 6 3 2 3" xfId="4099" xr:uid="{E8CDCE4C-22FE-4A2E-B88B-8555FA6061F8}"/>
    <cellStyle name="Normal 8 6 3 2 3 2" xfId="7479" xr:uid="{9F03941B-2058-4A72-95D5-679DE3D7B255}"/>
    <cellStyle name="Normal 8 6 3 2 4" xfId="5778" xr:uid="{EFFB537E-FACD-4EDB-AC8C-58C989AFDEC0}"/>
    <cellStyle name="Normal 8 6 3 2_DEO ADIT Unprotected" xfId="3894" xr:uid="{C158CC38-23EB-46D5-A525-E1601561FB02}"/>
    <cellStyle name="Normal 8 6 3 3" xfId="1654" xr:uid="{00000000-0005-0000-0000-000009080000}"/>
    <cellStyle name="Normal 8 6 3 3 2" xfId="4904" xr:uid="{2C7BC580-E64F-4C2B-A55C-D2E02FD2CAC7}"/>
    <cellStyle name="Normal 8 6 3 3 2 2" xfId="8284" xr:uid="{6B990E5A-86F3-4019-B649-9AD73A735B57}"/>
    <cellStyle name="Normal 8 6 3 3 3" xfId="6584" xr:uid="{C0D10433-4751-4841-B731-BAFC6E429A9D}"/>
    <cellStyle name="Normal 8 6 3 3_DEO ADIT Unprotected" xfId="3896" xr:uid="{440308A0-796B-4CFC-9CDA-8957BFE557ED}"/>
    <cellStyle name="Normal 8 6 3 4" xfId="4067" xr:uid="{D29A383D-6354-43D3-9D85-C5D377237A19}"/>
    <cellStyle name="Normal 8 6 3 4 2" xfId="7447" xr:uid="{41BEDFC0-CDD1-4C4D-BAD1-162D31C170CE}"/>
    <cellStyle name="Normal 8 6 3 5" xfId="5746" xr:uid="{7D59505F-CBEA-4B87-A41D-FC0E0081DFDC}"/>
    <cellStyle name="Normal 8 6 3_DEO ADIT Unprotected" xfId="3893" xr:uid="{5EEAB27C-931D-4AC9-BC0C-4A966AF2B8D7}"/>
    <cellStyle name="Normal 8 6 4" xfId="477" xr:uid="{00000000-0005-0000-0000-00000A080000}"/>
    <cellStyle name="Normal 8 6 4 2" xfId="1670" xr:uid="{00000000-0005-0000-0000-00000B080000}"/>
    <cellStyle name="Normal 8 6 4 2 2" xfId="4920" xr:uid="{0758DBC8-B87F-4B1B-AAF4-FEC5FAF2514A}"/>
    <cellStyle name="Normal 8 6 4 2 2 2" xfId="8300" xr:uid="{A4DF1268-04C6-4E2B-B44B-671B64700027}"/>
    <cellStyle name="Normal 8 6 4 2 3" xfId="6600" xr:uid="{6C5B7124-0042-410E-91E9-593D1033D668}"/>
    <cellStyle name="Normal 8 6 4 2_DEO ADIT Unprotected" xfId="3898" xr:uid="{EADC2CDA-DE30-4158-8229-E43087254809}"/>
    <cellStyle name="Normal 8 6 4 3" xfId="4083" xr:uid="{31D08259-67B7-46A6-ABC0-38E632A4552E}"/>
    <cellStyle name="Normal 8 6 4 3 2" xfId="7463" xr:uid="{81E38843-25FA-45B7-AECB-F3D411ABDB39}"/>
    <cellStyle name="Normal 8 6 4 4" xfId="5762" xr:uid="{E8A4127C-61C7-45B3-8D80-333947C17AC0}"/>
    <cellStyle name="Normal 8 6 4_DEO ADIT Unprotected" xfId="3897" xr:uid="{9ADCB1D8-42F9-4EB8-ABB5-74D144FDE978}"/>
    <cellStyle name="Normal 8 6 5" xfId="510" xr:uid="{00000000-0005-0000-0000-00000C080000}"/>
    <cellStyle name="Normal 8 6 5 2" xfId="1702" xr:uid="{00000000-0005-0000-0000-00000D080000}"/>
    <cellStyle name="Normal 8 6 5 2 2" xfId="4952" xr:uid="{A356F934-BAA9-43C7-94ED-E4EDEA15F80D}"/>
    <cellStyle name="Normal 8 6 5 2 2 2" xfId="8332" xr:uid="{68EE9C01-7BB0-4594-B19A-52430505DE9A}"/>
    <cellStyle name="Normal 8 6 5 2 3" xfId="6632" xr:uid="{383831E5-2E26-4D99-9D8B-6E760C5A0BF8}"/>
    <cellStyle name="Normal 8 6 5 2_DEO ADIT Unprotected" xfId="3900" xr:uid="{DF0F1FE2-A62B-49AE-A7D1-D97892945405}"/>
    <cellStyle name="Normal 8 6 5 3" xfId="4115" xr:uid="{B0EFBD04-897D-451D-9855-3075DB5040B5}"/>
    <cellStyle name="Normal 8 6 5 3 2" xfId="7495" xr:uid="{CB7EBCC1-5EC4-4CC3-98AD-A7891AB7F92B}"/>
    <cellStyle name="Normal 8 6 5 4" xfId="5794" xr:uid="{4F2E5F1A-0152-40E1-8B59-94C3D02A1F06}"/>
    <cellStyle name="Normal 8 6 5_DEO ADIT Unprotected" xfId="3899" xr:uid="{9D4B469A-8402-411F-8E86-1B71615373F7}"/>
    <cellStyle name="Normal 8 6 6" xfId="1637" xr:uid="{00000000-0005-0000-0000-00000E080000}"/>
    <cellStyle name="Normal 8 6 6 2" xfId="4887" xr:uid="{96A4EEFB-7A28-4129-B2BC-82D12DD19EC8}"/>
    <cellStyle name="Normal 8 6 6 2 2" xfId="8267" xr:uid="{4E9113E0-30CA-4345-9F3D-0268608F1170}"/>
    <cellStyle name="Normal 8 6 6 3" xfId="6567" xr:uid="{EA72DF62-6105-4085-B5A7-DB7CE84A9659}"/>
    <cellStyle name="Normal 8 6 6_DEO ADIT Unprotected" xfId="3901" xr:uid="{7BB1D1BC-CA00-4FA3-BE18-48FDD355DBBB}"/>
    <cellStyle name="Normal 8 6 7" xfId="4050" xr:uid="{FCE2C739-658D-4DCD-86F3-093F3CA81068}"/>
    <cellStyle name="Normal 8 6 7 2" xfId="7430" xr:uid="{AF59D01A-B8D6-4C34-AC83-5CD7E96DE57C}"/>
    <cellStyle name="Normal 8 6 8" xfId="5729" xr:uid="{E5BBEF7A-E3D9-4226-BC13-A4B490555EDB}"/>
    <cellStyle name="Normal 8 6_DEO ADIT Unprotected" xfId="3888" xr:uid="{68693F13-29C0-4467-90A2-FED792D5830D}"/>
    <cellStyle name="Normal 8 7" xfId="421" xr:uid="{00000000-0005-0000-0000-00000F080000}"/>
    <cellStyle name="Normal 8 7 2" xfId="468" xr:uid="{00000000-0005-0000-0000-000010080000}"/>
    <cellStyle name="Normal 8 7 2 2" xfId="502" xr:uid="{00000000-0005-0000-0000-000011080000}"/>
    <cellStyle name="Normal 8 7 2 2 2" xfId="1695" xr:uid="{00000000-0005-0000-0000-000012080000}"/>
    <cellStyle name="Normal 8 7 2 2 2 2" xfId="4945" xr:uid="{4BFC2373-FC4C-4689-8A28-7DFD421463C7}"/>
    <cellStyle name="Normal 8 7 2 2 2 2 2" xfId="8325" xr:uid="{B4082286-04EE-4A27-A17D-1EBFC8A83B00}"/>
    <cellStyle name="Normal 8 7 2 2 2 3" xfId="6625" xr:uid="{FC695C80-AE5A-4E0D-951A-F545B1A5D4E3}"/>
    <cellStyle name="Normal 8 7 2 2 2_DEO ADIT Unprotected" xfId="3905" xr:uid="{8330C149-F41A-4C64-BFE0-E78BDF989187}"/>
    <cellStyle name="Normal 8 7 2 2 3" xfId="4108" xr:uid="{A8A1A2F7-926B-4616-8FE6-40A6A838D92E}"/>
    <cellStyle name="Normal 8 7 2 2 3 2" xfId="7488" xr:uid="{1A3B2464-85BA-46A2-A383-6764627622D2}"/>
    <cellStyle name="Normal 8 7 2 2 4" xfId="5787" xr:uid="{2FA4AA40-7E27-4596-9FE5-976A4644590E}"/>
    <cellStyle name="Normal 8 7 2 2_DEO ADIT Unprotected" xfId="3904" xr:uid="{79BF57B7-F9F4-4F65-A680-FFA9BFD7D792}"/>
    <cellStyle name="Normal 8 7 2 3" xfId="1663" xr:uid="{00000000-0005-0000-0000-000013080000}"/>
    <cellStyle name="Normal 8 7 2 3 2" xfId="4913" xr:uid="{8B01AD46-7FC2-461E-8AE9-1F957A3F75F5}"/>
    <cellStyle name="Normal 8 7 2 3 2 2" xfId="8293" xr:uid="{3F2B711A-FBBA-4B57-BB5E-8C68EBA74674}"/>
    <cellStyle name="Normal 8 7 2 3 3" xfId="6593" xr:uid="{7191871C-FF67-4EDC-9191-59DFC0CF16D4}"/>
    <cellStyle name="Normal 8 7 2 3_DEO ADIT Unprotected" xfId="3906" xr:uid="{C02A4B95-56C2-48EB-AECE-55745A11DA5E}"/>
    <cellStyle name="Normal 8 7 2 4" xfId="4076" xr:uid="{B6B4E8D7-AF87-42FD-B23C-D6B1E49B0ADA}"/>
    <cellStyle name="Normal 8 7 2 4 2" xfId="7456" xr:uid="{8339D555-760A-438F-AA99-99DAFBC5F7F0}"/>
    <cellStyle name="Normal 8 7 2 5" xfId="5755" xr:uid="{56C7F14D-ABCF-4D79-96A6-9CA6B6209006}"/>
    <cellStyle name="Normal 8 7 2_DEO ADIT Unprotected" xfId="3903" xr:uid="{D963E757-8C03-4C3A-91F2-DF693B994386}"/>
    <cellStyle name="Normal 8 7 3" xfId="459" xr:uid="{00000000-0005-0000-0000-000014080000}"/>
    <cellStyle name="Normal 8 7 3 2" xfId="494" xr:uid="{00000000-0005-0000-0000-000015080000}"/>
    <cellStyle name="Normal 8 7 3 2 2" xfId="1687" xr:uid="{00000000-0005-0000-0000-000016080000}"/>
    <cellStyle name="Normal 8 7 3 2 2 2" xfId="4937" xr:uid="{D85B21D0-063F-4D6E-87C6-1C611DD2819D}"/>
    <cellStyle name="Normal 8 7 3 2 2 2 2" xfId="8317" xr:uid="{515304D6-079C-4F74-B37A-EAAC2EAFEAF7}"/>
    <cellStyle name="Normal 8 7 3 2 2 3" xfId="6617" xr:uid="{AEF74059-6334-48D9-9B5B-9287A150686D}"/>
    <cellStyle name="Normal 8 7 3 2 2_DEO ADIT Unprotected" xfId="3909" xr:uid="{E4328938-4EDD-4DB1-92AC-C4BBF36BDEAE}"/>
    <cellStyle name="Normal 8 7 3 2 3" xfId="4100" xr:uid="{FFB8A454-D205-4EF4-930E-8EF971488BFB}"/>
    <cellStyle name="Normal 8 7 3 2 3 2" xfId="7480" xr:uid="{C17770BE-9963-4A6F-B0BD-0BF6F4A5C539}"/>
    <cellStyle name="Normal 8 7 3 2 4" xfId="5779" xr:uid="{E1B62667-40E7-4998-AE52-8220C5314A0E}"/>
    <cellStyle name="Normal 8 7 3 2_DEO ADIT Unprotected" xfId="3908" xr:uid="{3EED3619-A1EC-40F5-B26D-D02BBDD3E351}"/>
    <cellStyle name="Normal 8 7 3 3" xfId="1655" xr:uid="{00000000-0005-0000-0000-000017080000}"/>
    <cellStyle name="Normal 8 7 3 3 2" xfId="4905" xr:uid="{26B721B1-AF4A-4863-ABE0-EB8D54CCCA9C}"/>
    <cellStyle name="Normal 8 7 3 3 2 2" xfId="8285" xr:uid="{F293C63F-88C3-45BE-84D6-F2D0906D18AE}"/>
    <cellStyle name="Normal 8 7 3 3 3" xfId="6585" xr:uid="{9B847C20-85A2-4DC8-9C30-1E842A8439DB}"/>
    <cellStyle name="Normal 8 7 3 3_DEO ADIT Unprotected" xfId="3910" xr:uid="{2C89D9E5-8838-4DFA-9ABA-56BB72521356}"/>
    <cellStyle name="Normal 8 7 3 4" xfId="4068" xr:uid="{D803DCEB-8677-4D7A-AF7A-3E1A142744F4}"/>
    <cellStyle name="Normal 8 7 3 4 2" xfId="7448" xr:uid="{98522F57-76E7-4F8D-A423-AC281ED431B0}"/>
    <cellStyle name="Normal 8 7 3 5" xfId="5747" xr:uid="{392BC821-DC97-41AB-80DC-56A92784C0BA}"/>
    <cellStyle name="Normal 8 7 3_DEO ADIT Unprotected" xfId="3907" xr:uid="{A2CB0066-F577-4BED-824C-A9B6CFEDBF95}"/>
    <cellStyle name="Normal 8 7 4" xfId="478" xr:uid="{00000000-0005-0000-0000-000018080000}"/>
    <cellStyle name="Normal 8 7 4 2" xfId="1671" xr:uid="{00000000-0005-0000-0000-000019080000}"/>
    <cellStyle name="Normal 8 7 4 2 2" xfId="4921" xr:uid="{F501CB65-CB02-4FFA-96E4-5AAF6A264CC0}"/>
    <cellStyle name="Normal 8 7 4 2 2 2" xfId="8301" xr:uid="{C0240EFE-505F-4A6C-8F59-C526C15D1E45}"/>
    <cellStyle name="Normal 8 7 4 2 3" xfId="6601" xr:uid="{2B884939-166D-42B1-B10A-588EB3379D6F}"/>
    <cellStyle name="Normal 8 7 4 2_DEO ADIT Unprotected" xfId="3912" xr:uid="{69A334A4-BD94-4289-AB8E-CDCAF7044495}"/>
    <cellStyle name="Normal 8 7 4 3" xfId="4084" xr:uid="{E6E93C4A-488E-4982-A8AF-F7C19368291F}"/>
    <cellStyle name="Normal 8 7 4 3 2" xfId="7464" xr:uid="{112E0551-64A8-40C9-A76E-82DAA541429A}"/>
    <cellStyle name="Normal 8 7 4 4" xfId="5763" xr:uid="{A6009211-F1D7-4070-9FC9-7E4E9B25BDDB}"/>
    <cellStyle name="Normal 8 7 4_DEO ADIT Unprotected" xfId="3911" xr:uid="{5C0B4B9E-B19E-4F9D-BEC8-02792AE8DCD0}"/>
    <cellStyle name="Normal 8 7 5" xfId="511" xr:uid="{00000000-0005-0000-0000-00001A080000}"/>
    <cellStyle name="Normal 8 7 5 2" xfId="1703" xr:uid="{00000000-0005-0000-0000-00001B080000}"/>
    <cellStyle name="Normal 8 7 5 2 2" xfId="4953" xr:uid="{72127C5C-1A4F-4F68-B7DD-9A916A6DAE19}"/>
    <cellStyle name="Normal 8 7 5 2 2 2" xfId="8333" xr:uid="{5937C702-AF65-4415-B8B1-749106BFE7B1}"/>
    <cellStyle name="Normal 8 7 5 2 3" xfId="6633" xr:uid="{BB642E8F-F0BA-4306-B529-173B2163CBE9}"/>
    <cellStyle name="Normal 8 7 5 2_DEO ADIT Unprotected" xfId="3914" xr:uid="{C9F23618-2E89-4BD2-9C9F-813E89F8D47A}"/>
    <cellStyle name="Normal 8 7 5 3" xfId="4116" xr:uid="{D12DC665-0970-4DB2-B9CE-0585CBD4E0FF}"/>
    <cellStyle name="Normal 8 7 5 3 2" xfId="7496" xr:uid="{43471782-F04D-4FDD-A11B-6DC592088A5D}"/>
    <cellStyle name="Normal 8 7 5 4" xfId="5795" xr:uid="{93044842-239B-47D5-90FC-0EB5E55331AC}"/>
    <cellStyle name="Normal 8 7 5_DEO ADIT Unprotected" xfId="3913" xr:uid="{9EB2CFFF-BA18-4435-8A83-4E35339F33D8}"/>
    <cellStyle name="Normal 8 7 6" xfId="1638" xr:uid="{00000000-0005-0000-0000-00001C080000}"/>
    <cellStyle name="Normal 8 7 6 2" xfId="4888" xr:uid="{156B606B-F435-46DE-92A3-ADCEB77FEBA4}"/>
    <cellStyle name="Normal 8 7 6 2 2" xfId="8268" xr:uid="{735F61E1-999D-4086-AAE9-FFDD044241A0}"/>
    <cellStyle name="Normal 8 7 6 3" xfId="6568" xr:uid="{4E32BE16-9939-4C66-9484-FB8E72B7493A}"/>
    <cellStyle name="Normal 8 7 6_DEO ADIT Unprotected" xfId="3915" xr:uid="{24464064-591C-4D8E-BEA8-5E1AF725F857}"/>
    <cellStyle name="Normal 8 7 7" xfId="4051" xr:uid="{52BA9646-051C-4721-A84F-9482FC94DEDE}"/>
    <cellStyle name="Normal 8 7 7 2" xfId="7431" xr:uid="{F841DB0C-7BA4-4B50-B988-8277F59855F4}"/>
    <cellStyle name="Normal 8 7 8" xfId="5730" xr:uid="{05BA65B4-053D-4E49-985F-24E8B3D8A1CC}"/>
    <cellStyle name="Normal 8 7_DEO ADIT Unprotected" xfId="3902" xr:uid="{1A043490-6E33-41F3-B4D8-DDD2E07CA701}"/>
    <cellStyle name="Normal 8 8" xfId="447" xr:uid="{00000000-0005-0000-0000-00001D080000}"/>
    <cellStyle name="Normal 8 8 2" xfId="484" xr:uid="{00000000-0005-0000-0000-00001E080000}"/>
    <cellStyle name="Normal 8 8 2 2" xfId="1677" xr:uid="{00000000-0005-0000-0000-00001F080000}"/>
    <cellStyle name="Normal 8 8 2 2 2" xfId="4927" xr:uid="{19B556A1-7A4B-4343-A1EA-C5D2E6CBA41E}"/>
    <cellStyle name="Normal 8 8 2 2 2 2" xfId="8307" xr:uid="{76C55457-1EF7-4F07-B159-3A866E0CFCAA}"/>
    <cellStyle name="Normal 8 8 2 2 3" xfId="6607" xr:uid="{12C1757B-C184-4638-95C1-6DF30962AE3C}"/>
    <cellStyle name="Normal 8 8 2 2_DEO ADIT Unprotected" xfId="3918" xr:uid="{5DFF0507-2627-40DD-A659-F92CEA1369B7}"/>
    <cellStyle name="Normal 8 8 2 3" xfId="4090" xr:uid="{E61C311A-2FFB-4C1E-8141-8BA00DE1142D}"/>
    <cellStyle name="Normal 8 8 2 3 2" xfId="7470" xr:uid="{8026AE3A-AB12-46C5-8E88-76EE17FFFF67}"/>
    <cellStyle name="Normal 8 8 2 4" xfId="5769" xr:uid="{F119242A-70CA-4E2E-B92F-96F9F1AB64AC}"/>
    <cellStyle name="Normal 8 8 2_DEO ADIT Unprotected" xfId="3917" xr:uid="{67B027F9-AE57-4FC6-8DE4-1BEF055C7EB9}"/>
    <cellStyle name="Normal 8 8 3" xfId="1645" xr:uid="{00000000-0005-0000-0000-000020080000}"/>
    <cellStyle name="Normal 8 8 3 2" xfId="4895" xr:uid="{E4F594AC-B319-4902-9516-85AF83A4D287}"/>
    <cellStyle name="Normal 8 8 3 2 2" xfId="8275" xr:uid="{CDCC75A0-0C4D-4D63-BD55-063C4CA8BBFD}"/>
    <cellStyle name="Normal 8 8 3 3" xfId="6575" xr:uid="{93691CB9-CBA4-4F9D-810A-18BC344CDA82}"/>
    <cellStyle name="Normal 8 8 3_DEO ADIT Unprotected" xfId="3919" xr:uid="{F382986E-C8F6-477C-BF2A-C4198FD6528E}"/>
    <cellStyle name="Normal 8 8 4" xfId="4058" xr:uid="{7522C330-09F9-4E5D-A268-205AAF9CA752}"/>
    <cellStyle name="Normal 8 8 4 2" xfId="7438" xr:uid="{D0F02152-3EFA-4871-BC50-4D10D8CC7AFE}"/>
    <cellStyle name="Normal 8 8 5" xfId="5737" xr:uid="{2A366390-CA78-424A-88EC-CBA6B855F5D9}"/>
    <cellStyle name="Normal 8 8_DEO ADIT Unprotected" xfId="3916" xr:uid="{9E0E087F-DA0E-4287-BCE9-88BFC00BC171}"/>
    <cellStyle name="Normal 8 9" xfId="461" xr:uid="{00000000-0005-0000-0000-000021080000}"/>
    <cellStyle name="Normal 8 9 2" xfId="495" xr:uid="{00000000-0005-0000-0000-000022080000}"/>
    <cellStyle name="Normal 8 9 2 2" xfId="1688" xr:uid="{00000000-0005-0000-0000-000023080000}"/>
    <cellStyle name="Normal 8 9 2 2 2" xfId="4938" xr:uid="{16015BA0-2ABD-487E-8D53-DF267A251520}"/>
    <cellStyle name="Normal 8 9 2 2 2 2" xfId="8318" xr:uid="{54EFABE9-3D9E-4FC7-9157-1B13607407DE}"/>
    <cellStyle name="Normal 8 9 2 2 3" xfId="6618" xr:uid="{03001BF8-0AA3-49FE-9916-9CF7A465E392}"/>
    <cellStyle name="Normal 8 9 2 2_DEO ADIT Unprotected" xfId="3922" xr:uid="{920E8B8B-41E5-4AC4-ADDC-BDDD43E5EE16}"/>
    <cellStyle name="Normal 8 9 2 3" xfId="4101" xr:uid="{01605035-8391-4C59-B48B-A80EA83BA416}"/>
    <cellStyle name="Normal 8 9 2 3 2" xfId="7481" xr:uid="{AE1336C4-A974-49B1-96AB-79834DC251A5}"/>
    <cellStyle name="Normal 8 9 2 4" xfId="5780" xr:uid="{95786507-7437-4AD1-9565-D11850CAE517}"/>
    <cellStyle name="Normal 8 9 2_DEO ADIT Unprotected" xfId="3921" xr:uid="{E228CC90-908C-4D01-98DC-0A642187B74C}"/>
    <cellStyle name="Normal 8 9 3" xfId="1656" xr:uid="{00000000-0005-0000-0000-000024080000}"/>
    <cellStyle name="Normal 8 9 3 2" xfId="4906" xr:uid="{BF35BE8A-ECFF-4CA8-B945-EB9582E72F0D}"/>
    <cellStyle name="Normal 8 9 3 2 2" xfId="8286" xr:uid="{563EF40B-3808-40B9-AB69-23A6D0BB91B2}"/>
    <cellStyle name="Normal 8 9 3 3" xfId="6586" xr:uid="{069D7915-84EE-4BEC-9009-733CA88D94CA}"/>
    <cellStyle name="Normal 8 9 3_DEO ADIT Unprotected" xfId="3923" xr:uid="{6C472B1E-356E-42BA-A6D1-4FC0FCCC7BF1}"/>
    <cellStyle name="Normal 8 9 4" xfId="4069" xr:uid="{E10F4875-8671-4755-9B6D-B26C8F78BEBE}"/>
    <cellStyle name="Normal 8 9 4 2" xfId="7449" xr:uid="{DAFC3C30-9B92-444A-A076-32CD8D246A4D}"/>
    <cellStyle name="Normal 8 9 5" xfId="5748" xr:uid="{4B380C38-7364-4C29-99BA-FBF3341E6964}"/>
    <cellStyle name="Normal 8 9_DEO ADIT Unprotected" xfId="3920" xr:uid="{3DB8D826-6455-4682-8DD5-67EE92E4E8C6}"/>
    <cellStyle name="Normal 8_DEO ADIT Unprotected" xfId="3810" xr:uid="{845FC38E-A0DE-4F40-95A9-5CFCCE22DB96}"/>
    <cellStyle name="Normal 80" xfId="1483" xr:uid="{00000000-0005-0000-0000-000025080000}"/>
    <cellStyle name="Normal 80 2" xfId="1484" xr:uid="{00000000-0005-0000-0000-000026080000}"/>
    <cellStyle name="Normal 80 2 2" xfId="2392" xr:uid="{00000000-0005-0000-0000-000027080000}"/>
    <cellStyle name="Normal 80 2 2 2" xfId="5642" xr:uid="{B602F273-0EAC-4337-9011-7C52BB491D8A}"/>
    <cellStyle name="Normal 80 2 2 2 2" xfId="9022" xr:uid="{3F1762B2-CDEE-4E68-9649-01F2F18B56F5}"/>
    <cellStyle name="Normal 80 2 2 3" xfId="7322" xr:uid="{5671CE7D-6CBA-4AE8-BE8F-F47CA0C9C421}"/>
    <cellStyle name="Normal 80 2 2_DEO ADIT Unprotected" xfId="3926" xr:uid="{3AE32D1B-D82C-45C4-BC63-65CA82908B1C}"/>
    <cellStyle name="Normal 80 2 3" xfId="4805" xr:uid="{F84A15BE-5670-4AEC-AF34-B4D4A41D1D05}"/>
    <cellStyle name="Normal 80 2 3 2" xfId="8185" xr:uid="{0DEC3D52-2464-45E6-991B-EEE2E10DEFD5}"/>
    <cellStyle name="Normal 80 2 4" xfId="6485" xr:uid="{C92532D6-46A7-4EA5-BD73-87825DE151DA}"/>
    <cellStyle name="Normal 80 2_DEO ADIT Unprotected" xfId="3925" xr:uid="{AD148C21-4FE1-4D4F-AE7E-4F1524504847}"/>
    <cellStyle name="Normal 80 3" xfId="2391" xr:uid="{00000000-0005-0000-0000-000028080000}"/>
    <cellStyle name="Normal 80 3 2" xfId="5641" xr:uid="{F9A14EAC-F159-4291-BB00-374F99FD2FD4}"/>
    <cellStyle name="Normal 80 3 2 2" xfId="9021" xr:uid="{8001AF4D-FBD5-4E2D-949E-E1F8F780FAF7}"/>
    <cellStyle name="Normal 80 3 3" xfId="7321" xr:uid="{0981777C-0114-40F7-B638-0BABBDA84BBD}"/>
    <cellStyle name="Normal 80 3_DEO ADIT Unprotected" xfId="3927" xr:uid="{871D382C-7F24-4F0D-8886-81C8650F62F4}"/>
    <cellStyle name="Normal 80 4" xfId="4804" xr:uid="{F0622244-221E-46C4-BAB7-00D62F548F75}"/>
    <cellStyle name="Normal 80 4 2" xfId="8184" xr:uid="{1C681099-8E67-4856-BA39-54807F489BD6}"/>
    <cellStyle name="Normal 80 5" xfId="6484" xr:uid="{74CC5E5D-9157-4296-A7AB-24ACA770434A}"/>
    <cellStyle name="Normal 80_DEO ADIT Unprotected" xfId="3924" xr:uid="{88CF82B7-2BFF-477C-A973-6211669AC8D2}"/>
    <cellStyle name="Normal 81" xfId="1485" xr:uid="{00000000-0005-0000-0000-000029080000}"/>
    <cellStyle name="Normal 81 2" xfId="1486" xr:uid="{00000000-0005-0000-0000-00002A080000}"/>
    <cellStyle name="Normal 81 2 2" xfId="2394" xr:uid="{00000000-0005-0000-0000-00002B080000}"/>
    <cellStyle name="Normal 81 2 2 2" xfId="5644" xr:uid="{49023011-7BDE-4795-9165-8D34B8ADED87}"/>
    <cellStyle name="Normal 81 2 2 2 2" xfId="9024" xr:uid="{5A3A20DF-64AF-43FE-A7C5-EBADDC96054E}"/>
    <cellStyle name="Normal 81 2 2 3" xfId="7324" xr:uid="{0EFA8EC5-0B03-4098-A4AA-8A961AEE4225}"/>
    <cellStyle name="Normal 81 2 2_DEO ADIT Unprotected" xfId="3930" xr:uid="{8F4BA7F7-555F-4AA2-8CC2-0BEC8ED7D0C5}"/>
    <cellStyle name="Normal 81 2 3" xfId="4807" xr:uid="{F6D8BBF8-1436-4982-9CDB-D6BBDFDF761B}"/>
    <cellStyle name="Normal 81 2 3 2" xfId="8187" xr:uid="{96288D57-C780-4133-B916-3336827DBA1F}"/>
    <cellStyle name="Normal 81 2 4" xfId="6487" xr:uid="{30D9415B-7EC0-4AD1-BD61-05F0D3214052}"/>
    <cellStyle name="Normal 81 2_DEO ADIT Unprotected" xfId="3929" xr:uid="{1B720E9F-4A32-48F0-86EC-1C613326D459}"/>
    <cellStyle name="Normal 81 3" xfId="2393" xr:uid="{00000000-0005-0000-0000-00002C080000}"/>
    <cellStyle name="Normal 81 3 2" xfId="5643" xr:uid="{D82A965C-B067-4C78-A0B8-3204BAC6D77D}"/>
    <cellStyle name="Normal 81 3 2 2" xfId="9023" xr:uid="{B026BDEF-F67C-462D-B3DB-EC6038C33B07}"/>
    <cellStyle name="Normal 81 3 3" xfId="7323" xr:uid="{394F6203-113E-4528-BF9D-57EA26A07BC3}"/>
    <cellStyle name="Normal 81 3_DEO ADIT Unprotected" xfId="3931" xr:uid="{47305D2A-AA9F-48CA-B516-7A215D84ED00}"/>
    <cellStyle name="Normal 81 4" xfId="4806" xr:uid="{86A332F1-92CC-4E75-A927-73942AC99A35}"/>
    <cellStyle name="Normal 81 4 2" xfId="8186" xr:uid="{AD678E53-216C-4FBC-B070-433F62853660}"/>
    <cellStyle name="Normal 81 5" xfId="6486" xr:uid="{4A3CC871-744C-47B5-A9E7-F44035E8E485}"/>
    <cellStyle name="Normal 81_DEO ADIT Unprotected" xfId="3928" xr:uid="{48B939F7-73F4-4652-A4F4-CF56A87DBCD3}"/>
    <cellStyle name="Normal 82" xfId="1487" xr:uid="{00000000-0005-0000-0000-00002D080000}"/>
    <cellStyle name="Normal 82 2" xfId="1488" xr:uid="{00000000-0005-0000-0000-00002E080000}"/>
    <cellStyle name="Normal 82 2 2" xfId="2396" xr:uid="{00000000-0005-0000-0000-00002F080000}"/>
    <cellStyle name="Normal 82 2 2 2" xfId="5646" xr:uid="{D1F68E4D-533D-4760-A748-0D309B814F91}"/>
    <cellStyle name="Normal 82 2 2 2 2" xfId="9026" xr:uid="{A83180B4-8EC3-4D40-8A10-1BDCCD3AD02F}"/>
    <cellStyle name="Normal 82 2 2 3" xfId="7326" xr:uid="{72B72F22-4694-48BD-991F-3A0DFD21E838}"/>
    <cellStyle name="Normal 82 2 2_DEO ADIT Unprotected" xfId="3934" xr:uid="{FED61525-040F-44F8-BAF5-1ACD1520921C}"/>
    <cellStyle name="Normal 82 2 3" xfId="4809" xr:uid="{A75E6CF7-BBD1-4AE6-BA44-55FADF90D25F}"/>
    <cellStyle name="Normal 82 2 3 2" xfId="8189" xr:uid="{ED4DB097-4E16-48F5-A6BE-36C1F6F24CDA}"/>
    <cellStyle name="Normal 82 2 4" xfId="6489" xr:uid="{9F9748E2-3F0F-4F68-81AA-25043756AEEC}"/>
    <cellStyle name="Normal 82 2_DEO ADIT Unprotected" xfId="3933" xr:uid="{ACE43472-258C-47DF-9052-1ABD400F159D}"/>
    <cellStyle name="Normal 82 3" xfId="2395" xr:uid="{00000000-0005-0000-0000-000030080000}"/>
    <cellStyle name="Normal 82 3 2" xfId="5645" xr:uid="{1CD60999-D4B6-40DA-AE91-1D112BDE2744}"/>
    <cellStyle name="Normal 82 3 2 2" xfId="9025" xr:uid="{42876B3C-44CB-4696-B0D7-10420B59C36B}"/>
    <cellStyle name="Normal 82 3 3" xfId="7325" xr:uid="{90D437A3-592B-41EF-9C31-0DB844C55C0E}"/>
    <cellStyle name="Normal 82 3_DEO ADIT Unprotected" xfId="3935" xr:uid="{94F6CAE2-46CF-47F0-9C24-9066ABCF15BB}"/>
    <cellStyle name="Normal 82 4" xfId="4808" xr:uid="{CF6FA5C8-9445-4F12-81A2-388681EA4868}"/>
    <cellStyle name="Normal 82 4 2" xfId="8188" xr:uid="{AF2859CE-7B6B-4146-B4AC-BEB6C6434C97}"/>
    <cellStyle name="Normal 82 5" xfId="6488" xr:uid="{75498CA7-0CD5-46B4-A651-A78B17EB4E54}"/>
    <cellStyle name="Normal 82_DEO ADIT Unprotected" xfId="3932" xr:uid="{A54221F3-84AE-4715-AF81-7F3A358EE515}"/>
    <cellStyle name="Normal 83" xfId="1489" xr:uid="{00000000-0005-0000-0000-000031080000}"/>
    <cellStyle name="Normal 83 2" xfId="1490" xr:uid="{00000000-0005-0000-0000-000032080000}"/>
    <cellStyle name="Normal 83 2 2" xfId="2398" xr:uid="{00000000-0005-0000-0000-000033080000}"/>
    <cellStyle name="Normal 83 2 2 2" xfId="5648" xr:uid="{FF5BBE5A-FC53-4C27-B875-675C2051B946}"/>
    <cellStyle name="Normal 83 2 2 2 2" xfId="9028" xr:uid="{258163F5-9B95-4D41-B5F4-7FE981C078B2}"/>
    <cellStyle name="Normal 83 2 2 3" xfId="7328" xr:uid="{953F08BA-D128-4178-B93F-1AE0783B851A}"/>
    <cellStyle name="Normal 83 2 2_DEO ADIT Unprotected" xfId="3938" xr:uid="{BD34AE1D-0B03-4620-BCDE-3927C6C4A5C7}"/>
    <cellStyle name="Normal 83 2 3" xfId="4811" xr:uid="{B52ECFAB-1484-44B5-B866-9F47FD48CC74}"/>
    <cellStyle name="Normal 83 2 3 2" xfId="8191" xr:uid="{5169C81D-0D68-4FFC-81CE-970E37A524B2}"/>
    <cellStyle name="Normal 83 2 4" xfId="6491" xr:uid="{1215AC1B-8A22-4227-939B-79E6FBB87C6A}"/>
    <cellStyle name="Normal 83 2_DEO ADIT Unprotected" xfId="3937" xr:uid="{9CA2656C-EF6A-4136-9B79-A723F441F2A0}"/>
    <cellStyle name="Normal 83 3" xfId="2397" xr:uid="{00000000-0005-0000-0000-000034080000}"/>
    <cellStyle name="Normal 83 3 2" xfId="5647" xr:uid="{52AB6DEE-E00B-47C9-9466-712883ABB43E}"/>
    <cellStyle name="Normal 83 3 2 2" xfId="9027" xr:uid="{0484DD50-28BA-4292-8752-B49E501395B2}"/>
    <cellStyle name="Normal 83 3 3" xfId="7327" xr:uid="{403CB7F5-1B03-4E9C-946C-1F7515BD6BEB}"/>
    <cellStyle name="Normal 83 3_DEO ADIT Unprotected" xfId="3939" xr:uid="{FACA85B8-2FC8-43DD-80EE-A12139656D64}"/>
    <cellStyle name="Normal 83 4" xfId="4810" xr:uid="{9EC37A56-94A6-4DFA-A638-398B83E16387}"/>
    <cellStyle name="Normal 83 4 2" xfId="8190" xr:uid="{5B5FECFA-FE99-4E28-BD60-B10420C4083D}"/>
    <cellStyle name="Normal 83 5" xfId="6490" xr:uid="{BB521C68-96D4-4A4F-A13E-DEBB490CD7DB}"/>
    <cellStyle name="Normal 83_DEO ADIT Unprotected" xfId="3936" xr:uid="{9F0E92B9-47F2-4E62-AAB3-F2FF0DB4B2FE}"/>
    <cellStyle name="Normal 84" xfId="1491" xr:uid="{00000000-0005-0000-0000-000035080000}"/>
    <cellStyle name="Normal 84 2" xfId="1492" xr:uid="{00000000-0005-0000-0000-000036080000}"/>
    <cellStyle name="Normal 84 2 2" xfId="2400" xr:uid="{00000000-0005-0000-0000-000037080000}"/>
    <cellStyle name="Normal 84 2 2 2" xfId="5650" xr:uid="{076502A8-F57D-4C09-B6AC-0DF154926A46}"/>
    <cellStyle name="Normal 84 2 2 2 2" xfId="9030" xr:uid="{5B31BA76-C84D-415F-B8EB-7B965423CB4E}"/>
    <cellStyle name="Normal 84 2 2 3" xfId="7330" xr:uid="{C10B7AF5-A197-48CC-B98B-EA901DCA2A2E}"/>
    <cellStyle name="Normal 84 2 2_DEO ADIT Unprotected" xfId="3942" xr:uid="{3E2C7F84-0806-4B7E-925C-64E2DDE041BA}"/>
    <cellStyle name="Normal 84 2 3" xfId="4813" xr:uid="{BAC82E2D-2008-446C-940F-8ACEEECAB651}"/>
    <cellStyle name="Normal 84 2 3 2" xfId="8193" xr:uid="{EEE21385-1D5D-458E-B205-334D63D07C10}"/>
    <cellStyle name="Normal 84 2 4" xfId="6493" xr:uid="{5B7EB38F-C8EE-4B94-8724-6930478CD786}"/>
    <cellStyle name="Normal 84 2_DEO ADIT Unprotected" xfId="3941" xr:uid="{2FA856FC-4B68-4CD3-9E0B-E148A80D1A28}"/>
    <cellStyle name="Normal 84 3" xfId="2399" xr:uid="{00000000-0005-0000-0000-000038080000}"/>
    <cellStyle name="Normal 84 3 2" xfId="5649" xr:uid="{DC950F39-696A-42B0-9741-DD1948DB67E9}"/>
    <cellStyle name="Normal 84 3 2 2" xfId="9029" xr:uid="{DCEE9DD2-333B-4EF7-8EB2-1A96CB28EBDE}"/>
    <cellStyle name="Normal 84 3 3" xfId="7329" xr:uid="{F074E429-402B-41F1-A765-8BBC4B0C3363}"/>
    <cellStyle name="Normal 84 3_DEO ADIT Unprotected" xfId="3943" xr:uid="{142C977C-C248-4EE2-9588-6011CE49DA01}"/>
    <cellStyle name="Normal 84 4" xfId="4812" xr:uid="{39FB7E60-F174-4A43-8D73-71EE5E0F9C6A}"/>
    <cellStyle name="Normal 84 4 2" xfId="8192" xr:uid="{C7381F96-E3B1-42C3-A6D4-ACD27213A6C9}"/>
    <cellStyle name="Normal 84 5" xfId="6492" xr:uid="{C8C0E73D-0ABA-41B5-AC5B-2B93EC9B2901}"/>
    <cellStyle name="Normal 84_DEO ADIT Unprotected" xfId="3940" xr:uid="{3726284F-97DF-49AA-B3ED-07EB679C56E0}"/>
    <cellStyle name="Normal 85" xfId="1493" xr:uid="{00000000-0005-0000-0000-000039080000}"/>
    <cellStyle name="Normal 85 2" xfId="1494" xr:uid="{00000000-0005-0000-0000-00003A080000}"/>
    <cellStyle name="Normal 85 2 2" xfId="2402" xr:uid="{00000000-0005-0000-0000-00003B080000}"/>
    <cellStyle name="Normal 85 2 2 2" xfId="5652" xr:uid="{18A8E9EB-C94D-417C-879E-E0845E4E08F5}"/>
    <cellStyle name="Normal 85 2 2 2 2" xfId="9032" xr:uid="{6BA09424-B3DC-4452-85FC-6E81BD49350D}"/>
    <cellStyle name="Normal 85 2 2 3" xfId="7332" xr:uid="{5F629495-2689-4672-9ACF-176D2FE0A122}"/>
    <cellStyle name="Normal 85 2 2_DEO ADIT Unprotected" xfId="3946" xr:uid="{66C75D35-226F-4EE8-8999-34B5FFE3E393}"/>
    <cellStyle name="Normal 85 2 3" xfId="4815" xr:uid="{2207B9BB-CF2D-4F6B-B28A-B2AC3B34E1D4}"/>
    <cellStyle name="Normal 85 2 3 2" xfId="8195" xr:uid="{C36EB810-B64B-4AB9-AED5-AED89C9617FB}"/>
    <cellStyle name="Normal 85 2 4" xfId="6495" xr:uid="{014DD4D6-09D9-4FCA-846A-7FD2F2758EE6}"/>
    <cellStyle name="Normal 85 2_DEO ADIT Unprotected" xfId="3945" xr:uid="{816ED735-48D0-41F8-8655-04A5559CC939}"/>
    <cellStyle name="Normal 85 3" xfId="2401" xr:uid="{00000000-0005-0000-0000-00003C080000}"/>
    <cellStyle name="Normal 85 3 2" xfId="5651" xr:uid="{A0E60CF0-5210-44B7-96B3-215A6BAE6F75}"/>
    <cellStyle name="Normal 85 3 2 2" xfId="9031" xr:uid="{7D808CC3-68AD-4709-B20D-183E14734E13}"/>
    <cellStyle name="Normal 85 3 3" xfId="7331" xr:uid="{A58E84DF-77E5-4B69-84D3-5C4A938024FC}"/>
    <cellStyle name="Normal 85 3_DEO ADIT Unprotected" xfId="3947" xr:uid="{3A3DF251-23CF-4F6F-8620-47BD2C1778A8}"/>
    <cellStyle name="Normal 85 4" xfId="4814" xr:uid="{92D503B2-1E84-4286-83CE-36B3662D62D9}"/>
    <cellStyle name="Normal 85 4 2" xfId="8194" xr:uid="{18D223EE-DA9B-4826-85B5-B7BE79BF38F4}"/>
    <cellStyle name="Normal 85 5" xfId="6494" xr:uid="{589B943A-FD0D-40E7-A816-0E3FBAF11289}"/>
    <cellStyle name="Normal 85_DEO ADIT Unprotected" xfId="3944" xr:uid="{50FBAB65-08E3-4DD8-BA6B-C3E87E455C32}"/>
    <cellStyle name="Normal 86" xfId="1495" xr:uid="{00000000-0005-0000-0000-00003D080000}"/>
    <cellStyle name="Normal 86 2" xfId="1496" xr:uid="{00000000-0005-0000-0000-00003E080000}"/>
    <cellStyle name="Normal 86 2 2" xfId="2404" xr:uid="{00000000-0005-0000-0000-00003F080000}"/>
    <cellStyle name="Normal 86 2 2 2" xfId="5654" xr:uid="{64C167F8-A6A9-467F-A5EB-D6D89A89A33A}"/>
    <cellStyle name="Normal 86 2 2 2 2" xfId="9034" xr:uid="{0293B775-90FB-43E4-A2B1-4FB4868BC6AD}"/>
    <cellStyle name="Normal 86 2 2 3" xfId="7334" xr:uid="{A3F98F51-EAFF-40CA-B807-8C3DC910E715}"/>
    <cellStyle name="Normal 86 2 2_DEO ADIT Unprotected" xfId="3950" xr:uid="{7B18E304-A745-4BF9-AC02-C462345B9FF8}"/>
    <cellStyle name="Normal 86 2 3" xfId="4817" xr:uid="{AC73A2A0-18D1-4195-9DC7-E7BD62E8FAA9}"/>
    <cellStyle name="Normal 86 2 3 2" xfId="8197" xr:uid="{DD4F4F0F-2FA5-4AAD-9DA8-D5229BEBB1D6}"/>
    <cellStyle name="Normal 86 2 4" xfId="6497" xr:uid="{3FDAC443-08A6-4F51-AFDD-B57F5F080902}"/>
    <cellStyle name="Normal 86 2_DEO ADIT Unprotected" xfId="3949" xr:uid="{A3224BB6-871C-42F8-A073-B823B2C66C4A}"/>
    <cellStyle name="Normal 86 3" xfId="2403" xr:uid="{00000000-0005-0000-0000-000040080000}"/>
    <cellStyle name="Normal 86 3 2" xfId="5653" xr:uid="{7F853549-9C32-4829-BD26-41DF3DDBA7DB}"/>
    <cellStyle name="Normal 86 3 2 2" xfId="9033" xr:uid="{F6065B9C-18AC-4495-A943-1D4A3A06F64C}"/>
    <cellStyle name="Normal 86 3 3" xfId="7333" xr:uid="{477333C0-BA05-44C8-8320-C080D8E66312}"/>
    <cellStyle name="Normal 86 3_DEO ADIT Unprotected" xfId="3951" xr:uid="{753CFFF5-4E21-4D28-BF92-6EE0BF38B3E9}"/>
    <cellStyle name="Normal 86 4" xfId="4816" xr:uid="{DA3D9763-A6D2-4284-BF83-1E761C2980EB}"/>
    <cellStyle name="Normal 86 4 2" xfId="8196" xr:uid="{2382EC5C-5CB1-4E96-95F3-9BA19F7F8428}"/>
    <cellStyle name="Normal 86 5" xfId="6496" xr:uid="{04E59569-E952-4A6B-B646-E11740AB2092}"/>
    <cellStyle name="Normal 86_DEO ADIT Unprotected" xfId="3948" xr:uid="{52199A8D-420C-49E5-B4BA-3D1981AA4D85}"/>
    <cellStyle name="Normal 87" xfId="1497" xr:uid="{00000000-0005-0000-0000-000041080000}"/>
    <cellStyle name="Normal 87 2" xfId="1498" xr:uid="{00000000-0005-0000-0000-000042080000}"/>
    <cellStyle name="Normal 87 2 2" xfId="2406" xr:uid="{00000000-0005-0000-0000-000043080000}"/>
    <cellStyle name="Normal 87 2 2 2" xfId="5656" xr:uid="{D5F7AEE4-BDD8-45FC-AEC3-75DABDA0E7FB}"/>
    <cellStyle name="Normal 87 2 2 2 2" xfId="9036" xr:uid="{A3E247F7-988A-4FDA-BE03-2A8A591CB708}"/>
    <cellStyle name="Normal 87 2 2 3" xfId="7336" xr:uid="{58C95B4A-5B25-4F5F-9D92-A5809C29BF01}"/>
    <cellStyle name="Normal 87 2 2_DEO ADIT Unprotected" xfId="3954" xr:uid="{8E2EC547-C5F1-47E1-B772-7FB6E3BDCC9D}"/>
    <cellStyle name="Normal 87 2 3" xfId="4819" xr:uid="{8C7E3334-F348-4E08-9BEF-9FDD11F98E7F}"/>
    <cellStyle name="Normal 87 2 3 2" xfId="8199" xr:uid="{4548D3BC-850B-4A5C-AD69-02F2794E6D35}"/>
    <cellStyle name="Normal 87 2 4" xfId="6499" xr:uid="{7313CCB3-D451-4654-925E-433D71E37939}"/>
    <cellStyle name="Normal 87 2_DEO ADIT Unprotected" xfId="3953" xr:uid="{164735BE-D85B-443C-A8EE-E0B9E448F888}"/>
    <cellStyle name="Normal 87 3" xfId="2405" xr:uid="{00000000-0005-0000-0000-000044080000}"/>
    <cellStyle name="Normal 87 3 2" xfId="5655" xr:uid="{5FAB7B47-331D-481E-BFDC-00644AB8066B}"/>
    <cellStyle name="Normal 87 3 2 2" xfId="9035" xr:uid="{E126D755-05C0-4E62-9D59-BF9B3190B5B1}"/>
    <cellStyle name="Normal 87 3 3" xfId="7335" xr:uid="{6AAD17AC-5B11-4B39-AADA-2043AC6C1829}"/>
    <cellStyle name="Normal 87 3_DEO ADIT Unprotected" xfId="3955" xr:uid="{41A6B249-CC98-4625-8AC2-95340843C78C}"/>
    <cellStyle name="Normal 87 4" xfId="4818" xr:uid="{C3D6C307-810E-4E80-822F-D87FF19E0BBF}"/>
    <cellStyle name="Normal 87 4 2" xfId="8198" xr:uid="{92C0E606-D310-4939-A5F3-A2EDFE55CFA5}"/>
    <cellStyle name="Normal 87 5" xfId="6498" xr:uid="{0C7F3A6C-14B0-428A-9DEE-5B82DC1801FE}"/>
    <cellStyle name="Normal 87_DEO ADIT Unprotected" xfId="3952" xr:uid="{98966A9D-56C7-49E2-B93D-B7687EF522A7}"/>
    <cellStyle name="Normal 88" xfId="1499" xr:uid="{00000000-0005-0000-0000-000045080000}"/>
    <cellStyle name="Normal 88 2" xfId="1500" xr:uid="{00000000-0005-0000-0000-000046080000}"/>
    <cellStyle name="Normal 88 2 2" xfId="2408" xr:uid="{00000000-0005-0000-0000-000047080000}"/>
    <cellStyle name="Normal 88 2 2 2" xfId="5658" xr:uid="{3AE1BB19-0F3E-4CCE-B642-E37B0946A13E}"/>
    <cellStyle name="Normal 88 2 2 2 2" xfId="9038" xr:uid="{CF9C95C0-6F4A-479C-A18B-3583A74CC933}"/>
    <cellStyle name="Normal 88 2 2 3" xfId="7338" xr:uid="{2460B414-437D-41FD-8DF2-B2ABB1D55385}"/>
    <cellStyle name="Normal 88 2 2_DEO ADIT Unprotected" xfId="3958" xr:uid="{66D951D5-0273-4D08-B861-F13B74EC0219}"/>
    <cellStyle name="Normal 88 2 3" xfId="4821" xr:uid="{64F028FE-8AD6-440B-ACFB-4AD29AA9AAB4}"/>
    <cellStyle name="Normal 88 2 3 2" xfId="8201" xr:uid="{8E78C900-5CB6-4F80-82BB-CE6150E8A949}"/>
    <cellStyle name="Normal 88 2 4" xfId="6501" xr:uid="{D897E56B-B037-4907-88F4-CFB54D7F8362}"/>
    <cellStyle name="Normal 88 2_DEO ADIT Unprotected" xfId="3957" xr:uid="{E7B12E13-E338-4B16-A89A-7C8EFAF1401A}"/>
    <cellStyle name="Normal 88 3" xfId="2407" xr:uid="{00000000-0005-0000-0000-000048080000}"/>
    <cellStyle name="Normal 88 3 2" xfId="5657" xr:uid="{C381173C-80C5-4AB3-9874-DD4BD012E0DB}"/>
    <cellStyle name="Normal 88 3 2 2" xfId="9037" xr:uid="{F9BF32F6-610B-413B-B0D3-55F77689B411}"/>
    <cellStyle name="Normal 88 3 3" xfId="7337" xr:uid="{494B93B3-7B07-40E1-B3DC-70BB1FCFDE7E}"/>
    <cellStyle name="Normal 88 3_DEO ADIT Unprotected" xfId="3959" xr:uid="{06028727-D01E-43B2-8EDA-A3E5347637E4}"/>
    <cellStyle name="Normal 88 4" xfId="4820" xr:uid="{8C696477-3BB2-4A9F-8F9E-7A281E070844}"/>
    <cellStyle name="Normal 88 4 2" xfId="8200" xr:uid="{4B3DF848-7F72-4933-ADFD-439F1B791242}"/>
    <cellStyle name="Normal 88 5" xfId="6500" xr:uid="{78482018-8B0B-4C1A-A889-0CFD4D894BF2}"/>
    <cellStyle name="Normal 88_DEO ADIT Unprotected" xfId="3956" xr:uid="{E6C0C7F9-819A-4509-91FC-912605F06FA4}"/>
    <cellStyle name="Normal 89" xfId="1501" xr:uid="{00000000-0005-0000-0000-000049080000}"/>
    <cellStyle name="Normal 89 2" xfId="1502" xr:uid="{00000000-0005-0000-0000-00004A080000}"/>
    <cellStyle name="Normal 89 2 2" xfId="2410" xr:uid="{00000000-0005-0000-0000-00004B080000}"/>
    <cellStyle name="Normal 89 2 2 2" xfId="5660" xr:uid="{547CD139-D692-4DC4-B0D4-46D15A2F81CB}"/>
    <cellStyle name="Normal 89 2 2 2 2" xfId="9040" xr:uid="{0E2A9AFA-7B7A-45BE-8F54-C513F404E368}"/>
    <cellStyle name="Normal 89 2 2 3" xfId="7340" xr:uid="{29AA8914-2501-409F-AA6F-42E24C9564EE}"/>
    <cellStyle name="Normal 89 2 2_DEO ADIT Unprotected" xfId="3962" xr:uid="{22B3F94C-00AB-4BB5-A9CE-C7200CD65EF5}"/>
    <cellStyle name="Normal 89 2 3" xfId="4823" xr:uid="{674D9D81-5B12-4F05-AF5F-57309B97C5B7}"/>
    <cellStyle name="Normal 89 2 3 2" xfId="8203" xr:uid="{25DC1B48-D0B5-43D8-BB84-064DE5055CDA}"/>
    <cellStyle name="Normal 89 2 4" xfId="6503" xr:uid="{9033623B-8160-4FC5-9B3D-8E3B46F24527}"/>
    <cellStyle name="Normal 89 2_DEO ADIT Unprotected" xfId="3961" xr:uid="{677B6AFA-F18F-42EE-B7A2-3C752EFE75D9}"/>
    <cellStyle name="Normal 89 3" xfId="2409" xr:uid="{00000000-0005-0000-0000-00004C080000}"/>
    <cellStyle name="Normal 89 3 2" xfId="5659" xr:uid="{9389F6D7-2D9C-43A9-9C3E-9304AB4917D8}"/>
    <cellStyle name="Normal 89 3 2 2" xfId="9039" xr:uid="{23318F31-D1EA-468F-B7C7-5350E63B5719}"/>
    <cellStyle name="Normal 89 3 3" xfId="7339" xr:uid="{348E24DF-F0FE-467B-8E0D-128848AA606D}"/>
    <cellStyle name="Normal 89 3_DEO ADIT Unprotected" xfId="3963" xr:uid="{4B46CA5B-656F-4540-833B-2F9449936E82}"/>
    <cellStyle name="Normal 89 4" xfId="4822" xr:uid="{D131B91C-C424-42BE-ACA9-55A7508DA685}"/>
    <cellStyle name="Normal 89 4 2" xfId="8202" xr:uid="{D2232513-C483-4F5D-B3F0-70B2517F7C8F}"/>
    <cellStyle name="Normal 89 5" xfId="6502" xr:uid="{B80A4C95-DFEB-4F57-8E9E-FD1C8B3177C7}"/>
    <cellStyle name="Normal 89_DEO ADIT Unprotected" xfId="3960" xr:uid="{BD014F74-AAEA-44B8-81B3-F04562B9AABF}"/>
    <cellStyle name="Normal 9" xfId="330" xr:uid="{00000000-0005-0000-0000-00004D080000}"/>
    <cellStyle name="Normal 9 10" xfId="9114" xr:uid="{29E1F007-9F3E-418B-B788-2F482C1D3150}"/>
    <cellStyle name="Normal 9 2" xfId="1503" xr:uid="{00000000-0005-0000-0000-00004E080000}"/>
    <cellStyle name="Normal 9 3" xfId="1504" xr:uid="{00000000-0005-0000-0000-00004F080000}"/>
    <cellStyle name="Normal 9 3 2" xfId="2411" xr:uid="{00000000-0005-0000-0000-000050080000}"/>
    <cellStyle name="Normal 9 3 2 2" xfId="5661" xr:uid="{2FA1D5BC-4B9A-46BF-BAF5-F071B6471E96}"/>
    <cellStyle name="Normal 9 3 2 2 2" xfId="9041" xr:uid="{60825242-14D1-48CA-8E68-3E8441ABF88A}"/>
    <cellStyle name="Normal 9 3 2 3" xfId="7341" xr:uid="{FCAD079D-514C-4A20-AD88-FB5B82A6EE2A}"/>
    <cellStyle name="Normal 9 3 2_DEO ADIT Unprotected" xfId="3966" xr:uid="{FABF78E5-A318-4113-BE7F-41B55066597E}"/>
    <cellStyle name="Normal 9 3 3" xfId="4824" xr:uid="{4C7B383B-0247-4DC2-980E-72B654FF585C}"/>
    <cellStyle name="Normal 9 3 3 2" xfId="8204" xr:uid="{B58944DC-C8CA-4916-8D5B-5F9C10253DCE}"/>
    <cellStyle name="Normal 9 3 4" xfId="6504" xr:uid="{68D218E2-ACA8-48DD-9ABA-F958BE00CF23}"/>
    <cellStyle name="Normal 9 3_DEO ADIT Unprotected" xfId="3965" xr:uid="{5C92916C-C5D0-4130-AB1D-2C3476DAD830}"/>
    <cellStyle name="Normal 9 4" xfId="1627" xr:uid="{00000000-0005-0000-0000-000051080000}"/>
    <cellStyle name="Normal 9 4 2" xfId="4877" xr:uid="{5C7716D6-04D5-4067-9BF2-F20744B245D3}"/>
    <cellStyle name="Normal 9 4 2 2" xfId="8257" xr:uid="{9CE1EF97-178B-462D-A09F-7D3D89BAA2DD}"/>
    <cellStyle name="Normal 9 4 3" xfId="6557" xr:uid="{F014CF93-5EE0-4CA6-BE87-EC08A08E5D76}"/>
    <cellStyle name="Normal 9 4_DEO ADIT Unprotected" xfId="3967" xr:uid="{68AA2A4F-6D8A-4831-80CE-325364956F11}"/>
    <cellStyle name="Normal 9 5" xfId="4040" xr:uid="{138AD0B9-B25A-4AA0-8A99-4298C7DEA727}"/>
    <cellStyle name="Normal 9 5 2" xfId="7420" xr:uid="{F9D18037-8A24-4A65-A316-96E9051165AE}"/>
    <cellStyle name="Normal 9 6" xfId="5717" xr:uid="{48EA25B8-0624-4670-B065-D3FEFF61B4D1}"/>
    <cellStyle name="Normal 9 7" xfId="7417" xr:uid="{CB01110C-EA6B-4F8F-8A66-3B5F6A20859D}"/>
    <cellStyle name="Normal 9 8" xfId="9107" xr:uid="{510F2E35-4A60-4D30-A93B-FB363CC26054}"/>
    <cellStyle name="Normal 9 9" xfId="5722" xr:uid="{97837C3E-2A3A-4B3D-9B32-1763EC4A0E6E}"/>
    <cellStyle name="Normal 9_DEO ADIT Unprotected" xfId="3964" xr:uid="{3241083F-0F7B-4509-8379-AC40A664A8F0}"/>
    <cellStyle name="Normal 90" xfId="1505" xr:uid="{00000000-0005-0000-0000-000052080000}"/>
    <cellStyle name="Normal 90 2" xfId="1506" xr:uid="{00000000-0005-0000-0000-000053080000}"/>
    <cellStyle name="Normal 90 2 2" xfId="2413" xr:uid="{00000000-0005-0000-0000-000054080000}"/>
    <cellStyle name="Normal 90 2 2 2" xfId="5663" xr:uid="{5CB0A274-79BB-4608-A7D7-DF3227ED911C}"/>
    <cellStyle name="Normal 90 2 2 2 2" xfId="9043" xr:uid="{B362234F-639A-4F09-BE0D-6398EF9AB774}"/>
    <cellStyle name="Normal 90 2 2 3" xfId="7343" xr:uid="{0B5EC735-970C-4F22-A26E-FC02B3DDA666}"/>
    <cellStyle name="Normal 90 2 2_DEO ADIT Unprotected" xfId="3970" xr:uid="{9F13F731-E7E3-47CC-8A46-2BF06564F438}"/>
    <cellStyle name="Normal 90 2 3" xfId="4826" xr:uid="{57A81579-8D70-4223-BB0E-3FCFF425680C}"/>
    <cellStyle name="Normal 90 2 3 2" xfId="8206" xr:uid="{5B637910-94B6-42A5-8D26-48DAFE4C3E0D}"/>
    <cellStyle name="Normal 90 2 4" xfId="6506" xr:uid="{1249D308-B347-4C6E-8581-DED4AD7CACC0}"/>
    <cellStyle name="Normal 90 2_DEO ADIT Unprotected" xfId="3969" xr:uid="{44786BA8-D16A-44DD-804A-EDF1B9EDBEDA}"/>
    <cellStyle name="Normal 90 3" xfId="2412" xr:uid="{00000000-0005-0000-0000-000055080000}"/>
    <cellStyle name="Normal 90 3 2" xfId="5662" xr:uid="{9EAFF3FB-897E-43DF-B330-3A373E166F2E}"/>
    <cellStyle name="Normal 90 3 2 2" xfId="9042" xr:uid="{3FED0A75-C7D6-484A-A3E0-231EC4063BD0}"/>
    <cellStyle name="Normal 90 3 3" xfId="7342" xr:uid="{BD2AC291-A90D-42E7-A56C-9DF1191A03D7}"/>
    <cellStyle name="Normal 90 3_DEO ADIT Unprotected" xfId="3971" xr:uid="{128240DD-14CD-416A-BD3D-AE396798778F}"/>
    <cellStyle name="Normal 90 4" xfId="4825" xr:uid="{FD51EBB4-1186-474D-951F-588FDFFB6985}"/>
    <cellStyle name="Normal 90 4 2" xfId="8205" xr:uid="{310D2BA5-AEB9-4BBF-A120-D3194C2AAEFA}"/>
    <cellStyle name="Normal 90 5" xfId="6505" xr:uid="{DBC00868-BE50-49FF-A756-0E826C91CB1B}"/>
    <cellStyle name="Normal 90_DEO ADIT Unprotected" xfId="3968" xr:uid="{2CE8B021-2167-4176-932E-8CE11E3610B7}"/>
    <cellStyle name="Normal 91" xfId="1507" xr:uid="{00000000-0005-0000-0000-000056080000}"/>
    <cellStyle name="Normal 91 2" xfId="1508" xr:uid="{00000000-0005-0000-0000-000057080000}"/>
    <cellStyle name="Normal 91 2 2" xfId="2415" xr:uid="{00000000-0005-0000-0000-000058080000}"/>
    <cellStyle name="Normal 91 2 2 2" xfId="5665" xr:uid="{38BB5FB0-B286-4085-8624-A024E6F00927}"/>
    <cellStyle name="Normal 91 2 2 2 2" xfId="9045" xr:uid="{B8A81042-F425-4D50-9973-AA400463EF50}"/>
    <cellStyle name="Normal 91 2 2 3" xfId="7345" xr:uid="{E7EC9151-200A-44B4-8462-577FAE6A91F7}"/>
    <cellStyle name="Normal 91 2 2_DEO ADIT Unprotected" xfId="3974" xr:uid="{03EA9D13-9A4B-4A96-8A5B-B9E37A6E1599}"/>
    <cellStyle name="Normal 91 2 3" xfId="4828" xr:uid="{08C6034C-AB75-4C3D-A7F5-5AFA04FB5F4A}"/>
    <cellStyle name="Normal 91 2 3 2" xfId="8208" xr:uid="{BCEA4DD9-608E-4669-8647-A57544E3A1AA}"/>
    <cellStyle name="Normal 91 2 4" xfId="6508" xr:uid="{0E75F590-33E0-495F-8C63-BE6F57533558}"/>
    <cellStyle name="Normal 91 2_DEO ADIT Unprotected" xfId="3973" xr:uid="{2F7C59D0-87A4-479C-BF59-F0F3DF85A53A}"/>
    <cellStyle name="Normal 91 3" xfId="2414" xr:uid="{00000000-0005-0000-0000-000059080000}"/>
    <cellStyle name="Normal 91 3 2" xfId="5664" xr:uid="{6A6FD8B4-CCF7-4DE3-B3EF-4991C69F69C2}"/>
    <cellStyle name="Normal 91 3 2 2" xfId="9044" xr:uid="{07A56F77-37BC-485F-B2DA-F3BA031E86F7}"/>
    <cellStyle name="Normal 91 3 3" xfId="7344" xr:uid="{F3A99E63-28A0-41F0-BDFF-F84DB4C81B90}"/>
    <cellStyle name="Normal 91 3_DEO ADIT Unprotected" xfId="3975" xr:uid="{2022C3DD-FFD6-4E82-A91E-32EC133997CC}"/>
    <cellStyle name="Normal 91 4" xfId="4827" xr:uid="{E99F7A2F-0F9F-4AF5-B1D5-39F713076B8C}"/>
    <cellStyle name="Normal 91 4 2" xfId="8207" xr:uid="{A03901B9-1D06-4FCF-B1D6-AE7DF175AA44}"/>
    <cellStyle name="Normal 91 5" xfId="6507" xr:uid="{12A33F11-BC5A-4261-9630-2734CA33BDB0}"/>
    <cellStyle name="Normal 91_DEO ADIT Unprotected" xfId="3972" xr:uid="{2DD61C4E-2E77-4249-9492-98AB46363661}"/>
    <cellStyle name="Normal 92" xfId="1509" xr:uid="{00000000-0005-0000-0000-00005A080000}"/>
    <cellStyle name="Normal 92 2" xfId="1510" xr:uid="{00000000-0005-0000-0000-00005B080000}"/>
    <cellStyle name="Normal 92 2 2" xfId="2417" xr:uid="{00000000-0005-0000-0000-00005C080000}"/>
    <cellStyle name="Normal 92 2 2 2" xfId="5667" xr:uid="{15F64CFA-3D45-4701-AE75-FE2B86763145}"/>
    <cellStyle name="Normal 92 2 2 2 2" xfId="9047" xr:uid="{CC9E5418-C2B8-4251-8152-F14D541EF17F}"/>
    <cellStyle name="Normal 92 2 2 3" xfId="7347" xr:uid="{55295DE3-0330-4CBC-BFBA-64FC7228A0B4}"/>
    <cellStyle name="Normal 92 2 2_DEO ADIT Unprotected" xfId="3978" xr:uid="{1DCDA742-C749-4A43-8BCF-6C7D12C2E17F}"/>
    <cellStyle name="Normal 92 2 3" xfId="4830" xr:uid="{E27DA1C6-5C2C-4D11-A5A4-EBC15690CABD}"/>
    <cellStyle name="Normal 92 2 3 2" xfId="8210" xr:uid="{815A264C-4604-4C37-A679-4264D5B17614}"/>
    <cellStyle name="Normal 92 2 4" xfId="6510" xr:uid="{DA3D9173-2EB4-46B5-9FD2-D92F93F8B019}"/>
    <cellStyle name="Normal 92 2_DEO ADIT Unprotected" xfId="3977" xr:uid="{176E6487-68CB-4CAE-8D05-8D3A1C2E3924}"/>
    <cellStyle name="Normal 92 3" xfId="2416" xr:uid="{00000000-0005-0000-0000-00005D080000}"/>
    <cellStyle name="Normal 92 3 2" xfId="5666" xr:uid="{CC088D33-F66C-45BB-AD71-B372833F0A73}"/>
    <cellStyle name="Normal 92 3 2 2" xfId="9046" xr:uid="{C1C1B700-DECA-49BE-84F2-4430A362926D}"/>
    <cellStyle name="Normal 92 3 3" xfId="7346" xr:uid="{4A2C7E55-2D78-4EE0-80FF-FCBA8FB8DEE0}"/>
    <cellStyle name="Normal 92 3_DEO ADIT Unprotected" xfId="3979" xr:uid="{B04B1A4B-5BE1-4A1A-B8E7-FB50753106AC}"/>
    <cellStyle name="Normal 92 4" xfId="4829" xr:uid="{BCFB5405-50C5-4693-9EE3-9F41D6F8DEFE}"/>
    <cellStyle name="Normal 92 4 2" xfId="8209" xr:uid="{2F74AFC2-F113-4452-8C88-2AF733A5EC47}"/>
    <cellStyle name="Normal 92 5" xfId="6509" xr:uid="{3AB187F9-4693-431E-936D-2384D161504D}"/>
    <cellStyle name="Normal 92_DEO ADIT Unprotected" xfId="3976" xr:uid="{44175042-E996-4476-A071-AC455B5A77C9}"/>
    <cellStyle name="Normal 93" xfId="1511" xr:uid="{00000000-0005-0000-0000-00005E080000}"/>
    <cellStyle name="Normal 93 2" xfId="1512" xr:uid="{00000000-0005-0000-0000-00005F080000}"/>
    <cellStyle name="Normal 93 2 2" xfId="2419" xr:uid="{00000000-0005-0000-0000-000060080000}"/>
    <cellStyle name="Normal 93 2 2 2" xfId="5669" xr:uid="{800C56D5-8D7A-4C44-B967-969BC6B5F710}"/>
    <cellStyle name="Normal 93 2 2 2 2" xfId="9049" xr:uid="{8770D90B-A6E5-4F1C-A70A-67DDD4F65611}"/>
    <cellStyle name="Normal 93 2 2 3" xfId="7349" xr:uid="{A795A1A2-8A78-486C-A269-5E8364ECFA1A}"/>
    <cellStyle name="Normal 93 2 2_DEO ADIT Unprotected" xfId="3982" xr:uid="{DFAA2C61-C9FC-441A-BB5D-D2A38E0272D6}"/>
    <cellStyle name="Normal 93 2 3" xfId="4832" xr:uid="{5BF3D5D8-EB5C-4779-8A7B-9CEEE257F2CB}"/>
    <cellStyle name="Normal 93 2 3 2" xfId="8212" xr:uid="{1A703ECF-3DE9-44A1-883D-71528DA87C98}"/>
    <cellStyle name="Normal 93 2 4" xfId="6512" xr:uid="{8DE44D9C-08AC-475D-AD2D-D41EE74681A0}"/>
    <cellStyle name="Normal 93 2_DEO ADIT Unprotected" xfId="3981" xr:uid="{0D3352DC-3DB1-4C9E-8116-4C1E617B7680}"/>
    <cellStyle name="Normal 93 3" xfId="2418" xr:uid="{00000000-0005-0000-0000-000061080000}"/>
    <cellStyle name="Normal 93 3 2" xfId="5668" xr:uid="{54843EB5-BB5A-4E5F-9DA4-74610EAC2A70}"/>
    <cellStyle name="Normal 93 3 2 2" xfId="9048" xr:uid="{9A77BC00-762E-4374-9F59-23B254299DC1}"/>
    <cellStyle name="Normal 93 3 3" xfId="7348" xr:uid="{EE33F300-3808-4DEA-AFFA-CAFDEAE2F1A6}"/>
    <cellStyle name="Normal 93 3_DEO ADIT Unprotected" xfId="3983" xr:uid="{AA65A2AA-EFE9-41E3-B975-09B87BAC7D0D}"/>
    <cellStyle name="Normal 93 4" xfId="4831" xr:uid="{E479D928-252D-443F-B1ED-D4DD89BC8866}"/>
    <cellStyle name="Normal 93 4 2" xfId="8211" xr:uid="{EAFD3779-E16D-46E0-BAA6-178D097BEC83}"/>
    <cellStyle name="Normal 93 5" xfId="6511" xr:uid="{12361283-88F2-4EB4-A9CA-ECE57448D74F}"/>
    <cellStyle name="Normal 93_DEO ADIT Unprotected" xfId="3980" xr:uid="{D183F0A6-5D92-4CC1-B3E8-5F7640D91C6D}"/>
    <cellStyle name="Normal 94" xfId="1513" xr:uid="{00000000-0005-0000-0000-000062080000}"/>
    <cellStyle name="Normal 94 2" xfId="1514" xr:uid="{00000000-0005-0000-0000-000063080000}"/>
    <cellStyle name="Normal 94 2 2" xfId="2421" xr:uid="{00000000-0005-0000-0000-000064080000}"/>
    <cellStyle name="Normal 94 2 2 2" xfId="5671" xr:uid="{4001598F-2943-4592-9451-F866C39AC10E}"/>
    <cellStyle name="Normal 94 2 2 2 2" xfId="9051" xr:uid="{C696D6EB-D8EE-49B3-83A3-200E60D0F7B9}"/>
    <cellStyle name="Normal 94 2 2 3" xfId="7351" xr:uid="{623A6A87-E1E1-43E0-A311-6772D4D0840B}"/>
    <cellStyle name="Normal 94 2 2_DEO ADIT Unprotected" xfId="3986" xr:uid="{A6A5B0DA-218F-4930-8DF6-900735CFAF8F}"/>
    <cellStyle name="Normal 94 2 3" xfId="4834" xr:uid="{7B11649F-0868-4E69-AEE9-9589E5D1C6AA}"/>
    <cellStyle name="Normal 94 2 3 2" xfId="8214" xr:uid="{F60C3B57-C369-47E5-9280-DD4251797002}"/>
    <cellStyle name="Normal 94 2 4" xfId="6514" xr:uid="{5CE39C40-48AB-422C-BCB0-EAA509AA05BE}"/>
    <cellStyle name="Normal 94 2_DEO ADIT Unprotected" xfId="3985" xr:uid="{BEBA17AA-EE19-41B0-BEBD-CDE2A39AC8B1}"/>
    <cellStyle name="Normal 94 3" xfId="2420" xr:uid="{00000000-0005-0000-0000-000065080000}"/>
    <cellStyle name="Normal 94 3 2" xfId="5670" xr:uid="{F15E0646-DE1A-4CBB-9CCD-DFA301DDD202}"/>
    <cellStyle name="Normal 94 3 2 2" xfId="9050" xr:uid="{146DB537-015E-4BB3-AE71-EBC61B9F29AD}"/>
    <cellStyle name="Normal 94 3 3" xfId="7350" xr:uid="{1002A4A8-2675-471F-9964-FBBC6B634B09}"/>
    <cellStyle name="Normal 94 3_DEO ADIT Unprotected" xfId="3987" xr:uid="{8A0CA991-908A-40E3-B9C1-F6C7EF1C5FCA}"/>
    <cellStyle name="Normal 94 4" xfId="4833" xr:uid="{F698BC42-C723-4760-856F-2D948E03A634}"/>
    <cellStyle name="Normal 94 4 2" xfId="8213" xr:uid="{AD1E5197-67E6-46CC-9591-AB7CF468917F}"/>
    <cellStyle name="Normal 94 5" xfId="6513" xr:uid="{276D0902-501B-4F5C-BCFF-713AF9D1959C}"/>
    <cellStyle name="Normal 94_DEO ADIT Unprotected" xfId="3984" xr:uid="{F0712F44-00ED-4B56-85DD-6116538E5D12}"/>
    <cellStyle name="Normal 95" xfId="1515" xr:uid="{00000000-0005-0000-0000-000066080000}"/>
    <cellStyle name="Normal 95 2" xfId="1516" xr:uid="{00000000-0005-0000-0000-000067080000}"/>
    <cellStyle name="Normal 95 2 2" xfId="2423" xr:uid="{00000000-0005-0000-0000-000068080000}"/>
    <cellStyle name="Normal 95 2 2 2" xfId="5673" xr:uid="{AF4438B7-002E-4817-82F6-F0AE27A30DC0}"/>
    <cellStyle name="Normal 95 2 2 2 2" xfId="9053" xr:uid="{A8771447-F1D9-43F3-9DD2-BF463651FBE9}"/>
    <cellStyle name="Normal 95 2 2 3" xfId="7353" xr:uid="{651910AE-AE65-4691-944A-EF3B4F2B7A6B}"/>
    <cellStyle name="Normal 95 2 2_DEO ADIT Unprotected" xfId="3990" xr:uid="{048D5CEC-1148-4C5F-BF37-E0DC8ECEFF8E}"/>
    <cellStyle name="Normal 95 2 3" xfId="4836" xr:uid="{EEFEBFE3-2D15-4FBA-B49E-707A4B050B68}"/>
    <cellStyle name="Normal 95 2 3 2" xfId="8216" xr:uid="{B67B1FE3-5929-4F7A-BAA5-A86598EA369F}"/>
    <cellStyle name="Normal 95 2 4" xfId="6516" xr:uid="{75F57450-CC34-48A3-814A-559913D0FE0E}"/>
    <cellStyle name="Normal 95 2_DEO ADIT Unprotected" xfId="3989" xr:uid="{F1A2FC2F-A358-4E0D-8194-DF3EB7E8AB29}"/>
    <cellStyle name="Normal 95 3" xfId="2422" xr:uid="{00000000-0005-0000-0000-000069080000}"/>
    <cellStyle name="Normal 95 3 2" xfId="5672" xr:uid="{ABC328D7-5EA4-4B33-9E0D-9272C05DC27D}"/>
    <cellStyle name="Normal 95 3 2 2" xfId="9052" xr:uid="{6F984BAC-316C-43A7-92BB-E227DB3585D7}"/>
    <cellStyle name="Normal 95 3 3" xfId="7352" xr:uid="{8EA5AD79-C3C6-4E2B-BB3B-0290CEA2E941}"/>
    <cellStyle name="Normal 95 3_DEO ADIT Unprotected" xfId="3991" xr:uid="{6F9E7B59-2984-468D-880C-3E1CB4EDB531}"/>
    <cellStyle name="Normal 95 4" xfId="4835" xr:uid="{F5E62BE9-1BB9-4D5A-91DD-1A27452EB637}"/>
    <cellStyle name="Normal 95 4 2" xfId="8215" xr:uid="{B7ABD0A3-7131-4918-BA25-33E34D975A73}"/>
    <cellStyle name="Normal 95 5" xfId="6515" xr:uid="{6EC443D0-91AF-4F86-A178-0420FBCC3A67}"/>
    <cellStyle name="Normal 95_DEO ADIT Unprotected" xfId="3988" xr:uid="{EA24766B-3EE3-4E96-B719-C56A06BED2FD}"/>
    <cellStyle name="Normal 96" xfId="1517" xr:uid="{00000000-0005-0000-0000-00006A080000}"/>
    <cellStyle name="Normal 96 2" xfId="1518" xr:uid="{00000000-0005-0000-0000-00006B080000}"/>
    <cellStyle name="Normal 96 2 2" xfId="2425" xr:uid="{00000000-0005-0000-0000-00006C080000}"/>
    <cellStyle name="Normal 96 2 2 2" xfId="5675" xr:uid="{24087EAC-8F99-439C-8F36-2ECC1532923A}"/>
    <cellStyle name="Normal 96 2 2 2 2" xfId="9055" xr:uid="{7FE9292F-6AE6-4649-83B9-46F93CEBE476}"/>
    <cellStyle name="Normal 96 2 2 3" xfId="7355" xr:uid="{78F07DEC-9BF9-4DF8-965E-599F5007C980}"/>
    <cellStyle name="Normal 96 2 2_DEO ADIT Unprotected" xfId="3994" xr:uid="{8E0203F5-2FDA-45ED-B7EE-CAEBE7DC9B87}"/>
    <cellStyle name="Normal 96 2 3" xfId="4838" xr:uid="{090898BF-776F-47A3-89E5-2F1831D6A9DD}"/>
    <cellStyle name="Normal 96 2 3 2" xfId="8218" xr:uid="{BAD49918-77D1-410F-A6A5-DA8BA17F74B8}"/>
    <cellStyle name="Normal 96 2 4" xfId="6518" xr:uid="{B6B829F1-E4A6-4C22-BFFB-C5B14AE169DA}"/>
    <cellStyle name="Normal 96 2_DEO ADIT Unprotected" xfId="3993" xr:uid="{29B19599-5DB2-4A25-9834-6D79CCFB4EAD}"/>
    <cellStyle name="Normal 96 3" xfId="2424" xr:uid="{00000000-0005-0000-0000-00006D080000}"/>
    <cellStyle name="Normal 96 3 2" xfId="5674" xr:uid="{F0ABB60E-114F-4032-8127-BB65AE30B719}"/>
    <cellStyle name="Normal 96 3 2 2" xfId="9054" xr:uid="{A1CD3F0B-920B-4C27-AC89-B305DE775894}"/>
    <cellStyle name="Normal 96 3 3" xfId="7354" xr:uid="{C05A70FF-F893-4C9E-B88C-CAB4265A1E6B}"/>
    <cellStyle name="Normal 96 3_DEO ADIT Unprotected" xfId="3995" xr:uid="{D77C9071-42ED-47FE-AEC4-953BD747FD93}"/>
    <cellStyle name="Normal 96 4" xfId="4837" xr:uid="{234A005D-E336-437C-830B-F97CD2D47586}"/>
    <cellStyle name="Normal 96 4 2" xfId="8217" xr:uid="{181C4E1A-281D-465B-B835-A9165BBC384C}"/>
    <cellStyle name="Normal 96 5" xfId="6517" xr:uid="{8B93B813-6EBB-4F07-BBDE-24FAAAF7B686}"/>
    <cellStyle name="Normal 96_DEO ADIT Unprotected" xfId="3992" xr:uid="{CE6590C0-3A84-458C-8C73-2425A17D50FB}"/>
    <cellStyle name="Normal 97" xfId="1519" xr:uid="{00000000-0005-0000-0000-00006E080000}"/>
    <cellStyle name="Normal 97 2" xfId="1520" xr:uid="{00000000-0005-0000-0000-00006F080000}"/>
    <cellStyle name="Normal 97 2 2" xfId="2427" xr:uid="{00000000-0005-0000-0000-000070080000}"/>
    <cellStyle name="Normal 97 2 2 2" xfId="5677" xr:uid="{977E36F4-035E-4812-8DD7-BC7C985F5B02}"/>
    <cellStyle name="Normal 97 2 2 2 2" xfId="9057" xr:uid="{08CA224B-A33D-4550-8038-82065BA20F9C}"/>
    <cellStyle name="Normal 97 2 2 3" xfId="7357" xr:uid="{35ED00DC-ED11-4370-BEF0-5D96827E67ED}"/>
    <cellStyle name="Normal 97 2 2_DEO ADIT Unprotected" xfId="3998" xr:uid="{0759039B-B5A9-42C0-8330-73EAD2259885}"/>
    <cellStyle name="Normal 97 2 3" xfId="4840" xr:uid="{D74822DA-261A-40D1-BB6D-E4FC1CDC524D}"/>
    <cellStyle name="Normal 97 2 3 2" xfId="8220" xr:uid="{F4167AE4-983E-423D-84C8-4E858FBA5301}"/>
    <cellStyle name="Normal 97 2 4" xfId="6520" xr:uid="{5CE617ED-E0C4-4C33-9140-1A9179CCB9C6}"/>
    <cellStyle name="Normal 97 2_DEO ADIT Unprotected" xfId="3997" xr:uid="{397528C5-AE1B-4D2C-86BF-632237E7064E}"/>
    <cellStyle name="Normal 97 3" xfId="2426" xr:uid="{00000000-0005-0000-0000-000071080000}"/>
    <cellStyle name="Normal 97 3 2" xfId="5676" xr:uid="{42408516-0B3F-44B3-A6C6-FD74548F9470}"/>
    <cellStyle name="Normal 97 3 2 2" xfId="9056" xr:uid="{7B297179-BA37-44D4-A4D8-F6AADA97BBB7}"/>
    <cellStyle name="Normal 97 3 3" xfId="7356" xr:uid="{997CC84B-A733-4E39-954A-2C7B4691F56D}"/>
    <cellStyle name="Normal 97 3_DEO ADIT Unprotected" xfId="3999" xr:uid="{A20A0F58-6A79-4AE0-8EA6-84E1A63D9AB7}"/>
    <cellStyle name="Normal 97 4" xfId="4839" xr:uid="{1FD02C82-AF97-430E-960B-8C0EC13265E0}"/>
    <cellStyle name="Normal 97 4 2" xfId="8219" xr:uid="{CEFFE0AB-8BB7-4082-98D3-7CB7F924F6CB}"/>
    <cellStyle name="Normal 97 5" xfId="6519" xr:uid="{7C487A1D-E8CB-492F-9EDE-60C46ED29586}"/>
    <cellStyle name="Normal 97_DEO ADIT Unprotected" xfId="3996" xr:uid="{A6111BA4-88ED-4B4B-8DBA-8E700853D79C}"/>
    <cellStyle name="Normal 98" xfId="1521" xr:uid="{00000000-0005-0000-0000-000072080000}"/>
    <cellStyle name="Normal 98 2" xfId="1522" xr:uid="{00000000-0005-0000-0000-000073080000}"/>
    <cellStyle name="Normal 98 2 2" xfId="2429" xr:uid="{00000000-0005-0000-0000-000074080000}"/>
    <cellStyle name="Normal 98 2 2 2" xfId="5679" xr:uid="{8D70A2CA-5E27-441B-A0EB-541C5BD0DDCC}"/>
    <cellStyle name="Normal 98 2 2 2 2" xfId="9059" xr:uid="{324C6E87-4485-498A-8787-76173FA9770A}"/>
    <cellStyle name="Normal 98 2 2 3" xfId="7359" xr:uid="{F5618DB5-2915-4911-BC60-A37C2ACC983B}"/>
    <cellStyle name="Normal 98 2 2_DEO ADIT Unprotected" xfId="4002" xr:uid="{2A32008C-2237-4239-A429-E7A9ED34633D}"/>
    <cellStyle name="Normal 98 2 3" xfId="4842" xr:uid="{435CE006-0ACE-4148-8A9B-D53A89411A09}"/>
    <cellStyle name="Normal 98 2 3 2" xfId="8222" xr:uid="{B1A062B8-2EF3-40AF-9FDD-798A1C602EC1}"/>
    <cellStyle name="Normal 98 2 4" xfId="6522" xr:uid="{FEF0B443-27A7-468F-91D3-E30A82D45F01}"/>
    <cellStyle name="Normal 98 2_DEO ADIT Unprotected" xfId="4001" xr:uid="{031A16F4-32C4-435D-BF52-4C2C5ECE16B5}"/>
    <cellStyle name="Normal 98 3" xfId="2428" xr:uid="{00000000-0005-0000-0000-000075080000}"/>
    <cellStyle name="Normal 98 3 2" xfId="5678" xr:uid="{D9BED17C-5099-4496-84E5-7414E18F4EC8}"/>
    <cellStyle name="Normal 98 3 2 2" xfId="9058" xr:uid="{06A35D52-1945-4C45-83E9-5BA0674F51DA}"/>
    <cellStyle name="Normal 98 3 3" xfId="7358" xr:uid="{FE1BD770-D94D-4842-AC4F-00055B2429EF}"/>
    <cellStyle name="Normal 98 3_DEO ADIT Unprotected" xfId="4003" xr:uid="{7C4A8D54-45BE-4312-B90C-86235DF8B6A2}"/>
    <cellStyle name="Normal 98 4" xfId="4841" xr:uid="{D7E2954B-3039-4AB1-B53F-6FEA8A2D64ED}"/>
    <cellStyle name="Normal 98 4 2" xfId="8221" xr:uid="{8348B550-1E95-4E1A-82F4-152D73BE09C0}"/>
    <cellStyle name="Normal 98 5" xfId="6521" xr:uid="{177FF534-F6AF-46C5-A624-B9980AA72AAA}"/>
    <cellStyle name="Normal 98_DEO ADIT Unprotected" xfId="4000" xr:uid="{F60FFE64-B7FB-4185-8100-6851A84E50FB}"/>
    <cellStyle name="Normal 99" xfId="1523" xr:uid="{00000000-0005-0000-0000-000076080000}"/>
    <cellStyle name="Normal 99 2" xfId="1524" xr:uid="{00000000-0005-0000-0000-000077080000}"/>
    <cellStyle name="Normal 99 2 2" xfId="2431" xr:uid="{00000000-0005-0000-0000-000078080000}"/>
    <cellStyle name="Normal 99 2 2 2" xfId="5681" xr:uid="{2F087598-EBF6-431F-AF8B-1D945CC93198}"/>
    <cellStyle name="Normal 99 2 2 2 2" xfId="9061" xr:uid="{8C231D0A-EE31-4075-BEE3-45EFC804512B}"/>
    <cellStyle name="Normal 99 2 2 3" xfId="7361" xr:uid="{B6CBC274-08D2-42FA-8221-CB7B3A7BD5C3}"/>
    <cellStyle name="Normal 99 2 2_DEO ADIT Unprotected" xfId="4006" xr:uid="{D8DB3E36-1E47-4B9D-A3AB-2D9428B2893B}"/>
    <cellStyle name="Normal 99 2 3" xfId="4844" xr:uid="{06FABCED-27F3-4F81-866C-BA3A487B67D8}"/>
    <cellStyle name="Normal 99 2 3 2" xfId="8224" xr:uid="{788F87D2-A48C-4B45-83D9-E45A428BE6B5}"/>
    <cellStyle name="Normal 99 2 4" xfId="6524" xr:uid="{E90328DC-545B-4969-9FEB-DF50C35C719F}"/>
    <cellStyle name="Normal 99 2_DEO ADIT Unprotected" xfId="4005" xr:uid="{B1A79F02-E8C1-4377-BE95-C26CC219C9B6}"/>
    <cellStyle name="Normal 99 3" xfId="2430" xr:uid="{00000000-0005-0000-0000-000079080000}"/>
    <cellStyle name="Normal 99 3 2" xfId="5680" xr:uid="{B786C6E1-6D8D-4E3A-988F-64500789FE10}"/>
    <cellStyle name="Normal 99 3 2 2" xfId="9060" xr:uid="{39DD145C-44B1-47D6-B51F-9D47426097B1}"/>
    <cellStyle name="Normal 99 3 3" xfId="7360" xr:uid="{0F7C91BD-13D6-4E68-9E12-D0C64885B18C}"/>
    <cellStyle name="Normal 99 3_DEO ADIT Unprotected" xfId="4007" xr:uid="{74ADE502-7A4F-4DFC-80BB-7F0973FEED05}"/>
    <cellStyle name="Normal 99 4" xfId="4843" xr:uid="{314623E8-E33E-4508-93FD-8C7756C33F7F}"/>
    <cellStyle name="Normal 99 4 2" xfId="8223" xr:uid="{CB07EA90-AFA7-46FE-86CE-74550FB18948}"/>
    <cellStyle name="Normal 99 5" xfId="6523" xr:uid="{9D739120-C3C4-4E26-9C08-E6AE68670417}"/>
    <cellStyle name="Normal 99_DEO ADIT Unprotected" xfId="4004" xr:uid="{76FF203B-F1DD-49B7-8324-B751C3A56987}"/>
    <cellStyle name="Normal_2002 A to BK TLF Recon WVPA" xfId="5" xr:uid="{00000000-0005-0000-0000-00007A080000}"/>
    <cellStyle name="Normal_2002 A to BK TLF Recon WVPA 2" xfId="369" xr:uid="{00000000-0005-0000-0000-00007B080000}"/>
    <cellStyle name="Normal_Advertising expense query - 3.29.07" xfId="6" xr:uid="{00000000-0005-0000-0000-00007C080000}"/>
    <cellStyle name="Normal_Advertising expense query - 3.29.07 2" xfId="370" xr:uid="{00000000-0005-0000-0000-00007D080000}"/>
    <cellStyle name="Normal_Cinergy Revenue Credits by Operating Company" xfId="7" xr:uid="{00000000-0005-0000-0000-00007E080000}"/>
    <cellStyle name="Normal_Cinergy Revenue Credits by Operating Company 2" xfId="355" xr:uid="{00000000-0005-0000-0000-00007F080000}"/>
    <cellStyle name="Normal_FERC Functional M&amp;S All Cos" xfId="8" xr:uid="{00000000-0005-0000-0000-000080080000}"/>
    <cellStyle name="Normal_FERC Functional M&amp;S All Cos 2" xfId="423" xr:uid="{00000000-0005-0000-0000-000081080000}"/>
    <cellStyle name="Normal_FN1 Ratebase Draft SPP template (6-11-04) v2" xfId="325" xr:uid="{00000000-0005-0000-0000-000082080000}"/>
    <cellStyle name="Normal_MISO DEO Cap Structure 2007 " xfId="9" xr:uid="{00000000-0005-0000-0000-000083080000}"/>
    <cellStyle name="Normal_Schedule B-2" xfId="329" xr:uid="{00000000-0005-0000-0000-000084080000}"/>
    <cellStyle name="Normal_Support 2003 PSI Peak Demand excluding Joint Owners" xfId="10" xr:uid="{00000000-0005-0000-0000-000085080000}"/>
    <cellStyle name="Normal_Support 2003 PSI Peak Demand excluding Joint Owners 2" xfId="371" xr:uid="{00000000-0005-0000-0000-000086080000}"/>
    <cellStyle name="Note 10" xfId="1525" xr:uid="{00000000-0005-0000-0000-000087080000}"/>
    <cellStyle name="Note 11" xfId="1526" xr:uid="{00000000-0005-0000-0000-000088080000}"/>
    <cellStyle name="Note 12" xfId="1527" xr:uid="{00000000-0005-0000-0000-000089080000}"/>
    <cellStyle name="Note 13" xfId="1528" xr:uid="{00000000-0005-0000-0000-00008A080000}"/>
    <cellStyle name="Note 14" xfId="1529" xr:uid="{00000000-0005-0000-0000-00008B080000}"/>
    <cellStyle name="Note 15" xfId="1530" xr:uid="{00000000-0005-0000-0000-00008C080000}"/>
    <cellStyle name="Note 16" xfId="1531" xr:uid="{00000000-0005-0000-0000-00008D080000}"/>
    <cellStyle name="Note 17" xfId="1532" xr:uid="{00000000-0005-0000-0000-00008E080000}"/>
    <cellStyle name="Note 18" xfId="1533" xr:uid="{00000000-0005-0000-0000-00008F080000}"/>
    <cellStyle name="Note 19" xfId="1534" xr:uid="{00000000-0005-0000-0000-000090080000}"/>
    <cellStyle name="Note 2" xfId="556" xr:uid="{00000000-0005-0000-0000-000091080000}"/>
    <cellStyle name="Note 2 10" xfId="9112" xr:uid="{1E9CEDC0-8235-4465-A1F9-1C9D610B9254}"/>
    <cellStyle name="Note 2 2" xfId="1535" xr:uid="{00000000-0005-0000-0000-000092080000}"/>
    <cellStyle name="Note 2 2 2" xfId="1536" xr:uid="{00000000-0005-0000-0000-000093080000}"/>
    <cellStyle name="Note 2 2 2 2" xfId="1537" xr:uid="{00000000-0005-0000-0000-000094080000}"/>
    <cellStyle name="Note 2 2 2 2 2" xfId="2433" xr:uid="{00000000-0005-0000-0000-000095080000}"/>
    <cellStyle name="Note 2 2 2 2 2 2" xfId="5683" xr:uid="{158704F2-2B92-4718-BF60-6ABA10C85427}"/>
    <cellStyle name="Note 2 2 2 2 2 2 2" xfId="9063" xr:uid="{9D0E6A26-92F8-4D0C-A83B-6A77B6142E44}"/>
    <cellStyle name="Note 2 2 2 2 2 3" xfId="7363" xr:uid="{3C732706-8923-42BB-BEF2-D8A0D53A2237}"/>
    <cellStyle name="Note 2 2 2 2 2_DEO ADIT Unprotected" xfId="4011" xr:uid="{43B8880A-35A3-4657-8120-6E91A8530D30}"/>
    <cellStyle name="Note 2 2 2 2 3" xfId="4846" xr:uid="{00DA0151-BA51-4EF2-9238-0650D600EB15}"/>
    <cellStyle name="Note 2 2 2 2 3 2" xfId="8226" xr:uid="{28F8D6BE-0297-4931-8A59-754FD26CE921}"/>
    <cellStyle name="Note 2 2 2 2 4" xfId="6526" xr:uid="{BA794D72-C6A2-4F22-9A49-FA084C27EA02}"/>
    <cellStyle name="Note 2 2 2 2_DEO ADIT Unprotected" xfId="4010" xr:uid="{2E4A1A5E-1132-4480-BF7D-8D9CA1C04B0B}"/>
    <cellStyle name="Note 2 2 2 3" xfId="2432" xr:uid="{00000000-0005-0000-0000-000096080000}"/>
    <cellStyle name="Note 2 2 2 3 2" xfId="5682" xr:uid="{38E3049E-0A29-4B28-BAD2-F0161FB3D43D}"/>
    <cellStyle name="Note 2 2 2 3 2 2" xfId="9062" xr:uid="{F8D44572-541E-44CD-A2A1-452AFDDA424F}"/>
    <cellStyle name="Note 2 2 2 3 3" xfId="7362" xr:uid="{CC25500D-5750-4B2D-A628-3CF9F7EF47E0}"/>
    <cellStyle name="Note 2 2 2 3_DEO ADIT Unprotected" xfId="4012" xr:uid="{95144C45-8ABD-43BB-BDD5-28D10E72E36B}"/>
    <cellStyle name="Note 2 2 2 4" xfId="4845" xr:uid="{FFF5663A-7B3A-4ECE-881C-FC442B4E229C}"/>
    <cellStyle name="Note 2 2 2 4 2" xfId="8225" xr:uid="{A4ACBB87-0E55-4D64-971E-639359F2550F}"/>
    <cellStyle name="Note 2 2 2 5" xfId="6525" xr:uid="{A9E110A7-1B9F-4C64-A8A3-85F59AB45A0B}"/>
    <cellStyle name="Note 2 2 2_DEO ADIT Unprotected" xfId="4009" xr:uid="{5932DCCF-BE2E-42C5-8ABF-B3910F211D60}"/>
    <cellStyle name="Note 2 3" xfId="1538" xr:uid="{00000000-0005-0000-0000-000097080000}"/>
    <cellStyle name="Note 2 4" xfId="1720" xr:uid="{00000000-0005-0000-0000-000098080000}"/>
    <cellStyle name="Note 2 4 2" xfId="4970" xr:uid="{68A82F05-985A-48F6-AF6A-08A65C1A14DE}"/>
    <cellStyle name="Note 2 4 2 2" xfId="8350" xr:uid="{45FB1BCB-C82D-453A-9597-0CDC04C7E14A}"/>
    <cellStyle name="Note 2 4 3" xfId="6650" xr:uid="{DC8A58BD-4D00-4A39-B6D1-0C20281B6249}"/>
    <cellStyle name="Note 2 4_DEO ADIT Unprotected" xfId="4013" xr:uid="{3AB9C6B6-FC74-4017-855C-FF4FBF6E543A}"/>
    <cellStyle name="Note 2 5" xfId="4133" xr:uid="{A9C8ECAA-0EE8-4367-AA01-350410F11D85}"/>
    <cellStyle name="Note 2 5 2" xfId="7513" xr:uid="{5522BFA1-8110-4B9E-875A-C9E57693A82A}"/>
    <cellStyle name="Note 2 6" xfId="5812" xr:uid="{5C71D80B-6447-4B2F-BDA4-A374261F4599}"/>
    <cellStyle name="Note 2 7" xfId="7403" xr:uid="{E2A1E9CE-A992-4DB4-8389-3A79613EF0D2}"/>
    <cellStyle name="Note 2 8" xfId="7398" xr:uid="{23491D92-6D84-41B0-A31F-0717454ABEA0}"/>
    <cellStyle name="Note 2 9" xfId="9115" xr:uid="{FB143711-75EB-4C49-8FBF-BA1E480C58C6}"/>
    <cellStyle name="Note 2_DEO ADIT Unprotected" xfId="4008" xr:uid="{2A967C1F-7CCD-4002-9092-8A1832D12C70}"/>
    <cellStyle name="Note 20" xfId="1539" xr:uid="{00000000-0005-0000-0000-000099080000}"/>
    <cellStyle name="Note 20 2" xfId="1540" xr:uid="{00000000-0005-0000-0000-00009A080000}"/>
    <cellStyle name="Note 21" xfId="1541" xr:uid="{00000000-0005-0000-0000-00009B080000}"/>
    <cellStyle name="Note 22" xfId="1542" xr:uid="{00000000-0005-0000-0000-00009C080000}"/>
    <cellStyle name="Note 23" xfId="1543" xr:uid="{00000000-0005-0000-0000-00009D080000}"/>
    <cellStyle name="Note 24" xfId="1544" xr:uid="{00000000-0005-0000-0000-00009E080000}"/>
    <cellStyle name="Note 25" xfId="1545" xr:uid="{00000000-0005-0000-0000-00009F080000}"/>
    <cellStyle name="Note 25 2" xfId="2434" xr:uid="{00000000-0005-0000-0000-0000A0080000}"/>
    <cellStyle name="Note 25 2 2" xfId="5684" xr:uid="{5BE1CD22-60AA-4093-AC32-BAEA6AED44CB}"/>
    <cellStyle name="Note 25 2 2 2" xfId="9064" xr:uid="{A795B59D-F945-467E-8EAF-9704FFAEE694}"/>
    <cellStyle name="Note 25 2 3" xfId="7364" xr:uid="{553DFECD-DA47-4D66-9883-E577DBD0284F}"/>
    <cellStyle name="Note 25 2_DEO ADIT Unprotected" xfId="4015" xr:uid="{8C2B784E-7ED8-47C9-9165-983B53703D9C}"/>
    <cellStyle name="Note 25 3" xfId="4847" xr:uid="{1B93AF80-66FD-4CFC-A9C2-0F8A8524A5A6}"/>
    <cellStyle name="Note 25 3 2" xfId="8227" xr:uid="{AF414117-44E1-4BEC-B5AD-B858E0384A17}"/>
    <cellStyle name="Note 25 4" xfId="6527" xr:uid="{7E74EB22-C5E2-4F07-92AF-5F0AF2718E4A}"/>
    <cellStyle name="Note 25_DEO ADIT Unprotected" xfId="4014" xr:uid="{D571F41D-27E5-4E22-B22A-F9450700356E}"/>
    <cellStyle name="Note 26" xfId="1546" xr:uid="{00000000-0005-0000-0000-0000A1080000}"/>
    <cellStyle name="Note 26 2" xfId="2435" xr:uid="{00000000-0005-0000-0000-0000A2080000}"/>
    <cellStyle name="Note 26 2 2" xfId="5685" xr:uid="{06C1B4B7-103E-496F-86B6-72171B2F67AB}"/>
    <cellStyle name="Note 26 2 2 2" xfId="9065" xr:uid="{010C57D4-C709-4CF2-8A3A-79EF454F8844}"/>
    <cellStyle name="Note 26 2 3" xfId="7365" xr:uid="{CE57AF4C-86AF-4174-B13F-9E93ED152A83}"/>
    <cellStyle name="Note 26 2_DEO ADIT Unprotected" xfId="4017" xr:uid="{349C0A06-E26A-4AE6-A3CB-8365C6F92D7C}"/>
    <cellStyle name="Note 26 3" xfId="4848" xr:uid="{38F8871B-FE6F-4B98-8646-4F3C5862F260}"/>
    <cellStyle name="Note 26 3 2" xfId="8228" xr:uid="{B6D39EBB-09DD-4645-A13B-3EE0EAC6A498}"/>
    <cellStyle name="Note 26 4" xfId="6528" xr:uid="{611CD3F4-A7F2-4825-B223-9E0F851D8092}"/>
    <cellStyle name="Note 26_DEO ADIT Unprotected" xfId="4016" xr:uid="{A0B10562-1AF8-4169-8D0A-E3BC6AD98B0E}"/>
    <cellStyle name="Note 27" xfId="1547" xr:uid="{00000000-0005-0000-0000-0000A3080000}"/>
    <cellStyle name="Note 3" xfId="1548" xr:uid="{00000000-0005-0000-0000-0000A4080000}"/>
    <cellStyle name="Note 3 2" xfId="1549" xr:uid="{00000000-0005-0000-0000-0000A5080000}"/>
    <cellStyle name="Note 3 2 2" xfId="1550" xr:uid="{00000000-0005-0000-0000-0000A6080000}"/>
    <cellStyle name="Note 3 2 2 2" xfId="1551" xr:uid="{00000000-0005-0000-0000-0000A7080000}"/>
    <cellStyle name="Note 3 2 2 2 2" xfId="2438" xr:uid="{00000000-0005-0000-0000-0000A8080000}"/>
    <cellStyle name="Note 3 2 2 2 2 2" xfId="5688" xr:uid="{BC94D9E1-AD98-4556-AF7A-F7D4A4DE5E4E}"/>
    <cellStyle name="Note 3 2 2 2 2 2 2" xfId="9068" xr:uid="{8DE60F84-E46A-4A34-83AE-A5EBE68B64E8}"/>
    <cellStyle name="Note 3 2 2 2 2 3" xfId="7368" xr:uid="{E333B383-869F-47CB-9596-05322CFAB507}"/>
    <cellStyle name="Note 3 2 2 2 2_DEO ADIT Unprotected" xfId="4021" xr:uid="{E4857FF4-BC70-48F9-B318-A8F48EE62EBB}"/>
    <cellStyle name="Note 3 2 2 2 3" xfId="4851" xr:uid="{D87A26C5-9D0C-4EDD-8450-E3D77C7398D4}"/>
    <cellStyle name="Note 3 2 2 2 3 2" xfId="8231" xr:uid="{D274F1EF-AAD4-4DAB-AC12-A1BBB6968EB5}"/>
    <cellStyle name="Note 3 2 2 2 4" xfId="6531" xr:uid="{F445F5D8-06C3-457B-92A8-67A99F5DB329}"/>
    <cellStyle name="Note 3 2 2 2_DEO ADIT Unprotected" xfId="4020" xr:uid="{586C8810-7D97-4D97-8D83-AEDB05B751C4}"/>
    <cellStyle name="Note 3 2 2 3" xfId="2437" xr:uid="{00000000-0005-0000-0000-0000A9080000}"/>
    <cellStyle name="Note 3 2 2 3 2" xfId="5687" xr:uid="{4785CEDB-0FDB-43A8-8F55-5D7DA556D7F5}"/>
    <cellStyle name="Note 3 2 2 3 2 2" xfId="9067" xr:uid="{DC3918B8-B4A5-4614-A927-AAC274AA6F64}"/>
    <cellStyle name="Note 3 2 2 3 3" xfId="7367" xr:uid="{167B5F7D-64A0-466B-8B7A-E20CCCED6041}"/>
    <cellStyle name="Note 3 2 2 3_DEO ADIT Unprotected" xfId="4022" xr:uid="{A2151628-448B-4CF5-B07F-D9CF449B742D}"/>
    <cellStyle name="Note 3 2 2 4" xfId="4850" xr:uid="{DCC2B8DD-5F9E-48BA-AB7C-82D930D96038}"/>
    <cellStyle name="Note 3 2 2 4 2" xfId="8230" xr:uid="{FB746FEE-2B8C-4BA5-8EB8-6C949C9AF6AF}"/>
    <cellStyle name="Note 3 2 2 5" xfId="6530" xr:uid="{906623B0-1A9E-4FCA-918E-06F64857BF43}"/>
    <cellStyle name="Note 3 2 2_DEO ADIT Unprotected" xfId="4019" xr:uid="{534525CD-E09D-4197-B529-06B7AFD7915E}"/>
    <cellStyle name="Note 3 2 3" xfId="1552" xr:uid="{00000000-0005-0000-0000-0000AA080000}"/>
    <cellStyle name="Note 3 2 3 2" xfId="2439" xr:uid="{00000000-0005-0000-0000-0000AB080000}"/>
    <cellStyle name="Note 3 2 3 2 2" xfId="5689" xr:uid="{23ACCABD-2A25-4522-8B53-589AD5131E02}"/>
    <cellStyle name="Note 3 2 3 2 2 2" xfId="9069" xr:uid="{A9EF2E8D-F7B8-45D4-AB37-57B87FFE0B79}"/>
    <cellStyle name="Note 3 2 3 2 3" xfId="7369" xr:uid="{2886378B-E06E-434C-9BF2-036C59C9DD78}"/>
    <cellStyle name="Note 3 2 3 2_DEO ADIT Unprotected" xfId="4024" xr:uid="{5DFC1353-C952-402F-9017-D8572E4D7683}"/>
    <cellStyle name="Note 3 2 3 3" xfId="4852" xr:uid="{BF13CC0C-62A5-42DC-A9D5-6EFA432675C5}"/>
    <cellStyle name="Note 3 2 3 3 2" xfId="8232" xr:uid="{FA4D3737-78D8-4CD2-B02A-DD9CC6721AF6}"/>
    <cellStyle name="Note 3 2 3 4" xfId="6532" xr:uid="{251E21C6-9A16-4E65-9632-6B224C295FE6}"/>
    <cellStyle name="Note 3 2 3_DEO ADIT Unprotected" xfId="4023" xr:uid="{F5DEEEB8-1424-4C4C-8406-ADFE4A67BD34}"/>
    <cellStyle name="Note 3 2 4" xfId="2436" xr:uid="{00000000-0005-0000-0000-0000AC080000}"/>
    <cellStyle name="Note 3 2 4 2" xfId="5686" xr:uid="{BAB8A864-558B-4CE4-8F2C-B83ECF6B518A}"/>
    <cellStyle name="Note 3 2 4 2 2" xfId="9066" xr:uid="{47943B89-CB94-48D2-82D5-FC4A7AD80B61}"/>
    <cellStyle name="Note 3 2 4 3" xfId="7366" xr:uid="{0BFAF2EA-2D39-4C9E-A7B6-09831F916CE2}"/>
    <cellStyle name="Note 3 2 4_DEO ADIT Unprotected" xfId="4025" xr:uid="{43D8506D-B747-4CEE-AD7F-C674C64E0AC9}"/>
    <cellStyle name="Note 3 2 5" xfId="4849" xr:uid="{AEF839B9-8CFD-4773-B58D-9E7AA0DBCB28}"/>
    <cellStyle name="Note 3 2 5 2" xfId="8229" xr:uid="{C8E0B5DD-9BE4-429C-A15E-CB6622EC8596}"/>
    <cellStyle name="Note 3 2 6" xfId="6529" xr:uid="{D2BA7940-F9DF-47F0-BB29-82CD4D5E431C}"/>
    <cellStyle name="Note 3 2_DEO ADIT Unprotected" xfId="4018" xr:uid="{80D3CAE8-8EA4-425A-BD53-04229033377B}"/>
    <cellStyle name="Note 3 3" xfId="1553" xr:uid="{00000000-0005-0000-0000-0000AD080000}"/>
    <cellStyle name="Note 3 3 2" xfId="1554" xr:uid="{00000000-0005-0000-0000-0000AE080000}"/>
    <cellStyle name="Note 3 3 2 2" xfId="2441" xr:uid="{00000000-0005-0000-0000-0000AF080000}"/>
    <cellStyle name="Note 3 3 2 2 2" xfId="5691" xr:uid="{9D2FB3E5-81BF-4F92-BEF4-549A54A8AEA5}"/>
    <cellStyle name="Note 3 3 2 2 2 2" xfId="9071" xr:uid="{2D1E59BD-9E09-4C03-822F-5A5E828E6232}"/>
    <cellStyle name="Note 3 3 2 2 3" xfId="7371" xr:uid="{335D5075-02AA-4448-AD54-CD0B394D3787}"/>
    <cellStyle name="Note 3 3 2 2_DEO ADIT Unprotected" xfId="4028" xr:uid="{3A5A88F2-04DD-40B9-B9BB-85AE3D96DF67}"/>
    <cellStyle name="Note 3 3 2 3" xfId="4854" xr:uid="{B3A64047-A0E5-405A-A4CD-B55B6CBC7121}"/>
    <cellStyle name="Note 3 3 2 3 2" xfId="8234" xr:uid="{C833F973-3F11-4D1D-AF66-EECB5613A47C}"/>
    <cellStyle name="Note 3 3 2 4" xfId="6534" xr:uid="{D43C804C-AB85-426D-8C34-F908F02BB8C0}"/>
    <cellStyle name="Note 3 3 2_DEO ADIT Unprotected" xfId="4027" xr:uid="{1D5A351E-B8A2-48F3-AFAC-33A548A135C0}"/>
    <cellStyle name="Note 3 3 3" xfId="2440" xr:uid="{00000000-0005-0000-0000-0000B0080000}"/>
    <cellStyle name="Note 3 3 3 2" xfId="5690" xr:uid="{C5326F08-5E92-4315-92BD-570931ADD210}"/>
    <cellStyle name="Note 3 3 3 2 2" xfId="9070" xr:uid="{2D522545-D9A3-4A4D-B2E2-66BA4B9E96A2}"/>
    <cellStyle name="Note 3 3 3 3" xfId="7370" xr:uid="{AE979F66-6379-4198-9176-4D032A7303F2}"/>
    <cellStyle name="Note 3 3 3_DEO ADIT Unprotected" xfId="4029" xr:uid="{6B196B17-E68D-4D5C-9310-E462AA1E1A7C}"/>
    <cellStyle name="Note 3 3 4" xfId="4853" xr:uid="{793D5AB7-B49A-4C5C-B024-3A1F5E2C232B}"/>
    <cellStyle name="Note 3 3 4 2" xfId="8233" xr:uid="{7216363E-2908-4ACF-8BC7-5171AD469147}"/>
    <cellStyle name="Note 3 3 5" xfId="6533" xr:uid="{59577829-9A38-46A0-B4B6-00415586165E}"/>
    <cellStyle name="Note 3 3_DEO ADIT Unprotected" xfId="4026" xr:uid="{CA95CA9E-4A59-4D67-99BB-1A5DE338E7BF}"/>
    <cellStyle name="Note 4" xfId="1555" xr:uid="{00000000-0005-0000-0000-0000B1080000}"/>
    <cellStyle name="Note 5" xfId="1556" xr:uid="{00000000-0005-0000-0000-0000B2080000}"/>
    <cellStyle name="Note 6" xfId="1557" xr:uid="{00000000-0005-0000-0000-0000B3080000}"/>
    <cellStyle name="Note 7" xfId="1558" xr:uid="{00000000-0005-0000-0000-0000B4080000}"/>
    <cellStyle name="Note 7 2" xfId="1559" xr:uid="{00000000-0005-0000-0000-0000B5080000}"/>
    <cellStyle name="Note 8" xfId="1560" xr:uid="{00000000-0005-0000-0000-0000B6080000}"/>
    <cellStyle name="Note 9" xfId="1561" xr:uid="{00000000-0005-0000-0000-0000B7080000}"/>
    <cellStyle name="Output" xfId="521" builtinId="21" customBuiltin="1"/>
    <cellStyle name="Output 2" xfId="1562" xr:uid="{00000000-0005-0000-0000-0000B9080000}"/>
    <cellStyle name="Output 2 2" xfId="1563" xr:uid="{00000000-0005-0000-0000-0000BA080000}"/>
    <cellStyle name="Output 2 3" xfId="1564" xr:uid="{00000000-0005-0000-0000-0000BB080000}"/>
    <cellStyle name="Output 2_DEO ADIT Unprotected" xfId="4030" xr:uid="{7CF24382-DE1F-4DAC-82BE-BEF3F87A0424}"/>
    <cellStyle name="Output 3" xfId="1565" xr:uid="{00000000-0005-0000-0000-0000BC080000}"/>
    <cellStyle name="Output 4" xfId="1566" xr:uid="{00000000-0005-0000-0000-0000BD080000}"/>
    <cellStyle name="Output Report Heading_C_BS5_D_C_YTD_CONSG_ALL_U" xfId="1567" xr:uid="{00000000-0005-0000-0000-0000BE080000}"/>
    <cellStyle name="Output1_Back" xfId="183" xr:uid="{00000000-0005-0000-0000-0000BF080000}"/>
    <cellStyle name="p" xfId="184" xr:uid="{00000000-0005-0000-0000-0000C0080000}"/>
    <cellStyle name="p_2010 Attachment O  GG_082709" xfId="185" xr:uid="{00000000-0005-0000-0000-0000C1080000}"/>
    <cellStyle name="p_2010 Attachment O Template Supporting Work Papers_ITC Midwest" xfId="186" xr:uid="{00000000-0005-0000-0000-0000C2080000}"/>
    <cellStyle name="p_2010 Attachment O Template Supporting Work Papers_ITCTransmission" xfId="187" xr:uid="{00000000-0005-0000-0000-0000C3080000}"/>
    <cellStyle name="p_2010 Attachment O Template Supporting Work Papers_METC" xfId="188" xr:uid="{00000000-0005-0000-0000-0000C4080000}"/>
    <cellStyle name="p_2Mod11" xfId="189" xr:uid="{00000000-0005-0000-0000-0000C5080000}"/>
    <cellStyle name="p_aavidmod11.xls Chart 1" xfId="190" xr:uid="{00000000-0005-0000-0000-0000C6080000}"/>
    <cellStyle name="p_aavidmod11.xls Chart 2" xfId="191" xr:uid="{00000000-0005-0000-0000-0000C7080000}"/>
    <cellStyle name="p_Attachment O &amp; GG" xfId="192" xr:uid="{00000000-0005-0000-0000-0000C8080000}"/>
    <cellStyle name="p_charts for capm" xfId="193" xr:uid="{00000000-0005-0000-0000-0000C9080000}"/>
    <cellStyle name="p_charts for capm_DEO ADIT Unprotected" xfId="4031" xr:uid="{891F89F2-16B3-4EB1-B69E-75EA438F8956}"/>
    <cellStyle name="p_DCF" xfId="194" xr:uid="{00000000-0005-0000-0000-0000CA080000}"/>
    <cellStyle name="p_DCF_2Mod11" xfId="195" xr:uid="{00000000-0005-0000-0000-0000CB080000}"/>
    <cellStyle name="p_DCF_aavidmod11.xls Chart 1" xfId="196" xr:uid="{00000000-0005-0000-0000-0000CC080000}"/>
    <cellStyle name="p_DCF_aavidmod11.xls Chart 2" xfId="197" xr:uid="{00000000-0005-0000-0000-0000CD080000}"/>
    <cellStyle name="p_DCF_charts for capm" xfId="198" xr:uid="{00000000-0005-0000-0000-0000CE080000}"/>
    <cellStyle name="p_DCF_charts for capm_DEO ADIT Unprotected" xfId="4032" xr:uid="{64FEB6ED-64FC-4EA7-8289-C6E06E5AB301}"/>
    <cellStyle name="p_DCF_DCF5" xfId="199" xr:uid="{00000000-0005-0000-0000-0000CF080000}"/>
    <cellStyle name="p_DCF_DCF5_DEO ADIT Unprotected" xfId="4033" xr:uid="{94538224-25C4-4183-B16B-67BCDD03F61F}"/>
    <cellStyle name="p_DCF_Template2" xfId="200" xr:uid="{00000000-0005-0000-0000-0000D0080000}"/>
    <cellStyle name="p_DCF_Template2_1" xfId="201" xr:uid="{00000000-0005-0000-0000-0000D1080000}"/>
    <cellStyle name="p_DCF_VERA" xfId="202" xr:uid="{00000000-0005-0000-0000-0000D2080000}"/>
    <cellStyle name="p_DCF_VERA_1" xfId="203" xr:uid="{00000000-0005-0000-0000-0000D3080000}"/>
    <cellStyle name="p_DCF_VERA_1_Template2" xfId="204" xr:uid="{00000000-0005-0000-0000-0000D4080000}"/>
    <cellStyle name="p_DCF_VERA_aavidmod11.xls Chart 2" xfId="205" xr:uid="{00000000-0005-0000-0000-0000D5080000}"/>
    <cellStyle name="p_DCF_VERA_Model02" xfId="206" xr:uid="{00000000-0005-0000-0000-0000D6080000}"/>
    <cellStyle name="p_DCF_VERA_Template2" xfId="207" xr:uid="{00000000-0005-0000-0000-0000D7080000}"/>
    <cellStyle name="p_DCF_VERA_VERA" xfId="208" xr:uid="{00000000-0005-0000-0000-0000D8080000}"/>
    <cellStyle name="p_DCF_VERA_VERA_1" xfId="209" xr:uid="{00000000-0005-0000-0000-0000D9080000}"/>
    <cellStyle name="p_DCF_VERA_VERA_2" xfId="210" xr:uid="{00000000-0005-0000-0000-0000DA080000}"/>
    <cellStyle name="p_DCF_VERA_VERA_Template2" xfId="211" xr:uid="{00000000-0005-0000-0000-0000DB080000}"/>
    <cellStyle name="p_DCF5" xfId="212" xr:uid="{00000000-0005-0000-0000-0000DC080000}"/>
    <cellStyle name="p_DCF5_DEO ADIT Unprotected" xfId="4034" xr:uid="{DA1959A3-6659-4ADD-A0A4-9788320A93AC}"/>
    <cellStyle name="p_ITC Great Plains Formula 1-12-09a" xfId="213" xr:uid="{00000000-0005-0000-0000-0000DD080000}"/>
    <cellStyle name="p_ITCM 2010 Template" xfId="214" xr:uid="{00000000-0005-0000-0000-0000DE080000}"/>
    <cellStyle name="p_ITCMW 2009 Rate" xfId="215" xr:uid="{00000000-0005-0000-0000-0000DF080000}"/>
    <cellStyle name="p_ITCMW 2010 Rate_083109" xfId="216" xr:uid="{00000000-0005-0000-0000-0000E0080000}"/>
    <cellStyle name="p_ITCOP 2010 Rate_083109" xfId="217" xr:uid="{00000000-0005-0000-0000-0000E1080000}"/>
    <cellStyle name="p_ITCT 2009 Rate" xfId="218" xr:uid="{00000000-0005-0000-0000-0000E2080000}"/>
    <cellStyle name="p_ITCT New 2010 Attachment O &amp; GG_111209NL" xfId="219" xr:uid="{00000000-0005-0000-0000-0000E3080000}"/>
    <cellStyle name="p_METC 2010 Rate_083109" xfId="220" xr:uid="{00000000-0005-0000-0000-0000E4080000}"/>
    <cellStyle name="p_Template2" xfId="221" xr:uid="{00000000-0005-0000-0000-0000E5080000}"/>
    <cellStyle name="p_Template2_1" xfId="222" xr:uid="{00000000-0005-0000-0000-0000E6080000}"/>
    <cellStyle name="p_VERA" xfId="223" xr:uid="{00000000-0005-0000-0000-0000E7080000}"/>
    <cellStyle name="p_VERA_1" xfId="224" xr:uid="{00000000-0005-0000-0000-0000E8080000}"/>
    <cellStyle name="p_VERA_1_Template2" xfId="225" xr:uid="{00000000-0005-0000-0000-0000E9080000}"/>
    <cellStyle name="p_VERA_aavidmod11.xls Chart 2" xfId="226" xr:uid="{00000000-0005-0000-0000-0000EA080000}"/>
    <cellStyle name="p_VERA_Model02" xfId="227" xr:uid="{00000000-0005-0000-0000-0000EB080000}"/>
    <cellStyle name="p_VERA_Template2" xfId="228" xr:uid="{00000000-0005-0000-0000-0000EC080000}"/>
    <cellStyle name="p_VERA_VERA" xfId="229" xr:uid="{00000000-0005-0000-0000-0000ED080000}"/>
    <cellStyle name="p_VERA_VERA_1" xfId="230" xr:uid="{00000000-0005-0000-0000-0000EE080000}"/>
    <cellStyle name="p_VERA_VERA_2" xfId="231" xr:uid="{00000000-0005-0000-0000-0000EF080000}"/>
    <cellStyle name="p_VERA_VERA_Template2" xfId="232" xr:uid="{00000000-0005-0000-0000-0000F0080000}"/>
    <cellStyle name="p1" xfId="233" xr:uid="{00000000-0005-0000-0000-0000F1080000}"/>
    <cellStyle name="p2" xfId="234" xr:uid="{00000000-0005-0000-0000-0000F2080000}"/>
    <cellStyle name="p3" xfId="235" xr:uid="{00000000-0005-0000-0000-0000F3080000}"/>
    <cellStyle name="Percent" xfId="2463" builtinId="5"/>
    <cellStyle name="Percent %" xfId="236" xr:uid="{00000000-0005-0000-0000-0000F4080000}"/>
    <cellStyle name="Percent % Long Underline" xfId="237" xr:uid="{00000000-0005-0000-0000-0000F5080000}"/>
    <cellStyle name="Percent (0)" xfId="238" xr:uid="{00000000-0005-0000-0000-0000F6080000}"/>
    <cellStyle name="Percent [0]" xfId="239" xr:uid="{00000000-0005-0000-0000-0000F7080000}"/>
    <cellStyle name="Percent [1]" xfId="240" xr:uid="{00000000-0005-0000-0000-0000F8080000}"/>
    <cellStyle name="Percent [2]" xfId="241" xr:uid="{00000000-0005-0000-0000-0000F9080000}"/>
    <cellStyle name="Percent [3]" xfId="242" xr:uid="{00000000-0005-0000-0000-0000FA080000}"/>
    <cellStyle name="Percent 0.0%" xfId="243" xr:uid="{00000000-0005-0000-0000-0000FB080000}"/>
    <cellStyle name="Percent 0.0% Long Underline" xfId="244" xr:uid="{00000000-0005-0000-0000-0000FC080000}"/>
    <cellStyle name="Percent 0.00%" xfId="245" xr:uid="{00000000-0005-0000-0000-0000FD080000}"/>
    <cellStyle name="Percent 0.00% Long Underline" xfId="246" xr:uid="{00000000-0005-0000-0000-0000FE080000}"/>
    <cellStyle name="Percent 0.000%" xfId="247" xr:uid="{00000000-0005-0000-0000-0000FF080000}"/>
    <cellStyle name="Percent 0.000% Long Underline" xfId="248" xr:uid="{00000000-0005-0000-0000-000000090000}"/>
    <cellStyle name="Percent 0.0000%" xfId="249" xr:uid="{00000000-0005-0000-0000-000001090000}"/>
    <cellStyle name="Percent 0.0000% Long Underline" xfId="250" xr:uid="{00000000-0005-0000-0000-000002090000}"/>
    <cellStyle name="Percent 10" xfId="1568" xr:uid="{00000000-0005-0000-0000-000003090000}"/>
    <cellStyle name="Percent 10 2" xfId="1569" xr:uid="{00000000-0005-0000-0000-000004090000}"/>
    <cellStyle name="Percent 10 2 2" xfId="2443" xr:uid="{00000000-0005-0000-0000-000005090000}"/>
    <cellStyle name="Percent 10 2 2 2" xfId="5693" xr:uid="{BFD31C0F-0FFC-49A5-A0B7-0EC2795F9A5B}"/>
    <cellStyle name="Percent 10 2 2 2 2" xfId="9073" xr:uid="{2DAEDBD9-50C1-4E1D-8B55-0D2BD62E2BE2}"/>
    <cellStyle name="Percent 10 2 2 3" xfId="7373" xr:uid="{AE6F49C5-8537-4C79-AA91-966A01C9085C}"/>
    <cellStyle name="Percent 10 2 3" xfId="4856" xr:uid="{4344850C-4EE6-4837-85A7-136675E00AF5}"/>
    <cellStyle name="Percent 10 2 3 2" xfId="8236" xr:uid="{D9BAD835-3E2B-411C-8914-FD8960F7BF1F}"/>
    <cellStyle name="Percent 10 2 4" xfId="6536" xr:uid="{24BE0626-62DC-4526-8E3F-4F811471DB33}"/>
    <cellStyle name="Percent 10 3" xfId="2442" xr:uid="{00000000-0005-0000-0000-000006090000}"/>
    <cellStyle name="Percent 10 3 2" xfId="5692" xr:uid="{14E1FE89-F813-44C3-B8E9-0B40337D76AD}"/>
    <cellStyle name="Percent 10 3 2 2" xfId="9072" xr:uid="{88217372-09AD-4F46-8D84-E3F6236E0459}"/>
    <cellStyle name="Percent 10 3 3" xfId="7372" xr:uid="{B2C3960D-090C-4990-B43C-3449F6DD199B}"/>
    <cellStyle name="Percent 10 4" xfId="4855" xr:uid="{99C5A769-C4B1-420A-A1B1-67352E913313}"/>
    <cellStyle name="Percent 10 4 2" xfId="8235" xr:uid="{82447D15-42C9-43E0-846C-E51740FBF6E1}"/>
    <cellStyle name="Percent 10 5" xfId="6535" xr:uid="{1C599A75-B291-4C8E-B9EC-8F7CA12C4DD9}"/>
    <cellStyle name="Percent 11" xfId="1570" xr:uid="{00000000-0005-0000-0000-000007090000}"/>
    <cellStyle name="Percent 12" xfId="1571" xr:uid="{00000000-0005-0000-0000-000008090000}"/>
    <cellStyle name="Percent 2" xfId="11" xr:uid="{00000000-0005-0000-0000-000009090000}"/>
    <cellStyle name="Percent 2 2" xfId="251" xr:uid="{00000000-0005-0000-0000-00000A090000}"/>
    <cellStyle name="Percent 2 2 2" xfId="1572" xr:uid="{00000000-0005-0000-0000-00000B090000}"/>
    <cellStyle name="Percent 2 2 2 10" xfId="4857" xr:uid="{EA936EF3-DDCC-43A4-A3B7-89D08EF5148E}"/>
    <cellStyle name="Percent 2 2 2 10 2" xfId="8237" xr:uid="{30786AD4-3EFE-4E51-B5AA-073C01C1C796}"/>
    <cellStyle name="Percent 2 2 2 11" xfId="6537" xr:uid="{99F9430D-8A30-4F7C-BC11-3AB2FE8E20CA}"/>
    <cellStyle name="Percent 2 2 2 2" xfId="1573" xr:uid="{00000000-0005-0000-0000-00000C090000}"/>
    <cellStyle name="Percent 2 2 2 2 2" xfId="2445" xr:uid="{00000000-0005-0000-0000-00000D090000}"/>
    <cellStyle name="Percent 2 2 2 2 2 2" xfId="5695" xr:uid="{E8145558-D57F-4A66-B8AE-C886470C60B9}"/>
    <cellStyle name="Percent 2 2 2 2 2 2 2" xfId="9075" xr:uid="{42304D74-0FDC-4BF2-B7E0-734B2F1FF4CE}"/>
    <cellStyle name="Percent 2 2 2 2 2 3" xfId="7375" xr:uid="{20DF3252-4209-4293-883F-1566084D6F3A}"/>
    <cellStyle name="Percent 2 2 2 2 3" xfId="4858" xr:uid="{AC3516BB-6B79-41D3-B50D-8D7595019110}"/>
    <cellStyle name="Percent 2 2 2 2 3 2" xfId="8238" xr:uid="{316345DB-6C45-4349-B74D-76DAD097224B}"/>
    <cellStyle name="Percent 2 2 2 2 4" xfId="6538" xr:uid="{D2BD957E-5326-45DE-B053-CE90C06E4FD6}"/>
    <cellStyle name="Percent 2 2 2 3" xfId="1574" xr:uid="{00000000-0005-0000-0000-00000E090000}"/>
    <cellStyle name="Percent 2 2 2 3 2" xfId="2446" xr:uid="{00000000-0005-0000-0000-00000F090000}"/>
    <cellStyle name="Percent 2 2 2 3 2 2" xfId="5696" xr:uid="{88DDDFAD-6999-41F8-9DC9-A0AF8A8E7D7D}"/>
    <cellStyle name="Percent 2 2 2 3 2 2 2" xfId="9076" xr:uid="{ABA6B66F-C7F2-4497-830F-F306A98EAA5A}"/>
    <cellStyle name="Percent 2 2 2 3 2 3" xfId="7376" xr:uid="{EF0BD1CF-21D5-4F3C-884A-F56E25036CCD}"/>
    <cellStyle name="Percent 2 2 2 3 3" xfId="4859" xr:uid="{0BCD97EA-D5BC-4993-B2D6-5FACD62ED3B8}"/>
    <cellStyle name="Percent 2 2 2 3 3 2" xfId="8239" xr:uid="{C79E3F20-1E72-43B7-B5B3-C8DF501CCBE9}"/>
    <cellStyle name="Percent 2 2 2 3 4" xfId="6539" xr:uid="{C88F58C9-A05E-4FB6-80F0-3B704C5FF2DD}"/>
    <cellStyle name="Percent 2 2 2 4" xfId="1575" xr:uid="{00000000-0005-0000-0000-000010090000}"/>
    <cellStyle name="Percent 2 2 2 4 2" xfId="2447" xr:uid="{00000000-0005-0000-0000-000011090000}"/>
    <cellStyle name="Percent 2 2 2 4 2 2" xfId="5697" xr:uid="{A2864D5D-3FCA-4C9D-A8A7-BF720E37173F}"/>
    <cellStyle name="Percent 2 2 2 4 2 2 2" xfId="9077" xr:uid="{8798D1C1-07E6-4547-A169-EB5A58705C3E}"/>
    <cellStyle name="Percent 2 2 2 4 2 3" xfId="7377" xr:uid="{968FEC89-B5C7-492F-8995-177F720C5186}"/>
    <cellStyle name="Percent 2 2 2 4 3" xfId="4860" xr:uid="{C8B19160-D51C-4D55-BA90-FDAE1F3C5133}"/>
    <cellStyle name="Percent 2 2 2 4 3 2" xfId="8240" xr:uid="{16B6BDD6-74D4-4F42-B787-EF4F6AFE09E4}"/>
    <cellStyle name="Percent 2 2 2 4 4" xfId="6540" xr:uid="{DE0F8834-9F81-478D-AAA8-1241B833567D}"/>
    <cellStyle name="Percent 2 2 2 5" xfId="1576" xr:uid="{00000000-0005-0000-0000-000012090000}"/>
    <cellStyle name="Percent 2 2 2 5 2" xfId="2448" xr:uid="{00000000-0005-0000-0000-000013090000}"/>
    <cellStyle name="Percent 2 2 2 5 2 2" xfId="5698" xr:uid="{E6427A4B-0351-46D0-B731-B40E53128622}"/>
    <cellStyle name="Percent 2 2 2 5 2 2 2" xfId="9078" xr:uid="{6152A937-4C3E-4FE4-BA9F-D3CBA7C90061}"/>
    <cellStyle name="Percent 2 2 2 5 2 3" xfId="7378" xr:uid="{B952AB9B-4766-435B-BED0-47C98FBC4122}"/>
    <cellStyle name="Percent 2 2 2 5 3" xfId="4861" xr:uid="{9FE856E2-A4FB-4B55-8B94-922B4489EFEB}"/>
    <cellStyle name="Percent 2 2 2 5 3 2" xfId="8241" xr:uid="{3E11DB1D-0C4C-42C6-9349-4022CA39B47D}"/>
    <cellStyle name="Percent 2 2 2 5 4" xfId="6541" xr:uid="{A6DEBCAC-5A29-48D7-B340-C46862D41145}"/>
    <cellStyle name="Percent 2 2 2 6" xfId="1577" xr:uid="{00000000-0005-0000-0000-000014090000}"/>
    <cellStyle name="Percent 2 2 2 6 2" xfId="2449" xr:uid="{00000000-0005-0000-0000-000015090000}"/>
    <cellStyle name="Percent 2 2 2 6 2 2" xfId="5699" xr:uid="{F559194C-29A3-4CD6-874C-C6FDFB4ADFD3}"/>
    <cellStyle name="Percent 2 2 2 6 2 2 2" xfId="9079" xr:uid="{297F87E4-9C11-44D8-B830-4EBC5C69216A}"/>
    <cellStyle name="Percent 2 2 2 6 2 3" xfId="7379" xr:uid="{A4FA2B18-C41D-436A-9CE1-0AB5FDFBD38E}"/>
    <cellStyle name="Percent 2 2 2 6 3" xfId="4862" xr:uid="{DEA0628B-1B54-43D3-8566-8EFF3585546C}"/>
    <cellStyle name="Percent 2 2 2 6 3 2" xfId="8242" xr:uid="{340A32F9-C6C5-46E3-BD94-6580A3DC15A7}"/>
    <cellStyle name="Percent 2 2 2 6 4" xfId="6542" xr:uid="{C1D77008-CF6F-4664-9336-4CAE0F46DF01}"/>
    <cellStyle name="Percent 2 2 2 7" xfId="1578" xr:uid="{00000000-0005-0000-0000-000016090000}"/>
    <cellStyle name="Percent 2 2 2 7 2" xfId="2450" xr:uid="{00000000-0005-0000-0000-000017090000}"/>
    <cellStyle name="Percent 2 2 2 7 2 2" xfId="5700" xr:uid="{6B31EACD-A67F-4966-8F19-20B2CEEDB44F}"/>
    <cellStyle name="Percent 2 2 2 7 2 2 2" xfId="9080" xr:uid="{E7BDA28D-DD30-4B89-96E3-10740B5029B2}"/>
    <cellStyle name="Percent 2 2 2 7 2 3" xfId="7380" xr:uid="{D274A0C4-F0E1-48E3-80C4-EF8BB6867B2C}"/>
    <cellStyle name="Percent 2 2 2 7 3" xfId="4863" xr:uid="{5B38A6D0-A141-4372-BBE1-901A9BF56372}"/>
    <cellStyle name="Percent 2 2 2 7 3 2" xfId="8243" xr:uid="{3715A773-E33D-4EDE-AEAA-BF7E86F35218}"/>
    <cellStyle name="Percent 2 2 2 7 4" xfId="6543" xr:uid="{DD9FFB17-A15C-4328-82AF-0D26FC52D5E0}"/>
    <cellStyle name="Percent 2 2 2 8" xfId="1579" xr:uid="{00000000-0005-0000-0000-000018090000}"/>
    <cellStyle name="Percent 2 2 2 8 2" xfId="2451" xr:uid="{00000000-0005-0000-0000-000019090000}"/>
    <cellStyle name="Percent 2 2 2 8 2 2" xfId="5701" xr:uid="{285629A6-8681-4B5D-9D11-6AA65461A469}"/>
    <cellStyle name="Percent 2 2 2 8 2 2 2" xfId="9081" xr:uid="{A6DD9E1F-110E-4447-8276-86BA11DA6907}"/>
    <cellStyle name="Percent 2 2 2 8 2 3" xfId="7381" xr:uid="{CE2243CC-9F46-431E-97E6-84E5E0F8E362}"/>
    <cellStyle name="Percent 2 2 2 8 3" xfId="4864" xr:uid="{37952376-6172-4B26-838D-DA9DFF12453F}"/>
    <cellStyle name="Percent 2 2 2 8 3 2" xfId="8244" xr:uid="{0662B246-9325-4838-A4D9-A504E4A6AE9F}"/>
    <cellStyle name="Percent 2 2 2 8 4" xfId="6544" xr:uid="{0169C6E9-F893-4CBD-9E48-CD4F917FFDBF}"/>
    <cellStyle name="Percent 2 2 2 9" xfId="2444" xr:uid="{00000000-0005-0000-0000-00001A090000}"/>
    <cellStyle name="Percent 2 2 2 9 2" xfId="5694" xr:uid="{3F026D45-B7D7-464F-8300-AF7DF6FDF916}"/>
    <cellStyle name="Percent 2 2 2 9 2 2" xfId="9074" xr:uid="{0F7FF1B6-B6D6-4643-82CF-1B11633F557C}"/>
    <cellStyle name="Percent 2 2 2 9 3" xfId="7374" xr:uid="{388D026E-754D-4143-81FA-02B197EB91A4}"/>
    <cellStyle name="Percent 2 3" xfId="1580" xr:uid="{00000000-0005-0000-0000-00001B090000}"/>
    <cellStyle name="Percent 2 3 2" xfId="1581" xr:uid="{00000000-0005-0000-0000-00001C090000}"/>
    <cellStyle name="Percent 2 3 2 2" xfId="2453" xr:uid="{00000000-0005-0000-0000-00001D090000}"/>
    <cellStyle name="Percent 2 3 2 2 2" xfId="5703" xr:uid="{D77A2843-C7AC-4454-83D6-B63C24942DF5}"/>
    <cellStyle name="Percent 2 3 2 2 2 2" xfId="9083" xr:uid="{48ADE623-9B0A-4071-AAD7-CB1E81D31246}"/>
    <cellStyle name="Percent 2 3 2 2 3" xfId="7383" xr:uid="{8FFE3F66-0931-4E46-9CE7-A65EF559E46D}"/>
    <cellStyle name="Percent 2 3 2 3" xfId="4866" xr:uid="{A9F30814-DC2E-4CF7-BAD5-191912D95F98}"/>
    <cellStyle name="Percent 2 3 2 3 2" xfId="8246" xr:uid="{E47CF8CD-33BB-4330-9D89-7536C34C470A}"/>
    <cellStyle name="Percent 2 3 2 4" xfId="6546" xr:uid="{4596844A-5F74-427A-A831-54A51DA1E3A2}"/>
    <cellStyle name="Percent 2 3 3" xfId="2452" xr:uid="{00000000-0005-0000-0000-00001E090000}"/>
    <cellStyle name="Percent 2 3 3 2" xfId="5702" xr:uid="{1858C40C-ECA4-491F-9B93-8A1C9323342B}"/>
    <cellStyle name="Percent 2 3 3 2 2" xfId="9082" xr:uid="{E3005B90-DD26-472E-B766-D9E8FC1BD226}"/>
    <cellStyle name="Percent 2 3 3 3" xfId="7382" xr:uid="{0B634CB7-8D3D-436C-88C6-090B533EEE19}"/>
    <cellStyle name="Percent 2 3 4" xfId="4865" xr:uid="{2BE039C9-7AF9-41E2-8019-820D12A72A79}"/>
    <cellStyle name="Percent 2 3 4 2" xfId="8245" xr:uid="{5B4BEB2C-CEB2-421D-BD1E-14FA9FC75853}"/>
    <cellStyle name="Percent 2 3 5" xfId="6545" xr:uid="{6603CB46-7A7D-4642-BBE4-E9CBE86C4C9B}"/>
    <cellStyle name="Percent 2 4" xfId="1582" xr:uid="{00000000-0005-0000-0000-00001F090000}"/>
    <cellStyle name="Percent 2 4 2" xfId="1583" xr:uid="{00000000-0005-0000-0000-000020090000}"/>
    <cellStyle name="Percent 2 4 2 2" xfId="2455" xr:uid="{00000000-0005-0000-0000-000021090000}"/>
    <cellStyle name="Percent 2 4 2 2 2" xfId="5705" xr:uid="{87B9C64D-0558-496E-B227-D45E0D8AFAE8}"/>
    <cellStyle name="Percent 2 4 2 2 2 2" xfId="9085" xr:uid="{3AFFBA22-2089-4497-B4D7-6ED19FADF376}"/>
    <cellStyle name="Percent 2 4 2 2 3" xfId="7385" xr:uid="{3DCB39AA-AC37-4706-9EB6-A55C123F47E2}"/>
    <cellStyle name="Percent 2 4 2 3" xfId="4868" xr:uid="{CE3CB64F-A21D-4042-963E-22B89C497FE6}"/>
    <cellStyle name="Percent 2 4 2 3 2" xfId="8248" xr:uid="{C6A65BBF-6B50-4694-9536-BAED76F2D192}"/>
    <cellStyle name="Percent 2 4 2 4" xfId="6548" xr:uid="{6C29E6E2-D033-4D40-A565-70550596AC81}"/>
    <cellStyle name="Percent 2 4 3" xfId="2454" xr:uid="{00000000-0005-0000-0000-000022090000}"/>
    <cellStyle name="Percent 2 4 3 2" xfId="5704" xr:uid="{7C3E6A53-F4B5-464A-A23B-83AD37039781}"/>
    <cellStyle name="Percent 2 4 3 2 2" xfId="9084" xr:uid="{23CC77E1-CF25-453B-8725-CDB36836DED6}"/>
    <cellStyle name="Percent 2 4 3 3" xfId="7384" xr:uid="{9F641712-6A76-4ADD-A8CC-529DE8FB3152}"/>
    <cellStyle name="Percent 2 4 4" xfId="4867" xr:uid="{5892360A-7466-4399-A68C-C9876B601A47}"/>
    <cellStyle name="Percent 2 4 4 2" xfId="8247" xr:uid="{DD32F71E-CC9D-454C-BCED-E4411A7A526C}"/>
    <cellStyle name="Percent 2 4 5" xfId="6547" xr:uid="{7057FBE2-E1BF-4460-B169-4E7914250C2D}"/>
    <cellStyle name="Percent 3" xfId="252" xr:uid="{00000000-0005-0000-0000-000023090000}"/>
    <cellStyle name="Percent 3 2" xfId="253" xr:uid="{00000000-0005-0000-0000-000024090000}"/>
    <cellStyle name="Percent 3 3" xfId="1584" xr:uid="{00000000-0005-0000-0000-000025090000}"/>
    <cellStyle name="Percent 3 3 2" xfId="2456" xr:uid="{00000000-0005-0000-0000-000026090000}"/>
    <cellStyle name="Percent 3 3 2 2" xfId="5706" xr:uid="{35A94D6D-6D66-432A-8F16-E0A0BD219FCA}"/>
    <cellStyle name="Percent 3 3 2 2 2" xfId="9086" xr:uid="{E2B3DCD1-18A6-4E9C-A8A7-C9173EF8223B}"/>
    <cellStyle name="Percent 3 3 2 3" xfId="7386" xr:uid="{1B0076F9-95A9-48E4-B827-642CAD6915A7}"/>
    <cellStyle name="Percent 3 3 3" xfId="4869" xr:uid="{4C36D6EE-64DD-4D7B-A480-86BCED17DEFE}"/>
    <cellStyle name="Percent 3 3 3 2" xfId="8249" xr:uid="{B293BB66-A016-413B-B973-94F09816A0E1}"/>
    <cellStyle name="Percent 3 3 4" xfId="6549" xr:uid="{594A567E-42AA-4424-AC5C-4503AD3A7F52}"/>
    <cellStyle name="Percent 4" xfId="333" xr:uid="{00000000-0005-0000-0000-000027090000}"/>
    <cellStyle name="Percent 4 2" xfId="1585" xr:uid="{00000000-0005-0000-0000-000028090000}"/>
    <cellStyle name="Percent 4 2 2" xfId="2457" xr:uid="{00000000-0005-0000-0000-000029090000}"/>
    <cellStyle name="Percent 4 2 2 2" xfId="5707" xr:uid="{83E54688-B4F7-4056-86F8-612592291FED}"/>
    <cellStyle name="Percent 4 2 2 2 2" xfId="9087" xr:uid="{484E9263-8196-44EB-A279-3A51968EB0AD}"/>
    <cellStyle name="Percent 4 2 2 3" xfId="7387" xr:uid="{A09449E9-6924-43A3-A48F-0392690F4B7F}"/>
    <cellStyle name="Percent 4 2 3" xfId="4870" xr:uid="{3C9B6AE1-798A-4F4B-932B-9002CDD33AF3}"/>
    <cellStyle name="Percent 4 2 3 2" xfId="8250" xr:uid="{6B476623-FF81-4A16-9304-5D08B8B6529E}"/>
    <cellStyle name="Percent 4 2 4" xfId="6550" xr:uid="{840DE454-BB14-47FB-AD58-BDBD803C6FF7}"/>
    <cellStyle name="Percent 5" xfId="335" xr:uid="{00000000-0005-0000-0000-00002A090000}"/>
    <cellStyle name="Percent 5 2" xfId="1586" xr:uid="{00000000-0005-0000-0000-00002B090000}"/>
    <cellStyle name="Percent 5 3" xfId="1587" xr:uid="{00000000-0005-0000-0000-00002C090000}"/>
    <cellStyle name="Percent 5 3 2" xfId="2458" xr:uid="{00000000-0005-0000-0000-00002D090000}"/>
    <cellStyle name="Percent 5 3 2 2" xfId="5708" xr:uid="{5706AE0C-0B0F-4639-820E-16B4C1CA21E2}"/>
    <cellStyle name="Percent 5 3 2 2 2" xfId="9088" xr:uid="{EEA90F8A-FA4C-4CEA-8E5B-C5ACFD4466ED}"/>
    <cellStyle name="Percent 5 3 2 3" xfId="7388" xr:uid="{6BDF4EB2-ECA6-4B77-8BCE-7D00EC7B996F}"/>
    <cellStyle name="Percent 5 3 3" xfId="4871" xr:uid="{97DEF6B3-8FE8-427E-AC6E-D7E9BAF52010}"/>
    <cellStyle name="Percent 5 3 3 2" xfId="8251" xr:uid="{7FA6C9DB-4B90-4084-AB9B-715A98FB2AD6}"/>
    <cellStyle name="Percent 5 3 4" xfId="6551" xr:uid="{F1A8A25B-9D72-4F1D-A381-4A9BF634C81F}"/>
    <cellStyle name="Percent 6" xfId="579" xr:uid="{00000000-0005-0000-0000-00002E090000}"/>
    <cellStyle name="Percent 6 2" xfId="1742" xr:uid="{00000000-0005-0000-0000-00002F090000}"/>
    <cellStyle name="Percent 6 2 2" xfId="4992" xr:uid="{C4A7B123-8A25-4B7F-9A26-9CE547AA1A14}"/>
    <cellStyle name="Percent 6 2 2 2" xfId="8372" xr:uid="{0F68C3EB-C0F8-4DD8-99A7-4FC8292366FC}"/>
    <cellStyle name="Percent 6 2 3" xfId="6672" xr:uid="{C64B06FB-4B6C-4028-8536-609CD21C018B}"/>
    <cellStyle name="Percent 6 3" xfId="4155" xr:uid="{72A09EDD-D9FD-45A4-87FA-CCB431DEF8A5}"/>
    <cellStyle name="Percent 6 3 2" xfId="7535" xr:uid="{B6CCD888-BE31-43D9-A159-BB91DD3AFF7C}"/>
    <cellStyle name="Percent 6 4" xfId="5834" xr:uid="{8FCDE36A-337B-4BFB-9BD6-0326B57E1E87}"/>
    <cellStyle name="Percent 7" xfId="1588" xr:uid="{00000000-0005-0000-0000-000030090000}"/>
    <cellStyle name="Percent 7 2" xfId="2459" xr:uid="{00000000-0005-0000-0000-000031090000}"/>
    <cellStyle name="Percent 7 2 2" xfId="5709" xr:uid="{9DD354D2-CAC5-41C0-BBF8-122FDD7447C5}"/>
    <cellStyle name="Percent 7 2 2 2" xfId="9089" xr:uid="{24D16470-2050-4B2B-988A-3E951F37D194}"/>
    <cellStyle name="Percent 7 2 3" xfId="7389" xr:uid="{620BCCC6-3839-4962-ACBE-3130BE6D3120}"/>
    <cellStyle name="Percent 7 3" xfId="4872" xr:uid="{956B0633-6831-4C9A-91EF-010D4B58D71E}"/>
    <cellStyle name="Percent 7 3 2" xfId="8252" xr:uid="{58F7CFB0-98DA-4561-83EB-85A7CCF2198A}"/>
    <cellStyle name="Percent 7 4" xfId="6552" xr:uid="{45855605-0BF4-4501-BE42-9A02A189031B}"/>
    <cellStyle name="Percent 8" xfId="1589" xr:uid="{00000000-0005-0000-0000-000032090000}"/>
    <cellStyle name="Percent 8 2" xfId="1590" xr:uid="{00000000-0005-0000-0000-000033090000}"/>
    <cellStyle name="Percent 8 2 2" xfId="2461" xr:uid="{00000000-0005-0000-0000-000034090000}"/>
    <cellStyle name="Percent 8 2 2 2" xfId="5711" xr:uid="{8A780B3C-9FC3-476F-A4D0-2290045DDF38}"/>
    <cellStyle name="Percent 8 2 2 2 2" xfId="9091" xr:uid="{B5EEADCE-0BB2-4CEA-A6B6-85A38871C7D8}"/>
    <cellStyle name="Percent 8 2 2 3" xfId="7391" xr:uid="{955D0A99-E3DC-42A2-8CAE-5FB5BDA07B17}"/>
    <cellStyle name="Percent 8 2 3" xfId="4874" xr:uid="{09FD863A-39A3-4D82-B65E-5C7A23A366BE}"/>
    <cellStyle name="Percent 8 2 3 2" xfId="8254" xr:uid="{E2B4C88E-F3C0-4A71-95B0-C8B13C4492A2}"/>
    <cellStyle name="Percent 8 2 4" xfId="6554" xr:uid="{DFB150C3-ABD1-49EB-A296-556556DA465A}"/>
    <cellStyle name="Percent 8 3" xfId="2460" xr:uid="{00000000-0005-0000-0000-000035090000}"/>
    <cellStyle name="Percent 8 3 2" xfId="5710" xr:uid="{A7AC0366-2F93-4ABD-A566-6EF756B80572}"/>
    <cellStyle name="Percent 8 3 2 2" xfId="9090" xr:uid="{19BFA715-732B-484E-A843-5293C90F113A}"/>
    <cellStyle name="Percent 8 3 3" xfId="7390" xr:uid="{F2C9CDC8-2CD2-4A6A-A5B4-C32E8D296C50}"/>
    <cellStyle name="Percent 8 4" xfId="4873" xr:uid="{6A2BBA90-6B75-4881-B957-A29C0B5E5D24}"/>
    <cellStyle name="Percent 8 4 2" xfId="8253" xr:uid="{76503C68-3810-4F6A-AA3B-656556802062}"/>
    <cellStyle name="Percent 8 5" xfId="6553" xr:uid="{28D1A890-94B0-421F-AF01-75C9650035BA}"/>
    <cellStyle name="Percent 9" xfId="1591" xr:uid="{00000000-0005-0000-0000-000036090000}"/>
    <cellStyle name="Percent Input" xfId="254" xr:uid="{00000000-0005-0000-0000-000037090000}"/>
    <cellStyle name="Percent0" xfId="255" xr:uid="{00000000-0005-0000-0000-000038090000}"/>
    <cellStyle name="Percent1" xfId="256" xr:uid="{00000000-0005-0000-0000-000039090000}"/>
    <cellStyle name="Percent2" xfId="257" xr:uid="{00000000-0005-0000-0000-00003A090000}"/>
    <cellStyle name="PSChar" xfId="258" xr:uid="{00000000-0005-0000-0000-00003B090000}"/>
    <cellStyle name="PSDate" xfId="259" xr:uid="{00000000-0005-0000-0000-00003C090000}"/>
    <cellStyle name="PSDec" xfId="260" xr:uid="{00000000-0005-0000-0000-00003D090000}"/>
    <cellStyle name="PSdesc" xfId="261" xr:uid="{00000000-0005-0000-0000-00003E090000}"/>
    <cellStyle name="PSDetail" xfId="1592" xr:uid="{00000000-0005-0000-0000-00003F090000}"/>
    <cellStyle name="PSHeading" xfId="262" xr:uid="{00000000-0005-0000-0000-000040090000}"/>
    <cellStyle name="PSInt" xfId="263" xr:uid="{00000000-0005-0000-0000-000041090000}"/>
    <cellStyle name="PSSpacer" xfId="264" xr:uid="{00000000-0005-0000-0000-000042090000}"/>
    <cellStyle name="PStest" xfId="265" xr:uid="{00000000-0005-0000-0000-000043090000}"/>
    <cellStyle name="R00A" xfId="266" xr:uid="{00000000-0005-0000-0000-000044090000}"/>
    <cellStyle name="R00B" xfId="267" xr:uid="{00000000-0005-0000-0000-000045090000}"/>
    <cellStyle name="R00L" xfId="268" xr:uid="{00000000-0005-0000-0000-000046090000}"/>
    <cellStyle name="R01A" xfId="269" xr:uid="{00000000-0005-0000-0000-000047090000}"/>
    <cellStyle name="R01B" xfId="270" xr:uid="{00000000-0005-0000-0000-000048090000}"/>
    <cellStyle name="R01H" xfId="271" xr:uid="{00000000-0005-0000-0000-000049090000}"/>
    <cellStyle name="R01L" xfId="272" xr:uid="{00000000-0005-0000-0000-00004A090000}"/>
    <cellStyle name="R02A" xfId="273" xr:uid="{00000000-0005-0000-0000-00004B090000}"/>
    <cellStyle name="R02B" xfId="274" xr:uid="{00000000-0005-0000-0000-00004C090000}"/>
    <cellStyle name="R02H" xfId="275" xr:uid="{00000000-0005-0000-0000-00004D090000}"/>
    <cellStyle name="R02L" xfId="276" xr:uid="{00000000-0005-0000-0000-00004E090000}"/>
    <cellStyle name="R03A" xfId="277" xr:uid="{00000000-0005-0000-0000-00004F090000}"/>
    <cellStyle name="R03B" xfId="278" xr:uid="{00000000-0005-0000-0000-000050090000}"/>
    <cellStyle name="R03H" xfId="279" xr:uid="{00000000-0005-0000-0000-000051090000}"/>
    <cellStyle name="R03L" xfId="280" xr:uid="{00000000-0005-0000-0000-000052090000}"/>
    <cellStyle name="R04A" xfId="281" xr:uid="{00000000-0005-0000-0000-000053090000}"/>
    <cellStyle name="R04B" xfId="282" xr:uid="{00000000-0005-0000-0000-000054090000}"/>
    <cellStyle name="R04H" xfId="283" xr:uid="{00000000-0005-0000-0000-000055090000}"/>
    <cellStyle name="R04L" xfId="284" xr:uid="{00000000-0005-0000-0000-000056090000}"/>
    <cellStyle name="R05A" xfId="285" xr:uid="{00000000-0005-0000-0000-000057090000}"/>
    <cellStyle name="R05B" xfId="286" xr:uid="{00000000-0005-0000-0000-000058090000}"/>
    <cellStyle name="R05H" xfId="287" xr:uid="{00000000-0005-0000-0000-000059090000}"/>
    <cellStyle name="R05L" xfId="288" xr:uid="{00000000-0005-0000-0000-00005A090000}"/>
    <cellStyle name="R06A" xfId="289" xr:uid="{00000000-0005-0000-0000-00005B090000}"/>
    <cellStyle name="R06B" xfId="290" xr:uid="{00000000-0005-0000-0000-00005C090000}"/>
    <cellStyle name="R06H" xfId="291" xr:uid="{00000000-0005-0000-0000-00005D090000}"/>
    <cellStyle name="R06L" xfId="292" xr:uid="{00000000-0005-0000-0000-00005E090000}"/>
    <cellStyle name="R07A" xfId="293" xr:uid="{00000000-0005-0000-0000-00005F090000}"/>
    <cellStyle name="R07B" xfId="294" xr:uid="{00000000-0005-0000-0000-000060090000}"/>
    <cellStyle name="R07H" xfId="295" xr:uid="{00000000-0005-0000-0000-000061090000}"/>
    <cellStyle name="R07L" xfId="296" xr:uid="{00000000-0005-0000-0000-000062090000}"/>
    <cellStyle name="rborder" xfId="297" xr:uid="{00000000-0005-0000-0000-000063090000}"/>
    <cellStyle name="red" xfId="298" xr:uid="{00000000-0005-0000-0000-000064090000}"/>
    <cellStyle name="robyn" xfId="1593" xr:uid="{00000000-0005-0000-0000-000065090000}"/>
    <cellStyle name="s_HardInc " xfId="299" xr:uid="{00000000-0005-0000-0000-000066090000}"/>
    <cellStyle name="s_HardInc _DEO ADIT Unprotected" xfId="4035" xr:uid="{480D81FF-79BF-4A3F-B091-438797F7E366}"/>
    <cellStyle name="s_HardInc _ITC Great Plains Formula 1-12-09a" xfId="300" xr:uid="{00000000-0005-0000-0000-000067090000}"/>
    <cellStyle name="s_HardInc _ITC Great Plains Formula 1-12-09a_DEO ADIT Unprotected" xfId="4036" xr:uid="{8F4E8B5C-3FC8-42BA-AE85-D763F8C52F9F}"/>
    <cellStyle name="scenario" xfId="301" xr:uid="{00000000-0005-0000-0000-000068090000}"/>
    <cellStyle name="SectionHeaderNormal" xfId="1594" xr:uid="{00000000-0005-0000-0000-000069090000}"/>
    <cellStyle name="Sheetmult" xfId="302" xr:uid="{00000000-0005-0000-0000-00006A090000}"/>
    <cellStyle name="Short Date" xfId="1595" xr:uid="{00000000-0005-0000-0000-00006B090000}"/>
    <cellStyle name="Short Date 2" xfId="1596" xr:uid="{00000000-0005-0000-0000-00006C090000}"/>
    <cellStyle name="Shtmultx" xfId="303" xr:uid="{00000000-0005-0000-0000-00006D090000}"/>
    <cellStyle name="Smart General" xfId="1597" xr:uid="{00000000-0005-0000-0000-00006E090000}"/>
    <cellStyle name="Style 1" xfId="304" xr:uid="{00000000-0005-0000-0000-00006F090000}"/>
    <cellStyle name="STYLE1" xfId="305" xr:uid="{00000000-0005-0000-0000-000070090000}"/>
    <cellStyle name="STYLE2" xfId="306" xr:uid="{00000000-0005-0000-0000-000071090000}"/>
    <cellStyle name="SubScript" xfId="1598" xr:uid="{00000000-0005-0000-0000-000072090000}"/>
    <cellStyle name="SuperScript" xfId="1599" xr:uid="{00000000-0005-0000-0000-000073090000}"/>
    <cellStyle name="TableHeading" xfId="307" xr:uid="{00000000-0005-0000-0000-000074090000}"/>
    <cellStyle name="tb" xfId="308" xr:uid="{00000000-0005-0000-0000-000075090000}"/>
    <cellStyle name="TextBold" xfId="1600" xr:uid="{00000000-0005-0000-0000-000076090000}"/>
    <cellStyle name="TextItalic" xfId="1601" xr:uid="{00000000-0005-0000-0000-000077090000}"/>
    <cellStyle name="TextNormal" xfId="1602" xr:uid="{00000000-0005-0000-0000-000078090000}"/>
    <cellStyle name="TextNumber" xfId="9118" xr:uid="{7C902D53-EB93-447A-9D02-E4A9D12F58C6}"/>
    <cellStyle name="Tickmark" xfId="309" xr:uid="{00000000-0005-0000-0000-000079090000}"/>
    <cellStyle name="Title" xfId="512" builtinId="15" customBuiltin="1"/>
    <cellStyle name="Title 2" xfId="1603" xr:uid="{00000000-0005-0000-0000-00007B090000}"/>
    <cellStyle name="Title 2 2" xfId="1604" xr:uid="{00000000-0005-0000-0000-00007C090000}"/>
    <cellStyle name="Title 2 3" xfId="1605" xr:uid="{00000000-0005-0000-0000-00007D090000}"/>
    <cellStyle name="Title 2_DEO ADIT Unprotected" xfId="4037" xr:uid="{B24F661C-9795-468A-B329-1934A31668AC}"/>
    <cellStyle name="Title 3" xfId="1606" xr:uid="{00000000-0005-0000-0000-00007E090000}"/>
    <cellStyle name="Title 4" xfId="1607" xr:uid="{00000000-0005-0000-0000-00007F090000}"/>
    <cellStyle name="Title1" xfId="310" xr:uid="{00000000-0005-0000-0000-000080090000}"/>
    <cellStyle name="TitleNormal" xfId="1608" xr:uid="{00000000-0005-0000-0000-000081090000}"/>
    <cellStyle name="top" xfId="311" xr:uid="{00000000-0005-0000-0000-000082090000}"/>
    <cellStyle name="top 2" xfId="1625" xr:uid="{00000000-0005-0000-0000-000083090000}"/>
    <cellStyle name="Total" xfId="527" builtinId="25" customBuiltin="1"/>
    <cellStyle name="Total 2" xfId="1609" xr:uid="{00000000-0005-0000-0000-000085090000}"/>
    <cellStyle name="Total 2 2" xfId="1610" xr:uid="{00000000-0005-0000-0000-000086090000}"/>
    <cellStyle name="Total 2 3" xfId="1611" xr:uid="{00000000-0005-0000-0000-000087090000}"/>
    <cellStyle name="Total 3" xfId="1612" xr:uid="{00000000-0005-0000-0000-000088090000}"/>
    <cellStyle name="Total 4" xfId="1613" xr:uid="{00000000-0005-0000-0000-000089090000}"/>
    <cellStyle name="Undefined" xfId="1614" xr:uid="{00000000-0005-0000-0000-00008A090000}"/>
    <cellStyle name="Unprot" xfId="1615" xr:uid="{00000000-0005-0000-0000-00008B090000}"/>
    <cellStyle name="Unprot$" xfId="1616" xr:uid="{00000000-0005-0000-0000-00008C090000}"/>
    <cellStyle name="Unprotect" xfId="1617" xr:uid="{00000000-0005-0000-0000-00008D090000}"/>
    <cellStyle name="w" xfId="312" xr:uid="{00000000-0005-0000-0000-00008E090000}"/>
    <cellStyle name="Warning Text" xfId="525" builtinId="11" customBuiltin="1"/>
    <cellStyle name="Warning Text 2" xfId="1618" xr:uid="{00000000-0005-0000-0000-000090090000}"/>
    <cellStyle name="Warning Text 2 2" xfId="1619" xr:uid="{00000000-0005-0000-0000-000091090000}"/>
    <cellStyle name="Warning Text 2 3" xfId="1620" xr:uid="{00000000-0005-0000-0000-000092090000}"/>
    <cellStyle name="Warning Text 3" xfId="1621" xr:uid="{00000000-0005-0000-0000-000093090000}"/>
    <cellStyle name="XComma" xfId="313" xr:uid="{00000000-0005-0000-0000-000094090000}"/>
    <cellStyle name="XComma 0.0" xfId="314" xr:uid="{00000000-0005-0000-0000-000095090000}"/>
    <cellStyle name="XComma 0.00" xfId="315" xr:uid="{00000000-0005-0000-0000-000096090000}"/>
    <cellStyle name="XComma 0.000" xfId="316" xr:uid="{00000000-0005-0000-0000-000097090000}"/>
    <cellStyle name="XCurrency" xfId="317" xr:uid="{00000000-0005-0000-0000-000098090000}"/>
    <cellStyle name="XCurrency 0.0" xfId="318" xr:uid="{00000000-0005-0000-0000-000099090000}"/>
    <cellStyle name="XCurrency 0.00" xfId="319" xr:uid="{00000000-0005-0000-0000-00009A090000}"/>
    <cellStyle name="XCurrency 0.000" xfId="320" xr:uid="{00000000-0005-0000-0000-00009B090000}"/>
    <cellStyle name="yra" xfId="321" xr:uid="{00000000-0005-0000-0000-00009C090000}"/>
    <cellStyle name="yrActual" xfId="322" xr:uid="{00000000-0005-0000-0000-00009D090000}"/>
    <cellStyle name="yre" xfId="323" xr:uid="{00000000-0005-0000-0000-00009E090000}"/>
    <cellStyle name="yrExpect" xfId="324" xr:uid="{00000000-0005-0000-0000-00009F090000}"/>
  </cellStyles>
  <dxfs count="0"/>
  <tableStyles count="0" defaultTableStyle="TableStyleMedium9" defaultPivotStyle="PivotStyleLight16"/>
  <colors>
    <mruColors>
      <color rgb="FF00FF00"/>
      <color rgb="FF0099FF"/>
      <color rgb="FF0000FF"/>
      <color rgb="FFFF3399"/>
      <color rgb="FF66FFFF"/>
      <color rgb="FFFFFF99"/>
      <color rgb="FF0033CC"/>
      <color rgb="FFFF3300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19050</xdr:rowOff>
        </xdr:from>
        <xdr:to>
          <xdr:col>8</xdr:col>
          <xdr:colOff>714375</xdr:colOff>
          <xdr:row>5</xdr:row>
          <xdr:rowOff>0</xdr:rowOff>
        </xdr:to>
        <xdr:sp macro="" textlink="">
          <xdr:nvSpPr>
            <xdr:cNvPr id="35841" name="Button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H-22A 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DE OH &amp; KY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4</xdr:row>
          <xdr:rowOff>180975</xdr:rowOff>
        </xdr:to>
        <xdr:sp macro="" textlink="">
          <xdr:nvSpPr>
            <xdr:cNvPr id="35842" name="Button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H-22A 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DE Ohio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219075</xdr:colOff>
          <xdr:row>1</xdr:row>
          <xdr:rowOff>19050</xdr:rowOff>
        </xdr:from>
        <xdr:to>
          <xdr:col>14</xdr:col>
          <xdr:colOff>714375</xdr:colOff>
          <xdr:row>5</xdr:row>
          <xdr:rowOff>19050</xdr:rowOff>
        </xdr:to>
        <xdr:sp macro="" textlink="">
          <xdr:nvSpPr>
            <xdr:cNvPr id="35843" name="Button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H-22A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DE Kentucky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19050</xdr:rowOff>
        </xdr:from>
        <xdr:to>
          <xdr:col>5</xdr:col>
          <xdr:colOff>714375</xdr:colOff>
          <xdr:row>5</xdr:row>
          <xdr:rowOff>0</xdr:rowOff>
        </xdr:to>
        <xdr:sp macro="" textlink="">
          <xdr:nvSpPr>
            <xdr:cNvPr id="35844" name="Button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ATTACHMENT 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0000"/>
                  </a:solidFill>
                  <a:latin typeface="Arial MT"/>
                </a:rPr>
                <a:t>H-22A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</xdr:row>
          <xdr:rowOff>19050</xdr:rowOff>
        </xdr:from>
        <xdr:to>
          <xdr:col>5</xdr:col>
          <xdr:colOff>714375</xdr:colOff>
          <xdr:row>10</xdr:row>
          <xdr:rowOff>19050</xdr:rowOff>
        </xdr:to>
        <xdr:sp macro="" textlink="">
          <xdr:nvSpPr>
            <xdr:cNvPr id="35845" name="Button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APPENDIX B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(RTEP)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57150</xdr:rowOff>
        </xdr:from>
        <xdr:to>
          <xdr:col>8</xdr:col>
          <xdr:colOff>714375</xdr:colOff>
          <xdr:row>10</xdr:row>
          <xdr:rowOff>38100</xdr:rowOff>
        </xdr:to>
        <xdr:sp macro="" textlink="">
          <xdr:nvSpPr>
            <xdr:cNvPr id="35846" name="Button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0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APPENDIX B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DE OH &amp; KY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(RTEP)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</xdr:row>
          <xdr:rowOff>66675</xdr:rowOff>
        </xdr:from>
        <xdr:to>
          <xdr:col>11</xdr:col>
          <xdr:colOff>714375</xdr:colOff>
          <xdr:row>10</xdr:row>
          <xdr:rowOff>57150</xdr:rowOff>
        </xdr:to>
        <xdr:sp macro="" textlink="">
          <xdr:nvSpPr>
            <xdr:cNvPr id="35847" name="Button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00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APPENDIX B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DE Ohio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(RTEP)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</xdr:row>
          <xdr:rowOff>66675</xdr:rowOff>
        </xdr:from>
        <xdr:to>
          <xdr:col>14</xdr:col>
          <xdr:colOff>714375</xdr:colOff>
          <xdr:row>10</xdr:row>
          <xdr:rowOff>57150</xdr:rowOff>
        </xdr:to>
        <xdr:sp macro="" textlink="">
          <xdr:nvSpPr>
            <xdr:cNvPr id="35848" name="Button 8" hidden="1">
              <a:extLst>
                <a:ext uri="{63B3BB69-23CF-44E3-9099-C40C66FF867C}">
                  <a14:compatExt spid="_x0000_s35848"/>
                </a:ext>
                <a:ext uri="{FF2B5EF4-FFF2-40B4-BE49-F238E27FC236}">
                  <a16:creationId xmlns:a16="http://schemas.microsoft.com/office/drawing/2014/main" id="{00000000-0008-0000-0000-00000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APPENDIX B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DE Kentucky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333399"/>
                  </a:solidFill>
                  <a:latin typeface="Arial MT"/>
                </a:rPr>
                <a:t>(RTEP)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11</xdr:row>
          <xdr:rowOff>57150</xdr:rowOff>
        </xdr:from>
        <xdr:to>
          <xdr:col>5</xdr:col>
          <xdr:colOff>714375</xdr:colOff>
          <xdr:row>15</xdr:row>
          <xdr:rowOff>28575</xdr:rowOff>
        </xdr:to>
        <xdr:sp macro="" textlink="">
          <xdr:nvSpPr>
            <xdr:cNvPr id="35849" name="Button 9" hidden="1">
              <a:extLst>
                <a:ext uri="{63B3BB69-23CF-44E3-9099-C40C66FF867C}">
                  <a14:compatExt spid="_x0000_s35849"/>
                </a:ext>
                <a:ext uri="{FF2B5EF4-FFF2-40B4-BE49-F238E27FC236}">
                  <a16:creationId xmlns:a16="http://schemas.microsoft.com/office/drawing/2014/main" id="{00000000-0008-0000-0000-00000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APPENDIX C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(MTEP)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11</xdr:row>
          <xdr:rowOff>57150</xdr:rowOff>
        </xdr:from>
        <xdr:to>
          <xdr:col>8</xdr:col>
          <xdr:colOff>714375</xdr:colOff>
          <xdr:row>15</xdr:row>
          <xdr:rowOff>57150</xdr:rowOff>
        </xdr:to>
        <xdr:sp macro="" textlink="">
          <xdr:nvSpPr>
            <xdr:cNvPr id="35850" name="Button 10" hidden="1">
              <a:extLst>
                <a:ext uri="{63B3BB69-23CF-44E3-9099-C40C66FF867C}">
                  <a14:compatExt spid="_x0000_s35850"/>
                </a:ext>
                <a:ext uri="{FF2B5EF4-FFF2-40B4-BE49-F238E27FC236}">
                  <a16:creationId xmlns:a16="http://schemas.microsoft.com/office/drawing/2014/main" id="{00000000-0008-0000-0000-00000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APPENDIX C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DE OH &amp; KY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(MTEP)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11</xdr:row>
          <xdr:rowOff>95250</xdr:rowOff>
        </xdr:from>
        <xdr:to>
          <xdr:col>11</xdr:col>
          <xdr:colOff>714375</xdr:colOff>
          <xdr:row>15</xdr:row>
          <xdr:rowOff>66675</xdr:rowOff>
        </xdr:to>
        <xdr:sp macro="" textlink="">
          <xdr:nvSpPr>
            <xdr:cNvPr id="35851" name="Button 11" hidden="1">
              <a:extLst>
                <a:ext uri="{63B3BB69-23CF-44E3-9099-C40C66FF867C}">
                  <a14:compatExt spid="_x0000_s35851"/>
                </a:ext>
                <a:ext uri="{FF2B5EF4-FFF2-40B4-BE49-F238E27FC236}">
                  <a16:creationId xmlns:a16="http://schemas.microsoft.com/office/drawing/2014/main" id="{00000000-0008-0000-0000-00000B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APPENDIX C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DE Ohio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(MTEP)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11</xdr:row>
          <xdr:rowOff>57150</xdr:rowOff>
        </xdr:from>
        <xdr:to>
          <xdr:col>14</xdr:col>
          <xdr:colOff>714375</xdr:colOff>
          <xdr:row>15</xdr:row>
          <xdr:rowOff>57150</xdr:rowOff>
        </xdr:to>
        <xdr:sp macro="" textlink="">
          <xdr:nvSpPr>
            <xdr:cNvPr id="35852" name="Button 12" hidden="1">
              <a:extLst>
                <a:ext uri="{63B3BB69-23CF-44E3-9099-C40C66FF867C}">
                  <a14:compatExt spid="_x0000_s35852"/>
                </a:ext>
                <a:ext uri="{FF2B5EF4-FFF2-40B4-BE49-F238E27FC236}">
                  <a16:creationId xmlns:a16="http://schemas.microsoft.com/office/drawing/2014/main" id="{00000000-0008-0000-0000-00000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APPENDIX C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DE Kentucky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FF6600"/>
                  </a:solidFill>
                  <a:latin typeface="Arial MT"/>
                </a:rPr>
                <a:t>(MTEP)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19050</xdr:rowOff>
        </xdr:from>
        <xdr:to>
          <xdr:col>2</xdr:col>
          <xdr:colOff>714375</xdr:colOff>
          <xdr:row>5</xdr:row>
          <xdr:rowOff>0</xdr:rowOff>
        </xdr:to>
        <xdr:sp macro="" textlink="">
          <xdr:nvSpPr>
            <xdr:cNvPr id="35858" name="Button 18" hidden="1">
              <a:extLst>
                <a:ext uri="{63B3BB69-23CF-44E3-9099-C40C66FF867C}">
                  <a14:compatExt spid="_x0000_s35858"/>
                </a:ext>
                <a:ext uri="{FF2B5EF4-FFF2-40B4-BE49-F238E27FC236}">
                  <a16:creationId xmlns:a16="http://schemas.microsoft.com/office/drawing/2014/main" id="{00000000-0008-0000-0000-00001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 MT"/>
                </a:rPr>
                <a:t>PRINT ALL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19050</xdr:rowOff>
        </xdr:from>
        <xdr:to>
          <xdr:col>2</xdr:col>
          <xdr:colOff>714375</xdr:colOff>
          <xdr:row>15</xdr:row>
          <xdr:rowOff>0</xdr:rowOff>
        </xdr:to>
        <xdr:sp macro="" textlink="">
          <xdr:nvSpPr>
            <xdr:cNvPr id="35866" name="Button 26" hidden="1">
              <a:extLst>
                <a:ext uri="{63B3BB69-23CF-44E3-9099-C40C66FF867C}">
                  <a14:compatExt spid="_x0000_s35866"/>
                </a:ext>
                <a:ext uri="{FF2B5EF4-FFF2-40B4-BE49-F238E27FC236}">
                  <a16:creationId xmlns:a16="http://schemas.microsoft.com/office/drawing/2014/main" id="{00000000-0008-0000-0000-00001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 MT"/>
                </a:rPr>
                <a:t>SUPPORT SCHEDULES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247650</xdr:colOff>
          <xdr:row>6</xdr:row>
          <xdr:rowOff>19050</xdr:rowOff>
        </xdr:from>
        <xdr:to>
          <xdr:col>2</xdr:col>
          <xdr:colOff>714375</xdr:colOff>
          <xdr:row>9</xdr:row>
          <xdr:rowOff>133350</xdr:rowOff>
        </xdr:to>
        <xdr:sp macro="" textlink="">
          <xdr:nvSpPr>
            <xdr:cNvPr id="35868" name="Button 28" hidden="1">
              <a:extLst>
                <a:ext uri="{63B3BB69-23CF-44E3-9099-C40C66FF867C}">
                  <a14:compatExt spid="_x0000_s35868"/>
                </a:ext>
                <a:ext uri="{FF2B5EF4-FFF2-40B4-BE49-F238E27FC236}">
                  <a16:creationId xmlns:a16="http://schemas.microsoft.com/office/drawing/2014/main" id="{00000000-0008-0000-0000-00001C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993300"/>
                  </a:solidFill>
                  <a:latin typeface="Arial MT"/>
                </a:rPr>
                <a:t>APPENDIX A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993300"/>
                  </a:solidFill>
                  <a:latin typeface="Arial MT"/>
                </a:rPr>
                <a:t>SCH 1A</a:t>
              </a:r>
            </a:p>
            <a:p>
              <a:pPr algn="ctr" rtl="0">
                <a:defRPr sz="1000"/>
              </a:pPr>
              <a:endParaRPr lang="en-US" sz="1200" b="0" i="0" u="none" strike="noStrike" baseline="0">
                <a:solidFill>
                  <a:srgbClr val="993300"/>
                </a:solidFill>
                <a:latin typeface="Arial MT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21</xdr:row>
          <xdr:rowOff>19050</xdr:rowOff>
        </xdr:from>
        <xdr:to>
          <xdr:col>8</xdr:col>
          <xdr:colOff>714375</xdr:colOff>
          <xdr:row>25</xdr:row>
          <xdr:rowOff>0</xdr:rowOff>
        </xdr:to>
        <xdr:sp macro="" textlink="">
          <xdr:nvSpPr>
            <xdr:cNvPr id="35877" name="Button 37" hidden="1">
              <a:extLst>
                <a:ext uri="{63B3BB69-23CF-44E3-9099-C40C66FF867C}">
                  <a14:compatExt spid="_x0000_s35877"/>
                </a:ext>
                <a:ext uri="{FF2B5EF4-FFF2-40B4-BE49-F238E27FC236}">
                  <a16:creationId xmlns:a16="http://schemas.microsoft.com/office/drawing/2014/main" id="{00000000-0008-0000-0000-00002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993366"/>
                  </a:solidFill>
                  <a:latin typeface="Arial MT"/>
                </a:rPr>
                <a:t>APPENDIX E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993366"/>
                  </a:solidFill>
                  <a:latin typeface="Arial MT"/>
                </a:rPr>
                <a:t>DE OH &amp; KY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993366"/>
                  </a:solidFill>
                  <a:latin typeface="Arial MT"/>
                </a:rPr>
                <a:t>(Firm PTP Cr. Adj.)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16</xdr:row>
          <xdr:rowOff>95250</xdr:rowOff>
        </xdr:from>
        <xdr:to>
          <xdr:col>5</xdr:col>
          <xdr:colOff>714375</xdr:colOff>
          <xdr:row>20</xdr:row>
          <xdr:rowOff>95250</xdr:rowOff>
        </xdr:to>
        <xdr:sp macro="" textlink="">
          <xdr:nvSpPr>
            <xdr:cNvPr id="35878" name="Button 38" hidden="1">
              <a:extLst>
                <a:ext uri="{63B3BB69-23CF-44E3-9099-C40C66FF867C}">
                  <a14:compatExt spid="_x0000_s35878"/>
                </a:ext>
                <a:ext uri="{FF2B5EF4-FFF2-40B4-BE49-F238E27FC236}">
                  <a16:creationId xmlns:a16="http://schemas.microsoft.com/office/drawing/2014/main" id="{00000000-0008-0000-0000-00002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8000"/>
                  </a:solidFill>
                  <a:latin typeface="Arial MT"/>
                </a:rPr>
                <a:t>APPENDIX D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8000"/>
                  </a:solidFill>
                  <a:latin typeface="Arial MT"/>
                </a:rPr>
                <a:t>Depreciation Rates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16</xdr:row>
          <xdr:rowOff>104775</xdr:rowOff>
        </xdr:from>
        <xdr:to>
          <xdr:col>8</xdr:col>
          <xdr:colOff>714375</xdr:colOff>
          <xdr:row>20</xdr:row>
          <xdr:rowOff>95250</xdr:rowOff>
        </xdr:to>
        <xdr:sp macro="" textlink="">
          <xdr:nvSpPr>
            <xdr:cNvPr id="35880" name="Button 40" hidden="1">
              <a:extLst>
                <a:ext uri="{63B3BB69-23CF-44E3-9099-C40C66FF867C}">
                  <a14:compatExt spid="_x0000_s35880"/>
                </a:ext>
                <a:ext uri="{FF2B5EF4-FFF2-40B4-BE49-F238E27FC236}">
                  <a16:creationId xmlns:a16="http://schemas.microsoft.com/office/drawing/2014/main" id="{00000000-0008-0000-0000-00002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8000"/>
                  </a:solidFill>
                  <a:latin typeface="Arial MT"/>
                </a:rPr>
                <a:t>APPENDIX D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8000"/>
                  </a:solidFill>
                  <a:latin typeface="Arial MT"/>
                </a:rPr>
                <a:t>DE Ohio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16</xdr:row>
          <xdr:rowOff>104775</xdr:rowOff>
        </xdr:from>
        <xdr:to>
          <xdr:col>11</xdr:col>
          <xdr:colOff>714375</xdr:colOff>
          <xdr:row>20</xdr:row>
          <xdr:rowOff>95250</xdr:rowOff>
        </xdr:to>
        <xdr:sp macro="" textlink="">
          <xdr:nvSpPr>
            <xdr:cNvPr id="35881" name="Button 41" hidden="1">
              <a:extLst>
                <a:ext uri="{63B3BB69-23CF-44E3-9099-C40C66FF867C}">
                  <a14:compatExt spid="_x0000_s35881"/>
                </a:ext>
                <a:ext uri="{FF2B5EF4-FFF2-40B4-BE49-F238E27FC236}">
                  <a16:creationId xmlns:a16="http://schemas.microsoft.com/office/drawing/2014/main" id="{00000000-0008-0000-0000-00002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8000"/>
                  </a:solidFill>
                  <a:latin typeface="Arial MT"/>
                </a:rPr>
                <a:t>APPENDIX D</a:t>
              </a:r>
            </a:p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8000"/>
                  </a:solidFill>
                  <a:latin typeface="Arial MT"/>
                </a:rPr>
                <a:t>DE Kentucky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RPT\FinRpt\Needs%20-%20%20Data%20Request\Quarterly%20Data%20Request\Energy%20Services\EnSer_Q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nergy%20Port%20Strat%20&amp;%20Mgmt\Asset%20Valuation\Market\Models\DOCUME~1\santamej\LOCALS~1\Temp\RatingAgencyBU12-05%20Cin%20Curve%20Base%20Ca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NVSiehr\LOCALS~1\Temp\Temporary%20Directory%201%20for%20Pro%20forma%20financials%20-%20March%2031%202011_v2%201_xlsx.zip\Progress_reclassed_financials%203.31.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_EQUITY_Field Serv"/>
      <sheetName val="Needs Dates"/>
      <sheetName val="EnSer_QData"/>
    </sheetNames>
    <sheetDataSet>
      <sheetData sheetId="0" refreshError="1">
        <row r="10">
          <cell r="A10" t="str">
            <v>0001</v>
          </cell>
          <cell r="C10" t="str">
            <v>TETCO</v>
          </cell>
          <cell r="D10" t="str">
            <v>Regena Larson/Robert Bugaj</v>
          </cell>
        </row>
        <row r="11">
          <cell r="A11" t="str">
            <v>0008</v>
          </cell>
          <cell r="C11" t="str">
            <v>T.E. Cryogenics</v>
          </cell>
          <cell r="D11" t="str">
            <v>Regena Larson/Robert Bugaj</v>
          </cell>
        </row>
        <row r="12">
          <cell r="A12" t="str">
            <v>0015</v>
          </cell>
          <cell r="C12" t="str">
            <v>T.E. New England</v>
          </cell>
          <cell r="D12" t="str">
            <v>Regena Larson/Robert Bugaj</v>
          </cell>
        </row>
        <row r="13">
          <cell r="A13" t="str">
            <v>0023</v>
          </cell>
          <cell r="C13" t="str">
            <v>Algonquin Energy, Inc</v>
          </cell>
          <cell r="D13" t="str">
            <v>Regena Larson/Sunanda Seval</v>
          </cell>
        </row>
        <row r="14">
          <cell r="A14" t="str">
            <v>0036</v>
          </cell>
          <cell r="C14" t="str">
            <v>Houston Center</v>
          </cell>
          <cell r="D14" t="str">
            <v>Marilyn Charles</v>
          </cell>
        </row>
        <row r="15">
          <cell r="A15" t="str">
            <v>0037</v>
          </cell>
          <cell r="C15" t="str">
            <v>Texas Eastern Communication</v>
          </cell>
          <cell r="D15" t="str">
            <v>Regena Larson/Robert Bugaj</v>
          </cell>
        </row>
        <row r="16">
          <cell r="A16" t="str">
            <v>0046</v>
          </cell>
          <cell r="C16" t="str">
            <v>T.E. Bermuda</v>
          </cell>
          <cell r="D16" t="str">
            <v>Carolyn Tatum</v>
          </cell>
        </row>
        <row r="17">
          <cell r="A17" t="str">
            <v>0050</v>
          </cell>
          <cell r="C17" t="str">
            <v>T.E. Arabian</v>
          </cell>
          <cell r="D17" t="str">
            <v>Carolyn Tatum</v>
          </cell>
        </row>
        <row r="18">
          <cell r="A18" t="str">
            <v>0051</v>
          </cell>
          <cell r="C18" t="str">
            <v>T.E.A. CANADA</v>
          </cell>
          <cell r="D18" t="str">
            <v>Regena Larson/Helena Nguyen</v>
          </cell>
        </row>
        <row r="19">
          <cell r="A19" t="str">
            <v>0063</v>
          </cell>
          <cell r="C19" t="str">
            <v>Texas Eastern Corp</v>
          </cell>
          <cell r="D19" t="str">
            <v>Marilyn Charles</v>
          </cell>
        </row>
        <row r="20">
          <cell r="A20" t="str">
            <v>0078</v>
          </cell>
          <cell r="C20" t="str">
            <v>T.E. Slurry</v>
          </cell>
          <cell r="D20" t="str">
            <v>Marilyn Charles</v>
          </cell>
        </row>
        <row r="21">
          <cell r="A21" t="str">
            <v>0095</v>
          </cell>
          <cell r="C21" t="str">
            <v>T.E. Oil</v>
          </cell>
          <cell r="D21" t="str">
            <v>Marilyn Charles</v>
          </cell>
        </row>
        <row r="22">
          <cell r="A22" t="str">
            <v>0108</v>
          </cell>
          <cell r="C22" t="str">
            <v>Chambers County Land</v>
          </cell>
          <cell r="D22" t="str">
            <v>Regena Larson/Helena Nguyen (for 8/97)</v>
          </cell>
        </row>
        <row r="23">
          <cell r="A23" t="str">
            <v>0110</v>
          </cell>
          <cell r="C23" t="str">
            <v>T.E. Riverside</v>
          </cell>
          <cell r="D23" t="str">
            <v>Regena Larson/Robert Bugaj</v>
          </cell>
        </row>
        <row r="24">
          <cell r="A24" t="str">
            <v>0117</v>
          </cell>
          <cell r="C24" t="str">
            <v>Algonquin Gas Transmission</v>
          </cell>
          <cell r="D24" t="str">
            <v>Regena Larson/Sunanda Seval</v>
          </cell>
        </row>
        <row r="25">
          <cell r="A25" t="str">
            <v>0118</v>
          </cell>
          <cell r="C25" t="str">
            <v>Algonquin LNG</v>
          </cell>
          <cell r="D25" t="str">
            <v>Regena Larson/Sunanda Seval</v>
          </cell>
        </row>
        <row r="26">
          <cell r="A26" t="str">
            <v>0124</v>
          </cell>
          <cell r="C26" t="str">
            <v>AGT Gateway</v>
          </cell>
          <cell r="D26" t="str">
            <v>Regena Larson/Sunanda Seval</v>
          </cell>
        </row>
        <row r="27">
          <cell r="A27" t="str">
            <v>0134</v>
          </cell>
          <cell r="C27" t="str">
            <v>Products Pipeline</v>
          </cell>
          <cell r="D27" t="str">
            <v>Don Barron</v>
          </cell>
        </row>
        <row r="28">
          <cell r="A28" t="str">
            <v>0135</v>
          </cell>
          <cell r="C28" t="str">
            <v>T.E. Liberty</v>
          </cell>
          <cell r="D28" t="str">
            <v>Regena Larson/Robert Bugaj</v>
          </cell>
        </row>
        <row r="29">
          <cell r="A29" t="str">
            <v>0138</v>
          </cell>
          <cell r="C29" t="str">
            <v>TEPPCO Investments</v>
          </cell>
          <cell r="D29" t="str">
            <v xml:space="preserve">Don Barron </v>
          </cell>
        </row>
        <row r="30">
          <cell r="A30" t="str">
            <v>0139</v>
          </cell>
          <cell r="C30" t="str">
            <v>TEPPCO HOLDINGS INC</v>
          </cell>
          <cell r="D30" t="str">
            <v>Don Barron</v>
          </cell>
        </row>
        <row r="31">
          <cell r="A31" t="str">
            <v>0301</v>
          </cell>
          <cell r="C31" t="str">
            <v>Panhandle Eastern Pipeline</v>
          </cell>
          <cell r="D31" t="str">
            <v>Glen McBride/Katherine Ko</v>
          </cell>
        </row>
        <row r="32">
          <cell r="A32" t="str">
            <v>0305</v>
          </cell>
          <cell r="C32" t="str">
            <v>Panhandle Storage</v>
          </cell>
          <cell r="D32" t="str">
            <v>Glen McBride/Katherine Ko</v>
          </cell>
        </row>
        <row r="33">
          <cell r="A33" t="str">
            <v>0306</v>
          </cell>
          <cell r="C33" t="str">
            <v>Panhandle Michigan</v>
          </cell>
          <cell r="D33" t="str">
            <v>Glen McBride/Katherine Ko</v>
          </cell>
        </row>
        <row r="34">
          <cell r="A34" t="str">
            <v>0307</v>
          </cell>
          <cell r="C34" t="str">
            <v>Trunkline Gas Company</v>
          </cell>
          <cell r="D34" t="str">
            <v>Glen McBride/Katherine Ko</v>
          </cell>
        </row>
        <row r="35">
          <cell r="A35" t="str">
            <v>0310</v>
          </cell>
          <cell r="C35" t="str">
            <v>Energy Pipelines Int'l Co.</v>
          </cell>
          <cell r="D35" t="str">
            <v>Regena Larson/Helena Nguyen</v>
          </cell>
        </row>
        <row r="36">
          <cell r="A36" t="str">
            <v>0311</v>
          </cell>
          <cell r="C36" t="str">
            <v>Panhandle Field Services</v>
          </cell>
          <cell r="D36" t="str">
            <v>Petra Drinkwine</v>
          </cell>
        </row>
        <row r="37">
          <cell r="A37" t="str">
            <v>0313</v>
          </cell>
          <cell r="C37" t="str">
            <v>Panhandle Int'l Development</v>
          </cell>
          <cell r="D37" t="str">
            <v>Carolyn Tatum</v>
          </cell>
        </row>
        <row r="38">
          <cell r="A38" t="str">
            <v>0315</v>
          </cell>
          <cell r="C38" t="str">
            <v>Pan National Gas Sales</v>
          </cell>
          <cell r="D38" t="str">
            <v>Carolyn Tatum</v>
          </cell>
        </row>
        <row r="39">
          <cell r="A39" t="str">
            <v>0316</v>
          </cell>
          <cell r="C39" t="str">
            <v>Pan Border</v>
          </cell>
          <cell r="D39" t="str">
            <v>Glen McBride/Katherine Ko</v>
          </cell>
        </row>
        <row r="40">
          <cell r="A40" t="str">
            <v>0319</v>
          </cell>
          <cell r="C40" t="str">
            <v>Panhandle Acquisition Three</v>
          </cell>
          <cell r="D40" t="str">
            <v>Craig Lindberg</v>
          </cell>
        </row>
        <row r="41">
          <cell r="A41" t="str">
            <v>0320</v>
          </cell>
          <cell r="C41" t="str">
            <v xml:space="preserve">Pelmar </v>
          </cell>
          <cell r="D41" t="str">
            <v>Carolyn Tatum</v>
          </cell>
        </row>
        <row r="42">
          <cell r="A42" t="str">
            <v>0321</v>
          </cell>
          <cell r="C42" t="str">
            <v>Panhandle Four</v>
          </cell>
          <cell r="D42" t="str">
            <v>Regena Larson/Helena Nguyen</v>
          </cell>
        </row>
        <row r="43">
          <cell r="A43" t="str">
            <v>0322</v>
          </cell>
          <cell r="C43" t="str">
            <v>PanEnergy Risk Management</v>
          </cell>
          <cell r="D43" t="str">
            <v>Craig Lindberg</v>
          </cell>
        </row>
        <row r="44">
          <cell r="A44" t="str">
            <v>0325</v>
          </cell>
          <cell r="C44" t="str">
            <v>Pan Service Company</v>
          </cell>
          <cell r="D44" t="str">
            <v>Regena Larson/Helena Nguyen</v>
          </cell>
        </row>
        <row r="45">
          <cell r="A45" t="str">
            <v>0326</v>
          </cell>
          <cell r="C45" t="str">
            <v>PE Services Canad, Ltd</v>
          </cell>
          <cell r="D45" t="str">
            <v>Steve Schroeder/Andrew Le</v>
          </cell>
        </row>
        <row r="46">
          <cell r="A46" t="str">
            <v>0327</v>
          </cell>
          <cell r="C46" t="str">
            <v>Dixilyn Field Drilling</v>
          </cell>
          <cell r="D46" t="str">
            <v>Glen McBride/Katherine Ko</v>
          </cell>
        </row>
        <row r="47">
          <cell r="A47" t="str">
            <v>0332</v>
          </cell>
          <cell r="C47" t="str">
            <v>Trunkline LNG</v>
          </cell>
          <cell r="D47" t="str">
            <v>Carolyn Tatum</v>
          </cell>
        </row>
        <row r="48">
          <cell r="A48" t="str">
            <v>0334</v>
          </cell>
          <cell r="C48" t="str">
            <v>Lachmar</v>
          </cell>
          <cell r="D48" t="str">
            <v>Carolyn Tatum</v>
          </cell>
        </row>
        <row r="49">
          <cell r="A49" t="str">
            <v>0337</v>
          </cell>
          <cell r="C49" t="str">
            <v>PanEnergy Development</v>
          </cell>
          <cell r="D49" t="str">
            <v>Regena Larson/Sunanda Seval</v>
          </cell>
        </row>
        <row r="50">
          <cell r="A50" t="str">
            <v>0338</v>
          </cell>
          <cell r="C50" t="str">
            <v>PanEnergy Information Svs</v>
          </cell>
          <cell r="D50" t="str">
            <v>Regena Larson/Helena Nguyen</v>
          </cell>
        </row>
        <row r="51">
          <cell r="A51" t="str">
            <v>0341</v>
          </cell>
          <cell r="C51" t="str">
            <v>Energyplus Marketing Co.</v>
          </cell>
          <cell r="D51" t="str">
            <v>Regena Larson/Sunanda Seval</v>
          </cell>
        </row>
        <row r="52">
          <cell r="A52" t="str">
            <v>0343</v>
          </cell>
          <cell r="C52" t="str">
            <v>EnergyPlus Ventures Comp.</v>
          </cell>
          <cell r="D52" t="str">
            <v>Regena Larson/Sunanda Seval</v>
          </cell>
        </row>
        <row r="53">
          <cell r="A53" t="str">
            <v>0344</v>
          </cell>
          <cell r="C53" t="str">
            <v>M&amp;N Management Company</v>
          </cell>
          <cell r="D53" t="str">
            <v>Regena Larson/Sunanda Seval</v>
          </cell>
        </row>
        <row r="54">
          <cell r="A54" t="str">
            <v>0345</v>
          </cell>
          <cell r="C54" t="str">
            <v>Pan Gas Storage</v>
          </cell>
          <cell r="D54" t="str">
            <v>Glen McBride/Katherine Ko</v>
          </cell>
        </row>
        <row r="55">
          <cell r="A55" t="str">
            <v>0346</v>
          </cell>
          <cell r="C55" t="str">
            <v>M&amp;N Operating Company</v>
          </cell>
          <cell r="D55" t="str">
            <v>Regena Larson/Sunanda Seval</v>
          </cell>
        </row>
        <row r="56">
          <cell r="A56" t="str">
            <v>0348</v>
          </cell>
          <cell r="C56" t="str">
            <v>PIDC Aguaytia</v>
          </cell>
          <cell r="D56" t="str">
            <v>Carolyn Tatum</v>
          </cell>
        </row>
        <row r="57">
          <cell r="A57" t="str">
            <v>0353</v>
          </cell>
          <cell r="C57" t="str">
            <v xml:space="preserve">Texas-Louisiana Pipeline Co. </v>
          </cell>
          <cell r="D57" t="str">
            <v>Regena Larson/Helena Nguyen</v>
          </cell>
        </row>
        <row r="58">
          <cell r="A58" t="str">
            <v>0354</v>
          </cell>
          <cell r="C58" t="str">
            <v>PanEnergy Trading &amp; Mkt.</v>
          </cell>
          <cell r="D58" t="str">
            <v>Craig Lindberg</v>
          </cell>
        </row>
        <row r="59">
          <cell r="A59" t="str">
            <v>0356</v>
          </cell>
          <cell r="C59" t="str">
            <v>Pan Transportation</v>
          </cell>
          <cell r="D59" t="str">
            <v>Carolyn Tatum</v>
          </cell>
        </row>
        <row r="60">
          <cell r="A60" t="str">
            <v>0360</v>
          </cell>
          <cell r="C60" t="str">
            <v>Pantheon</v>
          </cell>
          <cell r="D60" t="str">
            <v>Carolyn Tatum</v>
          </cell>
        </row>
        <row r="61">
          <cell r="A61" t="str">
            <v>0361</v>
          </cell>
          <cell r="C61" t="str">
            <v>Morgas</v>
          </cell>
          <cell r="D61" t="str">
            <v>Carolyn Tatum</v>
          </cell>
        </row>
        <row r="62">
          <cell r="A62" t="str">
            <v>0364</v>
          </cell>
          <cell r="C62" t="str">
            <v>PE Plus Milford Ventures</v>
          </cell>
          <cell r="D62" t="str">
            <v>Regena Larson/Sunanda Seval</v>
          </cell>
        </row>
        <row r="63">
          <cell r="A63" t="str">
            <v>0365</v>
          </cell>
          <cell r="C63" t="str">
            <v>PE Trading &amp; Market Svcs LLC</v>
          </cell>
          <cell r="D63" t="str">
            <v>Steve Schroeder/Andrew Le</v>
          </cell>
        </row>
        <row r="64">
          <cell r="A64" t="str">
            <v>0368</v>
          </cell>
          <cell r="C64" t="str">
            <v>PTMSI Management</v>
          </cell>
          <cell r="D64" t="str">
            <v>Steve Schroeder/Andrew Le</v>
          </cell>
        </row>
        <row r="65">
          <cell r="A65" t="str">
            <v>0369</v>
          </cell>
          <cell r="C65" t="str">
            <v>PTMSI Management, Ltd.</v>
          </cell>
          <cell r="D65" t="str">
            <v>Steve Schroeder/Andrew Le</v>
          </cell>
        </row>
        <row r="66">
          <cell r="A66" t="str">
            <v>0373</v>
          </cell>
          <cell r="C66" t="str">
            <v>TE Resources, Inc.</v>
          </cell>
          <cell r="D66" t="str">
            <v>Regena Larson/Robert Bugaj</v>
          </cell>
        </row>
        <row r="67">
          <cell r="A67" t="str">
            <v>0376</v>
          </cell>
          <cell r="C67" t="str">
            <v>AGT Resource</v>
          </cell>
          <cell r="D67" t="str">
            <v>Regena Larson/Sunanda Seval</v>
          </cell>
        </row>
        <row r="68">
          <cell r="A68" t="str">
            <v>0378</v>
          </cell>
          <cell r="C68" t="str">
            <v>Pan Services L.P.</v>
          </cell>
          <cell r="D68" t="str">
            <v>Regena Larson/Helena Nguyen</v>
          </cell>
        </row>
        <row r="69">
          <cell r="A69" t="str">
            <v>0383</v>
          </cell>
          <cell r="C69" t="str">
            <v>PE Resources Mgmnt Co</v>
          </cell>
          <cell r="D69" t="str">
            <v>Craig Lindberg</v>
          </cell>
        </row>
        <row r="70">
          <cell r="A70" t="str">
            <v>0385</v>
          </cell>
          <cell r="C70" t="str">
            <v>PanEnergy Colorado</v>
          </cell>
          <cell r="D70" t="str">
            <v>Regena Larson/Helena Nguyen</v>
          </cell>
        </row>
        <row r="71">
          <cell r="A71" t="str">
            <v>0386</v>
          </cell>
          <cell r="C71" t="str">
            <v>TEC Aquaytia</v>
          </cell>
          <cell r="D71" t="str">
            <v>Carolyn Tatum</v>
          </cell>
        </row>
        <row r="72">
          <cell r="A72" t="str">
            <v>0387</v>
          </cell>
          <cell r="C72" t="str">
            <v>PanEnergy E&amp;P Peru</v>
          </cell>
          <cell r="D72" t="str">
            <v>Carolyn Tatum</v>
          </cell>
        </row>
        <row r="73">
          <cell r="A73" t="str">
            <v>0388</v>
          </cell>
          <cell r="C73" t="str">
            <v>Spectrum Interstate Pipeline</v>
          </cell>
          <cell r="D73" t="str">
            <v>Regena Larson/Helena Nguyen</v>
          </cell>
        </row>
        <row r="74">
          <cell r="A74" t="str">
            <v>0389</v>
          </cell>
          <cell r="C74" t="str">
            <v>Excelsior Pipeline Corp</v>
          </cell>
          <cell r="D74" t="str">
            <v>Regena Larson/Robert Bugaj</v>
          </cell>
        </row>
        <row r="75">
          <cell r="A75" t="str">
            <v>0398</v>
          </cell>
          <cell r="C75" t="str">
            <v>1 Source Elimininations</v>
          </cell>
          <cell r="D75" t="str">
            <v>Marilyn Charles</v>
          </cell>
        </row>
        <row r="76">
          <cell r="A76" t="str">
            <v>0399</v>
          </cell>
          <cell r="C76" t="str">
            <v>Panhandle Eastern Corp</v>
          </cell>
          <cell r="D76" t="str">
            <v>Marilyn Charles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N-11"/>
      <sheetName val="CIN-13"/>
      <sheetName val="CIN-14"/>
      <sheetName val="CIN-16"/>
      <sheetName val="CIN-17"/>
      <sheetName val="CIN-18"/>
      <sheetName val="Energy Merchant - 2"/>
      <sheetName val="Energy Merchant - 3"/>
      <sheetName val="Energy Merchant - 4"/>
      <sheetName val="Energy Merchant - 5"/>
      <sheetName val="Energy Merchant - 6"/>
      <sheetName val="Energy Merchant - 7"/>
      <sheetName val="Regulated Business - 2"/>
      <sheetName val="Regulated Business - 3"/>
      <sheetName val="Regulated Business - 4"/>
      <sheetName val="Regulated Business - 5"/>
      <sheetName val="Regulated Business - 6"/>
      <sheetName val="Regulated Business - 7"/>
      <sheetName val="Power Tech &amp; Infra Serv - 2"/>
      <sheetName val="Power Tech &amp; Infra Serv - 3"/>
      <sheetName val="Power Tech &amp; Infra Serv - 4"/>
      <sheetName val="Power Tech &amp; Infra Serv - 5"/>
      <sheetName val="Power Tech &amp; Infra Serv - 6"/>
      <sheetName val="Power Tech &amp; Infra Serv - 7"/>
      <sheetName val="CGR - 2"/>
      <sheetName val="CGR - 3"/>
      <sheetName val="CGR - 4"/>
      <sheetName val="CGR - 5"/>
      <sheetName val="CGR - 6"/>
      <sheetName val="CGR - 7"/>
      <sheetName val="ULHP-2"/>
      <sheetName val="ULHP-3"/>
      <sheetName val="ULHP-4"/>
      <sheetName val="ULHP-5"/>
      <sheetName val="ULHP-6"/>
      <sheetName val="ULHP-7"/>
      <sheetName val="NREC-2"/>
      <sheetName val="NREC-3"/>
      <sheetName val="NREC-4"/>
      <sheetName val="NREC-5"/>
      <sheetName val="NREC-6"/>
      <sheetName val="NREC-7"/>
      <sheetName val="HLM-2"/>
      <sheetName val="HLM-3"/>
      <sheetName val="HLM-4"/>
      <sheetName val="Ratios Summary"/>
      <sheetName val="Sheet1"/>
      <sheetName val="Cinergy Ratios"/>
      <sheetName val="ULHP Financial Ratios"/>
      <sheetName val="NREC Financial Ratios"/>
      <sheetName val="Energy Merchant - Ratios"/>
      <sheetName val="Regulated Business - Ratios"/>
      <sheetName val="Power Tech - Ratios"/>
      <sheetName val="CGR - Ratios"/>
      <sheetName val="CIN-IS"/>
      <sheetName val="CIN-BS"/>
      <sheetName val="CIN-CF"/>
      <sheetName val="Energy Merchant - IS"/>
      <sheetName val="Energy Merchant - BS"/>
      <sheetName val="Energy Merchant - CF"/>
      <sheetName val="ULHP-IS"/>
      <sheetName val="ULHP-BS"/>
      <sheetName val="ULHP-CS"/>
      <sheetName val="NREC-IS"/>
      <sheetName val="NREC-BS"/>
      <sheetName val="NREC-CS"/>
      <sheetName val="Regulated Business - IS"/>
      <sheetName val="Regulated Business - BS"/>
      <sheetName val="Regulated Business - CF"/>
      <sheetName val="Power Tech &amp; Infra Serv - IS"/>
      <sheetName val="Power Tech &amp; Infra Serv - BS"/>
      <sheetName val="Power Tech &amp; Infra Serv - CF"/>
      <sheetName val="CGR - IS"/>
      <sheetName val="CGR - BS"/>
      <sheetName val="CGR - CF"/>
      <sheetName val="Sheet2"/>
      <sheetName val="ULHP-3 Other"/>
      <sheetName val="NREC-3 Oth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mt"/>
      <sheetName val="bal sheet"/>
      <sheetName val="IS Adj"/>
      <sheetName val="Bal sheet adj"/>
      <sheetName val="Property Adendum"/>
      <sheetName val="Adj. Income Statement"/>
      <sheetName val="Revised Adj. Income Statement"/>
      <sheetName val="Revenue by Categ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-0.249977111117893"/>
  </sheetPr>
  <dimension ref="A1"/>
  <sheetViews>
    <sheetView zoomScaleNormal="100" workbookViewId="0"/>
  </sheetViews>
  <sheetFormatPr defaultColWidth="8.77734375" defaultRowHeight="15"/>
  <cols>
    <col min="1" max="1" width="3.109375" style="232" customWidth="1"/>
    <col min="2" max="3" width="8.77734375" style="232"/>
    <col min="4" max="4" width="4.21875" style="232" customWidth="1"/>
    <col min="5" max="6" width="8.77734375" style="232"/>
    <col min="7" max="7" width="4" style="232" customWidth="1"/>
    <col min="8" max="9" width="8.77734375" style="232"/>
    <col min="10" max="10" width="3.21875" style="232" customWidth="1"/>
    <col min="11" max="12" width="8.77734375" style="232"/>
    <col min="13" max="13" width="3.21875" style="232" customWidth="1"/>
    <col min="14" max="16384" width="8.77734375" style="232"/>
  </cols>
  <sheetData>
    <row r="1" ht="7.9" customHeight="1"/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Button 1">
              <controlPr defaultSize="0" print="0" autoFill="0" autoPict="0" macro="[0]!ThisWorkbook.PRINT_DEOK">
                <anchor moveWithCells="1" sizeWithCells="1">
                  <from>
                    <xdr:col>7</xdr:col>
                    <xdr:colOff>0</xdr:colOff>
                    <xdr:row>1</xdr:row>
                    <xdr:rowOff>19050</xdr:rowOff>
                  </from>
                  <to>
                    <xdr:col>8</xdr:col>
                    <xdr:colOff>714375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Button 2">
              <controlPr defaultSize="0" print="0" autoFill="0" autoPict="0" macro="[0]!ThisWorkbook.PRINT_DEO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Button 3">
              <controlPr defaultSize="0" print="0" autoFill="0" autoPict="0" macro="[0]!ThisWorkbook.PRINT_DEK">
                <anchor moveWithCells="1" sizeWithCells="1">
                  <from>
                    <xdr:col>12</xdr:col>
                    <xdr:colOff>219075</xdr:colOff>
                    <xdr:row>1</xdr:row>
                    <xdr:rowOff>19050</xdr:rowOff>
                  </from>
                  <to>
                    <xdr:col>14</xdr:col>
                    <xdr:colOff>714375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Button 4">
              <controlPr defaultSize="0" print="0" autoFill="0" autoPict="0" macro="[0]!ThisWorkbook.PRINT_ATTACHMENT_H22A">
                <anchor moveWithCells="1" sizeWithCells="1">
                  <from>
                    <xdr:col>4</xdr:col>
                    <xdr:colOff>0</xdr:colOff>
                    <xdr:row>1</xdr:row>
                    <xdr:rowOff>19050</xdr:rowOff>
                  </from>
                  <to>
                    <xdr:col>5</xdr:col>
                    <xdr:colOff>714375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Button 5">
              <controlPr defaultSize="0" print="0" autoFill="0" autoPict="0" macro="[0]!ThisWorkbook.PRINT_AppxB_RTEP">
                <anchor moveWithCells="1" siz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5</xdr:col>
                    <xdr:colOff>714375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Button 6">
              <controlPr defaultSize="0" print="0" autoFill="0" autoPict="0" macro="[0]!ThisWorkbook.PRINT_AppxB_DEM_RTEP">
                <anchor moveWithCells="1" sizeWithCells="1">
                  <from>
                    <xdr:col>7</xdr:col>
                    <xdr:colOff>0</xdr:colOff>
                    <xdr:row>6</xdr:row>
                    <xdr:rowOff>57150</xdr:rowOff>
                  </from>
                  <to>
                    <xdr:col>8</xdr:col>
                    <xdr:colOff>714375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10" name="Button 7">
              <controlPr defaultSize="0" print="0" autoFill="0" autoPict="0" macro="[0]!ThisWorkbook.PRINT_AppxB_DEO_RTEP">
                <anchor moveWithCells="1" sizeWithCells="1">
                  <from>
                    <xdr:col>10</xdr:col>
                    <xdr:colOff>0</xdr:colOff>
                    <xdr:row>6</xdr:row>
                    <xdr:rowOff>66675</xdr:rowOff>
                  </from>
                  <to>
                    <xdr:col>11</xdr:col>
                    <xdr:colOff>714375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11" name="Button 8">
              <controlPr defaultSize="0" print="0" autoFill="0" autoPict="0" macro="[0]!ThisWorkbook.PRINT_AppxB_DEK_RTEP">
                <anchor moveWithCells="1" sizeWithCells="1">
                  <from>
                    <xdr:col>13</xdr:col>
                    <xdr:colOff>0</xdr:colOff>
                    <xdr:row>6</xdr:row>
                    <xdr:rowOff>66675</xdr:rowOff>
                  </from>
                  <to>
                    <xdr:col>14</xdr:col>
                    <xdr:colOff>714375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12" name="Button 9">
              <controlPr defaultSize="0" print="0" autoFill="0" autoPict="0" macro="[0]!ThisWorkbook.PRINT_AppxC_MTEP">
                <anchor moveWithCells="1" sizeWithCells="1">
                  <from>
                    <xdr:col>4</xdr:col>
                    <xdr:colOff>0</xdr:colOff>
                    <xdr:row>11</xdr:row>
                    <xdr:rowOff>57150</xdr:rowOff>
                  </from>
                  <to>
                    <xdr:col>5</xdr:col>
                    <xdr:colOff>714375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0" r:id="rId13" name="Button 10">
              <controlPr defaultSize="0" print="0" autoFill="0" autoPict="0" macro="[0]!ThisWorkbook.PRINT_AppxC_DEM_MTEP">
                <anchor moveWithCells="1" sizeWithCells="1">
                  <from>
                    <xdr:col>7</xdr:col>
                    <xdr:colOff>0</xdr:colOff>
                    <xdr:row>11</xdr:row>
                    <xdr:rowOff>57150</xdr:rowOff>
                  </from>
                  <to>
                    <xdr:col>8</xdr:col>
                    <xdr:colOff>714375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1" r:id="rId14" name="Button 11">
              <controlPr defaultSize="0" print="0" autoFill="0" autoPict="0" macro="[0]!ThisWorkbook.PRINT_AppxC_DEO_MTEP">
                <anchor moveWithCells="1" sizeWithCells="1">
                  <from>
                    <xdr:col>10</xdr:col>
                    <xdr:colOff>0</xdr:colOff>
                    <xdr:row>11</xdr:row>
                    <xdr:rowOff>95250</xdr:rowOff>
                  </from>
                  <to>
                    <xdr:col>11</xdr:col>
                    <xdr:colOff>714375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2" r:id="rId15" name="Button 12">
              <controlPr defaultSize="0" print="0" autoFill="0" autoPict="0" macro="[0]!ThisWorkbook.PRINT_AppxC_DEK_MTEP">
                <anchor moveWithCells="1" sizeWithCells="1">
                  <from>
                    <xdr:col>13</xdr:col>
                    <xdr:colOff>0</xdr:colOff>
                    <xdr:row>11</xdr:row>
                    <xdr:rowOff>57150</xdr:rowOff>
                  </from>
                  <to>
                    <xdr:col>14</xdr:col>
                    <xdr:colOff>714375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16" name="Button 18">
              <controlPr defaultSize="0" print="0" autoFill="0" autoPict="0" macro="[0]!ThisWorkbook.PRINT_ALL">
                <anchor moveWithCells="1" sizeWithCells="1">
                  <from>
                    <xdr:col>1</xdr:col>
                    <xdr:colOff>0</xdr:colOff>
                    <xdr:row>1</xdr:row>
                    <xdr:rowOff>19050</xdr:rowOff>
                  </from>
                  <to>
                    <xdr:col>2</xdr:col>
                    <xdr:colOff>714375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6" r:id="rId17" name="Button 26">
              <controlPr defaultSize="0" print="0" autoFill="0" autoPict="0" macro="[0]!ThisWorkbook.PRINT_SUPPORT">
                <anchor moveWithCells="1" sizeWithCells="1">
                  <from>
                    <xdr:col>1</xdr:col>
                    <xdr:colOff>0</xdr:colOff>
                    <xdr:row>11</xdr:row>
                    <xdr:rowOff>19050</xdr:rowOff>
                  </from>
                  <to>
                    <xdr:col>2</xdr:col>
                    <xdr:colOff>714375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8" r:id="rId18" name="Button 28">
              <controlPr defaultSize="0" print="0" autoFill="0" autoPict="0" macro="[0]!ThisWorkbook.PRINT_Appendix_A">
                <anchor moveWithCells="1" sizeWithCells="1">
                  <from>
                    <xdr:col>0</xdr:col>
                    <xdr:colOff>247650</xdr:colOff>
                    <xdr:row>6</xdr:row>
                    <xdr:rowOff>19050</xdr:rowOff>
                  </from>
                  <to>
                    <xdr:col>2</xdr:col>
                    <xdr:colOff>714375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7" r:id="rId19" name="Button 37">
              <controlPr defaultSize="0" print="0" autoFill="0" autoPict="0" macro="[0]!ThisWorkbook.PRINT_AppxE_DEOK">
                <anchor moveWithCells="1" sizeWithCells="1">
                  <from>
                    <xdr:col>7</xdr:col>
                    <xdr:colOff>0</xdr:colOff>
                    <xdr:row>21</xdr:row>
                    <xdr:rowOff>19050</xdr:rowOff>
                  </from>
                  <to>
                    <xdr:col>8</xdr:col>
                    <xdr:colOff>714375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8" r:id="rId20" name="Button 38">
              <controlPr defaultSize="0" print="0" autoFill="0" autoPict="0" macro="[0]!ThisWorkbook.PRINT_AppxD">
                <anchor moveWithCells="1" sizeWithCells="1">
                  <from>
                    <xdr:col>4</xdr:col>
                    <xdr:colOff>0</xdr:colOff>
                    <xdr:row>16</xdr:row>
                    <xdr:rowOff>95250</xdr:rowOff>
                  </from>
                  <to>
                    <xdr:col>5</xdr:col>
                    <xdr:colOff>714375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0" r:id="rId21" name="Button 40">
              <controlPr defaultSize="0" print="0" autoFill="0" autoPict="0" macro="[0]!ThisWorkbook.PRINT_AppxD_DEO">
                <anchor moveWithCells="1" sizeWithCells="1">
                  <from>
                    <xdr:col>7</xdr:col>
                    <xdr:colOff>0</xdr:colOff>
                    <xdr:row>16</xdr:row>
                    <xdr:rowOff>104775</xdr:rowOff>
                  </from>
                  <to>
                    <xdr:col>8</xdr:col>
                    <xdr:colOff>714375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1" r:id="rId22" name="Button 41">
              <controlPr defaultSize="0" print="0" autoFill="0" autoPict="0" macro="[0]!ThisWorkbook.PRINT_AppxD_DEK">
                <anchor moveWithCells="1" sizeWithCells="1">
                  <from>
                    <xdr:col>10</xdr:col>
                    <xdr:colOff>0</xdr:colOff>
                    <xdr:row>16</xdr:row>
                    <xdr:rowOff>104775</xdr:rowOff>
                  </from>
                  <to>
                    <xdr:col>11</xdr:col>
                    <xdr:colOff>714375</xdr:colOff>
                    <xdr:row>20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F900-5869-45E9-962E-9CC900D49E6E}">
  <sheetPr codeName="Sheet32">
    <tabColor rgb="FF0099FF"/>
  </sheetPr>
  <dimension ref="A1:I40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2.75"/>
  <cols>
    <col min="1" max="1" width="6" style="52" customWidth="1"/>
    <col min="2" max="2" width="1.77734375" style="52" customWidth="1"/>
    <col min="3" max="3" width="27.21875" style="52" customWidth="1"/>
    <col min="4" max="4" width="11.44140625" style="52" customWidth="1"/>
    <col min="5" max="5" width="12.33203125" style="52" customWidth="1"/>
    <col min="6" max="6" width="11.77734375" style="52" customWidth="1"/>
    <col min="7" max="7" width="14.44140625" style="52" customWidth="1"/>
    <col min="8" max="8" width="8.77734375" style="52"/>
    <col min="9" max="9" width="12" style="52" bestFit="1" customWidth="1"/>
    <col min="10" max="16384" width="8.77734375" style="52"/>
  </cols>
  <sheetData>
    <row r="1" spans="1:9">
      <c r="G1" s="688" t="s">
        <v>299</v>
      </c>
      <c r="I1" s="294"/>
    </row>
    <row r="2" spans="1:9">
      <c r="G2" s="688" t="str">
        <f>'DEO DIT Protected'!G2</f>
        <v>Excess/Deficient DIT Permanent Worksheet</v>
      </c>
    </row>
    <row r="3" spans="1:9">
      <c r="G3" s="688" t="s">
        <v>864</v>
      </c>
    </row>
    <row r="5" spans="1:9">
      <c r="G5" s="688" t="str">
        <f>"For the 12 months ended: "&amp;TEXT(INPUT!$B$1,"mm/dd/yyyy")</f>
        <v>For the 12 months ended: 12/31/2020</v>
      </c>
    </row>
    <row r="6" spans="1:9" ht="15">
      <c r="G6" s="61"/>
    </row>
    <row r="7" spans="1:9">
      <c r="A7" s="677" t="s">
        <v>883</v>
      </c>
      <c r="B7" s="677"/>
      <c r="C7" s="690"/>
      <c r="D7" s="690"/>
      <c r="E7" s="690"/>
      <c r="F7" s="690"/>
      <c r="G7" s="677"/>
    </row>
    <row r="8" spans="1:9">
      <c r="A8" s="677" t="s">
        <v>900</v>
      </c>
      <c r="B8" s="677"/>
      <c r="C8" s="690"/>
      <c r="D8" s="690"/>
      <c r="E8" s="690"/>
      <c r="F8" s="690"/>
      <c r="G8" s="677"/>
    </row>
    <row r="9" spans="1:9">
      <c r="A9" s="677"/>
      <c r="B9" s="677"/>
      <c r="C9" s="690"/>
      <c r="D9" s="690"/>
      <c r="E9" s="690"/>
      <c r="F9" s="690"/>
      <c r="G9" s="677"/>
    </row>
    <row r="10" spans="1:9">
      <c r="A10" s="677"/>
      <c r="B10" s="677"/>
      <c r="C10" s="690"/>
      <c r="D10" s="690"/>
      <c r="E10" s="690"/>
      <c r="F10" s="690"/>
      <c r="G10" s="693"/>
    </row>
    <row r="11" spans="1:9">
      <c r="A11" s="677"/>
      <c r="B11" s="677"/>
      <c r="C11" s="690"/>
      <c r="D11" s="690"/>
      <c r="E11" s="690"/>
      <c r="F11" s="690"/>
      <c r="G11" s="694"/>
    </row>
    <row r="12" spans="1:9">
      <c r="A12" s="695" t="s">
        <v>8</v>
      </c>
      <c r="C12" s="696" t="s">
        <v>855</v>
      </c>
      <c r="D12" s="697" t="s">
        <v>856</v>
      </c>
      <c r="E12" s="697" t="s">
        <v>856</v>
      </c>
      <c r="F12" s="697" t="s">
        <v>856</v>
      </c>
      <c r="G12" s="697" t="s">
        <v>856</v>
      </c>
    </row>
    <row r="13" spans="1:9">
      <c r="A13" s="698" t="s">
        <v>10</v>
      </c>
      <c r="C13" s="565" t="s">
        <v>902</v>
      </c>
      <c r="D13" s="699">
        <v>190</v>
      </c>
      <c r="E13" s="699">
        <v>282</v>
      </c>
      <c r="F13" s="700">
        <v>283</v>
      </c>
      <c r="G13" s="701" t="s">
        <v>12</v>
      </c>
    </row>
    <row r="14" spans="1:9">
      <c r="A14" s="698"/>
      <c r="C14" s="727" t="s">
        <v>867</v>
      </c>
      <c r="D14" s="728" t="s">
        <v>868</v>
      </c>
      <c r="E14" s="728" t="s">
        <v>869</v>
      </c>
      <c r="F14" s="729" t="s">
        <v>870</v>
      </c>
      <c r="G14" s="727" t="s">
        <v>871</v>
      </c>
    </row>
    <row r="15" spans="1:9">
      <c r="A15" s="698"/>
      <c r="C15" s="727"/>
      <c r="D15" s="728"/>
      <c r="E15" s="728"/>
      <c r="F15" s="729"/>
      <c r="G15" s="727"/>
    </row>
    <row r="16" spans="1:9">
      <c r="A16" s="646">
        <v>1</v>
      </c>
      <c r="C16" s="705">
        <v>182.3</v>
      </c>
      <c r="D16" s="706">
        <v>0</v>
      </c>
      <c r="E16" s="706">
        <v>32534620</v>
      </c>
      <c r="F16" s="706">
        <v>0</v>
      </c>
      <c r="G16" s="707">
        <f>SUM(D16:F16)</f>
        <v>32534620</v>
      </c>
    </row>
    <row r="17" spans="1:7" ht="15">
      <c r="A17" s="646">
        <v>2</v>
      </c>
      <c r="C17" s="705">
        <v>253</v>
      </c>
      <c r="D17" s="708">
        <v>0</v>
      </c>
      <c r="E17" s="708">
        <v>0</v>
      </c>
      <c r="F17" s="708">
        <v>-236711</v>
      </c>
      <c r="G17" s="709">
        <f t="shared" ref="G17:G18" si="0">SUM(D17:F17)</f>
        <v>-236711</v>
      </c>
    </row>
    <row r="18" spans="1:7">
      <c r="A18" s="646">
        <v>3</v>
      </c>
      <c r="C18" s="710" t="s">
        <v>857</v>
      </c>
      <c r="D18" s="707">
        <f>SUM(D16:D17)</f>
        <v>0</v>
      </c>
      <c r="E18" s="707">
        <f t="shared" ref="E18:F18" si="1">SUM(E16:E17)</f>
        <v>32534620</v>
      </c>
      <c r="F18" s="707">
        <f t="shared" si="1"/>
        <v>-236711</v>
      </c>
      <c r="G18" s="707">
        <f t="shared" si="0"/>
        <v>32297909</v>
      </c>
    </row>
    <row r="19" spans="1:7">
      <c r="A19" s="646"/>
      <c r="C19" s="710"/>
      <c r="D19" s="711"/>
      <c r="E19" s="711"/>
      <c r="F19" s="711"/>
      <c r="G19" s="711"/>
    </row>
    <row r="20" spans="1:7">
      <c r="A20" s="646">
        <v>4</v>
      </c>
      <c r="C20" s="705">
        <v>182.3</v>
      </c>
      <c r="D20" s="706">
        <v>0</v>
      </c>
      <c r="E20" s="706">
        <v>0</v>
      </c>
      <c r="F20" s="706">
        <v>0</v>
      </c>
      <c r="G20" s="707">
        <f t="shared" ref="G20:G25" si="2">SUM(D20:F20)</f>
        <v>0</v>
      </c>
    </row>
    <row r="21" spans="1:7" ht="15">
      <c r="A21" s="646">
        <v>5</v>
      </c>
      <c r="C21" s="705">
        <v>254</v>
      </c>
      <c r="D21" s="708">
        <v>-3740705</v>
      </c>
      <c r="E21" s="708">
        <v>92067703</v>
      </c>
      <c r="F21" s="708">
        <v>15499047</v>
      </c>
      <c r="G21" s="709">
        <f t="shared" si="2"/>
        <v>103826045</v>
      </c>
    </row>
    <row r="22" spans="1:7">
      <c r="A22" s="646">
        <v>6</v>
      </c>
      <c r="C22" s="710" t="s">
        <v>858</v>
      </c>
      <c r="D22" s="707">
        <f>SUM(D20:D21)</f>
        <v>-3740705</v>
      </c>
      <c r="E22" s="707">
        <f t="shared" ref="E22:G22" si="3">SUM(E20:E21)</f>
        <v>92067703</v>
      </c>
      <c r="F22" s="707">
        <f t="shared" si="3"/>
        <v>15499047</v>
      </c>
      <c r="G22" s="707">
        <f t="shared" si="3"/>
        <v>103826045</v>
      </c>
    </row>
    <row r="23" spans="1:7">
      <c r="A23" s="646"/>
      <c r="C23" s="710"/>
      <c r="D23" s="711"/>
      <c r="E23" s="711"/>
      <c r="F23" s="711"/>
      <c r="G23" s="711"/>
    </row>
    <row r="24" spans="1:7" ht="15">
      <c r="A24" s="646">
        <v>7</v>
      </c>
      <c r="C24" s="705">
        <v>411.2</v>
      </c>
      <c r="D24" s="712">
        <v>0</v>
      </c>
      <c r="E24" s="712">
        <v>-312771</v>
      </c>
      <c r="F24" s="712">
        <v>-57596</v>
      </c>
      <c r="G24" s="713">
        <f t="shared" si="2"/>
        <v>-370367</v>
      </c>
    </row>
    <row r="25" spans="1:7">
      <c r="A25" s="646">
        <v>8</v>
      </c>
      <c r="C25" s="724" t="s">
        <v>884</v>
      </c>
      <c r="D25" s="707">
        <f>SUM(D24)</f>
        <v>0</v>
      </c>
      <c r="E25" s="707">
        <f t="shared" ref="E25:F25" si="4">SUM(E24)</f>
        <v>-312771</v>
      </c>
      <c r="F25" s="707">
        <f t="shared" si="4"/>
        <v>-57596</v>
      </c>
      <c r="G25" s="707">
        <f t="shared" si="2"/>
        <v>-370367</v>
      </c>
    </row>
    <row r="26" spans="1:7">
      <c r="A26" s="646"/>
      <c r="C26" s="710"/>
      <c r="D26" s="711"/>
      <c r="E26" s="711"/>
      <c r="F26" s="710"/>
      <c r="G26" s="715"/>
    </row>
    <row r="27" spans="1:7" ht="25.5">
      <c r="A27" s="726">
        <v>9</v>
      </c>
      <c r="B27" s="646"/>
      <c r="C27" s="725" t="s">
        <v>888</v>
      </c>
      <c r="D27" s="809">
        <f>D25+D22+D18</f>
        <v>-3740705</v>
      </c>
      <c r="E27" s="809">
        <f t="shared" ref="E27:F27" si="5">E25+E22+E18</f>
        <v>124289552</v>
      </c>
      <c r="F27" s="809">
        <f t="shared" si="5"/>
        <v>15204740</v>
      </c>
      <c r="G27" s="810">
        <f>SUM(D27:F27)</f>
        <v>135753587</v>
      </c>
    </row>
    <row r="28" spans="1:7">
      <c r="A28" s="646"/>
      <c r="C28" s="710"/>
      <c r="D28" s="710"/>
      <c r="E28" s="711"/>
      <c r="F28" s="710"/>
      <c r="G28" s="710"/>
    </row>
    <row r="29" spans="1:7">
      <c r="A29" s="646"/>
      <c r="C29" s="710"/>
      <c r="D29" s="710"/>
      <c r="E29" s="711"/>
      <c r="F29" s="710"/>
      <c r="G29" s="710"/>
    </row>
    <row r="30" spans="1:7">
      <c r="A30" s="646"/>
      <c r="C30" s="692"/>
      <c r="D30" s="692"/>
      <c r="E30" s="716"/>
      <c r="F30" s="692"/>
      <c r="G30" s="692"/>
    </row>
    <row r="31" spans="1:7" ht="38.25">
      <c r="A31" s="646"/>
      <c r="C31" s="702" t="s">
        <v>867</v>
      </c>
      <c r="D31" s="813" t="s">
        <v>901</v>
      </c>
      <c r="E31" s="703" t="s">
        <v>869</v>
      </c>
      <c r="F31" s="811" t="s">
        <v>898</v>
      </c>
      <c r="G31" s="812" t="s">
        <v>899</v>
      </c>
    </row>
    <row r="32" spans="1:7">
      <c r="A32" s="646"/>
      <c r="C32" s="692"/>
      <c r="D32" s="717" t="s">
        <v>859</v>
      </c>
      <c r="E32" s="717" t="s">
        <v>885</v>
      </c>
      <c r="F32" s="717" t="s">
        <v>886</v>
      </c>
      <c r="G32" s="717" t="s">
        <v>860</v>
      </c>
    </row>
    <row r="33" spans="1:7">
      <c r="A33" s="646"/>
      <c r="C33" s="719" t="s">
        <v>716</v>
      </c>
      <c r="D33" s="719" t="s">
        <v>861</v>
      </c>
      <c r="E33" s="719" t="s">
        <v>862</v>
      </c>
      <c r="F33" s="719" t="s">
        <v>887</v>
      </c>
      <c r="G33" s="719" t="s">
        <v>862</v>
      </c>
    </row>
    <row r="34" spans="1:7">
      <c r="A34" s="646">
        <v>10</v>
      </c>
      <c r="C34" s="646">
        <v>2018</v>
      </c>
      <c r="D34" s="721">
        <f>ROUND(F34/$G$22,4)</f>
        <v>0</v>
      </c>
      <c r="E34" s="730">
        <f>G22</f>
        <v>103826045</v>
      </c>
      <c r="F34" s="731">
        <v>0</v>
      </c>
      <c r="G34" s="655">
        <f>E34-F34</f>
        <v>103826045</v>
      </c>
    </row>
    <row r="35" spans="1:7">
      <c r="A35" s="646">
        <v>11</v>
      </c>
      <c r="C35" s="646">
        <f>C34+1</f>
        <v>2019</v>
      </c>
      <c r="D35" s="721">
        <f t="shared" ref="D35:D36" si="6">ROUND(F35/$G$22,4)</f>
        <v>6.4100000000000004E-2</v>
      </c>
      <c r="E35" s="730">
        <f>G34</f>
        <v>103826045</v>
      </c>
      <c r="F35" s="731">
        <v>6657667</v>
      </c>
      <c r="G35" s="655">
        <f t="shared" ref="G35" si="7">E35-F35</f>
        <v>97168378</v>
      </c>
    </row>
    <row r="36" spans="1:7">
      <c r="A36" s="646">
        <v>12</v>
      </c>
      <c r="C36" s="808">
        <f>C35+1</f>
        <v>2020</v>
      </c>
      <c r="D36" s="721">
        <f t="shared" si="6"/>
        <v>8.8400000000000006E-2</v>
      </c>
      <c r="E36" s="730">
        <f>G35</f>
        <v>97168378</v>
      </c>
      <c r="F36" s="837">
        <v>9183400</v>
      </c>
      <c r="G36" s="838">
        <f>E36-F36</f>
        <v>87984978</v>
      </c>
    </row>
    <row r="37" spans="1:7">
      <c r="A37" s="646"/>
      <c r="C37" s="646"/>
      <c r="D37" s="721"/>
      <c r="E37" s="730"/>
      <c r="F37" s="731"/>
      <c r="G37" s="655"/>
    </row>
    <row r="38" spans="1:7">
      <c r="A38" s="646"/>
      <c r="C38" s="646"/>
      <c r="D38" s="721"/>
      <c r="E38" s="730"/>
      <c r="F38" s="731"/>
      <c r="G38" s="655"/>
    </row>
    <row r="39" spans="1:7">
      <c r="A39" s="808" t="s">
        <v>895</v>
      </c>
      <c r="B39" s="646"/>
      <c r="C39" s="52" t="s">
        <v>892</v>
      </c>
    </row>
    <row r="40" spans="1:7">
      <c r="A40" s="807" t="s">
        <v>894</v>
      </c>
      <c r="B40" s="646"/>
      <c r="C40" s="52" t="s">
        <v>893</v>
      </c>
    </row>
  </sheetData>
  <pageMargins left="0.7" right="0.7" top="0.75" bottom="0.75" header="0.3" footer="0.3"/>
  <pageSetup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A88B-4916-43A5-A49E-8AF3C80E94EB}">
  <sheetPr codeName="Sheet36">
    <tabColor rgb="FF0099FF"/>
  </sheetPr>
  <dimension ref="A1:H45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2.75"/>
  <cols>
    <col min="1" max="1" width="5.109375" style="52" customWidth="1"/>
    <col min="2" max="2" width="1.77734375" style="52" customWidth="1"/>
    <col min="3" max="3" width="28.21875" style="52" customWidth="1"/>
    <col min="4" max="6" width="12.21875" style="52" customWidth="1"/>
    <col min="7" max="7" width="14.21875" style="52" customWidth="1"/>
    <col min="8" max="8" width="11.5546875" style="52" customWidth="1"/>
    <col min="9" max="9" width="11.21875" style="52" bestFit="1" customWidth="1"/>
    <col min="10" max="16384" width="8.77734375" style="52"/>
  </cols>
  <sheetData>
    <row r="1" spans="1:7">
      <c r="G1" s="688" t="s">
        <v>299</v>
      </c>
    </row>
    <row r="2" spans="1:7">
      <c r="G2" s="688" t="str">
        <f>'DEO DIT Protected'!G2</f>
        <v>Excess/Deficient DIT Permanent Worksheet</v>
      </c>
    </row>
    <row r="3" spans="1:7">
      <c r="G3" s="688" t="s">
        <v>865</v>
      </c>
    </row>
    <row r="5" spans="1:7">
      <c r="G5" s="688" t="str">
        <f>"For the 12 months ended: "&amp;TEXT(INPUT!$B$1,"mm/dd/yyyy")</f>
        <v>For the 12 months ended: 12/31/2020</v>
      </c>
    </row>
    <row r="6" spans="1:7" ht="15">
      <c r="G6" s="61"/>
    </row>
    <row r="7" spans="1:7">
      <c r="A7" s="677" t="s">
        <v>889</v>
      </c>
      <c r="B7" s="677"/>
      <c r="C7" s="690"/>
      <c r="D7" s="690"/>
      <c r="E7" s="690"/>
      <c r="F7" s="690"/>
      <c r="G7" s="677"/>
    </row>
    <row r="8" spans="1:7">
      <c r="A8" s="677" t="s">
        <v>878</v>
      </c>
      <c r="B8" s="677"/>
      <c r="C8" s="690"/>
      <c r="D8" s="690"/>
      <c r="E8" s="690"/>
      <c r="F8" s="690"/>
      <c r="G8" s="677"/>
    </row>
    <row r="9" spans="1:7">
      <c r="A9" s="677"/>
      <c r="B9" s="677"/>
      <c r="C9" s="690"/>
      <c r="D9" s="690"/>
      <c r="E9" s="690"/>
      <c r="F9" s="690"/>
      <c r="G9" s="677"/>
    </row>
    <row r="10" spans="1:7">
      <c r="A10" s="677"/>
      <c r="B10" s="677"/>
      <c r="C10" s="690"/>
      <c r="D10" s="690"/>
      <c r="E10" s="690"/>
      <c r="F10" s="690"/>
      <c r="G10" s="693"/>
    </row>
    <row r="11" spans="1:7">
      <c r="C11" s="691"/>
      <c r="D11" s="692"/>
      <c r="E11" s="692"/>
      <c r="F11" s="692"/>
      <c r="G11" s="694"/>
    </row>
    <row r="12" spans="1:7">
      <c r="A12" s="695" t="s">
        <v>8</v>
      </c>
      <c r="C12" s="696" t="s">
        <v>855</v>
      </c>
      <c r="D12" s="697" t="s">
        <v>856</v>
      </c>
      <c r="E12" s="697" t="s">
        <v>856</v>
      </c>
      <c r="F12" s="697" t="s">
        <v>856</v>
      </c>
      <c r="G12" s="697" t="s">
        <v>856</v>
      </c>
    </row>
    <row r="13" spans="1:7">
      <c r="A13" s="698" t="s">
        <v>10</v>
      </c>
      <c r="C13" s="565" t="s">
        <v>902</v>
      </c>
      <c r="D13" s="699">
        <v>190</v>
      </c>
      <c r="E13" s="699">
        <v>282</v>
      </c>
      <c r="F13" s="700">
        <v>283</v>
      </c>
      <c r="G13" s="701" t="s">
        <v>12</v>
      </c>
    </row>
    <row r="14" spans="1:7">
      <c r="A14" s="698"/>
      <c r="C14" s="727" t="s">
        <v>867</v>
      </c>
      <c r="D14" s="728" t="s">
        <v>868</v>
      </c>
      <c r="E14" s="728" t="s">
        <v>869</v>
      </c>
      <c r="F14" s="729" t="s">
        <v>870</v>
      </c>
      <c r="G14" s="727" t="s">
        <v>871</v>
      </c>
    </row>
    <row r="15" spans="1:7">
      <c r="A15" s="698"/>
      <c r="C15" s="727"/>
      <c r="D15" s="728"/>
      <c r="E15" s="728"/>
      <c r="F15" s="729"/>
      <c r="G15" s="727"/>
    </row>
    <row r="16" spans="1:7">
      <c r="A16" s="646">
        <v>1</v>
      </c>
      <c r="C16" s="705">
        <v>182.3</v>
      </c>
      <c r="D16" s="706">
        <v>0</v>
      </c>
      <c r="E16" s="706">
        <v>0</v>
      </c>
      <c r="F16" s="706">
        <v>0</v>
      </c>
      <c r="G16" s="707">
        <f>SUM(D16:F16)</f>
        <v>0</v>
      </c>
    </row>
    <row r="17" spans="1:7" ht="15">
      <c r="A17" s="646">
        <v>2</v>
      </c>
      <c r="C17" s="705">
        <v>253</v>
      </c>
      <c r="D17" s="708">
        <v>0</v>
      </c>
      <c r="E17" s="708">
        <v>0</v>
      </c>
      <c r="F17" s="708">
        <v>0</v>
      </c>
      <c r="G17" s="709">
        <f t="shared" ref="G17:G18" si="0">SUM(D17:F17)</f>
        <v>0</v>
      </c>
    </row>
    <row r="18" spans="1:7">
      <c r="A18" s="646">
        <v>3</v>
      </c>
      <c r="C18" s="710" t="s">
        <v>857</v>
      </c>
      <c r="D18" s="707">
        <f>SUM(D16:D17)</f>
        <v>0</v>
      </c>
      <c r="E18" s="707">
        <f t="shared" ref="E18:F18" si="1">SUM(E16:E17)</f>
        <v>0</v>
      </c>
      <c r="F18" s="707">
        <f t="shared" si="1"/>
        <v>0</v>
      </c>
      <c r="G18" s="707">
        <f t="shared" si="0"/>
        <v>0</v>
      </c>
    </row>
    <row r="19" spans="1:7">
      <c r="A19" s="646"/>
      <c r="C19" s="710"/>
      <c r="D19" s="711"/>
      <c r="E19" s="711"/>
      <c r="F19" s="711"/>
      <c r="G19" s="711"/>
    </row>
    <row r="20" spans="1:7">
      <c r="A20" s="646">
        <v>4</v>
      </c>
      <c r="C20" s="705">
        <v>182.3</v>
      </c>
      <c r="D20" s="706">
        <v>0</v>
      </c>
      <c r="E20" s="706">
        <v>0</v>
      </c>
      <c r="F20" s="706">
        <v>0</v>
      </c>
      <c r="G20" s="707">
        <f t="shared" ref="G20:G25" si="2">SUM(D20:F20)</f>
        <v>0</v>
      </c>
    </row>
    <row r="21" spans="1:7" ht="15">
      <c r="A21" s="646">
        <v>5</v>
      </c>
      <c r="C21" s="705">
        <v>254</v>
      </c>
      <c r="D21" s="708">
        <v>0</v>
      </c>
      <c r="E21" s="708">
        <v>47815707</v>
      </c>
      <c r="F21" s="708">
        <v>0</v>
      </c>
      <c r="G21" s="709">
        <f t="shared" si="2"/>
        <v>47815707</v>
      </c>
    </row>
    <row r="22" spans="1:7">
      <c r="A22" s="646">
        <v>6</v>
      </c>
      <c r="C22" s="710" t="s">
        <v>858</v>
      </c>
      <c r="D22" s="707">
        <f>SUM(D20:D21)</f>
        <v>0</v>
      </c>
      <c r="E22" s="707">
        <f t="shared" ref="E22:G22" si="3">SUM(E20:E21)</f>
        <v>47815707</v>
      </c>
      <c r="F22" s="707">
        <f t="shared" si="3"/>
        <v>0</v>
      </c>
      <c r="G22" s="707">
        <f t="shared" si="3"/>
        <v>47815707</v>
      </c>
    </row>
    <row r="23" spans="1:7">
      <c r="A23" s="646"/>
      <c r="C23" s="710"/>
      <c r="D23" s="711"/>
      <c r="E23" s="711"/>
      <c r="F23" s="711"/>
      <c r="G23" s="711"/>
    </row>
    <row r="24" spans="1:7" ht="15">
      <c r="A24" s="646">
        <v>7</v>
      </c>
      <c r="C24" s="705">
        <v>411.2</v>
      </c>
      <c r="D24" s="712">
        <v>0</v>
      </c>
      <c r="E24" s="712">
        <v>0</v>
      </c>
      <c r="F24" s="712">
        <v>0</v>
      </c>
      <c r="G24" s="713">
        <f t="shared" si="2"/>
        <v>0</v>
      </c>
    </row>
    <row r="25" spans="1:7">
      <c r="A25" s="646">
        <v>8</v>
      </c>
      <c r="C25" s="710" t="s">
        <v>884</v>
      </c>
      <c r="D25" s="707">
        <f>SUM(D24)</f>
        <v>0</v>
      </c>
      <c r="E25" s="707">
        <f t="shared" ref="E25:F25" si="4">SUM(E24)</f>
        <v>0</v>
      </c>
      <c r="F25" s="707">
        <f t="shared" si="4"/>
        <v>0</v>
      </c>
      <c r="G25" s="707">
        <f t="shared" si="2"/>
        <v>0</v>
      </c>
    </row>
    <row r="26" spans="1:7">
      <c r="A26" s="646"/>
      <c r="C26" s="710"/>
      <c r="D26" s="711"/>
      <c r="E26" s="711"/>
      <c r="F26" s="710"/>
      <c r="G26" s="715"/>
    </row>
    <row r="27" spans="1:7" ht="25.5">
      <c r="A27" s="726">
        <v>9</v>
      </c>
      <c r="B27" s="646"/>
      <c r="C27" s="725" t="s">
        <v>888</v>
      </c>
      <c r="D27" s="809">
        <f>D25+D22+D18</f>
        <v>0</v>
      </c>
      <c r="E27" s="809">
        <f t="shared" ref="E27:F27" si="5">E25+E22+E18</f>
        <v>47815707</v>
      </c>
      <c r="F27" s="809">
        <f t="shared" si="5"/>
        <v>0</v>
      </c>
      <c r="G27" s="810">
        <f>SUM(D27:F27)</f>
        <v>47815707</v>
      </c>
    </row>
    <row r="28" spans="1:7">
      <c r="A28" s="646"/>
      <c r="C28" s="710"/>
      <c r="D28" s="710"/>
      <c r="E28" s="711"/>
      <c r="F28" s="710"/>
      <c r="G28" s="710"/>
    </row>
    <row r="29" spans="1:7">
      <c r="A29" s="646"/>
      <c r="C29" s="710"/>
      <c r="D29" s="710"/>
      <c r="E29" s="711"/>
      <c r="F29" s="710"/>
      <c r="G29" s="710"/>
    </row>
    <row r="30" spans="1:7">
      <c r="A30" s="646"/>
      <c r="C30" s="710"/>
      <c r="D30" s="710"/>
      <c r="E30" s="711"/>
      <c r="F30" s="710"/>
      <c r="G30" s="710"/>
    </row>
    <row r="31" spans="1:7" ht="38.25">
      <c r="A31" s="646"/>
      <c r="C31" s="702" t="s">
        <v>867</v>
      </c>
      <c r="D31" s="703" t="s">
        <v>868</v>
      </c>
      <c r="E31" s="703" t="s">
        <v>869</v>
      </c>
      <c r="F31" s="811" t="s">
        <v>898</v>
      </c>
      <c r="G31" s="812" t="s">
        <v>899</v>
      </c>
    </row>
    <row r="32" spans="1:7">
      <c r="A32" s="646"/>
      <c r="C32" s="692"/>
      <c r="D32" s="717" t="s">
        <v>859</v>
      </c>
      <c r="E32" s="717" t="s">
        <v>885</v>
      </c>
      <c r="F32" s="717" t="s">
        <v>886</v>
      </c>
      <c r="G32" s="717" t="s">
        <v>860</v>
      </c>
    </row>
    <row r="33" spans="1:8">
      <c r="A33" s="646"/>
      <c r="C33" s="719" t="s">
        <v>716</v>
      </c>
      <c r="D33" s="719" t="s">
        <v>861</v>
      </c>
      <c r="E33" s="719" t="s">
        <v>862</v>
      </c>
      <c r="F33" s="719" t="s">
        <v>887</v>
      </c>
      <c r="G33" s="719" t="s">
        <v>862</v>
      </c>
    </row>
    <row r="34" spans="1:8">
      <c r="A34" s="646">
        <v>10</v>
      </c>
      <c r="C34" s="646">
        <v>2018</v>
      </c>
      <c r="D34" s="721">
        <f>ROUND(F34/$G$22,4)</f>
        <v>6.1000000000000004E-3</v>
      </c>
      <c r="E34" s="722">
        <f>G22</f>
        <v>47815707</v>
      </c>
      <c r="F34" s="706">
        <v>292642</v>
      </c>
      <c r="G34" s="723">
        <f>E34-F34</f>
        <v>47523065</v>
      </c>
      <c r="H34" s="721"/>
    </row>
    <row r="35" spans="1:8">
      <c r="A35" s="646">
        <v>11</v>
      </c>
      <c r="C35" s="646">
        <f>C34+1</f>
        <v>2019</v>
      </c>
      <c r="D35" s="721">
        <f t="shared" ref="D35:D36" si="6">ROUND(F35/$G$22,4)</f>
        <v>1.5299999999999999E-2</v>
      </c>
      <c r="E35" s="722">
        <f>G34</f>
        <v>47523065</v>
      </c>
      <c r="F35" s="706">
        <v>729855</v>
      </c>
      <c r="G35" s="723">
        <f>E35-F35</f>
        <v>46793210</v>
      </c>
      <c r="H35" s="721"/>
    </row>
    <row r="36" spans="1:8">
      <c r="A36" s="646">
        <v>12</v>
      </c>
      <c r="C36" s="646">
        <f>C35+1</f>
        <v>2020</v>
      </c>
      <c r="D36" s="721">
        <f t="shared" si="6"/>
        <v>8.0000000000000004E-4</v>
      </c>
      <c r="E36" s="722">
        <f>G35</f>
        <v>46793210</v>
      </c>
      <c r="F36" s="706">
        <v>39035</v>
      </c>
      <c r="G36" s="723">
        <f>E36-F36</f>
        <v>46754175</v>
      </c>
      <c r="H36" s="721"/>
    </row>
    <row r="37" spans="1:8">
      <c r="A37" s="646"/>
      <c r="C37" s="646"/>
      <c r="E37" s="645"/>
      <c r="F37" s="640"/>
      <c r="G37" s="642"/>
    </row>
    <row r="38" spans="1:8">
      <c r="A38" s="646"/>
      <c r="C38" s="646"/>
      <c r="E38" s="645"/>
      <c r="F38" s="640"/>
      <c r="G38" s="642"/>
    </row>
    <row r="39" spans="1:8">
      <c r="A39" s="808" t="s">
        <v>895</v>
      </c>
      <c r="B39" s="646"/>
      <c r="C39" s="52" t="s">
        <v>892</v>
      </c>
    </row>
    <row r="40" spans="1:8">
      <c r="A40" s="807" t="s">
        <v>894</v>
      </c>
      <c r="B40" s="646"/>
      <c r="C40" s="52" t="s">
        <v>893</v>
      </c>
    </row>
    <row r="41" spans="1:8">
      <c r="C41" s="643"/>
    </row>
    <row r="42" spans="1:8">
      <c r="C42" s="643"/>
    </row>
    <row r="43" spans="1:8">
      <c r="C43" s="643"/>
    </row>
    <row r="44" spans="1:8">
      <c r="C44" s="643"/>
    </row>
    <row r="45" spans="1:8">
      <c r="C45" s="643"/>
    </row>
  </sheetData>
  <pageMargins left="0.7" right="0.7" top="0.75" bottom="0.75" header="0.3" footer="0.3"/>
  <pageSetup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7E22-F3AF-45C2-86B0-8E45D7B8DF60}">
  <sheetPr codeName="Sheet38">
    <tabColor rgb="FF0099FF"/>
  </sheetPr>
  <dimension ref="A1:G49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2.75"/>
  <cols>
    <col min="1" max="1" width="5.21875" style="52" customWidth="1"/>
    <col min="2" max="2" width="1" style="52" customWidth="1"/>
    <col min="3" max="3" width="27.77734375" style="52" customWidth="1"/>
    <col min="4" max="6" width="11.109375" style="52" customWidth="1"/>
    <col min="7" max="7" width="15.77734375" style="52" customWidth="1"/>
    <col min="8" max="8" width="8.77734375" style="52"/>
    <col min="9" max="9" width="10.21875" style="52" bestFit="1" customWidth="1"/>
    <col min="10" max="10" width="11.109375" style="52" bestFit="1" customWidth="1"/>
    <col min="11" max="13" width="11.44140625" style="52" bestFit="1" customWidth="1"/>
    <col min="14" max="16384" width="8.77734375" style="52"/>
  </cols>
  <sheetData>
    <row r="1" spans="1:7">
      <c r="G1" s="688" t="s">
        <v>299</v>
      </c>
    </row>
    <row r="2" spans="1:7">
      <c r="G2" s="688" t="str">
        <f>'DEO DIT Protected'!G2</f>
        <v>Excess/Deficient DIT Permanent Worksheet</v>
      </c>
    </row>
    <row r="3" spans="1:7">
      <c r="G3" s="688" t="s">
        <v>866</v>
      </c>
    </row>
    <row r="5" spans="1:7">
      <c r="G5" s="688" t="str">
        <f>"For the 12 months ended: "&amp;TEXT(INPUT!$B$1,"mm/dd/yyyy")</f>
        <v>For the 12 months ended: 12/31/2020</v>
      </c>
    </row>
    <row r="6" spans="1:7" ht="15">
      <c r="G6" s="61"/>
    </row>
    <row r="7" spans="1:7">
      <c r="A7" s="677" t="s">
        <v>889</v>
      </c>
      <c r="B7" s="677"/>
      <c r="C7" s="690"/>
      <c r="D7" s="690"/>
      <c r="E7" s="690"/>
      <c r="F7" s="690"/>
      <c r="G7" s="677"/>
    </row>
    <row r="8" spans="1:7">
      <c r="A8" s="677" t="s">
        <v>900</v>
      </c>
      <c r="B8" s="677"/>
      <c r="C8" s="690"/>
      <c r="D8" s="690"/>
      <c r="E8" s="690"/>
      <c r="F8" s="690"/>
      <c r="G8" s="677"/>
    </row>
    <row r="9" spans="1:7">
      <c r="A9" s="677"/>
      <c r="B9" s="677"/>
      <c r="C9" s="690"/>
      <c r="D9" s="690"/>
      <c r="E9" s="690"/>
      <c r="F9" s="690"/>
      <c r="G9" s="677"/>
    </row>
    <row r="10" spans="1:7">
      <c r="A10" s="677"/>
      <c r="B10" s="677"/>
      <c r="C10" s="690"/>
      <c r="D10" s="690"/>
      <c r="E10" s="690"/>
      <c r="F10" s="690"/>
      <c r="G10" s="693"/>
    </row>
    <row r="11" spans="1:7">
      <c r="C11" s="691"/>
      <c r="D11" s="692"/>
      <c r="E11" s="692"/>
      <c r="F11" s="692"/>
      <c r="G11" s="694"/>
    </row>
    <row r="12" spans="1:7">
      <c r="A12" s="695" t="s">
        <v>8</v>
      </c>
      <c r="C12" s="696" t="s">
        <v>855</v>
      </c>
      <c r="D12" s="697" t="s">
        <v>856</v>
      </c>
      <c r="E12" s="697" t="s">
        <v>856</v>
      </c>
      <c r="F12" s="697" t="s">
        <v>856</v>
      </c>
      <c r="G12" s="697" t="s">
        <v>856</v>
      </c>
    </row>
    <row r="13" spans="1:7">
      <c r="A13" s="698" t="s">
        <v>10</v>
      </c>
      <c r="C13" s="565" t="s">
        <v>902</v>
      </c>
      <c r="D13" s="699">
        <v>190</v>
      </c>
      <c r="E13" s="699">
        <v>282</v>
      </c>
      <c r="F13" s="700">
        <v>283</v>
      </c>
      <c r="G13" s="701" t="s">
        <v>12</v>
      </c>
    </row>
    <row r="14" spans="1:7">
      <c r="A14" s="698"/>
      <c r="C14" s="727" t="s">
        <v>867</v>
      </c>
      <c r="D14" s="728" t="s">
        <v>868</v>
      </c>
      <c r="E14" s="728" t="s">
        <v>869</v>
      </c>
      <c r="F14" s="729" t="s">
        <v>870</v>
      </c>
      <c r="G14" s="727" t="s">
        <v>871</v>
      </c>
    </row>
    <row r="15" spans="1:7">
      <c r="A15" s="698"/>
      <c r="C15" s="727"/>
      <c r="D15" s="728"/>
      <c r="E15" s="728"/>
      <c r="F15" s="729"/>
      <c r="G15" s="727"/>
    </row>
    <row r="16" spans="1:7">
      <c r="A16" s="646">
        <v>1</v>
      </c>
      <c r="C16" s="705">
        <v>182.3</v>
      </c>
      <c r="D16" s="706">
        <v>0</v>
      </c>
      <c r="E16" s="706">
        <v>1908088</v>
      </c>
      <c r="F16" s="706">
        <v>0</v>
      </c>
      <c r="G16" s="707">
        <f>SUM(D16:F16)</f>
        <v>1908088</v>
      </c>
    </row>
    <row r="17" spans="1:7" ht="15">
      <c r="A17" s="646">
        <v>2</v>
      </c>
      <c r="C17" s="705">
        <v>253</v>
      </c>
      <c r="D17" s="708">
        <v>0</v>
      </c>
      <c r="E17" s="708">
        <v>0</v>
      </c>
      <c r="F17" s="708">
        <v>0</v>
      </c>
      <c r="G17" s="709">
        <f t="shared" ref="G17:G18" si="0">SUM(D17:F17)</f>
        <v>0</v>
      </c>
    </row>
    <row r="18" spans="1:7">
      <c r="A18" s="646">
        <v>3</v>
      </c>
      <c r="C18" s="710" t="s">
        <v>857</v>
      </c>
      <c r="D18" s="707">
        <f>SUM(D16:D17)</f>
        <v>0</v>
      </c>
      <c r="E18" s="707">
        <f t="shared" ref="E18:F18" si="1">SUM(E16:E17)</f>
        <v>1908088</v>
      </c>
      <c r="F18" s="707">
        <f t="shared" si="1"/>
        <v>0</v>
      </c>
      <c r="G18" s="707">
        <f t="shared" si="0"/>
        <v>1908088</v>
      </c>
    </row>
    <row r="19" spans="1:7">
      <c r="A19" s="646"/>
      <c r="C19" s="710"/>
      <c r="D19" s="711"/>
      <c r="E19" s="711"/>
      <c r="F19" s="711"/>
      <c r="G19" s="711"/>
    </row>
    <row r="20" spans="1:7">
      <c r="A20" s="646">
        <v>4</v>
      </c>
      <c r="C20" s="705">
        <v>182.3</v>
      </c>
      <c r="D20" s="706">
        <v>0</v>
      </c>
      <c r="E20" s="706">
        <v>0</v>
      </c>
      <c r="F20" s="706">
        <v>0</v>
      </c>
      <c r="G20" s="707">
        <f t="shared" ref="G20:G25" si="2">SUM(D20:F20)</f>
        <v>0</v>
      </c>
    </row>
    <row r="21" spans="1:7" ht="15">
      <c r="A21" s="646">
        <v>5</v>
      </c>
      <c r="C21" s="705">
        <v>254</v>
      </c>
      <c r="D21" s="708">
        <v>-7618493</v>
      </c>
      <c r="E21" s="708">
        <v>21974672</v>
      </c>
      <c r="F21" s="708">
        <v>11065317</v>
      </c>
      <c r="G21" s="709">
        <f t="shared" si="2"/>
        <v>25421496</v>
      </c>
    </row>
    <row r="22" spans="1:7">
      <c r="A22" s="646">
        <v>6</v>
      </c>
      <c r="C22" s="710" t="s">
        <v>858</v>
      </c>
      <c r="D22" s="707">
        <f>SUM(D20:D21)</f>
        <v>-7618493</v>
      </c>
      <c r="E22" s="707">
        <f t="shared" ref="E22:G22" si="3">SUM(E20:E21)</f>
        <v>21974672</v>
      </c>
      <c r="F22" s="707">
        <f t="shared" si="3"/>
        <v>11065317</v>
      </c>
      <c r="G22" s="707">
        <f t="shared" si="3"/>
        <v>25421496</v>
      </c>
    </row>
    <row r="23" spans="1:7">
      <c r="A23" s="646"/>
      <c r="C23" s="710"/>
      <c r="D23" s="711"/>
      <c r="E23" s="711"/>
      <c r="F23" s="711"/>
      <c r="G23" s="711"/>
    </row>
    <row r="24" spans="1:7" ht="15">
      <c r="A24" s="646">
        <v>7</v>
      </c>
      <c r="C24" s="705">
        <v>411.2</v>
      </c>
      <c r="D24" s="712">
        <v>0</v>
      </c>
      <c r="E24" s="712">
        <v>18895103</v>
      </c>
      <c r="F24" s="712">
        <v>-51436</v>
      </c>
      <c r="G24" s="713">
        <f t="shared" si="2"/>
        <v>18843667</v>
      </c>
    </row>
    <row r="25" spans="1:7">
      <c r="A25" s="646">
        <v>8</v>
      </c>
      <c r="C25" s="710" t="s">
        <v>884</v>
      </c>
      <c r="D25" s="707">
        <f>SUM(D24)</f>
        <v>0</v>
      </c>
      <c r="E25" s="707">
        <f t="shared" ref="E25:F25" si="4">SUM(E24)</f>
        <v>18895103</v>
      </c>
      <c r="F25" s="707">
        <f t="shared" si="4"/>
        <v>-51436</v>
      </c>
      <c r="G25" s="707">
        <f t="shared" si="2"/>
        <v>18843667</v>
      </c>
    </row>
    <row r="26" spans="1:7">
      <c r="A26" s="646"/>
      <c r="C26" s="710"/>
      <c r="D26" s="711"/>
      <c r="E26" s="711"/>
      <c r="F26" s="710"/>
      <c r="G26" s="715"/>
    </row>
    <row r="27" spans="1:7" ht="25.5">
      <c r="A27" s="726">
        <v>9</v>
      </c>
      <c r="B27" s="646"/>
      <c r="C27" s="725" t="s">
        <v>888</v>
      </c>
      <c r="D27" s="809">
        <f>D25+D22+D18</f>
        <v>-7618493</v>
      </c>
      <c r="E27" s="809">
        <f t="shared" ref="E27:F27" si="5">E25+E22+E18</f>
        <v>42777863</v>
      </c>
      <c r="F27" s="809">
        <f t="shared" si="5"/>
        <v>11013881</v>
      </c>
      <c r="G27" s="810">
        <f>SUM(D27:F27)</f>
        <v>46173251</v>
      </c>
    </row>
    <row r="28" spans="1:7">
      <c r="A28" s="646"/>
      <c r="C28" s="710"/>
      <c r="D28" s="710"/>
      <c r="E28" s="711"/>
      <c r="F28" s="710"/>
      <c r="G28" s="710"/>
    </row>
    <row r="29" spans="1:7">
      <c r="A29" s="646"/>
      <c r="C29" s="710"/>
      <c r="D29" s="710"/>
      <c r="E29" s="711"/>
      <c r="F29" s="710"/>
      <c r="G29" s="710"/>
    </row>
    <row r="30" spans="1:7">
      <c r="A30" s="646"/>
      <c r="C30" s="692"/>
      <c r="D30" s="692"/>
      <c r="E30" s="716"/>
      <c r="F30" s="692"/>
      <c r="G30" s="692"/>
    </row>
    <row r="31" spans="1:7" ht="38.25">
      <c r="A31" s="646"/>
      <c r="C31" s="702" t="s">
        <v>867</v>
      </c>
      <c r="D31" s="813" t="s">
        <v>901</v>
      </c>
      <c r="E31" s="703" t="s">
        <v>869</v>
      </c>
      <c r="F31" s="811" t="s">
        <v>898</v>
      </c>
      <c r="G31" s="812" t="s">
        <v>899</v>
      </c>
    </row>
    <row r="32" spans="1:7">
      <c r="A32" s="646"/>
      <c r="C32" s="692"/>
      <c r="D32" s="717" t="s">
        <v>859</v>
      </c>
      <c r="E32" s="717" t="s">
        <v>885</v>
      </c>
      <c r="F32" s="717" t="s">
        <v>886</v>
      </c>
      <c r="G32" s="717" t="s">
        <v>860</v>
      </c>
    </row>
    <row r="33" spans="1:7">
      <c r="A33" s="646"/>
      <c r="C33" s="719" t="s">
        <v>716</v>
      </c>
      <c r="D33" s="719" t="s">
        <v>861</v>
      </c>
      <c r="E33" s="719" t="s">
        <v>862</v>
      </c>
      <c r="F33" s="719" t="s">
        <v>887</v>
      </c>
      <c r="G33" s="719" t="s">
        <v>862</v>
      </c>
    </row>
    <row r="34" spans="1:7">
      <c r="A34" s="646">
        <v>10</v>
      </c>
      <c r="C34" s="646">
        <v>2018</v>
      </c>
      <c r="D34" s="721">
        <f>ROUND(F34/$G$22,4)</f>
        <v>8.6599999999999996E-2</v>
      </c>
      <c r="E34" s="722">
        <f>G22</f>
        <v>25421496</v>
      </c>
      <c r="F34" s="706">
        <v>2202185.5</v>
      </c>
      <c r="G34" s="723">
        <f>E34-F34</f>
        <v>23219310.5</v>
      </c>
    </row>
    <row r="35" spans="1:7">
      <c r="A35" s="646">
        <v>11</v>
      </c>
      <c r="C35" s="646">
        <f>C34+1</f>
        <v>2019</v>
      </c>
      <c r="D35" s="721">
        <f t="shared" ref="D35:D36" si="6">ROUND(F35/$G$22,4)</f>
        <v>0.128</v>
      </c>
      <c r="E35" s="722">
        <f>G34</f>
        <v>23219310.5</v>
      </c>
      <c r="F35" s="706">
        <v>3254797</v>
      </c>
      <c r="G35" s="723">
        <f>E35-F35</f>
        <v>19964513.5</v>
      </c>
    </row>
    <row r="36" spans="1:7">
      <c r="A36" s="646">
        <v>12</v>
      </c>
      <c r="C36" s="646">
        <f>C35+1</f>
        <v>2020</v>
      </c>
      <c r="D36" s="721">
        <f t="shared" si="6"/>
        <v>0.12989999999999999</v>
      </c>
      <c r="E36" s="722">
        <f>G35</f>
        <v>19964513.5</v>
      </c>
      <c r="F36" s="706">
        <v>3303278.5999999987</v>
      </c>
      <c r="G36" s="723">
        <f>E36-F36</f>
        <v>16661234.900000002</v>
      </c>
    </row>
    <row r="37" spans="1:7">
      <c r="A37" s="646"/>
      <c r="C37" s="646"/>
      <c r="D37" s="721"/>
      <c r="E37" s="722"/>
      <c r="F37" s="706"/>
      <c r="G37" s="723"/>
    </row>
    <row r="38" spans="1:7">
      <c r="A38" s="646"/>
      <c r="C38" s="646"/>
      <c r="D38" s="644"/>
      <c r="E38" s="645"/>
      <c r="F38" s="640"/>
      <c r="G38" s="716"/>
    </row>
    <row r="39" spans="1:7">
      <c r="A39" s="808" t="s">
        <v>895</v>
      </c>
      <c r="B39" s="646"/>
      <c r="C39" s="52" t="s">
        <v>892</v>
      </c>
    </row>
    <row r="40" spans="1:7">
      <c r="A40" s="807" t="s">
        <v>894</v>
      </c>
      <c r="B40" s="646"/>
      <c r="C40" s="52" t="s">
        <v>893</v>
      </c>
    </row>
    <row r="47" spans="1:7">
      <c r="C47" s="814"/>
    </row>
    <row r="48" spans="1:7">
      <c r="C48" s="814"/>
    </row>
    <row r="49" spans="3:3">
      <c r="C49" s="814"/>
    </row>
  </sheetData>
  <pageMargins left="0.7" right="0.68" top="0.75" bottom="0.75" header="0.3" footer="0.3"/>
  <pageSetup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FF0000"/>
  </sheetPr>
  <dimension ref="A1:R562"/>
  <sheetViews>
    <sheetView view="pageBreakPreview" zoomScale="75" zoomScaleNormal="75" zoomScaleSheetLayoutView="75" workbookViewId="0"/>
  </sheetViews>
  <sheetFormatPr defaultColWidth="8.77734375" defaultRowHeight="15"/>
  <cols>
    <col min="1" max="1" width="5.77734375" style="439" customWidth="1"/>
    <col min="2" max="2" width="1.44140625" style="9" customWidth="1"/>
    <col min="3" max="3" width="62.21875" style="9" customWidth="1"/>
    <col min="4" max="4" width="24.77734375" style="9" customWidth="1"/>
    <col min="5" max="5" width="15.5546875" style="9" customWidth="1"/>
    <col min="6" max="7" width="5.77734375" style="9" customWidth="1"/>
    <col min="8" max="8" width="12.109375" style="9" customWidth="1"/>
    <col min="9" max="9" width="5.77734375" style="9" customWidth="1"/>
    <col min="10" max="10" width="15.5546875" style="9" customWidth="1"/>
    <col min="11" max="11" width="3.44140625" style="9" customWidth="1"/>
    <col min="12" max="12" width="13.109375" style="9" customWidth="1"/>
    <col min="13" max="13" width="1.77734375" style="9" customWidth="1"/>
    <col min="14" max="14" width="16.77734375" style="9" customWidth="1"/>
    <col min="15" max="15" width="16.21875" style="9" customWidth="1"/>
    <col min="16" max="16" width="8.77734375" style="9"/>
    <col min="17" max="17" width="15.21875" style="9" bestFit="1" customWidth="1"/>
    <col min="18" max="18" width="14.5546875" style="9" bestFit="1" customWidth="1"/>
    <col min="19" max="19" width="13.21875" style="9" customWidth="1"/>
    <col min="20" max="16384" width="8.77734375" style="9"/>
  </cols>
  <sheetData>
    <row r="1" spans="1:15" ht="18">
      <c r="A1" s="440" t="s">
        <v>7</v>
      </c>
      <c r="C1" s="24"/>
      <c r="D1" s="24"/>
      <c r="E1" s="25"/>
      <c r="F1" s="24"/>
      <c r="G1" s="24"/>
      <c r="H1" s="24"/>
      <c r="I1" s="24"/>
      <c r="J1" s="50" t="s">
        <v>299</v>
      </c>
      <c r="K1" s="60"/>
      <c r="M1" s="60"/>
    </row>
    <row r="2" spans="1:15">
      <c r="C2" s="24"/>
      <c r="D2" s="24"/>
      <c r="E2" s="25"/>
      <c r="F2" s="24"/>
      <c r="G2" s="24"/>
      <c r="H2" s="24"/>
      <c r="I2" s="24"/>
      <c r="J2" s="50" t="s">
        <v>407</v>
      </c>
      <c r="M2" s="50"/>
    </row>
    <row r="3" spans="1:15">
      <c r="C3" s="24"/>
      <c r="D3" s="24"/>
      <c r="E3" s="25"/>
      <c r="F3" s="24"/>
      <c r="G3" s="24"/>
      <c r="H3" s="24"/>
      <c r="I3" s="24"/>
      <c r="K3" s="1"/>
      <c r="M3" s="50"/>
    </row>
    <row r="4" spans="1:15">
      <c r="C4" s="24"/>
      <c r="D4" s="24"/>
      <c r="E4" s="25"/>
      <c r="F4" s="24"/>
      <c r="G4" s="24"/>
      <c r="H4" s="24"/>
      <c r="I4" s="24"/>
      <c r="K4" s="1"/>
      <c r="M4" s="50"/>
    </row>
    <row r="5" spans="1:15">
      <c r="C5" s="24"/>
      <c r="D5" s="24"/>
      <c r="E5" s="25"/>
      <c r="F5" s="24"/>
      <c r="G5" s="24"/>
      <c r="H5" s="24"/>
      <c r="I5" s="24"/>
      <c r="K5" s="1"/>
      <c r="M5" s="50"/>
    </row>
    <row r="6" spans="1:15">
      <c r="C6" s="24"/>
      <c r="D6" s="24"/>
      <c r="E6" s="25"/>
      <c r="F6" s="24"/>
      <c r="G6" s="24"/>
      <c r="H6" s="24"/>
      <c r="I6" s="24"/>
      <c r="J6" s="1"/>
      <c r="K6" s="1"/>
      <c r="M6" s="1"/>
    </row>
    <row r="7" spans="1:15">
      <c r="C7" s="24" t="s">
        <v>6</v>
      </c>
      <c r="D7" s="24"/>
      <c r="E7" s="25"/>
      <c r="F7" s="24"/>
      <c r="G7" s="24"/>
      <c r="H7" s="24"/>
      <c r="I7" s="24"/>
      <c r="J7" s="61" t="str">
        <f>"For the 12 months ended: "&amp;TEXT(INPUT!$B$1,"mm/dd/yyyy")</f>
        <v>For the 12 months ended: 12/31/2020</v>
      </c>
      <c r="K7" s="1"/>
      <c r="M7" s="1"/>
    </row>
    <row r="8" spans="1:15">
      <c r="A8" s="447" t="s">
        <v>257</v>
      </c>
      <c r="B8" s="70"/>
      <c r="C8" s="70"/>
      <c r="D8" s="144"/>
      <c r="E8" s="70"/>
      <c r="F8" s="144"/>
      <c r="G8" s="144"/>
      <c r="H8" s="144"/>
      <c r="I8" s="144"/>
      <c r="J8" s="70"/>
      <c r="K8" s="1"/>
      <c r="L8" s="70"/>
      <c r="M8" s="1"/>
    </row>
    <row r="9" spans="1:15">
      <c r="A9" s="442" t="s">
        <v>270</v>
      </c>
      <c r="B9" s="70"/>
      <c r="C9" s="144"/>
      <c r="D9" s="145"/>
      <c r="E9" s="70"/>
      <c r="F9" s="145"/>
      <c r="G9" s="145"/>
      <c r="H9" s="145"/>
      <c r="I9" s="144"/>
      <c r="J9" s="144"/>
      <c r="K9" s="1"/>
      <c r="L9" s="146"/>
      <c r="M9" s="1"/>
    </row>
    <row r="10" spans="1:15">
      <c r="A10" s="442"/>
      <c r="B10" s="70"/>
      <c r="C10" s="146"/>
      <c r="D10" s="146"/>
      <c r="E10" s="70"/>
      <c r="F10" s="146"/>
      <c r="G10" s="146"/>
      <c r="H10" s="146"/>
      <c r="I10" s="146"/>
      <c r="J10" s="146"/>
      <c r="K10" s="1"/>
      <c r="L10" s="146"/>
      <c r="M10" s="1"/>
    </row>
    <row r="11" spans="1:15" ht="15.75">
      <c r="A11" s="448" t="s">
        <v>699</v>
      </c>
      <c r="B11" s="264"/>
      <c r="C11" s="265"/>
      <c r="D11" s="265"/>
      <c r="E11" s="264"/>
      <c r="F11" s="265"/>
      <c r="G11" s="265"/>
      <c r="H11" s="265"/>
      <c r="I11" s="265"/>
      <c r="J11" s="265"/>
      <c r="K11" s="1"/>
      <c r="L11" s="146"/>
      <c r="M11" s="1"/>
      <c r="N11" s="69"/>
      <c r="O11" s="69"/>
    </row>
    <row r="12" spans="1:15">
      <c r="A12" s="438"/>
      <c r="C12" s="3" t="s">
        <v>18</v>
      </c>
      <c r="D12" s="3" t="s">
        <v>19</v>
      </c>
      <c r="E12" s="3" t="s">
        <v>20</v>
      </c>
      <c r="F12" s="2" t="s">
        <v>7</v>
      </c>
      <c r="G12" s="177" t="s">
        <v>21</v>
      </c>
      <c r="H12" s="70"/>
      <c r="I12" s="2"/>
      <c r="J12" s="5" t="s">
        <v>22</v>
      </c>
      <c r="K12" s="1"/>
      <c r="L12" s="1"/>
      <c r="M12" s="1"/>
      <c r="N12" s="67"/>
    </row>
    <row r="13" spans="1:15">
      <c r="A13" s="438" t="s">
        <v>8</v>
      </c>
      <c r="C13" s="1"/>
      <c r="D13" s="1"/>
      <c r="E13" s="17"/>
      <c r="F13" s="1"/>
      <c r="G13" s="1"/>
      <c r="H13" s="1"/>
      <c r="I13" s="1"/>
      <c r="J13" s="26" t="s">
        <v>9</v>
      </c>
      <c r="K13" s="1"/>
      <c r="L13" s="1"/>
      <c r="M13" s="1"/>
      <c r="N13" s="815"/>
    </row>
    <row r="14" spans="1:15" ht="15.75">
      <c r="A14" s="444" t="s">
        <v>10</v>
      </c>
      <c r="B14" s="181"/>
      <c r="C14" s="184"/>
      <c r="D14" s="184"/>
      <c r="E14" s="184"/>
      <c r="F14" s="184"/>
      <c r="G14" s="184"/>
      <c r="H14" s="184"/>
      <c r="I14" s="184"/>
      <c r="J14" s="180" t="s">
        <v>11</v>
      </c>
      <c r="K14" s="1"/>
      <c r="L14" s="1"/>
      <c r="M14" s="1"/>
      <c r="N14" s="815"/>
      <c r="O14" s="409"/>
    </row>
    <row r="15" spans="1:15">
      <c r="A15" s="438">
        <v>1</v>
      </c>
      <c r="C15" s="1" t="s">
        <v>701</v>
      </c>
      <c r="D15" s="400" t="s">
        <v>813</v>
      </c>
      <c r="E15" s="2"/>
      <c r="F15" s="1"/>
      <c r="G15" s="1"/>
      <c r="H15" s="1"/>
      <c r="I15" s="1"/>
      <c r="J15" s="30">
        <f>J164</f>
        <v>166310920</v>
      </c>
      <c r="K15" s="1"/>
      <c r="L15" s="1"/>
      <c r="M15" s="1"/>
      <c r="N15" s="816"/>
      <c r="O15" s="30"/>
    </row>
    <row r="16" spans="1:15">
      <c r="A16" s="438"/>
      <c r="C16" s="1"/>
      <c r="D16" s="521"/>
      <c r="E16" s="1"/>
      <c r="F16" s="1"/>
      <c r="G16" s="1"/>
      <c r="H16" s="1"/>
      <c r="I16" s="1"/>
      <c r="J16" s="2"/>
      <c r="K16" s="1"/>
      <c r="L16" s="1"/>
      <c r="M16" s="1"/>
      <c r="N16" s="358"/>
      <c r="O16" s="2"/>
    </row>
    <row r="17" spans="1:15">
      <c r="A17" s="438"/>
      <c r="C17" s="1"/>
      <c r="D17" s="521"/>
      <c r="E17" s="1"/>
      <c r="F17" s="1"/>
      <c r="G17" s="1"/>
      <c r="H17" s="1"/>
      <c r="I17" s="1"/>
      <c r="J17" s="2"/>
      <c r="K17" s="1"/>
      <c r="L17" s="1"/>
      <c r="M17" s="1"/>
      <c r="N17" s="358"/>
      <c r="O17" s="2"/>
    </row>
    <row r="18" spans="1:15" ht="15.75" thickBot="1">
      <c r="A18" s="438" t="s">
        <v>7</v>
      </c>
      <c r="C18" s="1" t="s">
        <v>363</v>
      </c>
      <c r="D18" s="522"/>
      <c r="E18" s="32" t="s">
        <v>12</v>
      </c>
      <c r="F18" s="2"/>
      <c r="G18" s="38" t="s">
        <v>13</v>
      </c>
      <c r="H18" s="38"/>
      <c r="I18" s="1"/>
      <c r="J18" s="2"/>
      <c r="K18" s="1"/>
      <c r="L18" s="1"/>
      <c r="M18" s="1"/>
      <c r="N18" s="358"/>
      <c r="O18" s="2"/>
    </row>
    <row r="19" spans="1:15">
      <c r="A19" s="438">
        <v>2</v>
      </c>
      <c r="C19" s="1" t="s">
        <v>346</v>
      </c>
      <c r="D19" s="400" t="s">
        <v>128</v>
      </c>
      <c r="E19" s="30">
        <f>J240</f>
        <v>282197</v>
      </c>
      <c r="F19" s="30"/>
      <c r="G19" s="30" t="s">
        <v>14</v>
      </c>
      <c r="H19" s="16">
        <f>DEO_TP_Alloc</f>
        <v>1</v>
      </c>
      <c r="I19" s="30"/>
      <c r="J19" s="30">
        <f>ROUND(H19*E19,0)</f>
        <v>282197</v>
      </c>
      <c r="K19" s="1"/>
      <c r="L19" s="1"/>
      <c r="M19" s="1"/>
      <c r="N19" s="816"/>
      <c r="O19" s="30"/>
    </row>
    <row r="20" spans="1:15">
      <c r="A20" s="438">
        <v>3</v>
      </c>
      <c r="C20" s="1" t="s">
        <v>369</v>
      </c>
      <c r="D20" s="400" t="s">
        <v>305</v>
      </c>
      <c r="E20" s="231">
        <f>J242</f>
        <v>1854954</v>
      </c>
      <c r="F20" s="30"/>
      <c r="G20" s="30" t="str">
        <f>G$19</f>
        <v>TP</v>
      </c>
      <c r="H20" s="16">
        <f>DEO_TP_Alloc</f>
        <v>1</v>
      </c>
      <c r="I20" s="30"/>
      <c r="J20" s="147">
        <f>ROUND(H20*E20,0)</f>
        <v>1854954</v>
      </c>
      <c r="K20" s="1"/>
      <c r="L20" s="1"/>
      <c r="M20" s="1"/>
      <c r="N20" s="395"/>
      <c r="O20" s="147"/>
    </row>
    <row r="21" spans="1:15">
      <c r="A21" s="438" t="s">
        <v>292</v>
      </c>
      <c r="C21" s="1" t="s">
        <v>347</v>
      </c>
      <c r="D21" s="400"/>
      <c r="E21" s="502">
        <v>0</v>
      </c>
      <c r="F21" s="30"/>
      <c r="G21" s="30" t="str">
        <f>G$19</f>
        <v>TP</v>
      </c>
      <c r="H21" s="16">
        <f>DEO_TP_Alloc</f>
        <v>1</v>
      </c>
      <c r="I21" s="30"/>
      <c r="J21" s="147">
        <f t="shared" ref="J21:J23" si="0">ROUND(H21*E21,0)</f>
        <v>0</v>
      </c>
      <c r="K21" s="1"/>
      <c r="L21" s="1"/>
      <c r="M21" s="1"/>
      <c r="N21" s="395"/>
      <c r="O21" s="147"/>
    </row>
    <row r="22" spans="1:15">
      <c r="A22" s="438" t="s">
        <v>293</v>
      </c>
      <c r="C22" s="1" t="s">
        <v>401</v>
      </c>
      <c r="D22" s="400"/>
      <c r="E22" s="502">
        <v>0</v>
      </c>
      <c r="F22" s="30"/>
      <c r="G22" s="30" t="str">
        <f>G$19</f>
        <v>TP</v>
      </c>
      <c r="H22" s="16">
        <f>DEO_TP_Alloc</f>
        <v>1</v>
      </c>
      <c r="I22" s="30"/>
      <c r="J22" s="147">
        <f t="shared" si="0"/>
        <v>0</v>
      </c>
      <c r="K22" s="1"/>
      <c r="L22" s="1"/>
      <c r="M22" s="1"/>
      <c r="N22" s="395"/>
      <c r="O22" s="147"/>
    </row>
    <row r="23" spans="1:15">
      <c r="A23" s="438">
        <v>5</v>
      </c>
      <c r="C23" s="1" t="s">
        <v>647</v>
      </c>
      <c r="D23" s="400" t="s">
        <v>601</v>
      </c>
      <c r="E23" s="231">
        <f>ROUND(J243,0)</f>
        <v>1406967</v>
      </c>
      <c r="F23" s="30"/>
      <c r="G23" s="30"/>
      <c r="H23" s="275">
        <v>1</v>
      </c>
      <c r="I23" s="30"/>
      <c r="J23" s="147">
        <f t="shared" si="0"/>
        <v>1406967</v>
      </c>
      <c r="K23" s="1"/>
      <c r="L23" s="1"/>
      <c r="M23" s="1"/>
      <c r="N23" s="395"/>
      <c r="O23" s="147"/>
    </row>
    <row r="24" spans="1:15">
      <c r="A24" s="438"/>
      <c r="C24" s="1"/>
      <c r="D24" s="400"/>
      <c r="E24" s="147"/>
      <c r="F24" s="30"/>
      <c r="G24" s="30"/>
      <c r="H24" s="275"/>
      <c r="I24" s="30"/>
      <c r="J24" s="147"/>
      <c r="K24" s="1"/>
      <c r="L24" s="1"/>
      <c r="M24" s="1"/>
      <c r="N24" s="395"/>
      <c r="O24" s="147"/>
    </row>
    <row r="25" spans="1:15">
      <c r="A25" s="438"/>
      <c r="C25" s="1"/>
      <c r="D25" s="400"/>
      <c r="E25" s="147"/>
      <c r="F25" s="30"/>
      <c r="G25" s="30"/>
      <c r="H25" s="275"/>
      <c r="I25" s="30"/>
      <c r="J25" s="147"/>
      <c r="K25" s="1"/>
      <c r="L25" s="1"/>
      <c r="M25" s="1"/>
      <c r="N25" s="395"/>
      <c r="O25" s="147"/>
    </row>
    <row r="26" spans="1:15">
      <c r="A26" s="438"/>
      <c r="C26" s="1"/>
      <c r="D26" s="400"/>
      <c r="E26" s="147"/>
      <c r="F26" s="30"/>
      <c r="G26" s="30"/>
      <c r="H26" s="275"/>
      <c r="I26" s="30"/>
      <c r="J26" s="147"/>
      <c r="K26" s="1"/>
      <c r="L26" s="1"/>
      <c r="M26" s="1"/>
      <c r="N26" s="395"/>
      <c r="O26" s="147"/>
    </row>
    <row r="27" spans="1:15">
      <c r="A27" s="438">
        <v>6</v>
      </c>
      <c r="C27" s="1" t="s">
        <v>591</v>
      </c>
      <c r="D27" s="521"/>
      <c r="E27" s="14" t="s">
        <v>7</v>
      </c>
      <c r="F27" s="2"/>
      <c r="G27" s="2"/>
      <c r="H27" s="16"/>
      <c r="I27" s="2"/>
      <c r="J27" s="431">
        <f>SUM(J19:J23)</f>
        <v>3544118</v>
      </c>
      <c r="K27" s="1"/>
      <c r="L27" s="1"/>
      <c r="M27" s="1"/>
      <c r="N27" s="816"/>
      <c r="O27" s="30"/>
    </row>
    <row r="28" spans="1:15">
      <c r="A28" s="438"/>
      <c r="D28" s="521"/>
      <c r="E28" s="2" t="s">
        <v>7</v>
      </c>
      <c r="F28" s="1"/>
      <c r="G28" s="1"/>
      <c r="H28" s="16"/>
      <c r="I28" s="1"/>
      <c r="K28" s="1"/>
      <c r="L28" s="1"/>
      <c r="M28" s="1"/>
      <c r="N28" s="360"/>
    </row>
    <row r="29" spans="1:15">
      <c r="A29" s="438"/>
      <c r="C29" s="1"/>
      <c r="D29" s="521"/>
      <c r="J29" s="2"/>
      <c r="K29" s="1"/>
      <c r="L29" s="1"/>
      <c r="M29" s="1"/>
      <c r="N29" s="358"/>
      <c r="O29" s="2"/>
    </row>
    <row r="30" spans="1:15" ht="15.75" thickBot="1">
      <c r="A30" s="438">
        <v>7</v>
      </c>
      <c r="C30" s="1" t="s">
        <v>15</v>
      </c>
      <c r="D30" s="400" t="s">
        <v>129</v>
      </c>
      <c r="E30" s="14" t="s">
        <v>7</v>
      </c>
      <c r="F30" s="2"/>
      <c r="G30" s="2"/>
      <c r="H30" s="2"/>
      <c r="I30" s="2"/>
      <c r="J30" s="39">
        <f>J15-J27</f>
        <v>162766802</v>
      </c>
      <c r="K30" s="1"/>
      <c r="M30" s="1"/>
      <c r="N30" s="817"/>
      <c r="O30" s="961"/>
    </row>
    <row r="31" spans="1:15" ht="15.75" thickTop="1">
      <c r="A31" s="438"/>
      <c r="D31" s="521"/>
      <c r="E31" s="14"/>
      <c r="F31" s="2"/>
      <c r="G31" s="2"/>
      <c r="H31" s="2"/>
      <c r="I31" s="2"/>
      <c r="K31" s="1"/>
      <c r="L31" s="257"/>
      <c r="M31" s="1"/>
      <c r="N31" s="360"/>
    </row>
    <row r="32" spans="1:15">
      <c r="A32" s="438"/>
      <c r="D32" s="368"/>
      <c r="J32" s="2"/>
      <c r="K32" s="1"/>
      <c r="L32" s="258"/>
      <c r="M32" s="1"/>
      <c r="N32" s="358"/>
      <c r="O32" s="2"/>
    </row>
    <row r="33" spans="1:15">
      <c r="A33" s="438"/>
      <c r="C33" s="1"/>
      <c r="D33" s="521"/>
      <c r="E33" s="30"/>
      <c r="F33" s="30"/>
      <c r="G33" s="30"/>
      <c r="H33" s="30"/>
      <c r="I33" s="30"/>
      <c r="J33" s="30"/>
      <c r="K33" s="1"/>
      <c r="L33" s="1"/>
      <c r="M33" s="1"/>
      <c r="N33" s="816"/>
      <c r="O33" s="30"/>
    </row>
    <row r="34" spans="1:15">
      <c r="C34" s="1"/>
      <c r="D34" s="24"/>
      <c r="E34" s="25"/>
      <c r="F34" s="24"/>
      <c r="G34" s="24"/>
      <c r="H34" s="24"/>
      <c r="I34" s="24"/>
      <c r="K34" s="26"/>
      <c r="L34" s="61"/>
      <c r="M34" s="26"/>
      <c r="N34" s="360"/>
    </row>
    <row r="35" spans="1:15" ht="18">
      <c r="A35" s="440"/>
      <c r="C35" s="24"/>
      <c r="D35" s="24"/>
      <c r="E35" s="25"/>
      <c r="F35" s="24"/>
      <c r="G35" s="24"/>
      <c r="H35" s="24"/>
      <c r="I35" s="24"/>
      <c r="J35" s="50" t="s">
        <v>299</v>
      </c>
      <c r="K35" s="60"/>
      <c r="M35" s="60"/>
      <c r="N35" s="461"/>
      <c r="O35" s="50"/>
    </row>
    <row r="36" spans="1:15">
      <c r="C36" s="24"/>
      <c r="D36" s="24"/>
      <c r="E36" s="25"/>
      <c r="F36" s="24"/>
      <c r="G36" s="24"/>
      <c r="H36" s="24"/>
      <c r="I36" s="24"/>
      <c r="J36" s="50" t="s">
        <v>408</v>
      </c>
      <c r="M36" s="50"/>
      <c r="N36" s="461"/>
      <c r="O36" s="50"/>
    </row>
    <row r="37" spans="1:15">
      <c r="C37" s="24"/>
      <c r="D37" s="24"/>
      <c r="E37" s="25"/>
      <c r="F37" s="24"/>
      <c r="G37" s="24"/>
      <c r="H37" s="24"/>
      <c r="I37" s="24"/>
      <c r="K37" s="1"/>
      <c r="M37" s="50"/>
      <c r="N37" s="360"/>
    </row>
    <row r="38" spans="1:15">
      <c r="C38" s="24"/>
      <c r="D38" s="24"/>
      <c r="E38" s="25"/>
      <c r="F38" s="24"/>
      <c r="G38" s="24"/>
      <c r="H38" s="24"/>
      <c r="I38" s="24"/>
      <c r="K38" s="1"/>
      <c r="M38" s="50"/>
      <c r="N38" s="360"/>
    </row>
    <row r="39" spans="1:15">
      <c r="C39" s="24"/>
      <c r="D39" s="24"/>
      <c r="E39" s="25"/>
      <c r="F39" s="24"/>
      <c r="G39" s="24"/>
      <c r="H39" s="24"/>
      <c r="I39" s="24"/>
      <c r="K39" s="2"/>
      <c r="M39" s="50"/>
      <c r="N39" s="360"/>
    </row>
    <row r="40" spans="1:15">
      <c r="C40" s="24"/>
      <c r="D40" s="24"/>
      <c r="E40" s="25"/>
      <c r="F40" s="24"/>
      <c r="G40" s="24"/>
      <c r="H40" s="24"/>
      <c r="I40" s="24"/>
      <c r="J40" s="50"/>
      <c r="K40" s="2"/>
      <c r="M40" s="50"/>
      <c r="N40" s="461"/>
      <c r="O40" s="50"/>
    </row>
    <row r="41" spans="1:15">
      <c r="C41" s="24" t="s">
        <v>6</v>
      </c>
      <c r="D41" s="24"/>
      <c r="E41" s="25"/>
      <c r="F41" s="24"/>
      <c r="G41" s="24"/>
      <c r="H41" s="24"/>
      <c r="I41" s="24"/>
      <c r="J41" s="61" t="str">
        <f>J7</f>
        <v>For the 12 months ended: 12/31/2020</v>
      </c>
      <c r="K41" s="2"/>
      <c r="M41" s="50"/>
      <c r="N41" s="462"/>
      <c r="O41" s="61"/>
    </row>
    <row r="42" spans="1:15">
      <c r="A42" s="441" t="str">
        <f>A8</f>
        <v>Rate Formula Template</v>
      </c>
      <c r="B42" s="70"/>
      <c r="C42" s="70"/>
      <c r="D42" s="144"/>
      <c r="E42" s="70"/>
      <c r="F42" s="144"/>
      <c r="G42" s="144"/>
      <c r="H42" s="144"/>
      <c r="I42" s="144"/>
      <c r="J42" s="70"/>
      <c r="K42" s="2"/>
      <c r="L42" s="70"/>
      <c r="M42" s="1"/>
      <c r="N42" s="172"/>
      <c r="O42" s="70"/>
    </row>
    <row r="43" spans="1:15">
      <c r="A43" s="442" t="s">
        <v>270</v>
      </c>
      <c r="B43" s="70"/>
      <c r="C43" s="144"/>
      <c r="D43" s="145"/>
      <c r="E43" s="70"/>
      <c r="F43" s="145"/>
      <c r="G43" s="145"/>
      <c r="H43" s="145"/>
      <c r="I43" s="144"/>
      <c r="J43" s="144"/>
      <c r="K43" s="2"/>
      <c r="L43" s="146"/>
      <c r="M43" s="1"/>
      <c r="N43" s="185"/>
      <c r="O43" s="144"/>
    </row>
    <row r="44" spans="1:15">
      <c r="A44" s="442"/>
      <c r="B44" s="70"/>
      <c r="C44" s="146"/>
      <c r="D44" s="146"/>
      <c r="E44" s="70"/>
      <c r="F44" s="146"/>
      <c r="G44" s="146"/>
      <c r="H44" s="146"/>
      <c r="I44" s="146"/>
      <c r="J44" s="146"/>
      <c r="K44" s="2"/>
      <c r="L44" s="146"/>
      <c r="M44" s="1"/>
      <c r="N44" s="226"/>
      <c r="O44" s="146"/>
    </row>
    <row r="45" spans="1:15" ht="15.75">
      <c r="A45" s="443" t="str">
        <f>$A$11</f>
        <v>DUKE ENERGY OHIO (DEO)</v>
      </c>
      <c r="B45" s="70"/>
      <c r="C45" s="146"/>
      <c r="D45" s="146"/>
      <c r="E45" s="70"/>
      <c r="F45" s="146"/>
      <c r="G45" s="146"/>
      <c r="H45" s="146"/>
      <c r="I45" s="146"/>
      <c r="J45" s="146"/>
      <c r="K45" s="2"/>
      <c r="L45" s="146"/>
      <c r="M45" s="2"/>
      <c r="N45" s="226"/>
      <c r="O45" s="146"/>
    </row>
    <row r="46" spans="1:15" ht="15.75">
      <c r="C46" s="1"/>
      <c r="D46" s="1"/>
      <c r="E46" s="4"/>
      <c r="F46" s="2"/>
      <c r="G46" s="2"/>
      <c r="H46" s="2"/>
      <c r="I46" s="2"/>
      <c r="J46" s="2"/>
      <c r="K46" s="2"/>
      <c r="L46" s="2"/>
      <c r="M46" s="2"/>
      <c r="N46" s="962"/>
      <c r="O46" s="69"/>
    </row>
    <row r="47" spans="1:15">
      <c r="C47" s="3" t="s">
        <v>18</v>
      </c>
      <c r="D47" s="3" t="s">
        <v>19</v>
      </c>
      <c r="E47" s="3" t="s">
        <v>20</v>
      </c>
      <c r="F47" s="2" t="s">
        <v>7</v>
      </c>
      <c r="G47" s="177" t="s">
        <v>21</v>
      </c>
      <c r="H47" s="70"/>
      <c r="I47" s="2"/>
      <c r="J47" s="5" t="s">
        <v>22</v>
      </c>
      <c r="K47" s="2"/>
      <c r="L47" s="3"/>
      <c r="M47" s="2"/>
      <c r="N47" s="67"/>
    </row>
    <row r="48" spans="1:15">
      <c r="A48" s="438" t="s">
        <v>8</v>
      </c>
      <c r="C48" s="1"/>
      <c r="D48" s="4" t="s">
        <v>23</v>
      </c>
      <c r="E48" s="2"/>
      <c r="F48" s="2"/>
      <c r="G48" s="2"/>
      <c r="H48" s="26"/>
      <c r="I48" s="2"/>
      <c r="J48" s="26" t="s">
        <v>24</v>
      </c>
      <c r="K48" s="2"/>
      <c r="L48" s="3"/>
      <c r="M48" s="2"/>
      <c r="N48" s="815"/>
    </row>
    <row r="49" spans="1:15" ht="16.5" thickBot="1">
      <c r="A49" s="444" t="s">
        <v>10</v>
      </c>
      <c r="B49" s="181"/>
      <c r="C49" s="184" t="s">
        <v>27</v>
      </c>
      <c r="D49" s="525" t="s">
        <v>25</v>
      </c>
      <c r="E49" s="32" t="s">
        <v>26</v>
      </c>
      <c r="F49" s="240"/>
      <c r="G49" s="38" t="s">
        <v>13</v>
      </c>
      <c r="H49" s="38"/>
      <c r="I49" s="240"/>
      <c r="J49" s="526" t="s">
        <v>342</v>
      </c>
      <c r="K49" s="2"/>
      <c r="L49" s="3"/>
      <c r="M49" s="1"/>
      <c r="N49" s="815"/>
      <c r="O49" s="409"/>
    </row>
    <row r="50" spans="1:15">
      <c r="D50" s="2"/>
      <c r="E50" s="2"/>
      <c r="F50" s="2"/>
      <c r="G50" s="2"/>
      <c r="H50" s="2"/>
      <c r="I50" s="2"/>
      <c r="J50" s="2"/>
      <c r="K50" s="2"/>
      <c r="L50" s="2"/>
      <c r="M50" s="1"/>
      <c r="N50" s="358"/>
      <c r="O50" s="2"/>
    </row>
    <row r="51" spans="1:15">
      <c r="A51" s="438"/>
      <c r="C51" s="1"/>
      <c r="D51" s="2"/>
      <c r="E51" s="2"/>
      <c r="F51" s="2"/>
      <c r="G51" s="2"/>
      <c r="H51" s="2"/>
      <c r="I51" s="2"/>
      <c r="J51" s="2"/>
      <c r="K51" s="2"/>
      <c r="L51" s="2"/>
      <c r="M51" s="1"/>
      <c r="N51" s="358"/>
      <c r="O51" s="2"/>
    </row>
    <row r="52" spans="1:15">
      <c r="A52" s="438"/>
      <c r="C52" s="1" t="s">
        <v>28</v>
      </c>
      <c r="D52" s="2"/>
      <c r="E52" s="2"/>
      <c r="F52" s="2"/>
      <c r="G52" s="2"/>
      <c r="H52" s="2"/>
      <c r="I52" s="2"/>
      <c r="J52" s="2"/>
      <c r="K52" s="2"/>
      <c r="L52" s="2"/>
      <c r="M52" s="1"/>
      <c r="N52" s="358"/>
      <c r="O52" s="2"/>
    </row>
    <row r="53" spans="1:15">
      <c r="A53" s="438">
        <v>1</v>
      </c>
      <c r="C53" s="1" t="s">
        <v>29</v>
      </c>
      <c r="D53" s="400" t="s">
        <v>183</v>
      </c>
      <c r="E53" s="268">
        <f>INPUT!C9</f>
        <v>0</v>
      </c>
      <c r="F53" s="2"/>
      <c r="G53" s="2" t="s">
        <v>30</v>
      </c>
      <c r="H53" s="11" t="s">
        <v>7</v>
      </c>
      <c r="I53" s="2"/>
      <c r="J53" s="147"/>
      <c r="K53" s="2"/>
      <c r="L53" s="2"/>
      <c r="M53" s="1"/>
      <c r="N53" s="395"/>
      <c r="O53" s="147"/>
    </row>
    <row r="54" spans="1:15">
      <c r="A54" s="438">
        <v>2</v>
      </c>
      <c r="C54" s="1" t="s">
        <v>31</v>
      </c>
      <c r="D54" s="400" t="s">
        <v>171</v>
      </c>
      <c r="E54" s="228">
        <f>INPUT!C10</f>
        <v>1174534297</v>
      </c>
      <c r="F54" s="2"/>
      <c r="G54" s="2" t="s">
        <v>14</v>
      </c>
      <c r="H54" s="16">
        <f>DEO_TP_Alloc</f>
        <v>1</v>
      </c>
      <c r="I54" s="2"/>
      <c r="J54" s="30">
        <f>ROUND(H54*E54,0)</f>
        <v>1174534297</v>
      </c>
      <c r="K54" s="2"/>
      <c r="L54" s="2"/>
      <c r="M54" s="1"/>
      <c r="N54" s="816"/>
      <c r="O54" s="30"/>
    </row>
    <row r="55" spans="1:15">
      <c r="A55" s="438">
        <v>3</v>
      </c>
      <c r="C55" s="1" t="s">
        <v>32</v>
      </c>
      <c r="D55" s="400" t="s">
        <v>172</v>
      </c>
      <c r="E55" s="228">
        <f>INPUT!C11</f>
        <v>3055478337</v>
      </c>
      <c r="F55" s="2"/>
      <c r="G55" s="2" t="s">
        <v>30</v>
      </c>
      <c r="H55" s="11" t="s">
        <v>7</v>
      </c>
      <c r="I55" s="2"/>
      <c r="J55" s="147"/>
      <c r="K55" s="2"/>
      <c r="L55" s="2"/>
      <c r="M55" s="1"/>
      <c r="N55" s="395"/>
      <c r="O55" s="147"/>
    </row>
    <row r="56" spans="1:15" ht="16.899999999999999" customHeight="1">
      <c r="A56" s="438">
        <v>4</v>
      </c>
      <c r="C56" s="1" t="s">
        <v>33</v>
      </c>
      <c r="D56" s="400" t="s">
        <v>0</v>
      </c>
      <c r="E56" s="228">
        <f>INPUT!C12</f>
        <v>507814916</v>
      </c>
      <c r="F56" s="2"/>
      <c r="G56" s="2" t="s">
        <v>142</v>
      </c>
      <c r="H56" s="11">
        <f>DEO_WS_Alloc</f>
        <v>0.16458</v>
      </c>
      <c r="I56" s="2"/>
      <c r="J56" s="147">
        <f>ROUND(H56*E56,0)</f>
        <v>83576179</v>
      </c>
      <c r="K56" s="2"/>
      <c r="L56" s="2"/>
      <c r="M56" s="2"/>
      <c r="N56" s="395"/>
      <c r="O56" s="147"/>
    </row>
    <row r="57" spans="1:15" ht="15.75" thickBot="1">
      <c r="A57" s="438">
        <v>5</v>
      </c>
      <c r="C57" s="1" t="s">
        <v>34</v>
      </c>
      <c r="D57" s="400" t="s">
        <v>524</v>
      </c>
      <c r="E57" s="266">
        <f>INPUT!C13</f>
        <v>255869917</v>
      </c>
      <c r="F57" s="2"/>
      <c r="G57" s="2" t="s">
        <v>76</v>
      </c>
      <c r="H57" s="11">
        <f>DEO_CE_Alloc</f>
        <v>0.10695</v>
      </c>
      <c r="I57" s="2"/>
      <c r="J57" s="148">
        <f>ROUND(H57*E57,0)</f>
        <v>27365288</v>
      </c>
      <c r="K57" s="2"/>
      <c r="L57" s="2"/>
      <c r="M57" s="2"/>
      <c r="N57" s="395"/>
      <c r="O57" s="147"/>
    </row>
    <row r="58" spans="1:15">
      <c r="A58" s="438">
        <v>6</v>
      </c>
      <c r="C58" s="1" t="s">
        <v>35</v>
      </c>
      <c r="D58" s="400"/>
      <c r="E58" s="30">
        <f>SUM(E53:E57)</f>
        <v>4993697467</v>
      </c>
      <c r="F58" s="2"/>
      <c r="G58" s="2" t="s">
        <v>36</v>
      </c>
      <c r="H58" s="11">
        <f>IF(J58&gt;0,ROUND(J58/E58,5),0)</f>
        <v>0.25741999999999998</v>
      </c>
      <c r="I58" s="2"/>
      <c r="J58" s="30">
        <f>SUM(J53:J57)</f>
        <v>1285475764</v>
      </c>
      <c r="K58" s="2"/>
      <c r="L58" s="15"/>
      <c r="M58" s="1"/>
      <c r="N58" s="816"/>
      <c r="O58" s="30"/>
    </row>
    <row r="59" spans="1:15">
      <c r="C59" s="1"/>
      <c r="D59" s="400"/>
      <c r="E59" s="147"/>
      <c r="F59" s="2"/>
      <c r="G59" s="2"/>
      <c r="H59" s="15"/>
      <c r="I59" s="2"/>
      <c r="J59" s="147"/>
      <c r="K59" s="2"/>
      <c r="L59" s="15"/>
      <c r="M59" s="1"/>
      <c r="N59" s="395"/>
      <c r="O59" s="147"/>
    </row>
    <row r="60" spans="1:15">
      <c r="C60" s="1" t="s">
        <v>561</v>
      </c>
      <c r="D60" s="400"/>
      <c r="E60" s="147"/>
      <c r="F60" s="2"/>
      <c r="G60" s="2"/>
      <c r="H60" s="2"/>
      <c r="I60" s="2"/>
      <c r="J60" s="147"/>
      <c r="K60" s="2"/>
      <c r="L60" s="2"/>
      <c r="M60" s="1"/>
      <c r="N60" s="395"/>
      <c r="O60" s="147"/>
    </row>
    <row r="61" spans="1:15">
      <c r="A61" s="438">
        <v>7</v>
      </c>
      <c r="C61" s="1" t="s">
        <v>29</v>
      </c>
      <c r="D61" s="400" t="s">
        <v>602</v>
      </c>
      <c r="E61" s="268">
        <f>INPUT!C17</f>
        <v>0</v>
      </c>
      <c r="F61" s="2"/>
      <c r="G61" s="2" t="str">
        <f t="shared" ref="G61:G65" si="1">G53</f>
        <v>NA</v>
      </c>
      <c r="H61" s="11"/>
      <c r="I61" s="2"/>
      <c r="J61" s="147"/>
      <c r="K61" s="2"/>
      <c r="L61" s="2"/>
      <c r="M61" s="1"/>
      <c r="N61" s="395"/>
      <c r="O61" s="147"/>
    </row>
    <row r="62" spans="1:15">
      <c r="A62" s="438">
        <v>8</v>
      </c>
      <c r="C62" s="1" t="s">
        <v>31</v>
      </c>
      <c r="D62" s="400" t="s">
        <v>154</v>
      </c>
      <c r="E62" s="228">
        <f>INPUT!C18</f>
        <v>221232622</v>
      </c>
      <c r="F62" s="2"/>
      <c r="G62" s="2" t="str">
        <f t="shared" si="1"/>
        <v>TP</v>
      </c>
      <c r="H62" s="16">
        <f>DEO_TP_Alloc</f>
        <v>1</v>
      </c>
      <c r="I62" s="2"/>
      <c r="J62" s="30">
        <f>ROUND(H62*E62,0)</f>
        <v>221232622</v>
      </c>
      <c r="K62" s="2"/>
      <c r="L62" s="2"/>
      <c r="M62" s="1"/>
      <c r="N62" s="816"/>
      <c r="O62" s="30"/>
    </row>
    <row r="63" spans="1:15">
      <c r="A63" s="438">
        <v>9</v>
      </c>
      <c r="C63" s="1" t="s">
        <v>32</v>
      </c>
      <c r="D63" s="400" t="s">
        <v>155</v>
      </c>
      <c r="E63" s="228">
        <f>INPUT!C19</f>
        <v>697493486</v>
      </c>
      <c r="F63" s="2"/>
      <c r="G63" s="2" t="str">
        <f t="shared" si="1"/>
        <v>NA</v>
      </c>
      <c r="H63" s="11"/>
      <c r="I63" s="2"/>
      <c r="J63" s="147"/>
      <c r="K63" s="2"/>
      <c r="L63" s="2"/>
      <c r="M63" s="1"/>
      <c r="N63" s="395"/>
      <c r="O63" s="147"/>
    </row>
    <row r="64" spans="1:15">
      <c r="A64" s="438">
        <v>10</v>
      </c>
      <c r="C64" s="1" t="s">
        <v>33</v>
      </c>
      <c r="D64" s="400" t="s">
        <v>493</v>
      </c>
      <c r="E64" s="228">
        <f>INPUT!C20</f>
        <v>182220760</v>
      </c>
      <c r="F64" s="2"/>
      <c r="G64" s="2" t="str">
        <f>G56</f>
        <v>WS</v>
      </c>
      <c r="H64" s="11">
        <f>DEO_WS_Alloc</f>
        <v>0.16458</v>
      </c>
      <c r="I64" s="2"/>
      <c r="J64" s="147">
        <f>ROUND(H64*E64,0)</f>
        <v>29989893</v>
      </c>
      <c r="K64" s="2"/>
      <c r="L64" s="2"/>
      <c r="M64" s="1"/>
      <c r="N64" s="395"/>
      <c r="O64" s="147"/>
    </row>
    <row r="65" spans="1:18" ht="15.75" thickBot="1">
      <c r="A65" s="438">
        <v>11</v>
      </c>
      <c r="C65" s="1" t="s">
        <v>34</v>
      </c>
      <c r="D65" s="400" t="s">
        <v>524</v>
      </c>
      <c r="E65" s="266">
        <f>INPUT!C21</f>
        <v>105116272</v>
      </c>
      <c r="F65" s="2"/>
      <c r="G65" s="2" t="str">
        <f t="shared" si="1"/>
        <v>CE</v>
      </c>
      <c r="H65" s="11">
        <f>DEO_CE_Alloc</f>
        <v>0.10695</v>
      </c>
      <c r="I65" s="2"/>
      <c r="J65" s="148">
        <f>ROUND(H65*E65,0)</f>
        <v>11242185</v>
      </c>
      <c r="K65" s="2"/>
      <c r="L65" s="2"/>
      <c r="M65" s="1"/>
      <c r="N65" s="395"/>
      <c r="O65" s="147"/>
    </row>
    <row r="66" spans="1:18">
      <c r="A66" s="438">
        <v>12</v>
      </c>
      <c r="C66" s="1" t="s">
        <v>562</v>
      </c>
      <c r="D66" s="400"/>
      <c r="E66" s="30">
        <f>SUM(E61:E65)</f>
        <v>1206063140</v>
      </c>
      <c r="F66" s="2"/>
      <c r="G66" s="2"/>
      <c r="H66" s="2"/>
      <c r="I66" s="2"/>
      <c r="J66" s="30">
        <f>SUM(J61:J65)</f>
        <v>262464700</v>
      </c>
      <c r="K66" s="2"/>
      <c r="L66" s="2"/>
      <c r="M66" s="1"/>
      <c r="N66" s="816"/>
      <c r="O66" s="30"/>
    </row>
    <row r="67" spans="1:18">
      <c r="A67" s="438"/>
      <c r="C67"/>
      <c r="D67" s="400" t="s">
        <v>7</v>
      </c>
      <c r="E67" s="147"/>
      <c r="F67" s="2"/>
      <c r="G67" s="2"/>
      <c r="H67" s="15"/>
      <c r="I67" s="2"/>
      <c r="J67" s="147"/>
      <c r="K67" s="2"/>
      <c r="L67" s="15"/>
      <c r="M67" s="1"/>
      <c r="N67" s="395"/>
      <c r="O67" s="147"/>
    </row>
    <row r="68" spans="1:18">
      <c r="A68" s="438"/>
      <c r="C68" s="1" t="s">
        <v>38</v>
      </c>
      <c r="D68" s="400"/>
      <c r="E68" s="147"/>
      <c r="F68" s="2"/>
      <c r="G68" s="2"/>
      <c r="H68" s="2"/>
      <c r="I68" s="2"/>
      <c r="J68" s="147"/>
      <c r="K68" s="2"/>
      <c r="L68" s="2"/>
      <c r="M68" s="1"/>
      <c r="N68" s="395"/>
      <c r="O68" s="147"/>
    </row>
    <row r="69" spans="1:18">
      <c r="A69" s="438">
        <v>13</v>
      </c>
      <c r="C69" s="1" t="s">
        <v>29</v>
      </c>
      <c r="D69" s="400" t="s">
        <v>720</v>
      </c>
      <c r="E69" s="30">
        <f>E53-E61</f>
        <v>0</v>
      </c>
      <c r="F69" s="2"/>
      <c r="G69" s="2"/>
      <c r="H69" s="15"/>
      <c r="I69" s="2"/>
      <c r="J69" s="147" t="s">
        <v>7</v>
      </c>
      <c r="K69" s="2"/>
      <c r="L69" s="15"/>
      <c r="M69" s="1"/>
      <c r="N69" s="395"/>
      <c r="O69" s="147"/>
    </row>
    <row r="70" spans="1:18">
      <c r="A70" s="438">
        <v>14</v>
      </c>
      <c r="C70" s="1" t="s">
        <v>31</v>
      </c>
      <c r="D70" s="400" t="s">
        <v>721</v>
      </c>
      <c r="E70" s="147">
        <f>E54-E62</f>
        <v>953301675</v>
      </c>
      <c r="F70" s="2"/>
      <c r="G70" s="2"/>
      <c r="H70" s="11"/>
      <c r="I70" s="2"/>
      <c r="J70" s="30">
        <f>J54-J62</f>
        <v>953301675</v>
      </c>
      <c r="K70" s="2"/>
      <c r="L70" s="15"/>
      <c r="M70" s="1"/>
      <c r="N70" s="816"/>
      <c r="O70" s="30"/>
    </row>
    <row r="71" spans="1:18">
      <c r="A71" s="438">
        <v>15</v>
      </c>
      <c r="C71" s="1" t="s">
        <v>32</v>
      </c>
      <c r="D71" s="400" t="s">
        <v>722</v>
      </c>
      <c r="E71" s="147">
        <f>E55-E63</f>
        <v>2357984851</v>
      </c>
      <c r="F71" s="2"/>
      <c r="G71" s="2"/>
      <c r="H71" s="15"/>
      <c r="I71" s="2"/>
      <c r="J71" s="147" t="s">
        <v>7</v>
      </c>
      <c r="K71" s="2"/>
      <c r="L71" s="15"/>
      <c r="M71" s="1"/>
      <c r="N71" s="395"/>
      <c r="O71" s="147"/>
    </row>
    <row r="72" spans="1:18">
      <c r="A72" s="438">
        <v>16</v>
      </c>
      <c r="C72" s="1" t="s">
        <v>33</v>
      </c>
      <c r="D72" s="400" t="s">
        <v>723</v>
      </c>
      <c r="E72" s="147">
        <f>E56-E64</f>
        <v>325594156</v>
      </c>
      <c r="F72" s="2"/>
      <c r="G72" s="2"/>
      <c r="H72" s="15"/>
      <c r="I72" s="2"/>
      <c r="J72" s="147">
        <f>J56-J64</f>
        <v>53586286</v>
      </c>
      <c r="K72" s="2"/>
      <c r="L72" s="15"/>
      <c r="M72" s="1"/>
      <c r="N72" s="395"/>
      <c r="O72" s="147"/>
    </row>
    <row r="73" spans="1:18" ht="15.75" thickBot="1">
      <c r="A73" s="438">
        <v>17</v>
      </c>
      <c r="C73" s="1" t="s">
        <v>34</v>
      </c>
      <c r="D73" s="400" t="s">
        <v>724</v>
      </c>
      <c r="E73" s="148">
        <f>E57-E65</f>
        <v>150753645</v>
      </c>
      <c r="F73" s="2"/>
      <c r="G73" s="2"/>
      <c r="H73" s="15"/>
      <c r="I73" s="2"/>
      <c r="J73" s="148">
        <f>J57-J65</f>
        <v>16123103</v>
      </c>
      <c r="K73" s="2"/>
      <c r="L73" s="15"/>
      <c r="M73" s="1"/>
      <c r="N73" s="395"/>
      <c r="O73" s="147"/>
    </row>
    <row r="74" spans="1:18">
      <c r="A74" s="438">
        <v>18</v>
      </c>
      <c r="C74" s="1" t="s">
        <v>39</v>
      </c>
      <c r="D74" s="400"/>
      <c r="E74" s="30">
        <f>SUM(E69:E73)</f>
        <v>3787634327</v>
      </c>
      <c r="F74" s="2"/>
      <c r="G74" s="2" t="s">
        <v>40</v>
      </c>
      <c r="H74" s="11">
        <f>IF(J74&gt;0,ROUND(J74/E74,5),0)</f>
        <v>0.27009</v>
      </c>
      <c r="I74" s="2"/>
      <c r="J74" s="30">
        <f>SUM(J69:J73)</f>
        <v>1023011064</v>
      </c>
      <c r="K74" s="2"/>
      <c r="L74" s="11"/>
      <c r="M74" s="1"/>
      <c r="N74" s="816"/>
      <c r="O74" s="30"/>
    </row>
    <row r="75" spans="1:18">
      <c r="A75" s="438"/>
      <c r="C75"/>
      <c r="D75" s="400"/>
      <c r="E75" s="147"/>
      <c r="F75" s="2"/>
      <c r="I75" s="2"/>
      <c r="J75" s="147"/>
      <c r="K75" s="2"/>
      <c r="L75" s="15"/>
      <c r="M75" s="1"/>
      <c r="N75" s="395"/>
      <c r="O75" s="147"/>
    </row>
    <row r="76" spans="1:18">
      <c r="A76" s="438"/>
      <c r="C76" s="253" t="s">
        <v>596</v>
      </c>
      <c r="D76" s="400"/>
      <c r="E76" s="147"/>
      <c r="F76" s="2"/>
      <c r="G76" s="2"/>
      <c r="H76" s="2"/>
      <c r="I76" s="2"/>
      <c r="J76" s="147"/>
      <c r="K76" s="2"/>
      <c r="L76" s="2"/>
      <c r="M76" s="1"/>
      <c r="N76" s="395"/>
      <c r="O76" s="147"/>
    </row>
    <row r="77" spans="1:18">
      <c r="A77" s="438">
        <v>19</v>
      </c>
      <c r="C77" s="1" t="s">
        <v>118</v>
      </c>
      <c r="D77" s="400" t="s">
        <v>41</v>
      </c>
      <c r="E77" s="268">
        <f>INPUT!C33</f>
        <v>0</v>
      </c>
      <c r="F77" s="2"/>
      <c r="G77" s="2" t="str">
        <f>G61</f>
        <v>NA</v>
      </c>
      <c r="H77" s="53" t="s">
        <v>148</v>
      </c>
      <c r="I77" s="2"/>
      <c r="J77" s="30">
        <v>0</v>
      </c>
      <c r="K77" s="2"/>
      <c r="L77" s="15"/>
      <c r="M77" s="1"/>
      <c r="N77" s="816"/>
      <c r="O77" s="30"/>
      <c r="Q77" s="468"/>
      <c r="R77" s="239"/>
    </row>
    <row r="78" spans="1:18">
      <c r="A78" s="438">
        <v>20</v>
      </c>
      <c r="B78" s="9" t="s">
        <v>153</v>
      </c>
      <c r="C78" s="1" t="s">
        <v>119</v>
      </c>
      <c r="D78" s="400" t="s">
        <v>563</v>
      </c>
      <c r="E78" s="228">
        <f>INPUT!C34</f>
        <v>-523596257</v>
      </c>
      <c r="F78" s="2"/>
      <c r="G78" s="2" t="s">
        <v>42</v>
      </c>
      <c r="H78" s="11">
        <f>DEO_NP_Alloc</f>
        <v>0.27009</v>
      </c>
      <c r="I78" s="2"/>
      <c r="J78" s="147">
        <f>ROUND(H78*E78,0)</f>
        <v>-141418113</v>
      </c>
      <c r="K78" s="2"/>
      <c r="L78" s="15"/>
      <c r="M78" s="1"/>
      <c r="N78" s="395"/>
      <c r="O78" s="147"/>
      <c r="Q78" s="395"/>
      <c r="R78" s="147"/>
    </row>
    <row r="79" spans="1:18">
      <c r="A79" s="438">
        <v>21</v>
      </c>
      <c r="C79" s="1" t="s">
        <v>120</v>
      </c>
      <c r="D79" s="400" t="s">
        <v>564</v>
      </c>
      <c r="E79" s="228">
        <f>INPUT!C35</f>
        <v>-48618129</v>
      </c>
      <c r="F79" s="2"/>
      <c r="G79" s="2" t="s">
        <v>42</v>
      </c>
      <c r="H79" s="11">
        <f>DEO_NP_Alloc</f>
        <v>0.27009</v>
      </c>
      <c r="I79" s="2"/>
      <c r="J79" s="147">
        <f>ROUND(H79*E79,0)</f>
        <v>-13131270</v>
      </c>
      <c r="K79" s="2"/>
      <c r="L79" s="15"/>
      <c r="M79" s="1"/>
      <c r="N79" s="395"/>
      <c r="O79" s="147"/>
      <c r="Q79" s="395"/>
      <c r="R79" s="147"/>
    </row>
    <row r="80" spans="1:18">
      <c r="A80" s="438">
        <v>22</v>
      </c>
      <c r="C80" s="1" t="s">
        <v>122</v>
      </c>
      <c r="D80" s="400" t="s">
        <v>565</v>
      </c>
      <c r="E80" s="228">
        <f>INPUT!C36</f>
        <v>26508719</v>
      </c>
      <c r="F80" s="2"/>
      <c r="G80" s="2" t="str">
        <f>G79</f>
        <v>NP</v>
      </c>
      <c r="H80" s="11">
        <f>DEO_NP_Alloc</f>
        <v>0.27009</v>
      </c>
      <c r="I80" s="2"/>
      <c r="J80" s="147">
        <f>ROUND(H80*E80,0)</f>
        <v>7159740</v>
      </c>
      <c r="K80" s="2"/>
      <c r="L80" s="15"/>
      <c r="M80" s="1"/>
      <c r="N80" s="395"/>
      <c r="O80" s="147"/>
      <c r="Q80" s="395"/>
      <c r="R80" s="467"/>
    </row>
    <row r="81" spans="1:18">
      <c r="A81" s="438">
        <v>23</v>
      </c>
      <c r="C81" s="9" t="s">
        <v>822</v>
      </c>
      <c r="D81" s="400" t="str">
        <f>INPUT!$B$37</f>
        <v>DIT Worksheet, 11.e</v>
      </c>
      <c r="E81" s="228">
        <f>INPUT!C37</f>
        <v>-258732035</v>
      </c>
      <c r="F81" s="2"/>
      <c r="G81" s="2" t="str">
        <f>G80</f>
        <v>NP</v>
      </c>
      <c r="H81" s="11">
        <f>DEO_NP_Alloc</f>
        <v>0.27009</v>
      </c>
      <c r="I81" s="2"/>
      <c r="J81" s="147">
        <f>ROUND(H81*E81,0)</f>
        <v>-69880935</v>
      </c>
      <c r="K81" s="2"/>
      <c r="L81" s="15"/>
      <c r="M81" s="1"/>
      <c r="N81" s="395"/>
      <c r="O81" s="147"/>
      <c r="Q81" s="395"/>
      <c r="R81" s="467"/>
    </row>
    <row r="82" spans="1:18" ht="15.75" thickBot="1">
      <c r="A82" s="438">
        <v>24</v>
      </c>
      <c r="C82" s="9" t="s">
        <v>566</v>
      </c>
      <c r="D82" s="400" t="s">
        <v>165</v>
      </c>
      <c r="E82" s="228">
        <f>INPUT!C38</f>
        <v>0</v>
      </c>
      <c r="F82" s="2"/>
      <c r="G82" s="2" t="s">
        <v>42</v>
      </c>
      <c r="H82" s="11">
        <f>DEO_NP_Alloc</f>
        <v>0.27009</v>
      </c>
      <c r="I82" s="2"/>
      <c r="J82" s="147">
        <f>ROUND(H82*E82,0)</f>
        <v>0</v>
      </c>
      <c r="K82" s="2"/>
      <c r="L82" s="15"/>
      <c r="M82" s="1"/>
      <c r="N82" s="395"/>
      <c r="O82" s="147"/>
      <c r="R82" s="147"/>
    </row>
    <row r="83" spans="1:18">
      <c r="A83" s="438">
        <v>25</v>
      </c>
      <c r="C83" s="1" t="s">
        <v>814</v>
      </c>
      <c r="D83" s="400"/>
      <c r="E83" s="433">
        <f>SUM(E77:E82)</f>
        <v>-804437702</v>
      </c>
      <c r="F83" s="2"/>
      <c r="G83" s="2"/>
      <c r="H83" s="2"/>
      <c r="I83" s="2"/>
      <c r="J83" s="433">
        <f>SUM(J77:J82)</f>
        <v>-217270578</v>
      </c>
      <c r="K83" s="2"/>
      <c r="L83" s="2"/>
      <c r="M83" s="1"/>
      <c r="N83" s="816"/>
      <c r="O83" s="30"/>
    </row>
    <row r="84" spans="1:18">
      <c r="A84" s="438"/>
      <c r="C84"/>
      <c r="D84" s="400"/>
      <c r="E84" s="147"/>
      <c r="F84" s="2"/>
      <c r="G84" s="2"/>
      <c r="H84" s="15"/>
      <c r="I84" s="2"/>
      <c r="J84" s="147"/>
      <c r="K84" s="2"/>
      <c r="L84" s="15"/>
      <c r="M84" s="1"/>
      <c r="N84" s="395"/>
      <c r="O84" s="147"/>
    </row>
    <row r="85" spans="1:18">
      <c r="A85" s="438">
        <v>26</v>
      </c>
      <c r="C85" s="253" t="s">
        <v>351</v>
      </c>
      <c r="D85" s="400" t="s">
        <v>331</v>
      </c>
      <c r="E85" s="268">
        <f>INPUT!C41</f>
        <v>1508140</v>
      </c>
      <c r="F85" s="2"/>
      <c r="G85" s="2" t="s">
        <v>14</v>
      </c>
      <c r="H85" s="267">
        <v>1</v>
      </c>
      <c r="I85" s="2"/>
      <c r="J85" s="30">
        <f>ROUND(H85*E85,0)</f>
        <v>1508140</v>
      </c>
      <c r="K85" s="2"/>
      <c r="L85" s="2"/>
      <c r="M85" s="1"/>
      <c r="N85" s="816"/>
      <c r="O85" s="30"/>
    </row>
    <row r="86" spans="1:18">
      <c r="A86" s="438"/>
      <c r="C86" s="1"/>
      <c r="D86" s="400"/>
      <c r="E86" s="147"/>
      <c r="F86" s="2"/>
      <c r="G86" s="2"/>
      <c r="H86" s="2"/>
      <c r="I86" s="2"/>
      <c r="J86" s="147"/>
      <c r="K86" s="2"/>
      <c r="L86" s="2"/>
      <c r="M86" s="1"/>
      <c r="N86" s="395"/>
      <c r="O86" s="147"/>
    </row>
    <row r="87" spans="1:18">
      <c r="A87" s="438"/>
      <c r="C87" s="363" t="s">
        <v>364</v>
      </c>
      <c r="D87" s="400" t="s">
        <v>7</v>
      </c>
      <c r="E87" s="147"/>
      <c r="F87" s="2"/>
      <c r="G87" s="2"/>
      <c r="H87" s="2"/>
      <c r="I87" s="2"/>
      <c r="J87" s="147"/>
      <c r="K87" s="2"/>
      <c r="L87" s="2"/>
      <c r="M87" s="1"/>
      <c r="N87" s="395"/>
      <c r="O87" s="147"/>
    </row>
    <row r="88" spans="1:18">
      <c r="A88" s="438">
        <v>27</v>
      </c>
      <c r="C88" s="1" t="s">
        <v>143</v>
      </c>
      <c r="D88" s="400" t="s">
        <v>141</v>
      </c>
      <c r="E88" s="30">
        <f>ROUND(E127/8,0)</f>
        <v>8617669</v>
      </c>
      <c r="F88" s="2"/>
      <c r="G88" s="2"/>
      <c r="H88" s="15"/>
      <c r="I88" s="2"/>
      <c r="J88" s="30">
        <f>ROUND(J127/8,0)</f>
        <v>2947847</v>
      </c>
      <c r="K88" s="1"/>
      <c r="L88" s="15"/>
      <c r="M88" s="1"/>
      <c r="N88" s="395"/>
      <c r="O88" s="147"/>
    </row>
    <row r="89" spans="1:18">
      <c r="A89" s="438">
        <v>28</v>
      </c>
      <c r="C89" s="363" t="s">
        <v>365</v>
      </c>
      <c r="D89" s="400" t="s">
        <v>930</v>
      </c>
      <c r="E89" s="228">
        <f>INPUT!C45</f>
        <v>19470938</v>
      </c>
      <c r="F89" s="2"/>
      <c r="G89" s="2" t="s">
        <v>43</v>
      </c>
      <c r="H89" s="11">
        <f>DEO_TE_Alloc</f>
        <v>0.90153000000000005</v>
      </c>
      <c r="I89" s="2"/>
      <c r="J89" s="147">
        <f>ROUND(H89*E89,0)</f>
        <v>17553635</v>
      </c>
      <c r="K89" s="2" t="s">
        <v>7</v>
      </c>
      <c r="L89" s="15"/>
      <c r="M89" s="1"/>
      <c r="N89" s="395"/>
      <c r="O89" s="147"/>
    </row>
    <row r="90" spans="1:18" ht="15.75" thickBot="1">
      <c r="A90" s="438">
        <v>29</v>
      </c>
      <c r="C90" s="1" t="s">
        <v>123</v>
      </c>
      <c r="D90" s="400" t="s">
        <v>169</v>
      </c>
      <c r="E90" s="266">
        <f>INPUT!C46</f>
        <v>318373</v>
      </c>
      <c r="F90" s="2"/>
      <c r="G90" s="2" t="s">
        <v>44</v>
      </c>
      <c r="H90" s="11">
        <f>DEO_GP_Alloc</f>
        <v>0.25741999999999998</v>
      </c>
      <c r="I90" s="2"/>
      <c r="J90" s="148">
        <f>ROUND(H90*E90,0)</f>
        <v>81956</v>
      </c>
      <c r="K90" s="2"/>
      <c r="L90" s="15"/>
      <c r="M90" s="1"/>
      <c r="N90" s="395"/>
      <c r="O90" s="147"/>
    </row>
    <row r="91" spans="1:18">
      <c r="A91" s="438">
        <v>30</v>
      </c>
      <c r="C91" s="1" t="s">
        <v>815</v>
      </c>
      <c r="D91" s="520"/>
      <c r="E91" s="30">
        <f>E88+E89+E90</f>
        <v>28406980</v>
      </c>
      <c r="F91" s="1"/>
      <c r="G91" s="1"/>
      <c r="H91" s="1"/>
      <c r="I91" s="1"/>
      <c r="J91" s="30">
        <f>J88+J89+J90</f>
        <v>20583438</v>
      </c>
      <c r="K91" s="1"/>
      <c r="L91" s="1"/>
      <c r="M91" s="1"/>
      <c r="N91" s="816"/>
      <c r="O91" s="30"/>
    </row>
    <row r="92" spans="1:18" ht="15.75" thickBot="1">
      <c r="C92"/>
      <c r="D92" s="400"/>
      <c r="E92" s="148"/>
      <c r="F92" s="2"/>
      <c r="G92" s="2"/>
      <c r="H92" s="2"/>
      <c r="I92" s="2"/>
      <c r="J92" s="148"/>
      <c r="K92" s="2"/>
      <c r="L92" s="2"/>
      <c r="M92" s="1"/>
      <c r="N92" s="395"/>
      <c r="O92" s="147"/>
    </row>
    <row r="93" spans="1:18" ht="15.75" thickBot="1">
      <c r="A93" s="438">
        <v>31</v>
      </c>
      <c r="C93" s="1" t="s">
        <v>816</v>
      </c>
      <c r="D93" s="400"/>
      <c r="E93" s="227">
        <f>E91+E85+E83+E74</f>
        <v>3013111745</v>
      </c>
      <c r="F93" s="2"/>
      <c r="G93" s="2"/>
      <c r="H93" s="15"/>
      <c r="I93" s="2"/>
      <c r="J93" s="227">
        <f>J91+J85+J83+J74</f>
        <v>827832064</v>
      </c>
      <c r="K93" s="2"/>
      <c r="L93" s="15"/>
      <c r="M93" s="2"/>
      <c r="N93" s="816"/>
      <c r="O93" s="30"/>
    </row>
    <row r="94" spans="1:18" ht="15.75" thickTop="1">
      <c r="A94" s="438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358"/>
      <c r="O94" s="2"/>
    </row>
    <row r="95" spans="1:18">
      <c r="A95" s="438"/>
      <c r="C95" s="1"/>
      <c r="D95" s="24"/>
      <c r="E95" s="25"/>
      <c r="F95" s="24"/>
      <c r="G95" s="24"/>
      <c r="H95" s="24"/>
      <c r="I95" s="24"/>
      <c r="K95" s="26"/>
      <c r="L95" s="61"/>
      <c r="M95" s="26"/>
      <c r="N95" s="360"/>
    </row>
    <row r="96" spans="1:18" ht="18">
      <c r="A96" s="440"/>
      <c r="C96" s="24"/>
      <c r="D96" s="24"/>
      <c r="E96" s="25"/>
      <c r="F96" s="24"/>
      <c r="G96" s="24"/>
      <c r="H96" s="24"/>
      <c r="I96" s="24"/>
      <c r="J96" s="50" t="s">
        <v>299</v>
      </c>
      <c r="K96" s="60"/>
      <c r="M96" s="60"/>
      <c r="N96" s="461"/>
      <c r="O96" s="50"/>
    </row>
    <row r="97" spans="1:15">
      <c r="C97" s="24"/>
      <c r="D97" s="24"/>
      <c r="E97" s="25"/>
      <c r="F97" s="24"/>
      <c r="G97" s="24"/>
      <c r="H97" s="24"/>
      <c r="I97" s="24"/>
      <c r="J97" s="50" t="s">
        <v>409</v>
      </c>
      <c r="M97" s="50"/>
      <c r="N97" s="461"/>
      <c r="O97" s="50"/>
    </row>
    <row r="98" spans="1:15">
      <c r="C98" s="24"/>
      <c r="D98" s="24"/>
      <c r="E98" s="25"/>
      <c r="F98" s="24"/>
      <c r="G98" s="24"/>
      <c r="H98" s="24"/>
      <c r="I98" s="24"/>
      <c r="J98" s="50"/>
      <c r="M98" s="50"/>
      <c r="N98" s="461"/>
      <c r="O98" s="50"/>
    </row>
    <row r="99" spans="1:15">
      <c r="C99" s="24"/>
      <c r="D99" s="24"/>
      <c r="E99" s="25"/>
      <c r="F99" s="24"/>
      <c r="G99" s="24"/>
      <c r="H99" s="24"/>
      <c r="I99" s="24"/>
      <c r="M99" s="50"/>
      <c r="N99" s="360"/>
    </row>
    <row r="100" spans="1:15">
      <c r="C100" s="24"/>
      <c r="D100" s="24"/>
      <c r="E100" s="25"/>
      <c r="F100" s="24"/>
      <c r="G100" s="24"/>
      <c r="H100" s="24"/>
      <c r="I100" s="24"/>
      <c r="K100" s="1"/>
      <c r="M100" s="50"/>
      <c r="N100" s="360"/>
    </row>
    <row r="101" spans="1:15">
      <c r="C101" s="24"/>
      <c r="D101" s="24"/>
      <c r="E101" s="25"/>
      <c r="F101" s="24"/>
      <c r="G101" s="24"/>
      <c r="H101" s="24"/>
      <c r="I101" s="24"/>
      <c r="J101" s="50"/>
      <c r="K101" s="1"/>
      <c r="M101" s="50"/>
      <c r="N101" s="461"/>
      <c r="O101" s="50"/>
    </row>
    <row r="102" spans="1:15">
      <c r="C102" s="24" t="s">
        <v>6</v>
      </c>
      <c r="D102" s="24"/>
      <c r="E102" s="25"/>
      <c r="F102" s="24"/>
      <c r="G102" s="24"/>
      <c r="H102" s="24"/>
      <c r="I102" s="24"/>
      <c r="J102" s="61" t="str">
        <f>J7</f>
        <v>For the 12 months ended: 12/31/2020</v>
      </c>
      <c r="K102" s="1"/>
      <c r="M102" s="50"/>
      <c r="N102" s="462"/>
      <c r="O102" s="61"/>
    </row>
    <row r="103" spans="1:15">
      <c r="A103" s="441" t="str">
        <f>A8</f>
        <v>Rate Formula Template</v>
      </c>
      <c r="B103" s="70"/>
      <c r="C103" s="70"/>
      <c r="D103" s="144"/>
      <c r="E103" s="70"/>
      <c r="F103" s="144"/>
      <c r="G103" s="144"/>
      <c r="H103" s="144"/>
      <c r="I103" s="144"/>
      <c r="J103" s="70"/>
      <c r="K103" s="2"/>
      <c r="L103" s="70"/>
      <c r="M103" s="1"/>
      <c r="N103" s="172"/>
      <c r="O103" s="70"/>
    </row>
    <row r="104" spans="1:15">
      <c r="A104" s="442" t="s">
        <v>270</v>
      </c>
      <c r="B104" s="70"/>
      <c r="C104" s="144"/>
      <c r="D104" s="145"/>
      <c r="E104" s="70"/>
      <c r="F104" s="145"/>
      <c r="G104" s="145"/>
      <c r="H104" s="145"/>
      <c r="I104" s="144"/>
      <c r="J104" s="144"/>
      <c r="K104" s="2"/>
      <c r="L104" s="146"/>
      <c r="M104" s="1"/>
      <c r="N104" s="185"/>
      <c r="O104" s="144"/>
    </row>
    <row r="105" spans="1:15">
      <c r="A105" s="442"/>
      <c r="B105" s="70"/>
      <c r="C105" s="146"/>
      <c r="D105" s="146"/>
      <c r="E105" s="70"/>
      <c r="F105" s="146"/>
      <c r="G105" s="146"/>
      <c r="H105" s="146"/>
      <c r="I105" s="146"/>
      <c r="J105" s="146"/>
      <c r="K105" s="2"/>
      <c r="L105" s="146"/>
      <c r="M105" s="1"/>
      <c r="N105" s="226"/>
      <c r="O105" s="146"/>
    </row>
    <row r="106" spans="1:15" ht="15.75">
      <c r="A106" s="443" t="str">
        <f>$A$11</f>
        <v>DUKE ENERGY OHIO (DEO)</v>
      </c>
      <c r="B106" s="70"/>
      <c r="C106" s="146"/>
      <c r="D106" s="146"/>
      <c r="E106" s="70"/>
      <c r="F106" s="146"/>
      <c r="G106" s="146"/>
      <c r="H106" s="146"/>
      <c r="I106" s="146"/>
      <c r="J106" s="146"/>
      <c r="K106" s="2"/>
      <c r="L106" s="146"/>
      <c r="M106" s="2"/>
      <c r="N106" s="226"/>
      <c r="O106" s="146"/>
    </row>
    <row r="107" spans="1:15" ht="15.75">
      <c r="A107" s="438"/>
      <c r="K107" s="2"/>
      <c r="L107" s="2"/>
      <c r="M107" s="2"/>
      <c r="N107" s="962"/>
      <c r="O107" s="69"/>
    </row>
    <row r="108" spans="1:15" ht="15.75">
      <c r="A108" s="438"/>
      <c r="C108" s="3" t="s">
        <v>18</v>
      </c>
      <c r="D108" s="3" t="s">
        <v>19</v>
      </c>
      <c r="E108" s="3" t="s">
        <v>20</v>
      </c>
      <c r="F108" s="2" t="s">
        <v>7</v>
      </c>
      <c r="G108" s="177" t="s">
        <v>21</v>
      </c>
      <c r="H108" s="70"/>
      <c r="I108" s="2"/>
      <c r="J108" s="5" t="s">
        <v>22</v>
      </c>
      <c r="K108" s="2"/>
      <c r="L108" s="27"/>
      <c r="M108" s="24"/>
      <c r="N108" s="67"/>
    </row>
    <row r="109" spans="1:15" ht="15.75">
      <c r="A109" s="438" t="s">
        <v>8</v>
      </c>
      <c r="B109" s="181"/>
      <c r="C109" s="184"/>
      <c r="D109" s="4" t="s">
        <v>23</v>
      </c>
      <c r="E109" s="2"/>
      <c r="F109" s="2"/>
      <c r="G109" s="2"/>
      <c r="H109" s="26"/>
      <c r="I109" s="2"/>
      <c r="J109" s="26" t="s">
        <v>24</v>
      </c>
      <c r="K109" s="2"/>
      <c r="L109" s="27"/>
      <c r="M109" s="2"/>
      <c r="N109" s="815"/>
    </row>
    <row r="110" spans="1:15" ht="15.75">
      <c r="A110" s="444" t="s">
        <v>10</v>
      </c>
      <c r="B110" s="181"/>
      <c r="C110" s="184"/>
      <c r="D110" s="239" t="s">
        <v>25</v>
      </c>
      <c r="E110" s="180" t="s">
        <v>26</v>
      </c>
      <c r="F110" s="240"/>
      <c r="G110" s="241" t="s">
        <v>13</v>
      </c>
      <c r="H110" s="183"/>
      <c r="I110" s="240"/>
      <c r="J110" s="182" t="s">
        <v>342</v>
      </c>
      <c r="K110" s="2"/>
      <c r="L110" s="27"/>
      <c r="M110" s="40"/>
      <c r="N110" s="815"/>
      <c r="O110" s="409"/>
    </row>
    <row r="111" spans="1:15" ht="15.75">
      <c r="C111" s="1"/>
      <c r="D111" s="2"/>
      <c r="E111" s="6"/>
      <c r="F111" s="7"/>
      <c r="G111" s="8"/>
      <c r="I111" s="7"/>
      <c r="J111" s="6"/>
      <c r="K111" s="2"/>
      <c r="L111" s="2"/>
      <c r="M111" s="2"/>
      <c r="N111" s="963"/>
      <c r="O111" s="6"/>
    </row>
    <row r="112" spans="1:15">
      <c r="A112" s="438"/>
      <c r="C112" s="1" t="s">
        <v>45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58"/>
      <c r="O112" s="2"/>
    </row>
    <row r="113" spans="1:18">
      <c r="A113" s="438">
        <v>1</v>
      </c>
      <c r="C113" s="1" t="s">
        <v>46</v>
      </c>
      <c r="D113" s="400" t="s">
        <v>184</v>
      </c>
      <c r="E113" s="30">
        <f>INPUT!C52</f>
        <v>41136828</v>
      </c>
      <c r="F113" s="2"/>
      <c r="G113" s="2" t="s">
        <v>43</v>
      </c>
      <c r="H113" s="11">
        <f>DEO_TE_Alloc</f>
        <v>0.90153000000000005</v>
      </c>
      <c r="I113" s="2"/>
      <c r="J113" s="30">
        <f>ROUND(H113*E113,0)</f>
        <v>37086085</v>
      </c>
      <c r="K113" s="1"/>
      <c r="L113" s="2"/>
      <c r="M113" s="2"/>
      <c r="N113" s="816"/>
      <c r="O113" s="30"/>
    </row>
    <row r="114" spans="1:18">
      <c r="A114" s="438" t="s">
        <v>1</v>
      </c>
      <c r="C114" s="252" t="s">
        <v>358</v>
      </c>
      <c r="D114" s="400" t="s">
        <v>567</v>
      </c>
      <c r="E114" s="228">
        <f>'P17 LSE Expenses'!G21</f>
        <v>21579106</v>
      </c>
      <c r="F114" s="2"/>
      <c r="G114" s="2"/>
      <c r="H114" s="11">
        <v>1</v>
      </c>
      <c r="I114" s="2"/>
      <c r="J114" s="147">
        <f>ROUND(H114*E114,0)</f>
        <v>21579106</v>
      </c>
      <c r="K114" s="1"/>
      <c r="L114" s="2"/>
      <c r="M114" s="2"/>
      <c r="N114" s="395"/>
      <c r="O114" s="147"/>
    </row>
    <row r="115" spans="1:18">
      <c r="A115" s="438" t="s">
        <v>244</v>
      </c>
      <c r="C115" s="361" t="s">
        <v>534</v>
      </c>
      <c r="D115" s="400" t="s">
        <v>470</v>
      </c>
      <c r="E115" s="228">
        <f>INPUT!C54</f>
        <v>0</v>
      </c>
      <c r="F115" s="2"/>
      <c r="G115" s="2" t="s">
        <v>43</v>
      </c>
      <c r="H115" s="11">
        <f>DEO_TE_Alloc</f>
        <v>0.90153000000000005</v>
      </c>
      <c r="I115" s="2"/>
      <c r="J115" s="147">
        <f>ROUND(H115*E115,0)</f>
        <v>0</v>
      </c>
      <c r="K115" s="1"/>
      <c r="L115" s="2"/>
      <c r="M115" s="2"/>
      <c r="N115" s="395"/>
      <c r="O115" s="147"/>
    </row>
    <row r="116" spans="1:18">
      <c r="A116" s="438" t="s">
        <v>247</v>
      </c>
      <c r="C116" s="361" t="s">
        <v>552</v>
      </c>
      <c r="D116" s="400" t="s">
        <v>550</v>
      </c>
      <c r="E116" s="228">
        <f>INPUT!C55</f>
        <v>70240</v>
      </c>
      <c r="F116" s="2"/>
      <c r="G116" s="2" t="s">
        <v>43</v>
      </c>
      <c r="H116" s="11">
        <f>DEO_TE_Alloc</f>
        <v>0.90153000000000005</v>
      </c>
      <c r="I116" s="2"/>
      <c r="J116" s="147">
        <f>ROUND(H116*E116,0)</f>
        <v>63323</v>
      </c>
      <c r="K116" s="1"/>
      <c r="L116" s="2"/>
      <c r="M116" s="2"/>
      <c r="N116" s="395"/>
      <c r="O116" s="147"/>
    </row>
    <row r="117" spans="1:18">
      <c r="A117" s="438">
        <v>2</v>
      </c>
      <c r="C117" s="361" t="s">
        <v>2</v>
      </c>
      <c r="D117" s="400" t="s">
        <v>185</v>
      </c>
      <c r="E117" s="228">
        <f>INPUT!C56</f>
        <v>0</v>
      </c>
      <c r="F117" s="2"/>
      <c r="G117" s="2" t="s">
        <v>43</v>
      </c>
      <c r="H117" s="11">
        <f>DEO_TE_Alloc</f>
        <v>0.90153000000000005</v>
      </c>
      <c r="I117" s="2"/>
      <c r="J117" s="147">
        <f t="shared" ref="J117:J126" si="2">ROUND(H117*E117,0)</f>
        <v>0</v>
      </c>
      <c r="K117" s="1"/>
      <c r="L117" s="2"/>
      <c r="M117" s="2"/>
      <c r="N117" s="395"/>
      <c r="O117" s="147"/>
    </row>
    <row r="118" spans="1:18">
      <c r="A118" s="438">
        <v>3</v>
      </c>
      <c r="C118" s="1" t="s">
        <v>47</v>
      </c>
      <c r="D118" s="400" t="s">
        <v>186</v>
      </c>
      <c r="E118" s="147">
        <f>'P5 A&amp;G Adjusments'!E21</f>
        <v>51811531</v>
      </c>
      <c r="F118" s="2"/>
      <c r="G118" s="2" t="s">
        <v>142</v>
      </c>
      <c r="H118" s="11">
        <f>DEO_WS_Alloc</f>
        <v>0.16458</v>
      </c>
      <c r="I118" s="2"/>
      <c r="J118" s="147">
        <f t="shared" si="2"/>
        <v>8527142</v>
      </c>
      <c r="K118" s="2"/>
      <c r="L118" s="2" t="s">
        <v>7</v>
      </c>
      <c r="M118" s="2"/>
      <c r="N118" s="395"/>
      <c r="O118" s="147"/>
    </row>
    <row r="119" spans="1:18" ht="30">
      <c r="A119" s="445" t="s">
        <v>371</v>
      </c>
      <c r="C119" s="432" t="s">
        <v>581</v>
      </c>
      <c r="D119" s="400" t="s">
        <v>239</v>
      </c>
      <c r="E119" s="401">
        <f>INPUT!C58</f>
        <v>2164554</v>
      </c>
      <c r="F119" s="368"/>
      <c r="G119" s="368" t="s">
        <v>142</v>
      </c>
      <c r="H119" s="434"/>
      <c r="I119" s="368"/>
      <c r="J119" s="402"/>
      <c r="K119" s="2"/>
      <c r="L119" s="2"/>
      <c r="M119" s="2"/>
      <c r="N119" s="964"/>
      <c r="O119" s="402"/>
    </row>
    <row r="120" spans="1:18">
      <c r="A120" s="438" t="s">
        <v>372</v>
      </c>
      <c r="C120" s="361" t="s">
        <v>537</v>
      </c>
      <c r="D120" s="400" t="s">
        <v>472</v>
      </c>
      <c r="E120" s="228">
        <f>INPUT!C59</f>
        <v>0</v>
      </c>
      <c r="F120" s="2"/>
      <c r="G120" s="2" t="s">
        <v>142</v>
      </c>
      <c r="H120" s="11">
        <f>DEO_WS_Alloc</f>
        <v>0.16458</v>
      </c>
      <c r="I120" s="2"/>
      <c r="J120" s="147">
        <f t="shared" si="2"/>
        <v>0</v>
      </c>
      <c r="K120" s="2"/>
      <c r="L120" s="2"/>
      <c r="M120" s="2"/>
      <c r="N120" s="395"/>
      <c r="O120" s="147"/>
      <c r="R120" s="439"/>
    </row>
    <row r="121" spans="1:18">
      <c r="A121" s="438"/>
      <c r="C121" s="361" t="s">
        <v>541</v>
      </c>
      <c r="D121" s="400"/>
      <c r="E121" s="147"/>
      <c r="F121" s="2"/>
      <c r="G121" s="2"/>
      <c r="H121" s="11"/>
      <c r="I121" s="2"/>
      <c r="J121" s="147"/>
      <c r="K121" s="2"/>
      <c r="L121" s="2"/>
      <c r="M121" s="2"/>
      <c r="N121" s="395"/>
      <c r="O121" s="147"/>
      <c r="R121" s="439"/>
    </row>
    <row r="122" spans="1:18">
      <c r="A122" s="438">
        <v>4</v>
      </c>
      <c r="C122" s="361" t="s">
        <v>348</v>
      </c>
      <c r="D122" s="400" t="s">
        <v>568</v>
      </c>
      <c r="E122" s="228">
        <f>INPUT!C61</f>
        <v>0</v>
      </c>
      <c r="F122" s="2"/>
      <c r="G122" s="2" t="str">
        <f>G118</f>
        <v>WS</v>
      </c>
      <c r="H122" s="11">
        <f>DEO_WS_Alloc</f>
        <v>0.16458</v>
      </c>
      <c r="I122" s="2"/>
      <c r="J122" s="147">
        <f t="shared" si="2"/>
        <v>0</v>
      </c>
      <c r="K122" s="2"/>
      <c r="L122" s="2"/>
      <c r="M122" s="2"/>
      <c r="N122" s="395"/>
      <c r="O122" s="147"/>
    </row>
    <row r="123" spans="1:18">
      <c r="A123" s="438">
        <v>5</v>
      </c>
      <c r="C123" s="252" t="s">
        <v>876</v>
      </c>
      <c r="D123" s="400"/>
      <c r="E123" s="228">
        <f>INPUT!C62</f>
        <v>2357659</v>
      </c>
      <c r="F123" s="2"/>
      <c r="G123" s="2" t="str">
        <f>G122</f>
        <v>WS</v>
      </c>
      <c r="H123" s="11">
        <f>DEO_WS_Alloc</f>
        <v>0.16458</v>
      </c>
      <c r="I123" s="2"/>
      <c r="J123" s="147">
        <f t="shared" si="2"/>
        <v>388024</v>
      </c>
      <c r="K123" s="2"/>
      <c r="L123" s="2"/>
      <c r="M123" s="2"/>
      <c r="N123" s="395"/>
      <c r="O123" s="147"/>
    </row>
    <row r="124" spans="1:18">
      <c r="A124" s="446" t="s">
        <v>147</v>
      </c>
      <c r="C124" s="252" t="s">
        <v>360</v>
      </c>
      <c r="D124" s="400"/>
      <c r="E124" s="228">
        <f>INPUT!C63</f>
        <v>0</v>
      </c>
      <c r="F124" s="2"/>
      <c r="G124" s="49" t="str">
        <f>G113</f>
        <v>TE</v>
      </c>
      <c r="H124" s="11">
        <f>DEO_TE_Alloc</f>
        <v>0.90153000000000005</v>
      </c>
      <c r="I124" s="2"/>
      <c r="J124" s="147">
        <f t="shared" si="2"/>
        <v>0</v>
      </c>
      <c r="K124" s="2"/>
      <c r="L124" s="2"/>
      <c r="M124" s="2"/>
      <c r="N124" s="395"/>
      <c r="O124" s="147"/>
    </row>
    <row r="125" spans="1:18">
      <c r="A125" s="438">
        <v>6</v>
      </c>
      <c r="C125" s="1" t="s">
        <v>34</v>
      </c>
      <c r="D125" s="400" t="s">
        <v>524</v>
      </c>
      <c r="E125" s="228">
        <f>INPUT!C64</f>
        <v>0</v>
      </c>
      <c r="F125" s="2"/>
      <c r="G125" s="2" t="s">
        <v>76</v>
      </c>
      <c r="H125" s="11">
        <f>DEO_CE_Alloc</f>
        <v>0.10695</v>
      </c>
      <c r="I125" s="2"/>
      <c r="J125" s="147">
        <f t="shared" si="2"/>
        <v>0</v>
      </c>
      <c r="K125" s="2"/>
      <c r="L125" s="2"/>
      <c r="M125" s="2"/>
      <c r="N125" s="395"/>
      <c r="O125" s="147"/>
    </row>
    <row r="126" spans="1:18" ht="15.75" thickBot="1">
      <c r="A126" s="438">
        <v>7</v>
      </c>
      <c r="C126" s="1" t="s">
        <v>48</v>
      </c>
      <c r="D126" s="400"/>
      <c r="E126" s="266">
        <f>INPUT!C65</f>
        <v>0</v>
      </c>
      <c r="F126" s="2"/>
      <c r="G126" s="2" t="s">
        <v>7</v>
      </c>
      <c r="H126" s="267">
        <v>1</v>
      </c>
      <c r="I126" s="2"/>
      <c r="J126" s="148">
        <f t="shared" si="2"/>
        <v>0</v>
      </c>
      <c r="K126" s="2"/>
      <c r="L126" s="2"/>
      <c r="M126" s="2"/>
      <c r="N126" s="395"/>
      <c r="O126" s="147"/>
    </row>
    <row r="127" spans="1:18">
      <c r="A127" s="438">
        <v>8</v>
      </c>
      <c r="C127" s="1" t="s">
        <v>569</v>
      </c>
      <c r="D127" s="400"/>
      <c r="E127" s="30">
        <f>E113-E114-E115-E116-E117+E118-E120-E122-E123+E124+E125+E126</f>
        <v>68941354</v>
      </c>
      <c r="F127" s="2"/>
      <c r="G127" s="2"/>
      <c r="H127" s="2"/>
      <c r="I127" s="2"/>
      <c r="J127" s="30">
        <f>J113-J114-J115-J116-J117+J118-J120-J122-J123+J124+J125+J126</f>
        <v>23582774</v>
      </c>
      <c r="K127" s="2"/>
      <c r="L127" s="2"/>
      <c r="M127" s="2"/>
      <c r="N127" s="816"/>
      <c r="O127" s="30"/>
    </row>
    <row r="128" spans="1:18">
      <c r="A128" s="438"/>
      <c r="D128" s="400"/>
      <c r="E128" s="147"/>
      <c r="F128" s="2"/>
      <c r="G128" s="2"/>
      <c r="H128" s="2"/>
      <c r="I128" s="2"/>
      <c r="J128" s="147"/>
      <c r="K128" s="2"/>
      <c r="L128" s="2"/>
      <c r="M128" s="2"/>
      <c r="N128" s="395"/>
      <c r="O128" s="147"/>
    </row>
    <row r="129" spans="1:15">
      <c r="A129" s="438"/>
      <c r="C129" s="1" t="s">
        <v>570</v>
      </c>
      <c r="D129" s="400"/>
      <c r="E129" s="147"/>
      <c r="F129" s="2"/>
      <c r="G129" s="2"/>
      <c r="H129" s="2"/>
      <c r="I129" s="2"/>
      <c r="J129" s="147"/>
      <c r="K129" s="2"/>
      <c r="L129" s="2"/>
      <c r="M129" s="2"/>
      <c r="N129" s="395"/>
      <c r="O129" s="147"/>
    </row>
    <row r="130" spans="1:15">
      <c r="A130" s="438">
        <v>9</v>
      </c>
      <c r="C130" s="1" t="s">
        <v>46</v>
      </c>
      <c r="D130" s="400" t="s">
        <v>503</v>
      </c>
      <c r="E130" s="268">
        <f>INPUT!C69</f>
        <v>20739212</v>
      </c>
      <c r="F130" s="2"/>
      <c r="G130" s="2" t="s">
        <v>14</v>
      </c>
      <c r="H130" s="11">
        <f>DEO_TP_Alloc</f>
        <v>1</v>
      </c>
      <c r="I130" s="2"/>
      <c r="J130" s="30">
        <f>ROUND(H130*E130,0)</f>
        <v>20739212</v>
      </c>
      <c r="K130" s="2"/>
      <c r="L130" s="15"/>
      <c r="M130" s="2"/>
      <c r="N130" s="816"/>
      <c r="O130" s="30"/>
    </row>
    <row r="131" spans="1:15" ht="15.6" customHeight="1">
      <c r="A131" s="438">
        <v>10</v>
      </c>
      <c r="C131" s="1" t="s">
        <v>33</v>
      </c>
      <c r="D131" s="400" t="s">
        <v>495</v>
      </c>
      <c r="E131" s="228">
        <f>INPUT!C70</f>
        <v>32171144</v>
      </c>
      <c r="F131" s="2"/>
      <c r="G131" s="2" t="s">
        <v>142</v>
      </c>
      <c r="H131" s="11">
        <f>DEO_WS_Alloc</f>
        <v>0.16458</v>
      </c>
      <c r="I131" s="2"/>
      <c r="J131" s="147">
        <f>ROUND(H131*E131,0)</f>
        <v>5294727</v>
      </c>
      <c r="K131" s="2"/>
      <c r="L131" s="15"/>
      <c r="M131" s="2"/>
      <c r="N131" s="395"/>
      <c r="O131" s="147"/>
    </row>
    <row r="132" spans="1:15" ht="15.75" thickBot="1">
      <c r="A132" s="438">
        <v>11</v>
      </c>
      <c r="C132" s="1" t="s">
        <v>34</v>
      </c>
      <c r="D132" s="400" t="s">
        <v>502</v>
      </c>
      <c r="E132" s="266">
        <f>INPUT!C71</f>
        <v>7802095</v>
      </c>
      <c r="F132" s="2"/>
      <c r="G132" s="2" t="s">
        <v>76</v>
      </c>
      <c r="H132" s="11">
        <f>DEO_CE_Alloc</f>
        <v>0.10695</v>
      </c>
      <c r="I132" s="2"/>
      <c r="J132" s="148">
        <f>ROUND(H132*E132,0)</f>
        <v>834434</v>
      </c>
      <c r="K132" s="2"/>
      <c r="L132" s="15"/>
      <c r="M132" s="2"/>
      <c r="N132" s="395"/>
      <c r="O132" s="147"/>
    </row>
    <row r="133" spans="1:15">
      <c r="A133" s="438">
        <v>12</v>
      </c>
      <c r="C133" s="1" t="s">
        <v>890</v>
      </c>
      <c r="D133" s="400"/>
      <c r="E133" s="30">
        <f>SUM(E130:E132)</f>
        <v>60712451</v>
      </c>
      <c r="F133" s="2"/>
      <c r="G133" s="2"/>
      <c r="H133" s="2"/>
      <c r="I133" s="2"/>
      <c r="J133" s="30">
        <f>SUM(J130:J132)</f>
        <v>26868373</v>
      </c>
      <c r="K133" s="2"/>
      <c r="L133" s="2"/>
      <c r="M133" s="2"/>
      <c r="N133" s="816"/>
      <c r="O133" s="30"/>
    </row>
    <row r="134" spans="1:15">
      <c r="A134" s="438"/>
      <c r="C134" s="1"/>
      <c r="D134" s="400"/>
      <c r="E134" s="147"/>
      <c r="F134" s="2"/>
      <c r="G134" s="2"/>
      <c r="H134" s="2"/>
      <c r="I134" s="2"/>
      <c r="J134" s="147"/>
      <c r="K134" s="2"/>
      <c r="L134" s="2"/>
      <c r="M134" s="2"/>
      <c r="N134" s="395"/>
      <c r="O134" s="147"/>
    </row>
    <row r="135" spans="1:15">
      <c r="A135" s="438" t="s">
        <v>7</v>
      </c>
      <c r="C135" s="363" t="s">
        <v>361</v>
      </c>
      <c r="D135" s="524"/>
      <c r="E135" s="147"/>
      <c r="F135" s="2"/>
      <c r="G135" s="2"/>
      <c r="H135" s="2"/>
      <c r="I135" s="2"/>
      <c r="J135" s="147"/>
      <c r="K135" s="2"/>
      <c r="L135" s="2"/>
      <c r="M135" s="2"/>
      <c r="N135" s="395"/>
      <c r="O135" s="147"/>
    </row>
    <row r="136" spans="1:15">
      <c r="A136" s="438"/>
      <c r="C136" s="1" t="s">
        <v>51</v>
      </c>
      <c r="D136" s="524"/>
      <c r="E136" s="147"/>
      <c r="F136" s="2"/>
      <c r="G136" s="2"/>
      <c r="I136" s="2"/>
      <c r="J136" s="147"/>
      <c r="K136" s="2"/>
      <c r="L136" s="15"/>
      <c r="M136" s="2"/>
      <c r="N136" s="395"/>
      <c r="O136" s="147"/>
    </row>
    <row r="137" spans="1:15">
      <c r="A137" s="438">
        <v>13</v>
      </c>
      <c r="C137" s="362" t="s">
        <v>349</v>
      </c>
      <c r="D137" s="400" t="s">
        <v>166</v>
      </c>
      <c r="E137" s="268">
        <f>INPUT!C76</f>
        <v>3826421</v>
      </c>
      <c r="F137" s="2"/>
      <c r="G137" s="2" t="s">
        <v>142</v>
      </c>
      <c r="H137" s="11">
        <f>DEO_WS_Alloc</f>
        <v>0.16458</v>
      </c>
      <c r="I137" s="2"/>
      <c r="J137" s="30">
        <f>ROUND(H137*E137,0)</f>
        <v>629752</v>
      </c>
      <c r="K137" s="2"/>
      <c r="L137" s="15"/>
      <c r="M137" s="2"/>
      <c r="N137" s="816"/>
      <c r="O137" s="30"/>
    </row>
    <row r="138" spans="1:15">
      <c r="A138" s="438">
        <v>14</v>
      </c>
      <c r="C138" s="362" t="s">
        <v>350</v>
      </c>
      <c r="D138" s="400" t="s">
        <v>166</v>
      </c>
      <c r="E138" s="228">
        <f>INPUT!C77</f>
        <v>2058</v>
      </c>
      <c r="F138" s="2"/>
      <c r="G138" s="2" t="str">
        <f>G137</f>
        <v>WS</v>
      </c>
      <c r="H138" s="11">
        <f>DEO_WS_Alloc</f>
        <v>0.16458</v>
      </c>
      <c r="I138" s="2"/>
      <c r="J138" s="147">
        <f>ROUND(H138*E138,0)</f>
        <v>339</v>
      </c>
      <c r="K138" s="2"/>
      <c r="L138" s="15"/>
      <c r="M138" s="2"/>
      <c r="N138" s="395"/>
      <c r="O138" s="147"/>
    </row>
    <row r="139" spans="1:15">
      <c r="A139" s="438">
        <v>15</v>
      </c>
      <c r="C139" s="1" t="s">
        <v>52</v>
      </c>
      <c r="D139" s="400" t="s">
        <v>7</v>
      </c>
      <c r="E139" s="228"/>
      <c r="F139" s="2"/>
      <c r="G139" s="2"/>
      <c r="I139" s="2"/>
      <c r="J139" s="147"/>
      <c r="K139" s="2"/>
      <c r="L139" s="15"/>
      <c r="M139" s="2"/>
      <c r="N139" s="395"/>
      <c r="O139" s="147"/>
    </row>
    <row r="140" spans="1:15">
      <c r="A140" s="438">
        <v>16</v>
      </c>
      <c r="C140" s="362" t="s">
        <v>593</v>
      </c>
      <c r="D140" s="400" t="s">
        <v>166</v>
      </c>
      <c r="E140" s="228">
        <f>INPUT!C79</f>
        <v>177296426</v>
      </c>
      <c r="F140" s="2"/>
      <c r="G140" s="2" t="s">
        <v>44</v>
      </c>
      <c r="H140" s="16">
        <f>DEO_GP_Alloc</f>
        <v>0.25741999999999998</v>
      </c>
      <c r="I140" s="2"/>
      <c r="J140" s="147">
        <f>ROUND(H140*E140,0)</f>
        <v>45639646</v>
      </c>
      <c r="K140" s="2"/>
      <c r="L140" s="15"/>
      <c r="M140" s="2"/>
      <c r="N140" s="395"/>
      <c r="O140" s="147"/>
    </row>
    <row r="141" spans="1:15">
      <c r="A141" s="438">
        <v>17</v>
      </c>
      <c r="C141" s="362" t="s">
        <v>594</v>
      </c>
      <c r="D141" s="400" t="s">
        <v>166</v>
      </c>
      <c r="E141" s="228">
        <f>INPUT!C80</f>
        <v>2587888</v>
      </c>
      <c r="F141" s="2"/>
      <c r="G141" s="2" t="str">
        <f>G77</f>
        <v>NA</v>
      </c>
      <c r="H141" s="54" t="s">
        <v>148</v>
      </c>
      <c r="I141" s="2"/>
      <c r="J141" s="149">
        <v>0</v>
      </c>
      <c r="K141" s="2"/>
      <c r="L141" s="22" t="s">
        <v>7</v>
      </c>
      <c r="M141" s="2"/>
      <c r="N141" s="395"/>
      <c r="O141" s="147"/>
    </row>
    <row r="142" spans="1:15">
      <c r="A142" s="438">
        <v>18</v>
      </c>
      <c r="C142" s="362" t="s">
        <v>586</v>
      </c>
      <c r="D142" s="400" t="s">
        <v>166</v>
      </c>
      <c r="E142" s="228">
        <f>INPUT!C81</f>
        <v>0</v>
      </c>
      <c r="F142" s="2"/>
      <c r="G142" s="2" t="str">
        <f>G140</f>
        <v>GP</v>
      </c>
      <c r="H142" s="16">
        <f>DEO_GP_Alloc</f>
        <v>0.25741999999999998</v>
      </c>
      <c r="I142" s="2"/>
      <c r="J142" s="147">
        <f>ROUND(H142*E142,0)</f>
        <v>0</v>
      </c>
      <c r="K142" s="2"/>
      <c r="L142" s="22" t="s">
        <v>7</v>
      </c>
      <c r="M142" s="2"/>
      <c r="N142" s="395"/>
      <c r="O142" s="147"/>
    </row>
    <row r="143" spans="1:15" ht="15.75" thickBot="1">
      <c r="A143" s="438">
        <v>19</v>
      </c>
      <c r="C143" s="362" t="s">
        <v>595</v>
      </c>
      <c r="D143" s="400"/>
      <c r="E143" s="266">
        <f>INPUT!C82</f>
        <v>0</v>
      </c>
      <c r="F143" s="2"/>
      <c r="G143" s="2" t="s">
        <v>44</v>
      </c>
      <c r="H143" s="16">
        <f>DEO_GP_Alloc</f>
        <v>0.25741999999999998</v>
      </c>
      <c r="I143" s="2"/>
      <c r="J143" s="148">
        <f>ROUND(H143*E143,0)</f>
        <v>0</v>
      </c>
      <c r="K143" s="2"/>
      <c r="L143" s="15"/>
      <c r="M143" s="2"/>
      <c r="N143" s="395"/>
      <c r="O143" s="147"/>
    </row>
    <row r="144" spans="1:15">
      <c r="A144" s="438">
        <v>20</v>
      </c>
      <c r="C144" s="1" t="s">
        <v>57</v>
      </c>
      <c r="D144" s="400"/>
      <c r="E144" s="30">
        <f>E137+E138+E140+E141+E142+E143</f>
        <v>183712793</v>
      </c>
      <c r="F144" s="2"/>
      <c r="G144" s="2"/>
      <c r="H144" s="16"/>
      <c r="I144" s="2"/>
      <c r="J144" s="30">
        <f>J137+J138+J140+J141+J142+J143</f>
        <v>46269737</v>
      </c>
      <c r="K144" s="2"/>
      <c r="L144" s="2"/>
      <c r="M144" s="2"/>
      <c r="N144" s="816"/>
      <c r="O144" s="30"/>
    </row>
    <row r="145" spans="1:15">
      <c r="A145" s="438"/>
      <c r="C145" s="1"/>
      <c r="D145" s="400"/>
      <c r="E145" s="147"/>
      <c r="F145" s="2"/>
      <c r="G145" s="2"/>
      <c r="H145" s="16"/>
      <c r="I145" s="2"/>
      <c r="J145" s="2"/>
      <c r="K145" s="2"/>
      <c r="L145" s="2"/>
      <c r="M145" s="2"/>
      <c r="N145" s="358"/>
      <c r="O145" s="2"/>
    </row>
    <row r="146" spans="1:15">
      <c r="A146" s="438" t="s">
        <v>58</v>
      </c>
      <c r="C146" s="1"/>
      <c r="D146" s="400"/>
      <c r="E146" s="2"/>
      <c r="F146" s="2"/>
      <c r="G146" s="2"/>
      <c r="H146" s="16"/>
      <c r="I146" s="2"/>
      <c r="J146" s="2"/>
      <c r="K146" s="2"/>
      <c r="L146" s="2"/>
      <c r="M146" s="2"/>
      <c r="N146" s="358"/>
      <c r="O146" s="2"/>
    </row>
    <row r="147" spans="1:15">
      <c r="A147" s="438" t="s">
        <v>7</v>
      </c>
      <c r="C147" s="363" t="s">
        <v>366</v>
      </c>
      <c r="D147" s="400"/>
      <c r="E147" s="2"/>
      <c r="F147" s="2"/>
      <c r="H147" s="13"/>
      <c r="I147" s="2"/>
      <c r="K147" s="2"/>
      <c r="M147" s="2"/>
      <c r="N147" s="360"/>
    </row>
    <row r="148" spans="1:15">
      <c r="A148" s="438">
        <v>21</v>
      </c>
      <c r="C148" s="22" t="s">
        <v>135</v>
      </c>
      <c r="D148" s="400"/>
      <c r="E148" s="303">
        <f>IF(FIT&gt;0,1-(((1-SIT_DEO)*(1-FIT))/(1-SIT_DEO*FIT*E288)),0)</f>
        <v>0.20999999999999996</v>
      </c>
      <c r="F148" s="2"/>
      <c r="H148" s="13"/>
      <c r="I148" s="2"/>
      <c r="K148" s="2"/>
      <c r="M148" s="2"/>
      <c r="N148" s="360"/>
    </row>
    <row r="149" spans="1:15">
      <c r="A149" s="438">
        <v>22</v>
      </c>
      <c r="C149" s="9" t="s">
        <v>136</v>
      </c>
      <c r="D149" s="400"/>
      <c r="E149" s="242">
        <f>IF(J230&gt;0,(E148/(1-E148))*(1-J227/J230),0)</f>
        <v>0.19533415717577898</v>
      </c>
      <c r="F149" s="2"/>
      <c r="H149" s="13"/>
      <c r="I149" s="2"/>
      <c r="K149" s="2"/>
      <c r="M149" s="2"/>
      <c r="N149" s="360"/>
    </row>
    <row r="150" spans="1:15">
      <c r="A150" s="438"/>
      <c r="C150" s="1" t="s">
        <v>330</v>
      </c>
      <c r="D150" s="400"/>
      <c r="E150" s="2"/>
      <c r="F150" s="2"/>
      <c r="H150" s="13"/>
      <c r="I150" s="2"/>
      <c r="K150" s="2"/>
      <c r="M150" s="2"/>
      <c r="N150" s="360"/>
    </row>
    <row r="151" spans="1:15">
      <c r="A151" s="438"/>
      <c r="C151" s="1" t="s">
        <v>138</v>
      </c>
      <c r="D151" s="400"/>
      <c r="E151" s="2"/>
      <c r="F151" s="2"/>
      <c r="H151" s="13"/>
      <c r="I151" s="2"/>
      <c r="K151" s="2"/>
      <c r="M151" s="2"/>
      <c r="N151" s="360"/>
    </row>
    <row r="152" spans="1:15">
      <c r="A152" s="438">
        <v>23</v>
      </c>
      <c r="C152" s="22" t="s">
        <v>137</v>
      </c>
      <c r="D152" s="400"/>
      <c r="E152" s="357">
        <f>IF(E148&gt;0,1/(1-E148),0)</f>
        <v>1.2658227848101264</v>
      </c>
      <c r="F152" s="2"/>
      <c r="H152" s="13"/>
      <c r="I152" s="2"/>
      <c r="J152" s="147"/>
      <c r="K152" s="2"/>
      <c r="M152" s="2"/>
      <c r="N152" s="395"/>
      <c r="O152" s="147"/>
    </row>
    <row r="153" spans="1:15">
      <c r="A153" s="438">
        <v>24</v>
      </c>
      <c r="C153" s="1" t="s">
        <v>334</v>
      </c>
      <c r="D153" s="400" t="s">
        <v>333</v>
      </c>
      <c r="E153" s="268">
        <f>INPUT!C92</f>
        <v>-98533</v>
      </c>
      <c r="F153" s="2"/>
      <c r="H153" s="13"/>
      <c r="I153" s="2"/>
      <c r="J153" s="147"/>
      <c r="K153" s="2"/>
      <c r="M153" s="2"/>
      <c r="N153" s="395"/>
      <c r="O153" s="147"/>
    </row>
    <row r="154" spans="1:15">
      <c r="A154" s="438">
        <v>25</v>
      </c>
      <c r="C154" s="1" t="s">
        <v>881</v>
      </c>
      <c r="D154" s="400" t="s">
        <v>986</v>
      </c>
      <c r="E154" s="501">
        <f>-'DEO DIT Protected'!F36-'DEO DIT Unprotected'!F36</f>
        <v>-15745305</v>
      </c>
      <c r="F154" s="2"/>
      <c r="H154" s="13"/>
      <c r="I154" s="2"/>
      <c r="J154" s="147"/>
      <c r="K154" s="2"/>
      <c r="M154" s="2"/>
      <c r="N154" s="395"/>
      <c r="O154" s="147"/>
    </row>
    <row r="155" spans="1:15">
      <c r="A155" s="438"/>
      <c r="C155" s="1"/>
      <c r="D155" s="400"/>
      <c r="E155" s="147"/>
      <c r="F155" s="2"/>
      <c r="H155" s="13"/>
      <c r="I155" s="2"/>
      <c r="J155" s="147"/>
      <c r="K155" s="2"/>
      <c r="M155" s="2"/>
      <c r="N155" s="395"/>
      <c r="O155" s="147"/>
    </row>
    <row r="156" spans="1:15">
      <c r="A156" s="438">
        <v>26</v>
      </c>
      <c r="C156" s="22" t="s">
        <v>819</v>
      </c>
      <c r="D156" s="656"/>
      <c r="E156" s="30">
        <f>ROUND(E149*E161,0)</f>
        <v>44613124</v>
      </c>
      <c r="F156" s="2"/>
      <c r="G156" s="2" t="s">
        <v>30</v>
      </c>
      <c r="H156" s="16"/>
      <c r="I156" s="2"/>
      <c r="J156" s="30">
        <f>ROUND(E149*J161,0)</f>
        <v>12257154</v>
      </c>
      <c r="K156" s="2"/>
      <c r="L156" s="12" t="s">
        <v>7</v>
      </c>
      <c r="M156" s="2"/>
      <c r="N156" s="816"/>
      <c r="O156" s="30"/>
    </row>
    <row r="157" spans="1:15">
      <c r="A157" s="438">
        <v>27</v>
      </c>
      <c r="C157" s="9" t="s">
        <v>140</v>
      </c>
      <c r="D157" s="656"/>
      <c r="E157" s="147">
        <f>ROUND(E152*E153,0)</f>
        <v>-124725</v>
      </c>
      <c r="F157" s="2"/>
      <c r="G157" s="9" t="s">
        <v>42</v>
      </c>
      <c r="H157" s="16">
        <f>DEO_NP_Alloc</f>
        <v>0.27009</v>
      </c>
      <c r="I157" s="2"/>
      <c r="J157" s="147">
        <f>ROUND(H157*E157,0)</f>
        <v>-33687</v>
      </c>
      <c r="K157" s="2"/>
      <c r="L157" s="12"/>
      <c r="M157" s="2"/>
      <c r="N157" s="395"/>
      <c r="O157" s="147"/>
    </row>
    <row r="158" spans="1:15" ht="15.75" thickBot="1">
      <c r="A158" s="438">
        <v>28</v>
      </c>
      <c r="C158" s="9" t="s">
        <v>897</v>
      </c>
      <c r="D158" s="656"/>
      <c r="E158" s="147">
        <f>ROUND(E152*E154,0)</f>
        <v>-19930766</v>
      </c>
      <c r="F158" s="2"/>
      <c r="G158" s="9" t="s">
        <v>42</v>
      </c>
      <c r="H158" s="16">
        <f>DEO_NP_Alloc</f>
        <v>0.27009</v>
      </c>
      <c r="I158" s="2"/>
      <c r="J158" s="147">
        <f>ROUND(H158*E158,0)</f>
        <v>-5383101</v>
      </c>
      <c r="K158" s="2"/>
      <c r="L158" s="12"/>
      <c r="M158" s="2"/>
      <c r="N158" s="395"/>
      <c r="O158" s="147"/>
    </row>
    <row r="159" spans="1:15">
      <c r="A159" s="438">
        <v>29</v>
      </c>
      <c r="C159" s="657" t="s">
        <v>882</v>
      </c>
      <c r="D159" s="400"/>
      <c r="E159" s="628">
        <f>SUM(E156:E158)</f>
        <v>24557633</v>
      </c>
      <c r="F159" s="2"/>
      <c r="G159" s="2" t="s">
        <v>7</v>
      </c>
      <c r="H159" s="16" t="s">
        <v>7</v>
      </c>
      <c r="I159" s="2"/>
      <c r="J159" s="628">
        <f>SUM(J156:J158)</f>
        <v>6840366</v>
      </c>
      <c r="K159" s="2"/>
      <c r="L159" s="2"/>
      <c r="M159" s="2"/>
      <c r="N159" s="965"/>
      <c r="O159" s="966"/>
    </row>
    <row r="160" spans="1:15">
      <c r="A160" s="438" t="s">
        <v>7</v>
      </c>
      <c r="C160"/>
      <c r="D160" s="658"/>
      <c r="E160" s="147"/>
      <c r="F160" s="2"/>
      <c r="G160" s="2"/>
      <c r="H160" s="16"/>
      <c r="I160" s="2"/>
      <c r="J160" s="147"/>
      <c r="K160" s="2"/>
      <c r="L160" s="2"/>
      <c r="M160" s="2"/>
      <c r="N160" s="395"/>
      <c r="O160" s="147"/>
    </row>
    <row r="161" spans="1:15">
      <c r="A161" s="438">
        <v>30</v>
      </c>
      <c r="C161" s="1" t="s">
        <v>59</v>
      </c>
      <c r="D161" s="659"/>
      <c r="E161" s="30">
        <f>ROUND($J230*E93,0)</f>
        <v>228393870</v>
      </c>
      <c r="F161" s="2"/>
      <c r="G161" s="2" t="s">
        <v>30</v>
      </c>
      <c r="H161" s="13"/>
      <c r="I161" s="2"/>
      <c r="J161" s="30">
        <f>ROUND($J230*J93,0)</f>
        <v>62749670</v>
      </c>
      <c r="K161" s="2"/>
      <c r="M161" s="2"/>
      <c r="N161" s="816"/>
      <c r="O161" s="30"/>
    </row>
    <row r="162" spans="1:15">
      <c r="A162" s="438"/>
      <c r="C162" s="657" t="s">
        <v>818</v>
      </c>
      <c r="D162" s="522"/>
      <c r="E162" s="147"/>
      <c r="F162" s="2"/>
      <c r="G162" s="2"/>
      <c r="H162" s="13"/>
      <c r="I162" s="2"/>
      <c r="J162" s="147"/>
      <c r="K162" s="2"/>
      <c r="L162" s="15"/>
      <c r="M162" s="2"/>
      <c r="N162" s="395"/>
      <c r="O162" s="147"/>
    </row>
    <row r="163" spans="1:15">
      <c r="A163" s="438"/>
      <c r="C163" s="1"/>
      <c r="D163" s="522"/>
      <c r="E163" s="147"/>
      <c r="F163" s="2"/>
      <c r="G163" s="2"/>
      <c r="H163" s="13"/>
      <c r="I163" s="2"/>
      <c r="J163" s="147"/>
      <c r="K163" s="2"/>
      <c r="L163" s="15"/>
      <c r="M163" s="2"/>
      <c r="N163" s="395"/>
      <c r="O163" s="147"/>
    </row>
    <row r="164" spans="1:15" ht="15.75" thickBot="1">
      <c r="A164" s="438">
        <v>31</v>
      </c>
      <c r="C164" s="1" t="s">
        <v>817</v>
      </c>
      <c r="D164" s="368"/>
      <c r="E164" s="227">
        <f>E161+E159+E144+E133+E127</f>
        <v>566318101</v>
      </c>
      <c r="F164" s="2"/>
      <c r="G164" s="2"/>
      <c r="H164" s="2"/>
      <c r="I164" s="2"/>
      <c r="J164" s="227">
        <f>J161+J159+J144+J133+J127</f>
        <v>166310920</v>
      </c>
      <c r="K164" s="1"/>
      <c r="L164" s="1"/>
      <c r="M164" s="1"/>
      <c r="N164" s="816"/>
      <c r="O164" s="30"/>
    </row>
    <row r="165" spans="1:15" ht="15.75" thickTop="1">
      <c r="A165" s="438"/>
      <c r="C165" s="1"/>
      <c r="D165" s="2"/>
      <c r="E165" s="2"/>
      <c r="F165" s="2"/>
      <c r="G165" s="2"/>
      <c r="H165" s="2"/>
      <c r="I165" s="2"/>
      <c r="J165" s="2"/>
      <c r="K165" s="1"/>
      <c r="L165" s="1"/>
      <c r="M165" s="1"/>
      <c r="N165" s="358"/>
      <c r="O165" s="2"/>
    </row>
    <row r="166" spans="1:15">
      <c r="A166" s="438"/>
      <c r="C166" s="1"/>
      <c r="D166" s="2"/>
      <c r="E166" s="2"/>
      <c r="F166" s="2"/>
      <c r="G166" s="2"/>
      <c r="H166" s="2"/>
      <c r="I166" s="2"/>
      <c r="J166" s="2"/>
      <c r="K166" s="1"/>
      <c r="L166" s="1"/>
      <c r="M166" s="1"/>
      <c r="N166" s="360"/>
    </row>
    <row r="167" spans="1:15">
      <c r="A167" s="438"/>
      <c r="C167" s="1"/>
      <c r="D167" s="24"/>
      <c r="E167" s="25"/>
      <c r="F167" s="24"/>
      <c r="G167" s="24"/>
      <c r="H167" s="24"/>
      <c r="I167" s="24"/>
      <c r="K167" s="26"/>
      <c r="L167" s="61"/>
      <c r="M167" s="26"/>
      <c r="N167" s="461"/>
      <c r="O167" s="50"/>
    </row>
    <row r="168" spans="1:15" ht="18">
      <c r="A168" s="440"/>
      <c r="C168" s="24"/>
      <c r="D168" s="24"/>
      <c r="E168" s="25"/>
      <c r="F168" s="24"/>
      <c r="I168" s="60"/>
      <c r="J168" s="50" t="s">
        <v>299</v>
      </c>
      <c r="M168" s="60"/>
      <c r="N168" s="461"/>
      <c r="O168" s="50"/>
    </row>
    <row r="169" spans="1:15">
      <c r="C169" s="24"/>
      <c r="D169" s="24"/>
      <c r="E169" s="25"/>
      <c r="F169" s="24"/>
      <c r="H169" s="24"/>
      <c r="J169" s="50" t="s">
        <v>411</v>
      </c>
      <c r="M169" s="50"/>
      <c r="N169" s="360"/>
    </row>
    <row r="170" spans="1:15">
      <c r="C170" s="24"/>
      <c r="D170" s="24"/>
      <c r="E170" s="25"/>
      <c r="F170" s="24"/>
      <c r="H170" s="24"/>
      <c r="I170" s="1"/>
      <c r="M170" s="50"/>
      <c r="N170" s="360"/>
    </row>
    <row r="171" spans="1:15">
      <c r="C171" s="24"/>
      <c r="D171" s="24"/>
      <c r="E171" s="25"/>
      <c r="F171" s="24"/>
      <c r="H171" s="24"/>
      <c r="I171" s="1"/>
      <c r="M171" s="50"/>
      <c r="N171" s="360"/>
    </row>
    <row r="172" spans="1:15">
      <c r="C172" s="24"/>
      <c r="D172" s="24"/>
      <c r="E172" s="25"/>
      <c r="F172" s="24"/>
      <c r="H172" s="24"/>
      <c r="I172" s="1"/>
      <c r="M172" s="50"/>
      <c r="N172" s="461"/>
      <c r="O172" s="50"/>
    </row>
    <row r="173" spans="1:15">
      <c r="C173" s="24"/>
      <c r="D173" s="24"/>
      <c r="E173" s="25"/>
      <c r="F173" s="24"/>
      <c r="H173" s="24"/>
      <c r="I173" s="1"/>
      <c r="J173" s="50"/>
      <c r="M173" s="50"/>
      <c r="N173" s="462"/>
      <c r="O173" s="61"/>
    </row>
    <row r="174" spans="1:15">
      <c r="C174" s="24" t="s">
        <v>6</v>
      </c>
      <c r="D174" s="24"/>
      <c r="E174" s="25"/>
      <c r="F174" s="24"/>
      <c r="H174" s="24"/>
      <c r="I174" s="1"/>
      <c r="J174" s="61" t="str">
        <f>J7</f>
        <v>For the 12 months ended: 12/31/2020</v>
      </c>
      <c r="M174" s="50"/>
      <c r="N174" s="172"/>
      <c r="O174" s="70"/>
    </row>
    <row r="175" spans="1:15">
      <c r="A175" s="441" t="str">
        <f>A8</f>
        <v>Rate Formula Template</v>
      </c>
      <c r="B175" s="70"/>
      <c r="C175" s="70"/>
      <c r="D175" s="144"/>
      <c r="E175" s="70"/>
      <c r="F175" s="144"/>
      <c r="G175" s="144"/>
      <c r="H175" s="144"/>
      <c r="I175" s="144"/>
      <c r="J175" s="70"/>
      <c r="K175" s="146"/>
      <c r="L175" s="70"/>
      <c r="M175" s="1"/>
      <c r="N175" s="185"/>
      <c r="O175" s="144"/>
    </row>
    <row r="176" spans="1:15">
      <c r="A176" s="442" t="s">
        <v>270</v>
      </c>
      <c r="B176" s="70"/>
      <c r="C176" s="144"/>
      <c r="D176" s="145"/>
      <c r="E176" s="70"/>
      <c r="F176" s="145"/>
      <c r="G176" s="145"/>
      <c r="H176" s="145"/>
      <c r="I176" s="144"/>
      <c r="J176" s="144"/>
      <c r="K176" s="146"/>
      <c r="L176" s="146"/>
      <c r="M176" s="1"/>
      <c r="N176" s="226"/>
      <c r="O176" s="146"/>
    </row>
    <row r="177" spans="1:15" ht="15.75">
      <c r="A177" s="442"/>
      <c r="B177" s="70"/>
      <c r="C177" s="146"/>
      <c r="D177" s="146"/>
      <c r="E177" s="70"/>
      <c r="F177" s="146"/>
      <c r="G177" s="146"/>
      <c r="H177" s="146"/>
      <c r="I177" s="146"/>
      <c r="J177" s="146"/>
      <c r="K177" s="146"/>
      <c r="L177" s="146"/>
      <c r="M177" s="2"/>
      <c r="N177" s="962"/>
      <c r="O177" s="69"/>
    </row>
    <row r="178" spans="1:15" ht="15.75">
      <c r="A178" s="443" t="str">
        <f>$A$11</f>
        <v>DUKE ENERGY OHIO (DEO)</v>
      </c>
      <c r="B178" s="70"/>
      <c r="C178" s="146"/>
      <c r="D178" s="146"/>
      <c r="E178" s="70"/>
      <c r="F178" s="146"/>
      <c r="G178" s="146"/>
      <c r="H178" s="146"/>
      <c r="I178" s="146"/>
      <c r="J178" s="146"/>
      <c r="K178" s="146"/>
      <c r="L178" s="146"/>
      <c r="M178" s="2"/>
      <c r="N178" s="67"/>
    </row>
    <row r="179" spans="1:15" ht="15.75">
      <c r="A179" s="443" t="s">
        <v>271</v>
      </c>
      <c r="B179" s="70"/>
      <c r="C179" s="70"/>
      <c r="D179" s="70"/>
      <c r="E179" s="70"/>
      <c r="F179" s="146"/>
      <c r="G179" s="146"/>
      <c r="H179" s="146"/>
      <c r="I179" s="146"/>
      <c r="J179" s="146"/>
      <c r="K179" s="145"/>
      <c r="L179" s="145"/>
      <c r="M179" s="2"/>
      <c r="N179" s="815"/>
    </row>
    <row r="180" spans="1:15" ht="15.75">
      <c r="A180" s="438" t="s">
        <v>8</v>
      </c>
      <c r="C180" s="10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815"/>
      <c r="O180" s="409"/>
    </row>
    <row r="181" spans="1:15" ht="15.75">
      <c r="A181" s="444" t="s">
        <v>10</v>
      </c>
      <c r="B181" s="181"/>
      <c r="C181" s="40" t="s">
        <v>309</v>
      </c>
      <c r="D181" s="1"/>
      <c r="E181" s="1"/>
      <c r="F181" s="1"/>
      <c r="G181" s="1"/>
      <c r="H181" s="1"/>
      <c r="K181" s="2"/>
      <c r="L181" s="2"/>
      <c r="M181" s="2"/>
      <c r="N181" s="359"/>
      <c r="O181" s="1"/>
    </row>
    <row r="182" spans="1:15">
      <c r="A182" s="438"/>
      <c r="C182" s="24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816"/>
      <c r="O182" s="30"/>
    </row>
    <row r="183" spans="1:15">
      <c r="A183" s="438">
        <v>1</v>
      </c>
      <c r="C183" s="24" t="s">
        <v>310</v>
      </c>
      <c r="D183" s="1"/>
      <c r="E183" s="2"/>
      <c r="F183" s="2"/>
      <c r="G183" s="2"/>
      <c r="H183" s="2"/>
      <c r="I183" s="2"/>
      <c r="J183" s="30">
        <f>E54</f>
        <v>1174534297</v>
      </c>
      <c r="K183" s="2"/>
      <c r="L183" s="2"/>
      <c r="M183" s="2"/>
      <c r="N183" s="816"/>
      <c r="O183" s="30"/>
    </row>
    <row r="184" spans="1:15">
      <c r="A184" s="438">
        <v>2</v>
      </c>
      <c r="C184" s="253" t="s">
        <v>353</v>
      </c>
      <c r="J184" s="178">
        <f>INPUT!C96</f>
        <v>0</v>
      </c>
      <c r="K184" s="2"/>
      <c r="L184" s="2"/>
      <c r="M184" s="2"/>
      <c r="N184" s="395"/>
      <c r="O184" s="395"/>
    </row>
    <row r="185" spans="1:15" ht="15.75" thickBot="1">
      <c r="A185" s="438">
        <v>3</v>
      </c>
      <c r="C185" s="254" t="s">
        <v>354</v>
      </c>
      <c r="D185" s="42"/>
      <c r="E185" s="35"/>
      <c r="F185" s="2"/>
      <c r="G185" s="2"/>
      <c r="H185" s="4"/>
      <c r="I185" s="2"/>
      <c r="J185" s="151">
        <f>INPUT!C97</f>
        <v>0</v>
      </c>
      <c r="K185" s="2"/>
      <c r="M185" s="2"/>
      <c r="N185" s="395"/>
      <c r="O185" s="147"/>
    </row>
    <row r="186" spans="1:15">
      <c r="A186" s="438">
        <v>4</v>
      </c>
      <c r="C186" s="24" t="s">
        <v>311</v>
      </c>
      <c r="D186" s="1"/>
      <c r="E186" s="2"/>
      <c r="F186" s="2"/>
      <c r="G186" s="2"/>
      <c r="H186" s="4"/>
      <c r="I186" s="2"/>
      <c r="J186" s="30">
        <f>J183-J184-J185</f>
        <v>1174534297</v>
      </c>
      <c r="K186" s="2"/>
      <c r="L186" s="2"/>
      <c r="M186" s="2"/>
      <c r="N186" s="816"/>
      <c r="O186" s="30"/>
    </row>
    <row r="187" spans="1:15">
      <c r="A187" s="438"/>
      <c r="D187" s="1"/>
      <c r="E187" s="2"/>
      <c r="F187" s="2"/>
      <c r="G187" s="2"/>
      <c r="H187" s="4"/>
      <c r="I187" s="2"/>
      <c r="K187" s="2"/>
      <c r="L187" s="2"/>
      <c r="M187" s="2"/>
      <c r="N187" s="360"/>
    </row>
    <row r="188" spans="1:15">
      <c r="A188" s="438">
        <v>5</v>
      </c>
      <c r="C188" s="24" t="s">
        <v>312</v>
      </c>
      <c r="D188" s="17"/>
      <c r="E188" s="17"/>
      <c r="F188" s="17"/>
      <c r="G188" s="17"/>
      <c r="H188" s="5"/>
      <c r="I188" s="2" t="s">
        <v>63</v>
      </c>
      <c r="J188" s="48">
        <f>IF(J183&gt;0,ROUND(J186/J183,5),0)</f>
        <v>1</v>
      </c>
      <c r="K188" s="2"/>
      <c r="L188" s="2"/>
      <c r="M188" s="2"/>
      <c r="N188" s="967"/>
      <c r="O188" s="48"/>
    </row>
    <row r="189" spans="1:15">
      <c r="A189" s="438"/>
      <c r="K189" s="2"/>
      <c r="L189" s="2"/>
      <c r="M189" s="2"/>
      <c r="N189" s="360"/>
    </row>
    <row r="190" spans="1:15" ht="15.75">
      <c r="A190" s="438"/>
      <c r="C190" s="10" t="s">
        <v>60</v>
      </c>
      <c r="K190" s="2"/>
      <c r="L190" s="2"/>
      <c r="M190" s="2"/>
      <c r="N190" s="360"/>
    </row>
    <row r="191" spans="1:15">
      <c r="A191" s="438"/>
      <c r="K191" s="2"/>
      <c r="L191" s="2"/>
      <c r="M191" s="2"/>
      <c r="N191" s="360"/>
    </row>
    <row r="192" spans="1:15">
      <c r="A192" s="438">
        <v>6</v>
      </c>
      <c r="C192" s="9" t="s">
        <v>61</v>
      </c>
      <c r="E192" s="1"/>
      <c r="F192" s="1"/>
      <c r="G192" s="1"/>
      <c r="H192" s="3"/>
      <c r="I192" s="1"/>
      <c r="J192" s="30">
        <f>E113</f>
        <v>41136828</v>
      </c>
      <c r="K192" s="2"/>
      <c r="L192" s="2"/>
      <c r="M192" s="2"/>
      <c r="N192" s="816"/>
      <c r="O192" s="30"/>
    </row>
    <row r="193" spans="1:15" ht="15.75" thickBot="1">
      <c r="A193" s="438">
        <v>7</v>
      </c>
      <c r="C193" s="254" t="s">
        <v>355</v>
      </c>
      <c r="D193" s="42"/>
      <c r="E193" s="35"/>
      <c r="F193" s="35"/>
      <c r="G193" s="2"/>
      <c r="H193" s="2"/>
      <c r="I193" s="2"/>
      <c r="J193" s="148">
        <f>INPUT!C104</f>
        <v>4050852</v>
      </c>
      <c r="K193" s="2"/>
      <c r="L193" s="2"/>
      <c r="M193" s="2"/>
      <c r="N193" s="395"/>
      <c r="O193" s="147"/>
    </row>
    <row r="194" spans="1:15">
      <c r="A194" s="438">
        <v>8</v>
      </c>
      <c r="C194" s="24" t="s">
        <v>152</v>
      </c>
      <c r="D194" s="17"/>
      <c r="E194" s="17"/>
      <c r="F194" s="17"/>
      <c r="G194" s="17"/>
      <c r="H194" s="5"/>
      <c r="I194" s="17"/>
      <c r="J194" s="30">
        <f>J192-J193</f>
        <v>37085976</v>
      </c>
      <c r="L194" s="439"/>
      <c r="M194" s="2"/>
      <c r="N194" s="816"/>
      <c r="O194" s="30"/>
    </row>
    <row r="195" spans="1:15">
      <c r="A195" s="438"/>
      <c r="C195" s="24"/>
      <c r="D195" s="1"/>
      <c r="E195" s="2"/>
      <c r="F195" s="2"/>
      <c r="G195" s="2"/>
      <c r="H195" s="2"/>
      <c r="M195" s="2"/>
      <c r="N195" s="360"/>
    </row>
    <row r="196" spans="1:15">
      <c r="A196" s="438">
        <v>9</v>
      </c>
      <c r="C196" s="24" t="s">
        <v>151</v>
      </c>
      <c r="D196" s="1"/>
      <c r="E196" s="2"/>
      <c r="F196" s="2"/>
      <c r="G196" s="2"/>
      <c r="H196" s="2"/>
      <c r="I196" s="2"/>
      <c r="J196" s="11">
        <f>IF(J192&gt;0,ROUND(J194/J192,5),0)</f>
        <v>0.90153000000000005</v>
      </c>
      <c r="L196" s="439"/>
      <c r="M196" s="2"/>
      <c r="N196" s="968"/>
      <c r="O196" s="11"/>
    </row>
    <row r="197" spans="1:15">
      <c r="A197" s="438">
        <v>10</v>
      </c>
      <c r="C197" s="24" t="s">
        <v>313</v>
      </c>
      <c r="D197" s="1"/>
      <c r="E197" s="2"/>
      <c r="F197" s="2"/>
      <c r="G197" s="2"/>
      <c r="H197" s="2"/>
      <c r="I197" s="1" t="s">
        <v>14</v>
      </c>
      <c r="J197" s="11">
        <f>DEO_TP_Alloc</f>
        <v>1</v>
      </c>
      <c r="M197" s="2"/>
      <c r="N197" s="968"/>
      <c r="O197" s="11"/>
    </row>
    <row r="198" spans="1:15">
      <c r="A198" s="438">
        <v>11</v>
      </c>
      <c r="C198" s="24" t="s">
        <v>314</v>
      </c>
      <c r="D198" s="1"/>
      <c r="E198" s="1"/>
      <c r="F198" s="1"/>
      <c r="G198" s="1"/>
      <c r="H198" s="1"/>
      <c r="I198" s="1" t="s">
        <v>62</v>
      </c>
      <c r="J198" s="16">
        <f>ROUND(J197*J196,5)</f>
        <v>0.90153000000000005</v>
      </c>
      <c r="M198" s="2"/>
      <c r="N198" s="275"/>
      <c r="O198" s="16"/>
    </row>
    <row r="199" spans="1:15">
      <c r="A199" s="438"/>
      <c r="D199" s="1"/>
      <c r="E199" s="2"/>
      <c r="F199" s="2"/>
      <c r="G199" s="2"/>
      <c r="H199" s="4"/>
      <c r="I199" s="2"/>
      <c r="M199" s="2"/>
      <c r="N199" s="358"/>
      <c r="O199" s="2"/>
    </row>
    <row r="200" spans="1:15" ht="15.75">
      <c r="A200" s="438" t="s">
        <v>7</v>
      </c>
      <c r="C200" s="10" t="s">
        <v>587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358"/>
      <c r="O200" s="2"/>
    </row>
    <row r="201" spans="1:15" ht="15.75" thickBot="1">
      <c r="A201" s="438" t="s">
        <v>7</v>
      </c>
      <c r="C201" s="1"/>
      <c r="D201" s="35" t="s">
        <v>65</v>
      </c>
      <c r="E201" s="36" t="s">
        <v>66</v>
      </c>
      <c r="F201" s="36" t="s">
        <v>14</v>
      </c>
      <c r="G201" s="2"/>
      <c r="H201" s="36" t="s">
        <v>67</v>
      </c>
      <c r="I201" s="2"/>
      <c r="J201" s="2"/>
      <c r="K201" s="2"/>
      <c r="L201" s="2"/>
      <c r="M201" s="2"/>
      <c r="N201" s="358"/>
      <c r="O201" s="2"/>
    </row>
    <row r="202" spans="1:15">
      <c r="A202" s="438">
        <v>12</v>
      </c>
      <c r="C202" s="1" t="s">
        <v>29</v>
      </c>
      <c r="D202" s="358" t="s">
        <v>68</v>
      </c>
      <c r="E202" s="228">
        <f>INPUT!C109</f>
        <v>2180553</v>
      </c>
      <c r="F202" s="55">
        <v>0</v>
      </c>
      <c r="G202" s="18"/>
      <c r="H202" s="2">
        <f>E202*F202</f>
        <v>0</v>
      </c>
      <c r="I202" s="2"/>
      <c r="J202" s="2"/>
      <c r="K202" s="2"/>
      <c r="L202" s="2"/>
      <c r="M202" s="2"/>
      <c r="N202" s="358"/>
      <c r="O202" s="2"/>
    </row>
    <row r="203" spans="1:15">
      <c r="A203" s="438">
        <v>13</v>
      </c>
      <c r="C203" s="1" t="s">
        <v>31</v>
      </c>
      <c r="D203" s="358" t="s">
        <v>187</v>
      </c>
      <c r="E203" s="228">
        <f>INPUT!C110</f>
        <v>6529507</v>
      </c>
      <c r="F203" s="18">
        <f>J188</f>
        <v>1</v>
      </c>
      <c r="G203" s="18"/>
      <c r="H203" s="2">
        <f>E203*F203</f>
        <v>6529507</v>
      </c>
      <c r="I203" s="2"/>
      <c r="J203" s="2"/>
      <c r="K203" s="2"/>
      <c r="L203" s="2"/>
      <c r="M203" s="1"/>
      <c r="N203" s="969"/>
      <c r="O203" s="4"/>
    </row>
    <row r="204" spans="1:15">
      <c r="A204" s="438">
        <v>14</v>
      </c>
      <c r="C204" s="1" t="s">
        <v>32</v>
      </c>
      <c r="D204" s="358" t="s">
        <v>188</v>
      </c>
      <c r="E204" s="228">
        <f>INPUT!C111</f>
        <v>20825884</v>
      </c>
      <c r="F204" s="55">
        <v>0</v>
      </c>
      <c r="G204" s="18"/>
      <c r="H204" s="2">
        <f>E204*F204</f>
        <v>0</v>
      </c>
      <c r="I204" s="2"/>
      <c r="J204" s="4" t="s">
        <v>603</v>
      </c>
      <c r="K204" s="2"/>
      <c r="L204" s="2"/>
      <c r="M204" s="2"/>
      <c r="N204" s="969"/>
      <c r="O204" s="4"/>
    </row>
    <row r="205" spans="1:15" ht="15.75" thickBot="1">
      <c r="A205" s="438">
        <v>15</v>
      </c>
      <c r="C205" s="1" t="s">
        <v>69</v>
      </c>
      <c r="D205" s="358" t="s">
        <v>189</v>
      </c>
      <c r="E205" s="151">
        <f>INPUT!C112</f>
        <v>10137512</v>
      </c>
      <c r="F205" s="55">
        <v>0</v>
      </c>
      <c r="G205" s="18"/>
      <c r="H205" s="35">
        <f>E205*F205</f>
        <v>0</v>
      </c>
      <c r="I205" s="2"/>
      <c r="J205" s="32" t="s">
        <v>70</v>
      </c>
      <c r="K205" s="2"/>
      <c r="L205" s="2"/>
      <c r="M205" s="2"/>
      <c r="N205" s="970"/>
      <c r="O205" s="26"/>
    </row>
    <row r="206" spans="1:15">
      <c r="A206" s="438">
        <v>16</v>
      </c>
      <c r="C206" s="1" t="s">
        <v>592</v>
      </c>
      <c r="D206" s="358"/>
      <c r="E206" s="147">
        <f>SUM(E202:E205)</f>
        <v>39673456</v>
      </c>
      <c r="F206" s="2"/>
      <c r="G206" s="2"/>
      <c r="H206" s="2">
        <f>SUM(H202:H205)</f>
        <v>6529507</v>
      </c>
      <c r="I206" s="3" t="s">
        <v>71</v>
      </c>
      <c r="J206" s="11">
        <f>IF(H206&gt;0,ROUND(H206/E206,5),0)</f>
        <v>0.16458</v>
      </c>
      <c r="K206" s="4" t="s">
        <v>71</v>
      </c>
      <c r="L206" s="2" t="s">
        <v>142</v>
      </c>
      <c r="M206" s="2"/>
      <c r="N206" s="968"/>
      <c r="O206" s="11"/>
    </row>
    <row r="207" spans="1:15">
      <c r="A207" s="438"/>
      <c r="C207" s="1"/>
      <c r="D207" s="358"/>
      <c r="E207" s="2"/>
      <c r="F207" s="2"/>
      <c r="G207" s="2"/>
      <c r="H207" s="2"/>
      <c r="I207" s="2"/>
      <c r="J207" s="2"/>
      <c r="K207" s="2"/>
      <c r="L207" s="2"/>
      <c r="M207" s="2" t="s">
        <v>7</v>
      </c>
      <c r="N207" s="358"/>
      <c r="O207" s="2"/>
    </row>
    <row r="208" spans="1:15" ht="15.75">
      <c r="A208" s="438"/>
      <c r="C208" s="255" t="s">
        <v>332</v>
      </c>
      <c r="D208" s="358"/>
      <c r="E208" s="2"/>
      <c r="F208" s="2"/>
      <c r="G208" s="2"/>
      <c r="M208" s="2"/>
      <c r="N208" s="360"/>
    </row>
    <row r="209" spans="1:15" ht="15.75" thickBot="1">
      <c r="A209" s="438"/>
      <c r="C209" s="1"/>
      <c r="D209" s="358"/>
      <c r="E209" s="36" t="s">
        <v>66</v>
      </c>
      <c r="F209" s="2"/>
      <c r="G209" s="2"/>
      <c r="H209" s="4" t="s">
        <v>72</v>
      </c>
      <c r="I209" s="13" t="s">
        <v>7</v>
      </c>
      <c r="J209" s="15" t="str">
        <f>J204</f>
        <v>WS Allocator</v>
      </c>
      <c r="M209" s="2"/>
      <c r="N209" s="971"/>
      <c r="O209" s="15"/>
    </row>
    <row r="210" spans="1:15">
      <c r="A210" s="438">
        <v>17</v>
      </c>
      <c r="C210" s="1" t="s">
        <v>73</v>
      </c>
      <c r="D210" s="358" t="s">
        <v>74</v>
      </c>
      <c r="E210" s="228">
        <f>INPUT!C117</f>
        <v>4180898255</v>
      </c>
      <c r="F210" s="2"/>
      <c r="H210" s="26" t="s">
        <v>599</v>
      </c>
      <c r="I210" s="28"/>
      <c r="J210" s="26" t="s">
        <v>75</v>
      </c>
      <c r="K210" s="2"/>
      <c r="L210" s="277" t="s">
        <v>76</v>
      </c>
      <c r="M210" s="2"/>
      <c r="N210" s="970"/>
      <c r="O210" s="26"/>
    </row>
    <row r="211" spans="1:15">
      <c r="A211" s="438">
        <v>18</v>
      </c>
      <c r="C211" s="1" t="s">
        <v>77</v>
      </c>
      <c r="D211" s="358" t="s">
        <v>167</v>
      </c>
      <c r="E211" s="228">
        <f>INPUT!C118</f>
        <v>2253162454</v>
      </c>
      <c r="F211" s="2"/>
      <c r="H211" s="16">
        <f>IF(E213&gt;0,ROUND(E210/E213,5),0)</f>
        <v>0.64981</v>
      </c>
      <c r="I211" s="4" t="s">
        <v>78</v>
      </c>
      <c r="J211" s="16">
        <f>DEO_WS_Alloc</f>
        <v>0.16458</v>
      </c>
      <c r="K211" s="13" t="s">
        <v>71</v>
      </c>
      <c r="L211" s="278">
        <f>ROUND(J211*H211,5)</f>
        <v>0.10695</v>
      </c>
      <c r="M211" s="2"/>
      <c r="N211" s="275"/>
      <c r="O211" s="16"/>
    </row>
    <row r="212" spans="1:15" ht="15.75" thickBot="1">
      <c r="A212" s="438">
        <v>19</v>
      </c>
      <c r="C212" s="42" t="s">
        <v>79</v>
      </c>
      <c r="D212" s="430" t="s">
        <v>168</v>
      </c>
      <c r="E212" s="151">
        <f>INPUT!C119</f>
        <v>0</v>
      </c>
      <c r="F212" s="2"/>
      <c r="G212" s="2"/>
      <c r="H212" s="2" t="s">
        <v>7</v>
      </c>
      <c r="I212" s="2"/>
      <c r="J212" s="2"/>
      <c r="K212" s="2"/>
      <c r="L212" s="2"/>
      <c r="M212" s="2"/>
      <c r="N212" s="358"/>
      <c r="O212" s="2"/>
    </row>
    <row r="213" spans="1:15">
      <c r="A213" s="438">
        <v>20</v>
      </c>
      <c r="C213" s="1" t="s">
        <v>126</v>
      </c>
      <c r="D213" s="2"/>
      <c r="E213" s="147">
        <f>E210+E211+E212</f>
        <v>6434060709</v>
      </c>
      <c r="F213" s="2"/>
      <c r="G213" s="2"/>
      <c r="H213" s="2"/>
      <c r="I213" s="2"/>
      <c r="J213" s="2"/>
      <c r="K213" s="2"/>
      <c r="L213" s="2"/>
      <c r="M213" s="2"/>
      <c r="N213" s="358"/>
      <c r="O213" s="2"/>
    </row>
    <row r="214" spans="1:15">
      <c r="A214" s="438"/>
      <c r="C214" s="1"/>
      <c r="D214" s="2"/>
      <c r="F214" s="2"/>
      <c r="G214" s="2"/>
      <c r="H214" s="2"/>
      <c r="I214" s="2"/>
      <c r="J214" s="2"/>
      <c r="K214" s="2"/>
      <c r="L214" s="2"/>
      <c r="M214" s="2"/>
      <c r="N214" s="358"/>
      <c r="O214" s="2"/>
    </row>
    <row r="215" spans="1:15" ht="16.5" thickBot="1">
      <c r="A215" s="438"/>
      <c r="B215" s="24"/>
      <c r="C215" s="40" t="s">
        <v>80</v>
      </c>
      <c r="D215" s="2"/>
      <c r="E215" s="2"/>
      <c r="F215" s="2"/>
      <c r="G215" s="2"/>
      <c r="H215" s="2"/>
      <c r="I215" s="2"/>
      <c r="J215" s="36" t="s">
        <v>66</v>
      </c>
      <c r="K215" s="2"/>
      <c r="L215" s="2"/>
      <c r="M215" s="2"/>
      <c r="N215" s="969"/>
      <c r="O215" s="4"/>
    </row>
    <row r="216" spans="1:15">
      <c r="A216" s="438">
        <v>21</v>
      </c>
      <c r="B216" s="24"/>
      <c r="C216" s="24"/>
      <c r="D216" s="358" t="s">
        <v>179</v>
      </c>
      <c r="E216" s="2"/>
      <c r="F216" s="2"/>
      <c r="G216" s="2"/>
      <c r="H216" s="2"/>
      <c r="I216" s="2"/>
      <c r="J216" s="302">
        <f>INPUT!C129</f>
        <v>98692467</v>
      </c>
      <c r="K216" s="2"/>
      <c r="L216" s="2"/>
      <c r="M216" s="2"/>
      <c r="N216" s="973"/>
      <c r="O216" s="974"/>
    </row>
    <row r="217" spans="1:15">
      <c r="A217" s="438"/>
      <c r="C217" s="1"/>
      <c r="D217" s="358"/>
      <c r="E217" s="2"/>
      <c r="F217" s="2"/>
      <c r="G217" s="2"/>
      <c r="H217" s="2"/>
      <c r="I217" s="2"/>
      <c r="J217" s="147"/>
      <c r="K217" s="2"/>
      <c r="L217" s="2"/>
      <c r="M217" s="2"/>
      <c r="N217" s="395"/>
      <c r="O217" s="147"/>
    </row>
    <row r="218" spans="1:15">
      <c r="A218" s="438">
        <v>22</v>
      </c>
      <c r="B218" s="24"/>
      <c r="C218" s="24"/>
      <c r="D218" s="358" t="s">
        <v>180</v>
      </c>
      <c r="E218" s="2"/>
      <c r="F218" s="2"/>
      <c r="G218" s="2"/>
      <c r="H218" s="2"/>
      <c r="I218" s="2"/>
      <c r="J218" s="301">
        <f>INPUT!C131</f>
        <v>0</v>
      </c>
      <c r="K218" s="2"/>
      <c r="L218" s="2"/>
      <c r="M218" s="2"/>
      <c r="N218" s="975"/>
      <c r="O218" s="304"/>
    </row>
    <row r="219" spans="1:15">
      <c r="A219" s="438"/>
      <c r="B219" s="24"/>
      <c r="C219" s="24"/>
      <c r="D219" s="358"/>
      <c r="E219" s="2"/>
      <c r="F219" s="2"/>
      <c r="G219" s="2"/>
      <c r="H219" s="2"/>
      <c r="I219" s="2"/>
      <c r="J219" s="147"/>
      <c r="K219" s="2"/>
      <c r="L219" s="2"/>
      <c r="M219" s="2"/>
      <c r="N219" s="395"/>
      <c r="O219" s="147"/>
    </row>
    <row r="220" spans="1:15">
      <c r="A220" s="438"/>
      <c r="B220" s="24"/>
      <c r="C220" s="24" t="s">
        <v>81</v>
      </c>
      <c r="D220" s="358"/>
      <c r="E220" s="2"/>
      <c r="F220" s="2"/>
      <c r="G220" s="2"/>
      <c r="H220" s="2"/>
      <c r="I220" s="2"/>
      <c r="J220" s="147"/>
      <c r="K220" s="2"/>
      <c r="L220" s="2"/>
      <c r="M220" s="2"/>
      <c r="N220" s="395"/>
      <c r="O220" s="147"/>
    </row>
    <row r="221" spans="1:15">
      <c r="A221" s="438">
        <v>23</v>
      </c>
      <c r="B221" s="24"/>
      <c r="C221" s="24"/>
      <c r="D221" s="358" t="s">
        <v>173</v>
      </c>
      <c r="E221" s="24"/>
      <c r="F221" s="2"/>
      <c r="G221" s="2"/>
      <c r="H221" s="2"/>
      <c r="I221" s="2"/>
      <c r="J221" s="228">
        <f>INPUT!C134</f>
        <v>3198917340</v>
      </c>
      <c r="K221" s="2"/>
      <c r="L221" s="2"/>
      <c r="M221" s="2"/>
      <c r="N221" s="395"/>
      <c r="O221" s="147"/>
    </row>
    <row r="222" spans="1:15">
      <c r="A222" s="438">
        <v>24</v>
      </c>
      <c r="B222" s="24"/>
      <c r="C222" s="24"/>
      <c r="D222" s="358" t="s">
        <v>597</v>
      </c>
      <c r="E222" s="2"/>
      <c r="F222" s="2"/>
      <c r="G222" s="2"/>
      <c r="H222" s="2"/>
      <c r="I222" s="2"/>
      <c r="J222" s="228">
        <f>INPUT!C135</f>
        <v>0</v>
      </c>
      <c r="K222" s="2"/>
      <c r="L222" s="2"/>
      <c r="M222" s="2"/>
      <c r="N222" s="395"/>
      <c r="O222" s="147"/>
    </row>
    <row r="223" spans="1:15" ht="15.75" thickBot="1">
      <c r="A223" s="438">
        <v>25</v>
      </c>
      <c r="B223" s="24"/>
      <c r="C223" s="24"/>
      <c r="D223" s="358" t="s">
        <v>174</v>
      </c>
      <c r="E223" s="2"/>
      <c r="F223" s="2"/>
      <c r="G223" s="2"/>
      <c r="H223" s="2"/>
      <c r="I223" s="2"/>
      <c r="J223" s="151">
        <f>INPUT!C136</f>
        <v>-685419993</v>
      </c>
      <c r="K223" s="2"/>
      <c r="L223" s="2"/>
      <c r="M223" s="2"/>
      <c r="N223" s="395"/>
      <c r="O223" s="147"/>
    </row>
    <row r="224" spans="1:15">
      <c r="A224" s="438">
        <v>26</v>
      </c>
      <c r="B224" s="24"/>
      <c r="C224" s="24"/>
      <c r="D224" s="2" t="s">
        <v>598</v>
      </c>
      <c r="E224" s="24"/>
      <c r="F224" s="24"/>
      <c r="G224" s="24"/>
      <c r="H224" s="24"/>
      <c r="I224" s="24"/>
      <c r="J224" s="147">
        <f>J221+J222+J223</f>
        <v>2513497347</v>
      </c>
      <c r="K224" s="2"/>
      <c r="L224" s="2"/>
      <c r="M224" s="2"/>
      <c r="N224" s="395"/>
      <c r="O224" s="147"/>
    </row>
    <row r="225" spans="1:18">
      <c r="A225" s="438"/>
      <c r="C225" s="1"/>
      <c r="D225" s="2"/>
      <c r="E225" s="2"/>
      <c r="F225" s="2"/>
      <c r="G225" s="2"/>
      <c r="H225" s="4"/>
      <c r="I225" s="2"/>
      <c r="J225" s="2"/>
      <c r="K225" s="2"/>
      <c r="L225" s="2"/>
      <c r="M225" s="2"/>
      <c r="N225" s="970"/>
      <c r="O225" s="26"/>
    </row>
    <row r="226" spans="1:18" ht="15.75" thickBot="1">
      <c r="A226" s="438"/>
      <c r="C226" s="1"/>
      <c r="D226" s="26" t="s">
        <v>344</v>
      </c>
      <c r="E226" s="32" t="s">
        <v>66</v>
      </c>
      <c r="F226" s="32" t="s">
        <v>84</v>
      </c>
      <c r="G226" s="2"/>
      <c r="H226" s="32" t="s">
        <v>83</v>
      </c>
      <c r="I226" s="2"/>
      <c r="J226" s="32" t="s">
        <v>85</v>
      </c>
      <c r="K226" s="2"/>
      <c r="L226" s="2"/>
      <c r="M226" s="2"/>
      <c r="N226" s="976"/>
      <c r="O226" s="19"/>
    </row>
    <row r="227" spans="1:18">
      <c r="A227" s="438">
        <v>27</v>
      </c>
      <c r="C227" s="24" t="s">
        <v>175</v>
      </c>
      <c r="E227" s="228">
        <f>INPUT!C144</f>
        <v>2400000000</v>
      </c>
      <c r="F227" s="43">
        <f>IF($E$230&gt;0,E227/$E$230,0)</f>
        <v>0.48845045199125858</v>
      </c>
      <c r="G227" s="19"/>
      <c r="H227" s="19">
        <f>IF(E227&gt;0,J216/E227,0)</f>
        <v>4.1121861250000002E-2</v>
      </c>
      <c r="J227" s="19">
        <f>ROUND(H227*F227,4)</f>
        <v>2.01E-2</v>
      </c>
      <c r="K227" s="20" t="s">
        <v>86</v>
      </c>
      <c r="M227" s="2"/>
      <c r="N227" s="976"/>
      <c r="O227" s="19"/>
      <c r="Q227" s="439"/>
      <c r="R227" s="439"/>
    </row>
    <row r="228" spans="1:18">
      <c r="A228" s="438">
        <v>28</v>
      </c>
      <c r="C228" s="24" t="s">
        <v>176</v>
      </c>
      <c r="E228" s="228">
        <f>INPUT!C145</f>
        <v>0</v>
      </c>
      <c r="F228" s="43">
        <f>IF($E$230&gt;0,E228/$E$230,0)</f>
        <v>0</v>
      </c>
      <c r="G228" s="19"/>
      <c r="H228" s="19">
        <f>IF(E228&gt;0,J218/E228,0)</f>
        <v>0</v>
      </c>
      <c r="J228" s="19">
        <f>ROUND(H228*F228,4)</f>
        <v>0</v>
      </c>
      <c r="K228" s="2"/>
      <c r="M228" s="2"/>
      <c r="N228" s="976"/>
      <c r="O228" s="19"/>
      <c r="Q228" s="439"/>
      <c r="R228" s="439"/>
    </row>
    <row r="229" spans="1:18" ht="16.5" thickBot="1">
      <c r="A229" s="438">
        <v>29</v>
      </c>
      <c r="C229" s="24" t="s">
        <v>87</v>
      </c>
      <c r="E229" s="148">
        <f>J224</f>
        <v>2513497347</v>
      </c>
      <c r="F229" s="43">
        <f>IF($E$230&gt;0,E229/$E$230,0)</f>
        <v>0.51154954800874142</v>
      </c>
      <c r="G229" s="19"/>
      <c r="H229" s="140">
        <f>ROE</f>
        <v>0.10879999999999999</v>
      </c>
      <c r="J229" s="47">
        <f>ROUND(H229*F229,4)</f>
        <v>5.57E-2</v>
      </c>
      <c r="K229" s="2"/>
      <c r="L229" s="439"/>
      <c r="M229" s="2"/>
      <c r="N229" s="976"/>
      <c r="O229" s="19"/>
      <c r="Q229" s="439"/>
      <c r="R229" s="439"/>
    </row>
    <row r="230" spans="1:18">
      <c r="A230" s="438">
        <v>30</v>
      </c>
      <c r="C230" s="1" t="s">
        <v>144</v>
      </c>
      <c r="E230" s="147">
        <f>E229+E228+E227</f>
        <v>4913497347</v>
      </c>
      <c r="F230" s="2" t="s">
        <v>7</v>
      </c>
      <c r="G230" s="2"/>
      <c r="H230" s="2"/>
      <c r="I230" s="2"/>
      <c r="J230" s="19">
        <f>SUM(J227:J229)</f>
        <v>7.5800000000000006E-2</v>
      </c>
      <c r="K230" s="20" t="s">
        <v>88</v>
      </c>
      <c r="L230" s="439"/>
      <c r="M230" s="2"/>
      <c r="N230" s="976"/>
      <c r="O230" s="19"/>
      <c r="R230" s="439"/>
    </row>
    <row r="231" spans="1:18">
      <c r="F231" s="2"/>
      <c r="G231" s="2"/>
      <c r="H231" s="2"/>
      <c r="I231" s="2"/>
      <c r="M231" s="2"/>
      <c r="N231" s="360"/>
    </row>
    <row r="232" spans="1:18">
      <c r="L232" s="2"/>
      <c r="M232" s="2"/>
      <c r="N232" s="436"/>
      <c r="O232" s="24"/>
    </row>
    <row r="233" spans="1:18" ht="15.75">
      <c r="A233" s="438"/>
      <c r="C233" s="40" t="s">
        <v>89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"/>
      <c r="N233" s="970"/>
      <c r="O233" s="26"/>
    </row>
    <row r="234" spans="1:18" ht="15.75" thickBot="1">
      <c r="A234" s="438"/>
      <c r="C234" s="24"/>
      <c r="D234" s="24"/>
      <c r="E234" s="24"/>
      <c r="F234" s="24"/>
      <c r="G234" s="24"/>
      <c r="H234" s="24"/>
      <c r="I234" s="24"/>
      <c r="J234" s="32" t="s">
        <v>127</v>
      </c>
      <c r="K234" s="26"/>
      <c r="N234" s="977"/>
      <c r="O234" s="152"/>
    </row>
    <row r="235" spans="1:18">
      <c r="A235" s="438"/>
      <c r="C235" s="253" t="s">
        <v>356</v>
      </c>
      <c r="D235" s="24"/>
      <c r="E235" s="24" t="s">
        <v>90</v>
      </c>
      <c r="F235" s="24"/>
      <c r="G235" s="24"/>
      <c r="H235" s="29" t="s">
        <v>7</v>
      </c>
      <c r="I235" s="23"/>
      <c r="J235" s="152"/>
      <c r="K235" s="152"/>
      <c r="N235" s="978"/>
      <c r="O235" s="979"/>
    </row>
    <row r="236" spans="1:18">
      <c r="A236" s="438">
        <v>31</v>
      </c>
      <c r="C236" s="9" t="s">
        <v>124</v>
      </c>
      <c r="D236" s="24"/>
      <c r="E236" s="24"/>
      <c r="G236" s="24"/>
      <c r="I236" s="23"/>
      <c r="J236" s="269">
        <v>0</v>
      </c>
      <c r="K236" s="46"/>
      <c r="N236" s="978"/>
      <c r="O236" s="979"/>
    </row>
    <row r="237" spans="1:18" ht="15.75" thickBot="1">
      <c r="A237" s="438">
        <v>32</v>
      </c>
      <c r="C237" s="44" t="s">
        <v>335</v>
      </c>
      <c r="D237" s="42"/>
      <c r="E237" s="44"/>
      <c r="F237" s="41"/>
      <c r="G237" s="41"/>
      <c r="H237" s="41"/>
      <c r="I237" s="24"/>
      <c r="J237" s="270">
        <v>0</v>
      </c>
      <c r="K237" s="153"/>
      <c r="N237" s="980"/>
      <c r="O237" s="46"/>
    </row>
    <row r="238" spans="1:18">
      <c r="A238" s="438">
        <v>33</v>
      </c>
      <c r="C238" s="9" t="s">
        <v>91</v>
      </c>
      <c r="D238" s="1"/>
      <c r="F238" s="24"/>
      <c r="G238" s="24"/>
      <c r="H238" s="24"/>
      <c r="I238" s="24"/>
      <c r="J238" s="46">
        <f>J236-J237</f>
        <v>0</v>
      </c>
      <c r="K238" s="46"/>
      <c r="N238" s="395"/>
      <c r="O238" s="159"/>
    </row>
    <row r="239" spans="1:18">
      <c r="A239" s="438"/>
      <c r="C239" s="9" t="s">
        <v>7</v>
      </c>
      <c r="D239" s="1"/>
      <c r="F239" s="24"/>
      <c r="G239" s="24"/>
      <c r="H239" s="37"/>
      <c r="I239" s="24"/>
      <c r="J239" s="33" t="s">
        <v>7</v>
      </c>
      <c r="K239" s="152"/>
      <c r="L239" s="34"/>
      <c r="M239" s="2"/>
      <c r="N239" s="395"/>
      <c r="O239" s="159"/>
    </row>
    <row r="240" spans="1:18">
      <c r="A240" s="438">
        <v>34</v>
      </c>
      <c r="C240" s="253" t="s">
        <v>357</v>
      </c>
      <c r="D240" s="1"/>
      <c r="F240" s="24"/>
      <c r="G240" s="24"/>
      <c r="H240" s="45"/>
      <c r="I240" s="24"/>
      <c r="J240" s="68">
        <f>ROUND('P8 Rev Cred Support'!E28,0)</f>
        <v>282197</v>
      </c>
      <c r="K240" s="152"/>
      <c r="L240" s="34"/>
      <c r="M240" s="2"/>
      <c r="N240" s="395"/>
      <c r="O240" s="159"/>
    </row>
    <row r="241" spans="1:15">
      <c r="A241" s="438"/>
      <c r="D241" s="24"/>
      <c r="E241" s="24"/>
      <c r="F241" s="24"/>
      <c r="G241" s="24"/>
      <c r="H241" s="24"/>
      <c r="I241" s="24"/>
      <c r="J241" s="51"/>
      <c r="K241" s="152"/>
      <c r="L241" s="34"/>
      <c r="M241" s="2"/>
      <c r="N241" s="395"/>
      <c r="O241" s="435"/>
    </row>
    <row r="242" spans="1:15">
      <c r="A242" s="438">
        <v>35</v>
      </c>
      <c r="C242" s="253" t="s">
        <v>370</v>
      </c>
      <c r="D242" s="24"/>
      <c r="E242" s="24" t="s">
        <v>92</v>
      </c>
      <c r="F242" s="24"/>
      <c r="G242" s="24"/>
      <c r="H242" s="24"/>
      <c r="I242" s="24"/>
      <c r="J242" s="68">
        <f>'P8 Rev Cred Support'!E47</f>
        <v>1854954</v>
      </c>
      <c r="L242" s="34"/>
      <c r="M242" s="2"/>
      <c r="N242" s="395"/>
      <c r="O242" s="159"/>
    </row>
    <row r="243" spans="1:15">
      <c r="A243" s="438">
        <v>36</v>
      </c>
      <c r="C243" s="253" t="s">
        <v>588</v>
      </c>
      <c r="D243" s="24"/>
      <c r="E243" s="24" t="s">
        <v>92</v>
      </c>
      <c r="F243" s="24"/>
      <c r="G243" s="24"/>
      <c r="H243" s="24"/>
      <c r="I243" s="24"/>
      <c r="J243" s="68">
        <f>'P8 Rev Cred Support'!E40</f>
        <v>1406967</v>
      </c>
      <c r="K243" s="26"/>
      <c r="L243" s="25"/>
      <c r="M243" s="26"/>
      <c r="N243" s="395"/>
      <c r="O243" s="159"/>
    </row>
    <row r="244" spans="1:15">
      <c r="A244" s="438"/>
      <c r="C244" s="253"/>
      <c r="D244" s="24"/>
      <c r="E244" s="24"/>
      <c r="F244" s="24"/>
      <c r="G244" s="24"/>
      <c r="H244" s="24"/>
      <c r="I244" s="24"/>
      <c r="J244" s="435"/>
      <c r="K244" s="26"/>
      <c r="L244" s="61"/>
      <c r="M244" s="26"/>
      <c r="N244" s="360"/>
    </row>
    <row r="245" spans="1:15" ht="18">
      <c r="A245" s="440"/>
      <c r="C245" s="24"/>
      <c r="D245" s="24"/>
      <c r="E245" s="25"/>
      <c r="F245" s="24"/>
      <c r="G245" s="24"/>
      <c r="H245" s="24"/>
      <c r="I245" s="24"/>
      <c r="J245" s="50" t="s">
        <v>299</v>
      </c>
      <c r="K245" s="60"/>
      <c r="M245" s="60"/>
      <c r="N245" s="461"/>
      <c r="O245" s="50"/>
    </row>
    <row r="246" spans="1:15">
      <c r="C246" s="24"/>
      <c r="D246" s="24"/>
      <c r="E246" s="25"/>
      <c r="F246" s="24"/>
      <c r="G246" s="24"/>
      <c r="H246" s="24"/>
      <c r="I246" s="24"/>
      <c r="J246" s="50" t="s">
        <v>410</v>
      </c>
      <c r="M246" s="50"/>
      <c r="N246" s="461"/>
      <c r="O246" s="50"/>
    </row>
    <row r="247" spans="1:15">
      <c r="C247" s="24"/>
      <c r="D247" s="24"/>
      <c r="E247" s="25"/>
      <c r="F247" s="24"/>
      <c r="G247" s="24"/>
      <c r="H247" s="24"/>
      <c r="I247" s="24"/>
      <c r="J247" s="50"/>
      <c r="M247" s="50"/>
      <c r="N247" s="461"/>
      <c r="O247" s="50"/>
    </row>
    <row r="248" spans="1:15">
      <c r="C248" s="24"/>
      <c r="D248" s="24"/>
      <c r="E248" s="25"/>
      <c r="F248" s="24"/>
      <c r="G248" s="24"/>
      <c r="H248" s="24"/>
      <c r="I248" s="24"/>
      <c r="M248" s="50"/>
      <c r="N248" s="360"/>
    </row>
    <row r="249" spans="1:15">
      <c r="C249" s="24"/>
      <c r="D249" s="24"/>
      <c r="E249" s="25"/>
      <c r="F249" s="24"/>
      <c r="G249" s="24"/>
      <c r="H249" s="24"/>
      <c r="I249" s="24"/>
      <c r="K249" s="1"/>
      <c r="M249" s="50"/>
      <c r="N249" s="360"/>
    </row>
    <row r="250" spans="1:15">
      <c r="C250" s="24"/>
      <c r="D250" s="24"/>
      <c r="E250" s="25"/>
      <c r="F250" s="24"/>
      <c r="G250" s="24"/>
      <c r="H250" s="24"/>
      <c r="I250" s="24"/>
      <c r="J250" s="50"/>
      <c r="K250" s="1"/>
      <c r="M250" s="50"/>
      <c r="N250" s="461"/>
      <c r="O250" s="50"/>
    </row>
    <row r="251" spans="1:15">
      <c r="C251" s="24" t="s">
        <v>6</v>
      </c>
      <c r="D251" s="24"/>
      <c r="E251" s="25"/>
      <c r="F251" s="24"/>
      <c r="G251" s="24"/>
      <c r="H251" s="24"/>
      <c r="I251" s="24"/>
      <c r="J251" s="61" t="str">
        <f>$J$7</f>
        <v>For the 12 months ended: 12/31/2020</v>
      </c>
      <c r="K251" s="1"/>
      <c r="M251" s="50"/>
      <c r="N251" s="462"/>
      <c r="O251" s="61"/>
    </row>
    <row r="252" spans="1:15">
      <c r="A252" s="441" t="str">
        <f>$A$8</f>
        <v>Rate Formula Template</v>
      </c>
      <c r="B252" s="70"/>
      <c r="C252" s="70"/>
      <c r="D252" s="144"/>
      <c r="E252" s="70"/>
      <c r="F252" s="144"/>
      <c r="G252" s="144"/>
      <c r="H252" s="144"/>
      <c r="I252" s="144"/>
      <c r="J252" s="70"/>
      <c r="K252" s="24"/>
      <c r="L252" s="70"/>
      <c r="M252" s="1"/>
      <c r="N252" s="185"/>
      <c r="O252" s="144"/>
    </row>
    <row r="253" spans="1:15">
      <c r="A253" s="442" t="s">
        <v>270</v>
      </c>
      <c r="B253" s="70"/>
      <c r="C253" s="144"/>
      <c r="D253" s="145"/>
      <c r="E253" s="70"/>
      <c r="F253" s="145"/>
      <c r="G253" s="145"/>
      <c r="H253" s="145"/>
      <c r="I253" s="144"/>
      <c r="J253" s="144"/>
      <c r="K253" s="24"/>
      <c r="L253" s="146"/>
      <c r="M253" s="1"/>
      <c r="N253" s="226"/>
      <c r="O253" s="146"/>
    </row>
    <row r="254" spans="1:15">
      <c r="A254" s="442"/>
      <c r="B254" s="70"/>
      <c r="C254" s="146"/>
      <c r="D254" s="146"/>
      <c r="E254" s="70"/>
      <c r="F254" s="146"/>
      <c r="G254" s="146"/>
      <c r="H254" s="146"/>
      <c r="I254" s="146"/>
      <c r="J254" s="146"/>
      <c r="K254" s="24"/>
      <c r="L254" s="146"/>
      <c r="M254" s="24"/>
      <c r="N254" s="226"/>
      <c r="O254" s="146"/>
    </row>
    <row r="255" spans="1:15" ht="15.75">
      <c r="A255" s="443" t="str">
        <f>$A$11</f>
        <v>DUKE ENERGY OHIO (DEO)</v>
      </c>
      <c r="B255" s="70"/>
      <c r="C255" s="146"/>
      <c r="D255" s="146"/>
      <c r="E255" s="70"/>
      <c r="F255" s="146"/>
      <c r="G255" s="146"/>
      <c r="H255" s="146"/>
      <c r="I255" s="146"/>
      <c r="J255" s="146"/>
      <c r="K255" s="24"/>
      <c r="L255" s="146"/>
      <c r="M255" s="24"/>
      <c r="N255" s="981"/>
      <c r="O255" s="155"/>
    </row>
    <row r="256" spans="1:15">
      <c r="A256" s="438"/>
      <c r="B256" s="24"/>
      <c r="C256" s="31"/>
      <c r="D256" s="26"/>
      <c r="E256" s="2"/>
      <c r="F256" s="2"/>
      <c r="G256" s="2"/>
      <c r="H256" s="2"/>
      <c r="I256" s="24"/>
      <c r="J256" s="155"/>
      <c r="K256" s="24"/>
      <c r="L256" s="154"/>
      <c r="M256" s="24"/>
      <c r="N256" s="358"/>
      <c r="O256" s="2"/>
    </row>
    <row r="257" spans="1:15" ht="20.25">
      <c r="A257" s="438"/>
      <c r="B257" s="24"/>
      <c r="C257" s="24" t="s">
        <v>93</v>
      </c>
      <c r="D257" s="26"/>
      <c r="E257" s="2"/>
      <c r="F257" s="2"/>
      <c r="G257" s="2"/>
      <c r="H257" s="2"/>
      <c r="I257" s="24"/>
      <c r="J257" s="2"/>
      <c r="K257" s="24"/>
      <c r="L257" s="2"/>
      <c r="M257" s="156"/>
      <c r="N257" s="358"/>
      <c r="O257" s="2"/>
    </row>
    <row r="258" spans="1:15" ht="20.25">
      <c r="A258" s="438"/>
      <c r="B258" s="24"/>
      <c r="C258" s="24" t="s">
        <v>585</v>
      </c>
      <c r="D258" s="24"/>
      <c r="E258" s="2"/>
      <c r="F258" s="2"/>
      <c r="G258" s="2"/>
      <c r="H258" s="2"/>
      <c r="I258" s="24"/>
      <c r="J258" s="2"/>
      <c r="K258" s="24"/>
      <c r="L258" s="2"/>
      <c r="M258" s="156"/>
      <c r="N258" s="358"/>
      <c r="O258" s="2"/>
    </row>
    <row r="259" spans="1:15" ht="20.25">
      <c r="A259" s="444" t="s">
        <v>584</v>
      </c>
      <c r="B259" s="24"/>
      <c r="C259" s="24"/>
      <c r="D259" s="24"/>
      <c r="E259" s="2"/>
      <c r="F259" s="2"/>
      <c r="G259" s="2"/>
      <c r="H259" s="2"/>
      <c r="I259" s="24"/>
      <c r="J259" s="2"/>
      <c r="K259" s="24"/>
      <c r="L259" s="2"/>
      <c r="M259" s="156"/>
      <c r="N259" s="358"/>
      <c r="O259" s="2"/>
    </row>
    <row r="260" spans="1:15" ht="20.25">
      <c r="A260" s="438" t="s">
        <v>96</v>
      </c>
      <c r="B260" s="24"/>
      <c r="C260" s="466" t="s">
        <v>988</v>
      </c>
      <c r="D260" s="367"/>
      <c r="E260" s="368"/>
      <c r="F260" s="368"/>
      <c r="G260" s="368"/>
      <c r="H260" s="368"/>
      <c r="I260" s="367"/>
      <c r="J260" s="368"/>
      <c r="K260" s="367"/>
      <c r="L260" s="368"/>
      <c r="M260" s="156"/>
      <c r="N260" s="358"/>
      <c r="O260" s="2"/>
    </row>
    <row r="261" spans="1:15" ht="20.25">
      <c r="A261" s="438" t="s">
        <v>97</v>
      </c>
      <c r="B261" s="24"/>
      <c r="C261" s="466" t="s">
        <v>989</v>
      </c>
      <c r="D261" s="24"/>
      <c r="E261" s="2"/>
      <c r="F261" s="2"/>
      <c r="G261" s="2"/>
      <c r="H261" s="2"/>
      <c r="I261" s="24"/>
      <c r="J261" s="2"/>
      <c r="K261" s="24"/>
      <c r="L261" s="2"/>
      <c r="M261" s="156"/>
      <c r="N261" s="358"/>
      <c r="O261" s="2"/>
    </row>
    <row r="262" spans="1:15" ht="20.25">
      <c r="A262" s="438" t="s">
        <v>98</v>
      </c>
      <c r="B262" s="24"/>
      <c r="C262" s="436" t="s">
        <v>295</v>
      </c>
      <c r="D262" s="24"/>
      <c r="E262" s="24"/>
      <c r="F262" s="24"/>
      <c r="G262" s="24"/>
      <c r="H262" s="24"/>
      <c r="I262" s="24"/>
      <c r="J262" s="2"/>
      <c r="K262" s="24"/>
      <c r="L262" s="24"/>
      <c r="M262" s="156"/>
      <c r="N262" s="358"/>
      <c r="O262" s="2"/>
    </row>
    <row r="263" spans="1:15" ht="20.25">
      <c r="A263" s="438" t="s">
        <v>99</v>
      </c>
      <c r="B263" s="24"/>
      <c r="C263" s="436" t="s">
        <v>295</v>
      </c>
      <c r="D263" s="24"/>
      <c r="E263" s="24"/>
      <c r="F263" s="24"/>
      <c r="G263" s="24"/>
      <c r="H263" s="24"/>
      <c r="I263" s="24"/>
      <c r="J263" s="2"/>
      <c r="K263" s="24"/>
      <c r="L263" s="24"/>
      <c r="M263" s="156"/>
      <c r="N263" s="358"/>
      <c r="O263" s="2"/>
    </row>
    <row r="264" spans="1:15" ht="20.25">
      <c r="A264" s="438" t="s">
        <v>100</v>
      </c>
      <c r="B264" s="24"/>
      <c r="C264" s="436" t="s">
        <v>571</v>
      </c>
      <c r="D264" s="24"/>
      <c r="E264" s="24"/>
      <c r="F264" s="24"/>
      <c r="G264" s="24"/>
      <c r="H264" s="24"/>
      <c r="I264" s="24"/>
      <c r="J264" s="2"/>
      <c r="K264" s="24"/>
      <c r="L264" s="24"/>
      <c r="M264" s="156"/>
      <c r="N264" s="358"/>
      <c r="O264" s="2"/>
    </row>
    <row r="265" spans="1:15" ht="20.25">
      <c r="A265" s="438"/>
      <c r="B265" s="24"/>
      <c r="C265" s="436" t="s">
        <v>572</v>
      </c>
      <c r="D265" s="24"/>
      <c r="E265" s="24"/>
      <c r="F265" s="24"/>
      <c r="G265" s="24"/>
      <c r="H265" s="24"/>
      <c r="I265" s="24"/>
      <c r="J265" s="2"/>
      <c r="K265" s="24"/>
      <c r="L265" s="24"/>
      <c r="M265" s="156"/>
      <c r="N265" s="358"/>
      <c r="O265" s="2"/>
    </row>
    <row r="266" spans="1:15" ht="20.25">
      <c r="A266" s="438"/>
      <c r="B266" s="24"/>
      <c r="C266" s="436" t="s">
        <v>573</v>
      </c>
      <c r="D266" s="24"/>
      <c r="E266" s="24"/>
      <c r="F266" s="24"/>
      <c r="G266" s="24"/>
      <c r="H266" s="24"/>
      <c r="I266" s="24"/>
      <c r="J266" s="2"/>
      <c r="K266" s="24"/>
      <c r="L266" s="24"/>
      <c r="M266" s="156"/>
      <c r="N266" s="358"/>
      <c r="O266" s="2"/>
    </row>
    <row r="267" spans="1:15" ht="20.25">
      <c r="A267" s="438"/>
      <c r="B267" s="24"/>
      <c r="C267" s="436" t="s">
        <v>574</v>
      </c>
      <c r="D267" s="24"/>
      <c r="E267" s="24"/>
      <c r="F267" s="24"/>
      <c r="G267" s="24"/>
      <c r="H267" s="24"/>
      <c r="I267" s="24"/>
      <c r="J267" s="2"/>
      <c r="K267" s="24"/>
      <c r="L267" s="24"/>
      <c r="M267" s="156"/>
      <c r="N267" s="358"/>
      <c r="O267" s="2"/>
    </row>
    <row r="268" spans="1:15" ht="20.25">
      <c r="A268" s="438"/>
      <c r="B268" s="24"/>
      <c r="C268" s="436" t="s">
        <v>575</v>
      </c>
      <c r="D268" s="24"/>
      <c r="E268" s="24"/>
      <c r="F268" s="24"/>
      <c r="G268" s="24"/>
      <c r="H268" s="24"/>
      <c r="I268" s="24"/>
      <c r="J268" s="2"/>
      <c r="K268" s="24"/>
      <c r="L268" s="24"/>
      <c r="M268" s="156"/>
      <c r="N268" s="358"/>
      <c r="O268" s="2"/>
    </row>
    <row r="269" spans="1:15" ht="20.25">
      <c r="A269" s="438" t="s">
        <v>101</v>
      </c>
      <c r="B269" s="24"/>
      <c r="C269" s="436" t="s">
        <v>213</v>
      </c>
      <c r="D269" s="24"/>
      <c r="E269" s="24"/>
      <c r="F269" s="24"/>
      <c r="G269" s="24"/>
      <c r="H269" s="24"/>
      <c r="I269" s="24"/>
      <c r="J269" s="2"/>
      <c r="K269" s="24"/>
      <c r="L269" s="24"/>
      <c r="M269" s="156"/>
      <c r="N269" s="2"/>
      <c r="O269" s="2"/>
    </row>
    <row r="270" spans="1:15" ht="20.25">
      <c r="A270" s="438"/>
      <c r="B270" s="24"/>
      <c r="C270" s="436" t="s">
        <v>896</v>
      </c>
      <c r="D270" s="24"/>
      <c r="E270" s="24"/>
      <c r="F270" s="24"/>
      <c r="G270" s="24"/>
      <c r="H270" s="24"/>
      <c r="I270" s="24"/>
      <c r="J270" s="2"/>
      <c r="K270" s="24"/>
      <c r="L270" s="24"/>
      <c r="M270" s="156"/>
      <c r="N270" s="24"/>
      <c r="O270" s="24"/>
    </row>
    <row r="271" spans="1:15" ht="20.25">
      <c r="A271" s="438"/>
      <c r="B271" s="24"/>
      <c r="C271" s="436" t="s">
        <v>833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156"/>
      <c r="N271" s="24"/>
      <c r="O271" s="24"/>
    </row>
    <row r="272" spans="1:15" ht="20.25">
      <c r="A272" s="438"/>
      <c r="B272" s="24"/>
      <c r="C272" s="436" t="s">
        <v>872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156"/>
      <c r="N272" s="24"/>
      <c r="O272" s="24"/>
    </row>
    <row r="273" spans="1:15" ht="20.25">
      <c r="A273" s="438" t="s">
        <v>102</v>
      </c>
      <c r="B273" s="24"/>
      <c r="C273" s="436" t="s">
        <v>931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156"/>
      <c r="N273" s="24"/>
      <c r="O273" s="24"/>
    </row>
    <row r="274" spans="1:15" ht="20.25">
      <c r="A274" s="438" t="s">
        <v>103</v>
      </c>
      <c r="B274" s="24"/>
      <c r="C274" s="436" t="s">
        <v>104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156"/>
      <c r="N274" s="24"/>
      <c r="O274" s="24"/>
    </row>
    <row r="275" spans="1:15" ht="20.25">
      <c r="A275" s="438"/>
      <c r="B275" s="24"/>
      <c r="C275" s="436" t="s">
        <v>301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156"/>
      <c r="N275" s="24"/>
      <c r="O275" s="24"/>
    </row>
    <row r="276" spans="1:15" ht="20.25">
      <c r="A276" s="438" t="s">
        <v>105</v>
      </c>
      <c r="B276" s="24"/>
      <c r="C276" s="436" t="s">
        <v>323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156"/>
      <c r="N276" s="24"/>
      <c r="O276" s="24"/>
    </row>
    <row r="277" spans="1:15" ht="20.25">
      <c r="A277" s="438"/>
      <c r="B277" s="24"/>
      <c r="C277" s="360" t="s">
        <v>324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156"/>
      <c r="N277" s="24"/>
      <c r="O277" s="24"/>
    </row>
    <row r="278" spans="1:15" ht="20.25">
      <c r="A278" s="438" t="s">
        <v>106</v>
      </c>
      <c r="B278" s="24"/>
      <c r="C278" s="436" t="s">
        <v>325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156"/>
      <c r="N278" s="24"/>
      <c r="O278" s="24"/>
    </row>
    <row r="279" spans="1:15" ht="20.25">
      <c r="A279" s="438"/>
      <c r="B279" s="24"/>
      <c r="C279" s="436" t="s">
        <v>326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156"/>
      <c r="N279" s="24"/>
      <c r="O279" s="24"/>
    </row>
    <row r="280" spans="1:15" ht="20.25">
      <c r="A280" s="438" t="s">
        <v>107</v>
      </c>
      <c r="B280" s="24"/>
      <c r="C280" s="436" t="s">
        <v>499</v>
      </c>
      <c r="D280" s="24"/>
      <c r="E280" s="24"/>
      <c r="F280" s="24"/>
      <c r="G280" s="24"/>
      <c r="H280" s="24"/>
      <c r="I280" s="24"/>
      <c r="J280" s="24"/>
      <c r="K280" s="24"/>
      <c r="L280" s="24"/>
      <c r="M280" s="156"/>
      <c r="N280" s="24"/>
      <c r="O280" s="24"/>
    </row>
    <row r="281" spans="1:15" ht="20.25">
      <c r="A281" s="438"/>
      <c r="B281" s="24"/>
      <c r="C281" s="436" t="s">
        <v>327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156"/>
      <c r="N281" s="24"/>
      <c r="O281" s="24"/>
    </row>
    <row r="282" spans="1:15" ht="20.25">
      <c r="A282" s="438"/>
      <c r="B282" s="24"/>
      <c r="C282" s="436" t="s">
        <v>328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156"/>
      <c r="N282" s="24"/>
      <c r="O282" s="24"/>
    </row>
    <row r="283" spans="1:15" ht="20.25">
      <c r="A283" s="438"/>
      <c r="B283" s="24"/>
      <c r="C283" s="436" t="s">
        <v>329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156"/>
      <c r="N283" s="24"/>
      <c r="O283" s="24"/>
    </row>
    <row r="284" spans="1:15" ht="20.25">
      <c r="A284" s="438"/>
      <c r="B284" s="24"/>
      <c r="C284" s="436" t="s">
        <v>830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156"/>
      <c r="N284" s="24"/>
      <c r="O284" s="24"/>
    </row>
    <row r="285" spans="1:15" ht="20.25">
      <c r="A285" s="438"/>
      <c r="B285" s="24"/>
      <c r="C285" s="436"/>
      <c r="D285" s="24"/>
      <c r="E285" s="24"/>
      <c r="F285" s="24"/>
      <c r="G285" s="24"/>
      <c r="H285" s="24"/>
      <c r="I285" s="24"/>
      <c r="J285" s="24"/>
      <c r="K285" s="24"/>
      <c r="L285" s="24"/>
      <c r="M285" s="156"/>
      <c r="N285" s="24"/>
      <c r="O285" s="24"/>
    </row>
    <row r="286" spans="1:15" ht="20.25">
      <c r="A286" s="438" t="s">
        <v>7</v>
      </c>
      <c r="B286" s="24"/>
      <c r="C286" s="436" t="s">
        <v>139</v>
      </c>
      <c r="D286" s="436" t="s">
        <v>130</v>
      </c>
      <c r="E286" s="307">
        <f>FIT</f>
        <v>0.21</v>
      </c>
      <c r="F286" s="24"/>
      <c r="G286" s="24"/>
      <c r="H286" s="24"/>
      <c r="I286" s="24"/>
      <c r="J286" s="24"/>
      <c r="K286" s="24"/>
      <c r="L286" s="24"/>
      <c r="M286" s="156"/>
      <c r="N286" s="24"/>
      <c r="O286" s="24"/>
    </row>
    <row r="287" spans="1:15" ht="20.25">
      <c r="A287" s="438"/>
      <c r="B287" s="24"/>
      <c r="C287" s="436"/>
      <c r="D287" s="436" t="s">
        <v>131</v>
      </c>
      <c r="E287" s="246">
        <f>INPUT!C88</f>
        <v>0</v>
      </c>
      <c r="F287" s="24" t="s">
        <v>132</v>
      </c>
      <c r="G287" s="24"/>
      <c r="H287" s="24"/>
      <c r="I287" s="24"/>
      <c r="J287" s="24"/>
      <c r="K287" s="24"/>
      <c r="L287" s="24"/>
      <c r="M287" s="156"/>
      <c r="N287" s="24"/>
      <c r="O287" s="24"/>
    </row>
    <row r="288" spans="1:15" ht="20.25">
      <c r="A288" s="438"/>
      <c r="B288" s="24"/>
      <c r="C288" s="436"/>
      <c r="D288" s="436" t="s">
        <v>133</v>
      </c>
      <c r="E288" s="245">
        <v>0</v>
      </c>
      <c r="F288" s="24" t="s">
        <v>134</v>
      </c>
      <c r="G288" s="24"/>
      <c r="H288" s="24"/>
      <c r="I288" s="24"/>
      <c r="J288" s="24"/>
      <c r="K288" s="24"/>
      <c r="L288" s="24"/>
      <c r="M288" s="156"/>
      <c r="N288" s="24"/>
      <c r="O288" s="24"/>
    </row>
    <row r="289" spans="1:15" ht="20.25">
      <c r="A289" s="438" t="s">
        <v>108</v>
      </c>
      <c r="B289" s="24"/>
      <c r="C289" s="436" t="s">
        <v>604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156"/>
      <c r="N289" s="24"/>
      <c r="O289" s="24"/>
    </row>
    <row r="290" spans="1:15" ht="20.25">
      <c r="A290" s="438" t="s">
        <v>109</v>
      </c>
      <c r="B290" s="24"/>
      <c r="C290" s="436" t="s">
        <v>110</v>
      </c>
      <c r="D290" s="24"/>
      <c r="E290" s="24"/>
      <c r="F290" s="24"/>
      <c r="G290" s="24"/>
      <c r="H290" s="24"/>
      <c r="I290" s="24"/>
      <c r="J290" s="24"/>
      <c r="K290" s="24"/>
      <c r="L290" s="24"/>
      <c r="M290" s="156"/>
      <c r="N290" s="24"/>
      <c r="O290" s="24"/>
    </row>
    <row r="291" spans="1:15" ht="20.25">
      <c r="A291" s="438"/>
      <c r="B291" s="24"/>
      <c r="C291" s="436" t="s">
        <v>394</v>
      </c>
      <c r="D291" s="24"/>
      <c r="E291" s="24"/>
      <c r="F291" s="24"/>
      <c r="G291" s="24"/>
      <c r="H291" s="24"/>
      <c r="I291" s="24"/>
      <c r="J291" s="24"/>
      <c r="K291" s="24"/>
      <c r="L291" s="24"/>
      <c r="M291" s="156"/>
      <c r="N291" s="24"/>
      <c r="O291" s="24"/>
    </row>
    <row r="292" spans="1:15" ht="20.25">
      <c r="A292" s="438" t="s">
        <v>111</v>
      </c>
      <c r="B292" s="24"/>
      <c r="C292" s="436" t="s">
        <v>146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156"/>
      <c r="N292" s="24"/>
      <c r="O292" s="24"/>
    </row>
    <row r="293" spans="1:15" ht="20.25">
      <c r="A293" s="438"/>
      <c r="B293" s="24"/>
      <c r="C293" s="436" t="s">
        <v>302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156"/>
      <c r="N293" s="24"/>
      <c r="O293" s="24"/>
    </row>
    <row r="294" spans="1:15" ht="20.25">
      <c r="A294" s="438"/>
      <c r="B294" s="24"/>
      <c r="C294" s="436" t="s">
        <v>303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156"/>
      <c r="N294" s="24"/>
      <c r="O294" s="24"/>
    </row>
    <row r="295" spans="1:15" ht="20.25">
      <c r="A295" s="438" t="s">
        <v>112</v>
      </c>
      <c r="B295" s="24"/>
      <c r="C295" s="436" t="s">
        <v>834</v>
      </c>
      <c r="D295" s="24"/>
      <c r="E295" s="24"/>
      <c r="F295" s="24"/>
      <c r="G295" s="24"/>
      <c r="H295" s="24"/>
      <c r="I295" s="24"/>
      <c r="J295" s="24"/>
      <c r="K295" s="24"/>
      <c r="L295" s="24"/>
      <c r="M295" s="156"/>
      <c r="N295" s="24"/>
      <c r="O295" s="24"/>
    </row>
    <row r="296" spans="1:15" ht="20.25">
      <c r="A296" s="438"/>
      <c r="B296" s="24"/>
      <c r="C296" s="436" t="s">
        <v>835</v>
      </c>
      <c r="D296" s="24"/>
      <c r="E296" s="24"/>
      <c r="F296" s="24"/>
      <c r="G296" s="24"/>
      <c r="H296" s="24"/>
      <c r="I296" s="24"/>
      <c r="J296" s="24"/>
      <c r="K296" s="24"/>
      <c r="L296" s="24"/>
      <c r="M296" s="156"/>
      <c r="N296" s="24"/>
      <c r="O296" s="24"/>
    </row>
    <row r="297" spans="1:15" ht="20.25">
      <c r="A297" s="438"/>
      <c r="B297" s="24"/>
      <c r="C297" s="436" t="s">
        <v>836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156"/>
      <c r="N297" s="24"/>
      <c r="O297" s="24"/>
    </row>
    <row r="298" spans="1:15" ht="20.25">
      <c r="A298" s="438" t="s">
        <v>113</v>
      </c>
      <c r="B298" s="24"/>
      <c r="C298" s="436" t="s">
        <v>402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156"/>
      <c r="N298" s="24"/>
      <c r="O298" s="24"/>
    </row>
    <row r="299" spans="1:15" ht="20.25">
      <c r="A299" s="438"/>
      <c r="B299" s="24"/>
      <c r="C299" s="436" t="s">
        <v>403</v>
      </c>
      <c r="D299" s="24"/>
      <c r="E299" s="24"/>
      <c r="F299" s="24"/>
      <c r="G299" s="24"/>
      <c r="H299" s="24"/>
      <c r="I299" s="24"/>
      <c r="J299" s="24"/>
      <c r="K299" s="24"/>
      <c r="L299" s="24"/>
      <c r="M299" s="156"/>
      <c r="N299" s="24"/>
      <c r="O299" s="24"/>
    </row>
    <row r="300" spans="1:15" ht="20.25">
      <c r="A300" s="438" t="s">
        <v>114</v>
      </c>
      <c r="B300" s="24"/>
      <c r="C300" s="436" t="s">
        <v>343</v>
      </c>
      <c r="D300" s="24"/>
      <c r="E300" s="24"/>
      <c r="F300" s="24"/>
      <c r="G300" s="24"/>
      <c r="H300" s="24"/>
      <c r="I300" s="24"/>
      <c r="J300" s="24"/>
      <c r="K300" s="24"/>
      <c r="L300" s="24"/>
      <c r="M300" s="156"/>
      <c r="N300" s="24"/>
      <c r="O300" s="24"/>
    </row>
    <row r="301" spans="1:15" ht="20.25">
      <c r="A301" s="438"/>
      <c r="B301" s="24"/>
      <c r="C301" s="436" t="s">
        <v>304</v>
      </c>
      <c r="D301" s="24"/>
      <c r="E301" s="24"/>
      <c r="F301" s="24"/>
      <c r="G301" s="24"/>
      <c r="H301" s="24"/>
      <c r="I301" s="24"/>
      <c r="J301" s="24"/>
      <c r="K301" s="24"/>
      <c r="L301" s="24"/>
      <c r="M301" s="156"/>
      <c r="N301" s="24"/>
      <c r="O301" s="24"/>
    </row>
    <row r="302" spans="1:15" ht="20.25" customHeight="1">
      <c r="A302" s="438" t="s">
        <v>115</v>
      </c>
      <c r="B302" s="24"/>
      <c r="C302" s="436" t="s">
        <v>117</v>
      </c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1"/>
      <c r="O302" s="1"/>
    </row>
    <row r="303" spans="1:15" ht="20.25" customHeight="1">
      <c r="A303" s="438" t="s">
        <v>149</v>
      </c>
      <c r="C303" s="436" t="s">
        <v>295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20.25" customHeight="1">
      <c r="A304" s="450" t="s">
        <v>150</v>
      </c>
      <c r="C304" s="359" t="s">
        <v>648</v>
      </c>
      <c r="D304" s="9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20.25" customHeight="1">
      <c r="C305" s="359" t="s">
        <v>710</v>
      </c>
      <c r="D305" s="1"/>
      <c r="E305" s="1"/>
      <c r="F305" s="1"/>
      <c r="G305" s="1"/>
      <c r="H305" s="1"/>
      <c r="I305" s="1"/>
      <c r="J305" s="1"/>
      <c r="K305" s="1"/>
      <c r="L305" s="1"/>
      <c r="M305" s="158"/>
      <c r="N305" s="1"/>
      <c r="O305" s="1"/>
    </row>
    <row r="306" spans="1:15" ht="20.25" customHeight="1">
      <c r="C306" s="359" t="s">
        <v>368</v>
      </c>
      <c r="D306" s="1"/>
      <c r="E306" s="93"/>
      <c r="F306" s="1"/>
      <c r="G306" s="1"/>
      <c r="H306" s="1"/>
      <c r="I306" s="1"/>
      <c r="J306" s="1"/>
      <c r="K306" s="1"/>
      <c r="L306" s="1"/>
      <c r="M306" s="158"/>
      <c r="N306" s="1"/>
      <c r="O306" s="1"/>
    </row>
    <row r="307" spans="1:15" ht="20.25" customHeight="1">
      <c r="C307" s="359" t="s">
        <v>345</v>
      </c>
      <c r="D307" s="1"/>
      <c r="E307" s="93"/>
      <c r="F307" s="1"/>
      <c r="G307" s="1"/>
      <c r="H307" s="1"/>
      <c r="I307" s="1"/>
      <c r="J307" s="1"/>
      <c r="K307" s="1"/>
      <c r="L307" s="1"/>
      <c r="M307" s="158"/>
      <c r="N307" s="50"/>
      <c r="O307" s="50"/>
    </row>
    <row r="308" spans="1:15" ht="18">
      <c r="A308" s="440"/>
      <c r="C308" s="436"/>
      <c r="D308" s="24"/>
      <c r="E308" s="25"/>
      <c r="F308" s="24"/>
      <c r="G308" s="24"/>
      <c r="H308" s="24"/>
      <c r="I308" s="24"/>
      <c r="J308" s="50" t="s">
        <v>299</v>
      </c>
      <c r="K308" s="60"/>
      <c r="M308" s="60"/>
      <c r="N308" s="50"/>
      <c r="O308" s="50"/>
    </row>
    <row r="309" spans="1:15">
      <c r="C309" s="436"/>
      <c r="D309" s="24"/>
      <c r="E309" s="25"/>
      <c r="F309" s="24"/>
      <c r="G309" s="24"/>
      <c r="H309" s="24"/>
      <c r="I309" s="24"/>
      <c r="J309" s="50" t="s">
        <v>406</v>
      </c>
      <c r="M309" s="50"/>
      <c r="N309" s="50"/>
      <c r="O309" s="50"/>
    </row>
    <row r="310" spans="1:15">
      <c r="C310" s="436"/>
      <c r="D310" s="24"/>
      <c r="E310" s="25"/>
      <c r="F310" s="24"/>
      <c r="G310" s="24"/>
      <c r="H310" s="24"/>
      <c r="I310" s="24"/>
      <c r="J310" s="50"/>
      <c r="M310" s="50"/>
    </row>
    <row r="311" spans="1:15">
      <c r="C311" s="436"/>
      <c r="D311" s="24"/>
      <c r="E311" s="25"/>
      <c r="F311" s="24"/>
      <c r="G311" s="24"/>
      <c r="H311" s="24"/>
      <c r="I311" s="24"/>
      <c r="M311" s="50"/>
    </row>
    <row r="312" spans="1:15">
      <c r="C312" s="436"/>
      <c r="D312" s="24"/>
      <c r="E312" s="25"/>
      <c r="F312" s="24"/>
      <c r="G312" s="24"/>
      <c r="H312" s="24"/>
      <c r="I312" s="24"/>
      <c r="K312" s="1"/>
      <c r="M312" s="50"/>
      <c r="N312" s="50"/>
      <c r="O312" s="50"/>
    </row>
    <row r="313" spans="1:15">
      <c r="C313" s="436"/>
      <c r="D313" s="24"/>
      <c r="E313" s="25"/>
      <c r="F313" s="24"/>
      <c r="G313" s="24"/>
      <c r="H313" s="24"/>
      <c r="I313" s="24"/>
      <c r="J313" s="50"/>
      <c r="K313" s="1"/>
      <c r="M313" s="50"/>
      <c r="N313" s="61"/>
      <c r="O313" s="61"/>
    </row>
    <row r="314" spans="1:15">
      <c r="C314" s="436" t="s">
        <v>6</v>
      </c>
      <c r="D314" s="24"/>
      <c r="E314" s="25"/>
      <c r="F314" s="24"/>
      <c r="G314" s="24"/>
      <c r="H314" s="24"/>
      <c r="I314" s="24"/>
      <c r="J314" s="61" t="str">
        <f>$J$7</f>
        <v>For the 12 months ended: 12/31/2020</v>
      </c>
      <c r="K314" s="1"/>
      <c r="M314" s="50"/>
      <c r="N314" s="70"/>
      <c r="O314" s="70"/>
    </row>
    <row r="315" spans="1:15">
      <c r="A315" s="441" t="str">
        <f>$A$8</f>
        <v>Rate Formula Template</v>
      </c>
      <c r="B315" s="70"/>
      <c r="C315" s="172"/>
      <c r="D315" s="144"/>
      <c r="E315" s="70"/>
      <c r="F315" s="144"/>
      <c r="G315" s="144"/>
      <c r="H315" s="144"/>
      <c r="I315" s="144"/>
      <c r="J315" s="70"/>
      <c r="K315" s="24"/>
      <c r="L315" s="70"/>
      <c r="M315" s="1"/>
      <c r="N315" s="144"/>
      <c r="O315" s="144"/>
    </row>
    <row r="316" spans="1:15">
      <c r="A316" s="442" t="s">
        <v>270</v>
      </c>
      <c r="B316" s="70"/>
      <c r="C316" s="185"/>
      <c r="D316" s="145"/>
      <c r="E316" s="70"/>
      <c r="F316" s="145"/>
      <c r="G316" s="145"/>
      <c r="H316" s="145"/>
      <c r="I316" s="144"/>
      <c r="J316" s="144"/>
      <c r="K316" s="24"/>
      <c r="L316" s="146"/>
      <c r="M316" s="1"/>
      <c r="N316" s="146"/>
      <c r="O316" s="146"/>
    </row>
    <row r="317" spans="1:15">
      <c r="A317" s="442"/>
      <c r="B317" s="70"/>
      <c r="C317" s="226"/>
      <c r="D317" s="146"/>
      <c r="E317" s="70"/>
      <c r="F317" s="146"/>
      <c r="G317" s="146"/>
      <c r="H317" s="146"/>
      <c r="I317" s="146"/>
      <c r="J317" s="146"/>
      <c r="K317" s="24"/>
      <c r="L317" s="146"/>
      <c r="M317" s="24"/>
      <c r="N317" s="146"/>
      <c r="O317" s="146"/>
    </row>
    <row r="318" spans="1:15" ht="15.75">
      <c r="A318" s="443" t="str">
        <f>$A$11</f>
        <v>DUKE ENERGY OHIO (DEO)</v>
      </c>
      <c r="B318" s="70"/>
      <c r="C318" s="226"/>
      <c r="D318" s="146"/>
      <c r="E318" s="70"/>
      <c r="F318" s="146"/>
      <c r="G318" s="146"/>
      <c r="H318" s="146"/>
      <c r="I318" s="146"/>
      <c r="J318" s="146"/>
      <c r="K318" s="24"/>
      <c r="L318" s="146"/>
      <c r="M318" s="24"/>
      <c r="N318" s="155"/>
      <c r="O318" s="155"/>
    </row>
    <row r="319" spans="1:15">
      <c r="A319" s="438"/>
      <c r="B319" s="24"/>
      <c r="C319" s="437"/>
      <c r="D319" s="26"/>
      <c r="E319" s="2"/>
      <c r="F319" s="2"/>
      <c r="G319" s="2"/>
      <c r="H319" s="2"/>
      <c r="I319" s="24"/>
      <c r="J319" s="155"/>
      <c r="K319" s="24"/>
      <c r="L319" s="154"/>
      <c r="M319" s="24"/>
      <c r="N319" s="2"/>
      <c r="O319" s="2"/>
    </row>
    <row r="320" spans="1:15" ht="20.25">
      <c r="A320" s="438"/>
      <c r="B320" s="24"/>
      <c r="C320" s="436" t="s">
        <v>93</v>
      </c>
      <c r="D320" s="26"/>
      <c r="E320" s="2"/>
      <c r="F320" s="2"/>
      <c r="G320" s="2"/>
      <c r="H320" s="2"/>
      <c r="I320" s="24"/>
      <c r="J320" s="2"/>
      <c r="K320" s="24"/>
      <c r="L320" s="2"/>
      <c r="M320" s="156"/>
      <c r="N320" s="2"/>
      <c r="O320" s="2"/>
    </row>
    <row r="321" spans="1:15" ht="20.25">
      <c r="A321" s="438"/>
      <c r="B321" s="24"/>
      <c r="C321" s="436" t="s">
        <v>585</v>
      </c>
      <c r="D321" s="24"/>
      <c r="E321" s="2"/>
      <c r="F321" s="2"/>
      <c r="G321" s="2"/>
      <c r="H321" s="2"/>
      <c r="I321" s="24"/>
      <c r="J321" s="2"/>
      <c r="K321" s="24"/>
      <c r="L321" s="2"/>
      <c r="M321" s="156"/>
      <c r="N321" s="2"/>
      <c r="O321" s="2"/>
    </row>
    <row r="322" spans="1:15" ht="20.25">
      <c r="A322" s="444" t="s">
        <v>584</v>
      </c>
      <c r="B322" s="24"/>
      <c r="C322" s="436"/>
      <c r="D322" s="24"/>
      <c r="E322" s="2"/>
      <c r="F322" s="2"/>
      <c r="G322" s="2"/>
      <c r="H322" s="2"/>
      <c r="I322" s="24"/>
      <c r="J322" s="2"/>
      <c r="K322" s="24"/>
      <c r="L322" s="2"/>
      <c r="M322" s="156"/>
      <c r="N322" s="1"/>
      <c r="O322" s="1"/>
    </row>
    <row r="323" spans="1:15" ht="20.25" customHeight="1">
      <c r="A323" s="450" t="s">
        <v>170</v>
      </c>
      <c r="C323" s="359" t="s">
        <v>903</v>
      </c>
      <c r="D323" s="1"/>
      <c r="E323" s="1"/>
      <c r="F323" s="1"/>
      <c r="G323" s="1"/>
      <c r="H323" s="1"/>
      <c r="I323" s="1"/>
      <c r="J323" s="1"/>
      <c r="K323" s="1"/>
      <c r="L323" s="1"/>
      <c r="M323" s="158"/>
      <c r="N323" s="1"/>
      <c r="O323" s="1"/>
    </row>
    <row r="324" spans="1:15" ht="20.25" customHeight="1">
      <c r="A324" s="450"/>
      <c r="C324" s="359" t="s">
        <v>600</v>
      </c>
      <c r="D324" s="1"/>
      <c r="E324" s="1"/>
      <c r="F324" s="1"/>
      <c r="G324" s="1"/>
      <c r="H324" s="1"/>
      <c r="I324" s="1"/>
      <c r="J324" s="1"/>
      <c r="K324" s="1"/>
      <c r="L324" s="1"/>
      <c r="M324" s="158"/>
      <c r="N324" s="1"/>
      <c r="O324" s="1"/>
    </row>
    <row r="325" spans="1:15" ht="20.25" customHeight="1">
      <c r="A325" s="450"/>
      <c r="C325" s="359" t="s">
        <v>404</v>
      </c>
      <c r="D325" s="1"/>
      <c r="E325" s="1"/>
      <c r="F325" s="1"/>
      <c r="G325" s="1"/>
      <c r="H325" s="1"/>
      <c r="I325" s="1"/>
      <c r="J325" s="1"/>
      <c r="K325" s="1"/>
      <c r="L325" s="1"/>
      <c r="M325" s="158"/>
      <c r="N325" s="1"/>
      <c r="O325" s="1"/>
    </row>
    <row r="326" spans="1:15" ht="20.25" customHeight="1">
      <c r="A326" s="450" t="s">
        <v>3</v>
      </c>
      <c r="C326" s="359" t="s">
        <v>576</v>
      </c>
      <c r="D326" s="1"/>
      <c r="E326" s="1"/>
      <c r="F326" s="1"/>
      <c r="G326" s="1"/>
      <c r="H326" s="1"/>
      <c r="I326" s="1"/>
      <c r="J326" s="1"/>
      <c r="K326" s="1"/>
      <c r="L326" s="1"/>
      <c r="M326" s="158"/>
      <c r="N326" s="1"/>
      <c r="O326" s="1"/>
    </row>
    <row r="327" spans="1:15" ht="20.25" customHeight="1">
      <c r="A327" s="450" t="s">
        <v>367</v>
      </c>
      <c r="C327" s="359" t="s">
        <v>589</v>
      </c>
      <c r="D327" s="1"/>
      <c r="E327" s="1"/>
      <c r="F327" s="1"/>
      <c r="G327" s="1"/>
      <c r="H327" s="1"/>
      <c r="I327" s="1"/>
      <c r="J327" s="1"/>
      <c r="K327" s="1"/>
      <c r="L327" s="1"/>
      <c r="M327" s="158"/>
      <c r="N327" s="1"/>
      <c r="O327" s="1"/>
    </row>
    <row r="328" spans="1:15" ht="20.25" customHeight="1">
      <c r="A328" s="450"/>
      <c r="C328" s="359" t="s">
        <v>590</v>
      </c>
      <c r="D328" s="1"/>
      <c r="E328" s="1"/>
      <c r="F328" s="1"/>
      <c r="G328" s="1"/>
      <c r="H328" s="1"/>
      <c r="I328" s="1"/>
      <c r="J328" s="1"/>
      <c r="K328" s="1"/>
      <c r="L328" s="1"/>
      <c r="M328" s="158"/>
      <c r="N328" s="1"/>
      <c r="O328" s="1"/>
    </row>
    <row r="329" spans="1:15" ht="20.25" customHeight="1">
      <c r="A329" s="450" t="s">
        <v>467</v>
      </c>
      <c r="C329" s="360" t="s">
        <v>831</v>
      </c>
      <c r="D329" s="1"/>
      <c r="E329" s="1"/>
      <c r="F329" s="1"/>
      <c r="G329" s="1"/>
      <c r="H329" s="1"/>
      <c r="I329" s="1"/>
      <c r="J329" s="1"/>
      <c r="K329" s="1"/>
      <c r="L329" s="1"/>
      <c r="M329" s="158"/>
      <c r="N329" s="1"/>
      <c r="O329" s="1"/>
    </row>
    <row r="330" spans="1:15" ht="20.25" customHeight="1">
      <c r="C330" s="360" t="s">
        <v>832</v>
      </c>
      <c r="D330" s="1"/>
      <c r="E330" s="1"/>
      <c r="F330" s="1"/>
      <c r="G330" s="1"/>
      <c r="H330" s="1"/>
      <c r="I330" s="1"/>
      <c r="J330" s="1"/>
      <c r="K330" s="1"/>
      <c r="L330" s="1"/>
      <c r="M330" s="158"/>
      <c r="N330" s="1"/>
      <c r="O330" s="1"/>
    </row>
    <row r="331" spans="1:15" ht="20.25" customHeight="1">
      <c r="A331" s="450" t="s">
        <v>468</v>
      </c>
      <c r="C331" s="360" t="s">
        <v>535</v>
      </c>
      <c r="D331" s="1"/>
      <c r="E331" s="1"/>
      <c r="F331" s="1"/>
      <c r="G331" s="1"/>
      <c r="H331" s="1"/>
      <c r="I331" s="1"/>
      <c r="J331" s="1"/>
      <c r="K331" s="1"/>
      <c r="L331" s="1"/>
      <c r="M331" s="158"/>
    </row>
    <row r="332" spans="1:15" ht="20.25" customHeight="1">
      <c r="A332" s="450"/>
      <c r="C332" s="360" t="s">
        <v>536</v>
      </c>
      <c r="M332" s="52"/>
    </row>
    <row r="333" spans="1:15">
      <c r="M333" s="52"/>
    </row>
    <row r="334" spans="1:15">
      <c r="M334" s="52"/>
    </row>
    <row r="335" spans="1:15">
      <c r="M335" s="52"/>
    </row>
    <row r="336" spans="1:15">
      <c r="M336" s="52"/>
    </row>
    <row r="337" spans="3:13">
      <c r="M337" s="52"/>
    </row>
    <row r="338" spans="3:13">
      <c r="C338" s="24"/>
      <c r="M338" s="52"/>
    </row>
    <row r="339" spans="3:13">
      <c r="C339" s="24"/>
      <c r="M339" s="52"/>
    </row>
    <row r="340" spans="3:13">
      <c r="C340" s="24"/>
      <c r="M340" s="52"/>
    </row>
    <row r="341" spans="3:13">
      <c r="C341" s="24"/>
      <c r="M341" s="52"/>
    </row>
    <row r="342" spans="3:13">
      <c r="C342" s="24"/>
      <c r="M342" s="52"/>
    </row>
    <row r="343" spans="3:13">
      <c r="C343" s="24"/>
      <c r="M343" s="52"/>
    </row>
    <row r="344" spans="3:13">
      <c r="M344" s="52"/>
    </row>
    <row r="345" spans="3:13">
      <c r="M345" s="52"/>
    </row>
    <row r="346" spans="3:13">
      <c r="M346" s="52"/>
    </row>
    <row r="347" spans="3:13">
      <c r="M347" s="52"/>
    </row>
    <row r="348" spans="3:13">
      <c r="M348" s="52"/>
    </row>
    <row r="349" spans="3:13">
      <c r="M349" s="52"/>
    </row>
    <row r="350" spans="3:13">
      <c r="M350" s="52"/>
    </row>
    <row r="351" spans="3:13">
      <c r="M351" s="52"/>
    </row>
    <row r="352" spans="3:13">
      <c r="M352" s="52"/>
    </row>
    <row r="353" spans="13:13">
      <c r="M353" s="52"/>
    </row>
    <row r="354" spans="13:13">
      <c r="M354" s="52"/>
    </row>
    <row r="355" spans="13:13">
      <c r="M355" s="52"/>
    </row>
    <row r="356" spans="13:13">
      <c r="M356" s="52"/>
    </row>
    <row r="357" spans="13:13">
      <c r="M357" s="52"/>
    </row>
    <row r="358" spans="13:13">
      <c r="M358" s="52"/>
    </row>
    <row r="359" spans="13:13">
      <c r="M359" s="52"/>
    </row>
    <row r="360" spans="13:13">
      <c r="M360" s="52"/>
    </row>
    <row r="361" spans="13:13">
      <c r="M361" s="52"/>
    </row>
    <row r="362" spans="13:13">
      <c r="M362" s="52"/>
    </row>
    <row r="363" spans="13:13">
      <c r="M363" s="52"/>
    </row>
    <row r="364" spans="13:13">
      <c r="M364" s="52"/>
    </row>
    <row r="365" spans="13:13">
      <c r="M365" s="52"/>
    </row>
    <row r="366" spans="13:13">
      <c r="M366" s="52"/>
    </row>
    <row r="367" spans="13:13">
      <c r="M367" s="52"/>
    </row>
    <row r="368" spans="13:13">
      <c r="M368" s="52"/>
    </row>
    <row r="369" spans="3:15">
      <c r="M369" s="52"/>
    </row>
    <row r="370" spans="3:15">
      <c r="M370" s="52"/>
    </row>
    <row r="371" spans="3:15">
      <c r="M371" s="52"/>
    </row>
    <row r="372" spans="3:15">
      <c r="M372" s="52"/>
    </row>
    <row r="373" spans="3:15">
      <c r="M373" s="52"/>
    </row>
    <row r="374" spans="3:15">
      <c r="M374" s="52"/>
    </row>
    <row r="375" spans="3:15">
      <c r="M375" s="52"/>
    </row>
    <row r="376" spans="3:15">
      <c r="M376" s="52"/>
      <c r="N376" s="52"/>
      <c r="O376" s="52"/>
    </row>
    <row r="377" spans="3:15"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</row>
    <row r="378" spans="3:15"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</row>
    <row r="379" spans="3:15"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</row>
    <row r="380" spans="3:15"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</row>
    <row r="381" spans="3:15"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</row>
    <row r="382" spans="3:15"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</row>
    <row r="383" spans="3:15"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</row>
    <row r="384" spans="3:15"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</row>
    <row r="385" spans="3:15"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</row>
    <row r="386" spans="3:15"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</row>
    <row r="387" spans="3:15"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</row>
    <row r="388" spans="3:15"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</row>
    <row r="389" spans="3:15"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</row>
    <row r="390" spans="3:15"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</row>
    <row r="391" spans="3:15"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</row>
    <row r="392" spans="3:15"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</row>
    <row r="393" spans="3:15"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</row>
    <row r="394" spans="3:15"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</row>
    <row r="395" spans="3:15"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</row>
    <row r="396" spans="3:15"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</row>
    <row r="397" spans="3:15"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</row>
    <row r="398" spans="3:15"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</row>
    <row r="399" spans="3:15"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</row>
    <row r="400" spans="3:15"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</row>
    <row r="401" spans="3:15"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</row>
    <row r="402" spans="3:15"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</row>
    <row r="403" spans="3:15"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</row>
    <row r="404" spans="3:15"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</row>
    <row r="405" spans="3:15"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</row>
    <row r="406" spans="3:15"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</row>
    <row r="407" spans="3:15"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</row>
    <row r="408" spans="3:15"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</row>
    <row r="409" spans="3:15"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</row>
    <row r="410" spans="3:15"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</row>
    <row r="411" spans="3:15"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</row>
    <row r="412" spans="3:15"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</row>
    <row r="413" spans="3:15"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</row>
    <row r="414" spans="3:15"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</row>
    <row r="415" spans="3:15"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</row>
    <row r="416" spans="3:15"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</row>
    <row r="417" spans="3:14"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</row>
    <row r="418" spans="3:14"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</row>
    <row r="419" spans="3:14"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</row>
    <row r="420" spans="3:14"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</row>
    <row r="421" spans="3:14"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</row>
    <row r="422" spans="3:14"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</row>
    <row r="423" spans="3:14"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</row>
    <row r="424" spans="3:14"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</row>
    <row r="425" spans="3:14"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</row>
    <row r="426" spans="3:14"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</row>
    <row r="427" spans="3:14"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</row>
    <row r="428" spans="3:14"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</row>
    <row r="429" spans="3:14"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</row>
    <row r="430" spans="3:14"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</row>
    <row r="431" spans="3:14"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</row>
    <row r="432" spans="3:14"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</row>
    <row r="433" spans="3:14"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</row>
    <row r="434" spans="3:14"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</row>
    <row r="435" spans="3:14"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</row>
    <row r="436" spans="3:14"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</row>
    <row r="437" spans="3:14"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</row>
    <row r="438" spans="3:14"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</row>
    <row r="439" spans="3:14"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</row>
    <row r="440" spans="3:14"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</row>
    <row r="441" spans="3:14"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</row>
    <row r="442" spans="3:14"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</row>
    <row r="443" spans="3:14"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</row>
    <row r="444" spans="3:14"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</row>
    <row r="445" spans="3:14"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</row>
    <row r="446" spans="3:14"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</row>
    <row r="447" spans="3:14"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</row>
    <row r="448" spans="3:14"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</row>
    <row r="449" spans="3:14"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</row>
    <row r="450" spans="3:14"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</row>
    <row r="451" spans="3:14"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</row>
    <row r="452" spans="3:14"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</row>
    <row r="453" spans="3:14"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</row>
    <row r="454" spans="3:14"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</row>
    <row r="455" spans="3:14"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</row>
    <row r="456" spans="3:14"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</row>
    <row r="457" spans="3:14"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</row>
    <row r="458" spans="3:14"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</row>
    <row r="459" spans="3:14"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</row>
    <row r="460" spans="3:14"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</row>
    <row r="461" spans="3:14"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</row>
    <row r="462" spans="3:14"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</row>
    <row r="463" spans="3:14"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</row>
    <row r="464" spans="3:14"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</row>
    <row r="465" spans="3:14"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</row>
    <row r="466" spans="3:14"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</row>
    <row r="467" spans="3:14"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</row>
    <row r="468" spans="3:14"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</row>
    <row r="469" spans="3:14"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</row>
    <row r="470" spans="3:14"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</row>
    <row r="471" spans="3:14"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</row>
    <row r="472" spans="3:14"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</row>
    <row r="473" spans="3:14"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</row>
    <row r="474" spans="3:14"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</row>
    <row r="475" spans="3:14"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</row>
    <row r="476" spans="3:14"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</row>
    <row r="477" spans="3:14"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</row>
    <row r="478" spans="3:14"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</row>
    <row r="479" spans="3:14"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</row>
    <row r="480" spans="3:14"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</row>
    <row r="481" spans="3:14"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</row>
    <row r="482" spans="3:14"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</row>
    <row r="483" spans="3:14"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</row>
    <row r="484" spans="3:14"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</row>
    <row r="485" spans="3:14"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</row>
    <row r="486" spans="3:14"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</row>
    <row r="487" spans="3:14"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</row>
    <row r="488" spans="3:14"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</row>
    <row r="489" spans="3:14"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</row>
    <row r="490" spans="3:14"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</row>
    <row r="491" spans="3:14"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</row>
    <row r="492" spans="3:14"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</row>
    <row r="493" spans="3:14"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</row>
    <row r="494" spans="3:14"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</row>
    <row r="495" spans="3:14"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</row>
    <row r="496" spans="3:14"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</row>
    <row r="497" spans="3:14"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</row>
    <row r="498" spans="3:14"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</row>
    <row r="499" spans="3:14"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</row>
    <row r="500" spans="3:14"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</row>
    <row r="501" spans="3:14"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</row>
    <row r="502" spans="3:14"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</row>
    <row r="503" spans="3:14"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</row>
    <row r="504" spans="3:14"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</row>
    <row r="505" spans="3:14"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</row>
    <row r="506" spans="3:14"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</row>
    <row r="507" spans="3:14"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</row>
    <row r="508" spans="3:14"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</row>
    <row r="509" spans="3:14"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</row>
    <row r="510" spans="3:14"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</row>
    <row r="511" spans="3:14"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</row>
    <row r="512" spans="3:14"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</row>
    <row r="513" spans="3:13"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</row>
    <row r="514" spans="3:13"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</row>
    <row r="515" spans="3:13"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</row>
    <row r="516" spans="3:13"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</row>
    <row r="517" spans="3:13"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</row>
    <row r="518" spans="3:13"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</row>
    <row r="519" spans="3:13"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</row>
    <row r="520" spans="3:13"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</row>
    <row r="521" spans="3:13"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</row>
    <row r="522" spans="3:13"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</row>
    <row r="523" spans="3:13"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</row>
    <row r="524" spans="3:13"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</row>
    <row r="525" spans="3:13"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</row>
    <row r="526" spans="3:13"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</row>
    <row r="527" spans="3:13"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</row>
    <row r="528" spans="3:13"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</row>
    <row r="529" spans="3:13"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</row>
    <row r="530" spans="3:13"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</row>
    <row r="531" spans="3:13"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</row>
    <row r="532" spans="3:13"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</row>
    <row r="533" spans="3:13"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</row>
    <row r="534" spans="3:13"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</row>
    <row r="535" spans="3:13"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</row>
    <row r="536" spans="3:13"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</row>
    <row r="537" spans="3:13"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</row>
    <row r="538" spans="3:13"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</row>
    <row r="539" spans="3:13"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</row>
    <row r="540" spans="3:13"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</row>
    <row r="541" spans="3:13"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</row>
    <row r="542" spans="3:13"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</row>
    <row r="543" spans="3:13"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</row>
    <row r="544" spans="3:13"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</row>
    <row r="545" spans="3:13"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</row>
    <row r="546" spans="3:13"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</row>
    <row r="547" spans="3:13"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</row>
    <row r="548" spans="3:13"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</row>
    <row r="549" spans="3:13"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</row>
    <row r="550" spans="3:13"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</row>
    <row r="551" spans="3:13"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</row>
    <row r="552" spans="3:13"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</row>
    <row r="553" spans="3:13"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</row>
    <row r="554" spans="3:13"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</row>
    <row r="555" spans="3:13"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</row>
    <row r="556" spans="3:13"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</row>
    <row r="557" spans="3:13"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</row>
    <row r="558" spans="3:13"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</row>
    <row r="559" spans="3:13"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</row>
    <row r="560" spans="3:13"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</row>
    <row r="561" spans="3:13"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</row>
    <row r="562" spans="3:13"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</row>
  </sheetData>
  <phoneticPr fontId="0" type="noConversion"/>
  <printOptions horizontalCentered="1"/>
  <pageMargins left="0.5" right="0.5" top="0.75" bottom="0.5" header="0.25" footer="0.25"/>
  <pageSetup scale="45" orientation="portrait" r:id="rId1"/>
  <headerFooter alignWithMargins="0"/>
  <rowBreaks count="5" manualBreakCount="5">
    <brk id="34" max="11" man="1"/>
    <brk id="95" max="11" man="1"/>
    <brk id="167" max="11" man="1"/>
    <brk id="244" max="11" man="1"/>
    <brk id="307" max="11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rgb="FF7030A0"/>
    <pageSetUpPr fitToPage="1"/>
  </sheetPr>
  <dimension ref="A1:AE298"/>
  <sheetViews>
    <sheetView view="pageBreakPreview" zoomScale="70" zoomScaleNormal="75" zoomScaleSheetLayoutView="70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50" customWidth="1"/>
    <col min="4" max="4" width="1.44140625" customWidth="1"/>
    <col min="5" max="5" width="37.109375" customWidth="1"/>
    <col min="6" max="6" width="1.109375" customWidth="1"/>
    <col min="7" max="7" width="14.109375" customWidth="1"/>
    <col min="8" max="8" width="1" customWidth="1"/>
    <col min="9" max="10" width="12.77734375" customWidth="1"/>
    <col min="11" max="11" width="5.21875" customWidth="1"/>
    <col min="12" max="12" width="2.21875" customWidth="1"/>
    <col min="13" max="13" width="26.21875" customWidth="1"/>
    <col min="14" max="14" width="9.77734375" customWidth="1"/>
    <col min="15" max="15" width="9" customWidth="1"/>
    <col min="16" max="16" width="14" customWidth="1"/>
    <col min="17" max="17" width="13.21875" customWidth="1"/>
    <col min="18" max="18" width="9" customWidth="1"/>
    <col min="19" max="19" width="14.77734375" customWidth="1"/>
    <col min="20" max="20" width="13.44140625" customWidth="1"/>
    <col min="21" max="21" width="12.109375" customWidth="1"/>
    <col min="22" max="22" width="16.77734375" customWidth="1"/>
    <col min="23" max="23" width="11.5546875" customWidth="1"/>
    <col min="24" max="24" width="15.77734375" customWidth="1"/>
    <col min="25" max="242" width="8.77734375"/>
    <col min="243" max="243" width="6" customWidth="1"/>
    <col min="244" max="244" width="1.44140625" customWidth="1"/>
    <col min="245" max="245" width="39.109375" customWidth="1"/>
    <col min="246" max="246" width="12" customWidth="1"/>
    <col min="247" max="247" width="14.44140625" customWidth="1"/>
    <col min="248" max="248" width="11.77734375" customWidth="1"/>
    <col min="249" max="249" width="14.109375" customWidth="1"/>
    <col min="250" max="250" width="13.77734375" customWidth="1"/>
    <col min="251" max="252" width="12.77734375" customWidth="1"/>
    <col min="253" max="253" width="13.5546875" customWidth="1"/>
    <col min="254" max="254" width="15.21875" customWidth="1"/>
    <col min="255" max="255" width="12.77734375" customWidth="1"/>
    <col min="256" max="256" width="13.77734375" customWidth="1"/>
    <col min="257" max="257" width="1.77734375" customWidth="1"/>
    <col min="258" max="258" width="13" customWidth="1"/>
    <col min="259" max="498" width="8.77734375"/>
    <col min="499" max="499" width="6" customWidth="1"/>
    <col min="500" max="500" width="1.44140625" customWidth="1"/>
    <col min="501" max="501" width="39.109375" customWidth="1"/>
    <col min="502" max="502" width="12" customWidth="1"/>
    <col min="503" max="503" width="14.44140625" customWidth="1"/>
    <col min="504" max="504" width="11.77734375" customWidth="1"/>
    <col min="505" max="505" width="14.109375" customWidth="1"/>
    <col min="506" max="506" width="13.77734375" customWidth="1"/>
    <col min="507" max="508" width="12.77734375" customWidth="1"/>
    <col min="509" max="509" width="13.5546875" customWidth="1"/>
    <col min="510" max="510" width="15.21875" customWidth="1"/>
    <col min="511" max="511" width="12.77734375" customWidth="1"/>
    <col min="512" max="512" width="13.77734375" customWidth="1"/>
    <col min="513" max="513" width="1.77734375" customWidth="1"/>
    <col min="514" max="514" width="13" customWidth="1"/>
    <col min="515" max="754" width="8.77734375"/>
    <col min="755" max="755" width="6" customWidth="1"/>
    <col min="756" max="756" width="1.44140625" customWidth="1"/>
    <col min="757" max="757" width="39.109375" customWidth="1"/>
    <col min="758" max="758" width="12" customWidth="1"/>
    <col min="759" max="759" width="14.44140625" customWidth="1"/>
    <col min="760" max="760" width="11.77734375" customWidth="1"/>
    <col min="761" max="761" width="14.109375" customWidth="1"/>
    <col min="762" max="762" width="13.77734375" customWidth="1"/>
    <col min="763" max="764" width="12.77734375" customWidth="1"/>
    <col min="765" max="765" width="13.5546875" customWidth="1"/>
    <col min="766" max="766" width="15.21875" customWidth="1"/>
    <col min="767" max="767" width="12.77734375" customWidth="1"/>
    <col min="768" max="768" width="13.77734375" customWidth="1"/>
    <col min="769" max="769" width="1.77734375" customWidth="1"/>
    <col min="770" max="770" width="13" customWidth="1"/>
    <col min="771" max="1010" width="8.77734375"/>
    <col min="1011" max="1011" width="6" customWidth="1"/>
    <col min="1012" max="1012" width="1.44140625" customWidth="1"/>
    <col min="1013" max="1013" width="39.109375" customWidth="1"/>
    <col min="1014" max="1014" width="12" customWidth="1"/>
    <col min="1015" max="1015" width="14.44140625" customWidth="1"/>
    <col min="1016" max="1016" width="11.77734375" customWidth="1"/>
    <col min="1017" max="1017" width="14.109375" customWidth="1"/>
    <col min="1018" max="1018" width="13.77734375" customWidth="1"/>
    <col min="1019" max="1020" width="12.77734375" customWidth="1"/>
    <col min="1021" max="1021" width="13.5546875" customWidth="1"/>
    <col min="1022" max="1022" width="15.21875" customWidth="1"/>
    <col min="1023" max="1023" width="12.77734375" customWidth="1"/>
    <col min="1024" max="1024" width="13.77734375" customWidth="1"/>
    <col min="1025" max="1025" width="1.77734375" customWidth="1"/>
    <col min="1026" max="1026" width="13" customWidth="1"/>
    <col min="1027" max="1266" width="8.77734375"/>
    <col min="1267" max="1267" width="6" customWidth="1"/>
    <col min="1268" max="1268" width="1.44140625" customWidth="1"/>
    <col min="1269" max="1269" width="39.109375" customWidth="1"/>
    <col min="1270" max="1270" width="12" customWidth="1"/>
    <col min="1271" max="1271" width="14.44140625" customWidth="1"/>
    <col min="1272" max="1272" width="11.77734375" customWidth="1"/>
    <col min="1273" max="1273" width="14.109375" customWidth="1"/>
    <col min="1274" max="1274" width="13.77734375" customWidth="1"/>
    <col min="1275" max="1276" width="12.77734375" customWidth="1"/>
    <col min="1277" max="1277" width="13.5546875" customWidth="1"/>
    <col min="1278" max="1278" width="15.21875" customWidth="1"/>
    <col min="1279" max="1279" width="12.77734375" customWidth="1"/>
    <col min="1280" max="1280" width="13.77734375" customWidth="1"/>
    <col min="1281" max="1281" width="1.77734375" customWidth="1"/>
    <col min="1282" max="1282" width="13" customWidth="1"/>
    <col min="1283" max="1522" width="8.77734375"/>
    <col min="1523" max="1523" width="6" customWidth="1"/>
    <col min="1524" max="1524" width="1.44140625" customWidth="1"/>
    <col min="1525" max="1525" width="39.109375" customWidth="1"/>
    <col min="1526" max="1526" width="12" customWidth="1"/>
    <col min="1527" max="1527" width="14.44140625" customWidth="1"/>
    <col min="1528" max="1528" width="11.77734375" customWidth="1"/>
    <col min="1529" max="1529" width="14.109375" customWidth="1"/>
    <col min="1530" max="1530" width="13.77734375" customWidth="1"/>
    <col min="1531" max="1532" width="12.77734375" customWidth="1"/>
    <col min="1533" max="1533" width="13.5546875" customWidth="1"/>
    <col min="1534" max="1534" width="15.21875" customWidth="1"/>
    <col min="1535" max="1535" width="12.77734375" customWidth="1"/>
    <col min="1536" max="1536" width="13.77734375" customWidth="1"/>
    <col min="1537" max="1537" width="1.77734375" customWidth="1"/>
    <col min="1538" max="1538" width="13" customWidth="1"/>
    <col min="1539" max="1778" width="8.77734375"/>
    <col min="1779" max="1779" width="6" customWidth="1"/>
    <col min="1780" max="1780" width="1.44140625" customWidth="1"/>
    <col min="1781" max="1781" width="39.109375" customWidth="1"/>
    <col min="1782" max="1782" width="12" customWidth="1"/>
    <col min="1783" max="1783" width="14.44140625" customWidth="1"/>
    <col min="1784" max="1784" width="11.77734375" customWidth="1"/>
    <col min="1785" max="1785" width="14.109375" customWidth="1"/>
    <col min="1786" max="1786" width="13.77734375" customWidth="1"/>
    <col min="1787" max="1788" width="12.77734375" customWidth="1"/>
    <col min="1789" max="1789" width="13.5546875" customWidth="1"/>
    <col min="1790" max="1790" width="15.21875" customWidth="1"/>
    <col min="1791" max="1791" width="12.77734375" customWidth="1"/>
    <col min="1792" max="1792" width="13.77734375" customWidth="1"/>
    <col min="1793" max="1793" width="1.77734375" customWidth="1"/>
    <col min="1794" max="1794" width="13" customWidth="1"/>
    <col min="1795" max="2034" width="8.77734375"/>
    <col min="2035" max="2035" width="6" customWidth="1"/>
    <col min="2036" max="2036" width="1.44140625" customWidth="1"/>
    <col min="2037" max="2037" width="39.109375" customWidth="1"/>
    <col min="2038" max="2038" width="12" customWidth="1"/>
    <col min="2039" max="2039" width="14.44140625" customWidth="1"/>
    <col min="2040" max="2040" width="11.77734375" customWidth="1"/>
    <col min="2041" max="2041" width="14.109375" customWidth="1"/>
    <col min="2042" max="2042" width="13.77734375" customWidth="1"/>
    <col min="2043" max="2044" width="12.77734375" customWidth="1"/>
    <col min="2045" max="2045" width="13.5546875" customWidth="1"/>
    <col min="2046" max="2046" width="15.21875" customWidth="1"/>
    <col min="2047" max="2047" width="12.77734375" customWidth="1"/>
    <col min="2048" max="2048" width="13.77734375" customWidth="1"/>
    <col min="2049" max="2049" width="1.77734375" customWidth="1"/>
    <col min="2050" max="2050" width="13" customWidth="1"/>
    <col min="2051" max="2290" width="8.77734375"/>
    <col min="2291" max="2291" width="6" customWidth="1"/>
    <col min="2292" max="2292" width="1.44140625" customWidth="1"/>
    <col min="2293" max="2293" width="39.109375" customWidth="1"/>
    <col min="2294" max="2294" width="12" customWidth="1"/>
    <col min="2295" max="2295" width="14.44140625" customWidth="1"/>
    <col min="2296" max="2296" width="11.77734375" customWidth="1"/>
    <col min="2297" max="2297" width="14.109375" customWidth="1"/>
    <col min="2298" max="2298" width="13.77734375" customWidth="1"/>
    <col min="2299" max="2300" width="12.77734375" customWidth="1"/>
    <col min="2301" max="2301" width="13.5546875" customWidth="1"/>
    <col min="2302" max="2302" width="15.21875" customWidth="1"/>
    <col min="2303" max="2303" width="12.77734375" customWidth="1"/>
    <col min="2304" max="2304" width="13.77734375" customWidth="1"/>
    <col min="2305" max="2305" width="1.77734375" customWidth="1"/>
    <col min="2306" max="2306" width="13" customWidth="1"/>
    <col min="2307" max="2546" width="8.77734375"/>
    <col min="2547" max="2547" width="6" customWidth="1"/>
    <col min="2548" max="2548" width="1.44140625" customWidth="1"/>
    <col min="2549" max="2549" width="39.109375" customWidth="1"/>
    <col min="2550" max="2550" width="12" customWidth="1"/>
    <col min="2551" max="2551" width="14.44140625" customWidth="1"/>
    <col min="2552" max="2552" width="11.77734375" customWidth="1"/>
    <col min="2553" max="2553" width="14.109375" customWidth="1"/>
    <col min="2554" max="2554" width="13.77734375" customWidth="1"/>
    <col min="2555" max="2556" width="12.77734375" customWidth="1"/>
    <col min="2557" max="2557" width="13.5546875" customWidth="1"/>
    <col min="2558" max="2558" width="15.21875" customWidth="1"/>
    <col min="2559" max="2559" width="12.77734375" customWidth="1"/>
    <col min="2560" max="2560" width="13.77734375" customWidth="1"/>
    <col min="2561" max="2561" width="1.77734375" customWidth="1"/>
    <col min="2562" max="2562" width="13" customWidth="1"/>
    <col min="2563" max="2802" width="8.77734375"/>
    <col min="2803" max="2803" width="6" customWidth="1"/>
    <col min="2804" max="2804" width="1.44140625" customWidth="1"/>
    <col min="2805" max="2805" width="39.109375" customWidth="1"/>
    <col min="2806" max="2806" width="12" customWidth="1"/>
    <col min="2807" max="2807" width="14.44140625" customWidth="1"/>
    <col min="2808" max="2808" width="11.77734375" customWidth="1"/>
    <col min="2809" max="2809" width="14.109375" customWidth="1"/>
    <col min="2810" max="2810" width="13.77734375" customWidth="1"/>
    <col min="2811" max="2812" width="12.77734375" customWidth="1"/>
    <col min="2813" max="2813" width="13.5546875" customWidth="1"/>
    <col min="2814" max="2814" width="15.21875" customWidth="1"/>
    <col min="2815" max="2815" width="12.77734375" customWidth="1"/>
    <col min="2816" max="2816" width="13.77734375" customWidth="1"/>
    <col min="2817" max="2817" width="1.77734375" customWidth="1"/>
    <col min="2818" max="2818" width="13" customWidth="1"/>
    <col min="2819" max="3058" width="8.77734375"/>
    <col min="3059" max="3059" width="6" customWidth="1"/>
    <col min="3060" max="3060" width="1.44140625" customWidth="1"/>
    <col min="3061" max="3061" width="39.109375" customWidth="1"/>
    <col min="3062" max="3062" width="12" customWidth="1"/>
    <col min="3063" max="3063" width="14.44140625" customWidth="1"/>
    <col min="3064" max="3064" width="11.77734375" customWidth="1"/>
    <col min="3065" max="3065" width="14.109375" customWidth="1"/>
    <col min="3066" max="3066" width="13.77734375" customWidth="1"/>
    <col min="3067" max="3068" width="12.77734375" customWidth="1"/>
    <col min="3069" max="3069" width="13.5546875" customWidth="1"/>
    <col min="3070" max="3070" width="15.21875" customWidth="1"/>
    <col min="3071" max="3071" width="12.77734375" customWidth="1"/>
    <col min="3072" max="3072" width="13.77734375" customWidth="1"/>
    <col min="3073" max="3073" width="1.77734375" customWidth="1"/>
    <col min="3074" max="3074" width="13" customWidth="1"/>
    <col min="3075" max="3314" width="8.77734375"/>
    <col min="3315" max="3315" width="6" customWidth="1"/>
    <col min="3316" max="3316" width="1.44140625" customWidth="1"/>
    <col min="3317" max="3317" width="39.109375" customWidth="1"/>
    <col min="3318" max="3318" width="12" customWidth="1"/>
    <col min="3319" max="3319" width="14.44140625" customWidth="1"/>
    <col min="3320" max="3320" width="11.77734375" customWidth="1"/>
    <col min="3321" max="3321" width="14.109375" customWidth="1"/>
    <col min="3322" max="3322" width="13.77734375" customWidth="1"/>
    <col min="3323" max="3324" width="12.77734375" customWidth="1"/>
    <col min="3325" max="3325" width="13.5546875" customWidth="1"/>
    <col min="3326" max="3326" width="15.21875" customWidth="1"/>
    <col min="3327" max="3327" width="12.77734375" customWidth="1"/>
    <col min="3328" max="3328" width="13.77734375" customWidth="1"/>
    <col min="3329" max="3329" width="1.77734375" customWidth="1"/>
    <col min="3330" max="3330" width="13" customWidth="1"/>
    <col min="3331" max="3570" width="8.77734375"/>
    <col min="3571" max="3571" width="6" customWidth="1"/>
    <col min="3572" max="3572" width="1.44140625" customWidth="1"/>
    <col min="3573" max="3573" width="39.109375" customWidth="1"/>
    <col min="3574" max="3574" width="12" customWidth="1"/>
    <col min="3575" max="3575" width="14.44140625" customWidth="1"/>
    <col min="3576" max="3576" width="11.77734375" customWidth="1"/>
    <col min="3577" max="3577" width="14.109375" customWidth="1"/>
    <col min="3578" max="3578" width="13.77734375" customWidth="1"/>
    <col min="3579" max="3580" width="12.77734375" customWidth="1"/>
    <col min="3581" max="3581" width="13.5546875" customWidth="1"/>
    <col min="3582" max="3582" width="15.21875" customWidth="1"/>
    <col min="3583" max="3583" width="12.77734375" customWidth="1"/>
    <col min="3584" max="3584" width="13.77734375" customWidth="1"/>
    <col min="3585" max="3585" width="1.77734375" customWidth="1"/>
    <col min="3586" max="3586" width="13" customWidth="1"/>
    <col min="3587" max="3826" width="8.77734375"/>
    <col min="3827" max="3827" width="6" customWidth="1"/>
    <col min="3828" max="3828" width="1.44140625" customWidth="1"/>
    <col min="3829" max="3829" width="39.109375" customWidth="1"/>
    <col min="3830" max="3830" width="12" customWidth="1"/>
    <col min="3831" max="3831" width="14.44140625" customWidth="1"/>
    <col min="3832" max="3832" width="11.77734375" customWidth="1"/>
    <col min="3833" max="3833" width="14.109375" customWidth="1"/>
    <col min="3834" max="3834" width="13.77734375" customWidth="1"/>
    <col min="3835" max="3836" width="12.77734375" customWidth="1"/>
    <col min="3837" max="3837" width="13.5546875" customWidth="1"/>
    <col min="3838" max="3838" width="15.21875" customWidth="1"/>
    <col min="3839" max="3839" width="12.77734375" customWidth="1"/>
    <col min="3840" max="3840" width="13.77734375" customWidth="1"/>
    <col min="3841" max="3841" width="1.77734375" customWidth="1"/>
    <col min="3842" max="3842" width="13" customWidth="1"/>
    <col min="3843" max="4082" width="8.77734375"/>
    <col min="4083" max="4083" width="6" customWidth="1"/>
    <col min="4084" max="4084" width="1.44140625" customWidth="1"/>
    <col min="4085" max="4085" width="39.109375" customWidth="1"/>
    <col min="4086" max="4086" width="12" customWidth="1"/>
    <col min="4087" max="4087" width="14.44140625" customWidth="1"/>
    <col min="4088" max="4088" width="11.77734375" customWidth="1"/>
    <col min="4089" max="4089" width="14.109375" customWidth="1"/>
    <col min="4090" max="4090" width="13.77734375" customWidth="1"/>
    <col min="4091" max="4092" width="12.77734375" customWidth="1"/>
    <col min="4093" max="4093" width="13.5546875" customWidth="1"/>
    <col min="4094" max="4094" width="15.21875" customWidth="1"/>
    <col min="4095" max="4095" width="12.77734375" customWidth="1"/>
    <col min="4096" max="4096" width="13.77734375" customWidth="1"/>
    <col min="4097" max="4097" width="1.77734375" customWidth="1"/>
    <col min="4098" max="4098" width="13" customWidth="1"/>
    <col min="4099" max="4338" width="8.77734375"/>
    <col min="4339" max="4339" width="6" customWidth="1"/>
    <col min="4340" max="4340" width="1.44140625" customWidth="1"/>
    <col min="4341" max="4341" width="39.109375" customWidth="1"/>
    <col min="4342" max="4342" width="12" customWidth="1"/>
    <col min="4343" max="4343" width="14.44140625" customWidth="1"/>
    <col min="4344" max="4344" width="11.77734375" customWidth="1"/>
    <col min="4345" max="4345" width="14.109375" customWidth="1"/>
    <col min="4346" max="4346" width="13.77734375" customWidth="1"/>
    <col min="4347" max="4348" width="12.77734375" customWidth="1"/>
    <col min="4349" max="4349" width="13.5546875" customWidth="1"/>
    <col min="4350" max="4350" width="15.21875" customWidth="1"/>
    <col min="4351" max="4351" width="12.77734375" customWidth="1"/>
    <col min="4352" max="4352" width="13.77734375" customWidth="1"/>
    <col min="4353" max="4353" width="1.77734375" customWidth="1"/>
    <col min="4354" max="4354" width="13" customWidth="1"/>
    <col min="4355" max="4594" width="8.77734375"/>
    <col min="4595" max="4595" width="6" customWidth="1"/>
    <col min="4596" max="4596" width="1.44140625" customWidth="1"/>
    <col min="4597" max="4597" width="39.109375" customWidth="1"/>
    <col min="4598" max="4598" width="12" customWidth="1"/>
    <col min="4599" max="4599" width="14.44140625" customWidth="1"/>
    <col min="4600" max="4600" width="11.77734375" customWidth="1"/>
    <col min="4601" max="4601" width="14.109375" customWidth="1"/>
    <col min="4602" max="4602" width="13.77734375" customWidth="1"/>
    <col min="4603" max="4604" width="12.77734375" customWidth="1"/>
    <col min="4605" max="4605" width="13.5546875" customWidth="1"/>
    <col min="4606" max="4606" width="15.21875" customWidth="1"/>
    <col min="4607" max="4607" width="12.77734375" customWidth="1"/>
    <col min="4608" max="4608" width="13.77734375" customWidth="1"/>
    <col min="4609" max="4609" width="1.77734375" customWidth="1"/>
    <col min="4610" max="4610" width="13" customWidth="1"/>
    <col min="4611" max="4850" width="8.77734375"/>
    <col min="4851" max="4851" width="6" customWidth="1"/>
    <col min="4852" max="4852" width="1.44140625" customWidth="1"/>
    <col min="4853" max="4853" width="39.109375" customWidth="1"/>
    <col min="4854" max="4854" width="12" customWidth="1"/>
    <col min="4855" max="4855" width="14.44140625" customWidth="1"/>
    <col min="4856" max="4856" width="11.77734375" customWidth="1"/>
    <col min="4857" max="4857" width="14.109375" customWidth="1"/>
    <col min="4858" max="4858" width="13.77734375" customWidth="1"/>
    <col min="4859" max="4860" width="12.77734375" customWidth="1"/>
    <col min="4861" max="4861" width="13.5546875" customWidth="1"/>
    <col min="4862" max="4862" width="15.21875" customWidth="1"/>
    <col min="4863" max="4863" width="12.77734375" customWidth="1"/>
    <col min="4864" max="4864" width="13.77734375" customWidth="1"/>
    <col min="4865" max="4865" width="1.77734375" customWidth="1"/>
    <col min="4866" max="4866" width="13" customWidth="1"/>
    <col min="4867" max="5106" width="8.77734375"/>
    <col min="5107" max="5107" width="6" customWidth="1"/>
    <col min="5108" max="5108" width="1.44140625" customWidth="1"/>
    <col min="5109" max="5109" width="39.109375" customWidth="1"/>
    <col min="5110" max="5110" width="12" customWidth="1"/>
    <col min="5111" max="5111" width="14.44140625" customWidth="1"/>
    <col min="5112" max="5112" width="11.77734375" customWidth="1"/>
    <col min="5113" max="5113" width="14.109375" customWidth="1"/>
    <col min="5114" max="5114" width="13.77734375" customWidth="1"/>
    <col min="5115" max="5116" width="12.77734375" customWidth="1"/>
    <col min="5117" max="5117" width="13.5546875" customWidth="1"/>
    <col min="5118" max="5118" width="15.21875" customWidth="1"/>
    <col min="5119" max="5119" width="12.77734375" customWidth="1"/>
    <col min="5120" max="5120" width="13.77734375" customWidth="1"/>
    <col min="5121" max="5121" width="1.77734375" customWidth="1"/>
    <col min="5122" max="5122" width="13" customWidth="1"/>
    <col min="5123" max="5362" width="8.77734375"/>
    <col min="5363" max="5363" width="6" customWidth="1"/>
    <col min="5364" max="5364" width="1.44140625" customWidth="1"/>
    <col min="5365" max="5365" width="39.109375" customWidth="1"/>
    <col min="5366" max="5366" width="12" customWidth="1"/>
    <col min="5367" max="5367" width="14.44140625" customWidth="1"/>
    <col min="5368" max="5368" width="11.77734375" customWidth="1"/>
    <col min="5369" max="5369" width="14.109375" customWidth="1"/>
    <col min="5370" max="5370" width="13.77734375" customWidth="1"/>
    <col min="5371" max="5372" width="12.77734375" customWidth="1"/>
    <col min="5373" max="5373" width="13.5546875" customWidth="1"/>
    <col min="5374" max="5374" width="15.21875" customWidth="1"/>
    <col min="5375" max="5375" width="12.77734375" customWidth="1"/>
    <col min="5376" max="5376" width="13.77734375" customWidth="1"/>
    <col min="5377" max="5377" width="1.77734375" customWidth="1"/>
    <col min="5378" max="5378" width="13" customWidth="1"/>
    <col min="5379" max="5618" width="8.77734375"/>
    <col min="5619" max="5619" width="6" customWidth="1"/>
    <col min="5620" max="5620" width="1.44140625" customWidth="1"/>
    <col min="5621" max="5621" width="39.109375" customWidth="1"/>
    <col min="5622" max="5622" width="12" customWidth="1"/>
    <col min="5623" max="5623" width="14.44140625" customWidth="1"/>
    <col min="5624" max="5624" width="11.77734375" customWidth="1"/>
    <col min="5625" max="5625" width="14.109375" customWidth="1"/>
    <col min="5626" max="5626" width="13.77734375" customWidth="1"/>
    <col min="5627" max="5628" width="12.77734375" customWidth="1"/>
    <col min="5629" max="5629" width="13.5546875" customWidth="1"/>
    <col min="5630" max="5630" width="15.21875" customWidth="1"/>
    <col min="5631" max="5631" width="12.77734375" customWidth="1"/>
    <col min="5632" max="5632" width="13.77734375" customWidth="1"/>
    <col min="5633" max="5633" width="1.77734375" customWidth="1"/>
    <col min="5634" max="5634" width="13" customWidth="1"/>
    <col min="5635" max="5874" width="8.77734375"/>
    <col min="5875" max="5875" width="6" customWidth="1"/>
    <col min="5876" max="5876" width="1.44140625" customWidth="1"/>
    <col min="5877" max="5877" width="39.109375" customWidth="1"/>
    <col min="5878" max="5878" width="12" customWidth="1"/>
    <col min="5879" max="5879" width="14.44140625" customWidth="1"/>
    <col min="5880" max="5880" width="11.77734375" customWidth="1"/>
    <col min="5881" max="5881" width="14.109375" customWidth="1"/>
    <col min="5882" max="5882" width="13.77734375" customWidth="1"/>
    <col min="5883" max="5884" width="12.77734375" customWidth="1"/>
    <col min="5885" max="5885" width="13.5546875" customWidth="1"/>
    <col min="5886" max="5886" width="15.21875" customWidth="1"/>
    <col min="5887" max="5887" width="12.77734375" customWidth="1"/>
    <col min="5888" max="5888" width="13.77734375" customWidth="1"/>
    <col min="5889" max="5889" width="1.77734375" customWidth="1"/>
    <col min="5890" max="5890" width="13" customWidth="1"/>
    <col min="5891" max="6130" width="8.77734375"/>
    <col min="6131" max="6131" width="6" customWidth="1"/>
    <col min="6132" max="6132" width="1.44140625" customWidth="1"/>
    <col min="6133" max="6133" width="39.109375" customWidth="1"/>
    <col min="6134" max="6134" width="12" customWidth="1"/>
    <col min="6135" max="6135" width="14.44140625" customWidth="1"/>
    <col min="6136" max="6136" width="11.77734375" customWidth="1"/>
    <col min="6137" max="6137" width="14.109375" customWidth="1"/>
    <col min="6138" max="6138" width="13.77734375" customWidth="1"/>
    <col min="6139" max="6140" width="12.77734375" customWidth="1"/>
    <col min="6141" max="6141" width="13.5546875" customWidth="1"/>
    <col min="6142" max="6142" width="15.21875" customWidth="1"/>
    <col min="6143" max="6143" width="12.77734375" customWidth="1"/>
    <col min="6144" max="6144" width="13.77734375" customWidth="1"/>
    <col min="6145" max="6145" width="1.77734375" customWidth="1"/>
    <col min="6146" max="6146" width="13" customWidth="1"/>
    <col min="6147" max="6386" width="8.77734375"/>
    <col min="6387" max="6387" width="6" customWidth="1"/>
    <col min="6388" max="6388" width="1.44140625" customWidth="1"/>
    <col min="6389" max="6389" width="39.109375" customWidth="1"/>
    <col min="6390" max="6390" width="12" customWidth="1"/>
    <col min="6391" max="6391" width="14.44140625" customWidth="1"/>
    <col min="6392" max="6392" width="11.77734375" customWidth="1"/>
    <col min="6393" max="6393" width="14.109375" customWidth="1"/>
    <col min="6394" max="6394" width="13.77734375" customWidth="1"/>
    <col min="6395" max="6396" width="12.77734375" customWidth="1"/>
    <col min="6397" max="6397" width="13.5546875" customWidth="1"/>
    <col min="6398" max="6398" width="15.21875" customWidth="1"/>
    <col min="6399" max="6399" width="12.77734375" customWidth="1"/>
    <col min="6400" max="6400" width="13.77734375" customWidth="1"/>
    <col min="6401" max="6401" width="1.77734375" customWidth="1"/>
    <col min="6402" max="6402" width="13" customWidth="1"/>
    <col min="6403" max="6642" width="8.77734375"/>
    <col min="6643" max="6643" width="6" customWidth="1"/>
    <col min="6644" max="6644" width="1.44140625" customWidth="1"/>
    <col min="6645" max="6645" width="39.109375" customWidth="1"/>
    <col min="6646" max="6646" width="12" customWidth="1"/>
    <col min="6647" max="6647" width="14.44140625" customWidth="1"/>
    <col min="6648" max="6648" width="11.77734375" customWidth="1"/>
    <col min="6649" max="6649" width="14.109375" customWidth="1"/>
    <col min="6650" max="6650" width="13.77734375" customWidth="1"/>
    <col min="6651" max="6652" width="12.77734375" customWidth="1"/>
    <col min="6653" max="6653" width="13.5546875" customWidth="1"/>
    <col min="6654" max="6654" width="15.21875" customWidth="1"/>
    <col min="6655" max="6655" width="12.77734375" customWidth="1"/>
    <col min="6656" max="6656" width="13.77734375" customWidth="1"/>
    <col min="6657" max="6657" width="1.77734375" customWidth="1"/>
    <col min="6658" max="6658" width="13" customWidth="1"/>
    <col min="6659" max="6898" width="8.77734375"/>
    <col min="6899" max="6899" width="6" customWidth="1"/>
    <col min="6900" max="6900" width="1.44140625" customWidth="1"/>
    <col min="6901" max="6901" width="39.109375" customWidth="1"/>
    <col min="6902" max="6902" width="12" customWidth="1"/>
    <col min="6903" max="6903" width="14.44140625" customWidth="1"/>
    <col min="6904" max="6904" width="11.77734375" customWidth="1"/>
    <col min="6905" max="6905" width="14.109375" customWidth="1"/>
    <col min="6906" max="6906" width="13.77734375" customWidth="1"/>
    <col min="6907" max="6908" width="12.77734375" customWidth="1"/>
    <col min="6909" max="6909" width="13.5546875" customWidth="1"/>
    <col min="6910" max="6910" width="15.21875" customWidth="1"/>
    <col min="6911" max="6911" width="12.77734375" customWidth="1"/>
    <col min="6912" max="6912" width="13.77734375" customWidth="1"/>
    <col min="6913" max="6913" width="1.77734375" customWidth="1"/>
    <col min="6914" max="6914" width="13" customWidth="1"/>
    <col min="6915" max="7154" width="8.77734375"/>
    <col min="7155" max="7155" width="6" customWidth="1"/>
    <col min="7156" max="7156" width="1.44140625" customWidth="1"/>
    <col min="7157" max="7157" width="39.109375" customWidth="1"/>
    <col min="7158" max="7158" width="12" customWidth="1"/>
    <col min="7159" max="7159" width="14.44140625" customWidth="1"/>
    <col min="7160" max="7160" width="11.77734375" customWidth="1"/>
    <col min="7161" max="7161" width="14.109375" customWidth="1"/>
    <col min="7162" max="7162" width="13.77734375" customWidth="1"/>
    <col min="7163" max="7164" width="12.77734375" customWidth="1"/>
    <col min="7165" max="7165" width="13.5546875" customWidth="1"/>
    <col min="7166" max="7166" width="15.21875" customWidth="1"/>
    <col min="7167" max="7167" width="12.77734375" customWidth="1"/>
    <col min="7168" max="7168" width="13.77734375" customWidth="1"/>
    <col min="7169" max="7169" width="1.77734375" customWidth="1"/>
    <col min="7170" max="7170" width="13" customWidth="1"/>
    <col min="7171" max="7410" width="8.77734375"/>
    <col min="7411" max="7411" width="6" customWidth="1"/>
    <col min="7412" max="7412" width="1.44140625" customWidth="1"/>
    <col min="7413" max="7413" width="39.109375" customWidth="1"/>
    <col min="7414" max="7414" width="12" customWidth="1"/>
    <col min="7415" max="7415" width="14.44140625" customWidth="1"/>
    <col min="7416" max="7416" width="11.77734375" customWidth="1"/>
    <col min="7417" max="7417" width="14.109375" customWidth="1"/>
    <col min="7418" max="7418" width="13.77734375" customWidth="1"/>
    <col min="7419" max="7420" width="12.77734375" customWidth="1"/>
    <col min="7421" max="7421" width="13.5546875" customWidth="1"/>
    <col min="7422" max="7422" width="15.21875" customWidth="1"/>
    <col min="7423" max="7423" width="12.77734375" customWidth="1"/>
    <col min="7424" max="7424" width="13.77734375" customWidth="1"/>
    <col min="7425" max="7425" width="1.77734375" customWidth="1"/>
    <col min="7426" max="7426" width="13" customWidth="1"/>
    <col min="7427" max="7666" width="8.77734375"/>
    <col min="7667" max="7667" width="6" customWidth="1"/>
    <col min="7668" max="7668" width="1.44140625" customWidth="1"/>
    <col min="7669" max="7669" width="39.109375" customWidth="1"/>
    <col min="7670" max="7670" width="12" customWidth="1"/>
    <col min="7671" max="7671" width="14.44140625" customWidth="1"/>
    <col min="7672" max="7672" width="11.77734375" customWidth="1"/>
    <col min="7673" max="7673" width="14.109375" customWidth="1"/>
    <col min="7674" max="7674" width="13.77734375" customWidth="1"/>
    <col min="7675" max="7676" width="12.77734375" customWidth="1"/>
    <col min="7677" max="7677" width="13.5546875" customWidth="1"/>
    <col min="7678" max="7678" width="15.21875" customWidth="1"/>
    <col min="7679" max="7679" width="12.77734375" customWidth="1"/>
    <col min="7680" max="7680" width="13.77734375" customWidth="1"/>
    <col min="7681" max="7681" width="1.77734375" customWidth="1"/>
    <col min="7682" max="7682" width="13" customWidth="1"/>
    <col min="7683" max="7922" width="8.77734375"/>
    <col min="7923" max="7923" width="6" customWidth="1"/>
    <col min="7924" max="7924" width="1.44140625" customWidth="1"/>
    <col min="7925" max="7925" width="39.109375" customWidth="1"/>
    <col min="7926" max="7926" width="12" customWidth="1"/>
    <col min="7927" max="7927" width="14.44140625" customWidth="1"/>
    <col min="7928" max="7928" width="11.77734375" customWidth="1"/>
    <col min="7929" max="7929" width="14.109375" customWidth="1"/>
    <col min="7930" max="7930" width="13.77734375" customWidth="1"/>
    <col min="7931" max="7932" width="12.77734375" customWidth="1"/>
    <col min="7933" max="7933" width="13.5546875" customWidth="1"/>
    <col min="7934" max="7934" width="15.21875" customWidth="1"/>
    <col min="7935" max="7935" width="12.77734375" customWidth="1"/>
    <col min="7936" max="7936" width="13.77734375" customWidth="1"/>
    <col min="7937" max="7937" width="1.77734375" customWidth="1"/>
    <col min="7938" max="7938" width="13" customWidth="1"/>
    <col min="7939" max="8178" width="8.77734375"/>
    <col min="8179" max="8179" width="6" customWidth="1"/>
    <col min="8180" max="8180" width="1.44140625" customWidth="1"/>
    <col min="8181" max="8181" width="39.109375" customWidth="1"/>
    <col min="8182" max="8182" width="12" customWidth="1"/>
    <col min="8183" max="8183" width="14.44140625" customWidth="1"/>
    <col min="8184" max="8184" width="11.77734375" customWidth="1"/>
    <col min="8185" max="8185" width="14.109375" customWidth="1"/>
    <col min="8186" max="8186" width="13.77734375" customWidth="1"/>
    <col min="8187" max="8188" width="12.77734375" customWidth="1"/>
    <col min="8189" max="8189" width="13.5546875" customWidth="1"/>
    <col min="8190" max="8190" width="15.21875" customWidth="1"/>
    <col min="8191" max="8191" width="12.77734375" customWidth="1"/>
    <col min="8192" max="8192" width="13.77734375" customWidth="1"/>
    <col min="8193" max="8193" width="1.77734375" customWidth="1"/>
    <col min="8194" max="8194" width="13" customWidth="1"/>
    <col min="8195" max="8434" width="8.77734375"/>
    <col min="8435" max="8435" width="6" customWidth="1"/>
    <col min="8436" max="8436" width="1.44140625" customWidth="1"/>
    <col min="8437" max="8437" width="39.109375" customWidth="1"/>
    <col min="8438" max="8438" width="12" customWidth="1"/>
    <col min="8439" max="8439" width="14.44140625" customWidth="1"/>
    <col min="8440" max="8440" width="11.77734375" customWidth="1"/>
    <col min="8441" max="8441" width="14.109375" customWidth="1"/>
    <col min="8442" max="8442" width="13.77734375" customWidth="1"/>
    <col min="8443" max="8444" width="12.77734375" customWidth="1"/>
    <col min="8445" max="8445" width="13.5546875" customWidth="1"/>
    <col min="8446" max="8446" width="15.21875" customWidth="1"/>
    <col min="8447" max="8447" width="12.77734375" customWidth="1"/>
    <col min="8448" max="8448" width="13.77734375" customWidth="1"/>
    <col min="8449" max="8449" width="1.77734375" customWidth="1"/>
    <col min="8450" max="8450" width="13" customWidth="1"/>
    <col min="8451" max="8690" width="8.77734375"/>
    <col min="8691" max="8691" width="6" customWidth="1"/>
    <col min="8692" max="8692" width="1.44140625" customWidth="1"/>
    <col min="8693" max="8693" width="39.109375" customWidth="1"/>
    <col min="8694" max="8694" width="12" customWidth="1"/>
    <col min="8695" max="8695" width="14.44140625" customWidth="1"/>
    <col min="8696" max="8696" width="11.77734375" customWidth="1"/>
    <col min="8697" max="8697" width="14.109375" customWidth="1"/>
    <col min="8698" max="8698" width="13.77734375" customWidth="1"/>
    <col min="8699" max="8700" width="12.77734375" customWidth="1"/>
    <col min="8701" max="8701" width="13.5546875" customWidth="1"/>
    <col min="8702" max="8702" width="15.21875" customWidth="1"/>
    <col min="8703" max="8703" width="12.77734375" customWidth="1"/>
    <col min="8704" max="8704" width="13.77734375" customWidth="1"/>
    <col min="8705" max="8705" width="1.77734375" customWidth="1"/>
    <col min="8706" max="8706" width="13" customWidth="1"/>
    <col min="8707" max="8946" width="8.77734375"/>
    <col min="8947" max="8947" width="6" customWidth="1"/>
    <col min="8948" max="8948" width="1.44140625" customWidth="1"/>
    <col min="8949" max="8949" width="39.109375" customWidth="1"/>
    <col min="8950" max="8950" width="12" customWidth="1"/>
    <col min="8951" max="8951" width="14.44140625" customWidth="1"/>
    <col min="8952" max="8952" width="11.77734375" customWidth="1"/>
    <col min="8953" max="8953" width="14.109375" customWidth="1"/>
    <col min="8954" max="8954" width="13.77734375" customWidth="1"/>
    <col min="8955" max="8956" width="12.77734375" customWidth="1"/>
    <col min="8957" max="8957" width="13.5546875" customWidth="1"/>
    <col min="8958" max="8958" width="15.21875" customWidth="1"/>
    <col min="8959" max="8959" width="12.77734375" customWidth="1"/>
    <col min="8960" max="8960" width="13.77734375" customWidth="1"/>
    <col min="8961" max="8961" width="1.77734375" customWidth="1"/>
    <col min="8962" max="8962" width="13" customWidth="1"/>
    <col min="8963" max="9202" width="8.77734375"/>
    <col min="9203" max="9203" width="6" customWidth="1"/>
    <col min="9204" max="9204" width="1.44140625" customWidth="1"/>
    <col min="9205" max="9205" width="39.109375" customWidth="1"/>
    <col min="9206" max="9206" width="12" customWidth="1"/>
    <col min="9207" max="9207" width="14.44140625" customWidth="1"/>
    <col min="9208" max="9208" width="11.77734375" customWidth="1"/>
    <col min="9209" max="9209" width="14.109375" customWidth="1"/>
    <col min="9210" max="9210" width="13.77734375" customWidth="1"/>
    <col min="9211" max="9212" width="12.77734375" customWidth="1"/>
    <col min="9213" max="9213" width="13.5546875" customWidth="1"/>
    <col min="9214" max="9214" width="15.21875" customWidth="1"/>
    <col min="9215" max="9215" width="12.77734375" customWidth="1"/>
    <col min="9216" max="9216" width="13.77734375" customWidth="1"/>
    <col min="9217" max="9217" width="1.77734375" customWidth="1"/>
    <col min="9218" max="9218" width="13" customWidth="1"/>
    <col min="9219" max="9458" width="8.77734375"/>
    <col min="9459" max="9459" width="6" customWidth="1"/>
    <col min="9460" max="9460" width="1.44140625" customWidth="1"/>
    <col min="9461" max="9461" width="39.109375" customWidth="1"/>
    <col min="9462" max="9462" width="12" customWidth="1"/>
    <col min="9463" max="9463" width="14.44140625" customWidth="1"/>
    <col min="9464" max="9464" width="11.77734375" customWidth="1"/>
    <col min="9465" max="9465" width="14.109375" customWidth="1"/>
    <col min="9466" max="9466" width="13.77734375" customWidth="1"/>
    <col min="9467" max="9468" width="12.77734375" customWidth="1"/>
    <col min="9469" max="9469" width="13.5546875" customWidth="1"/>
    <col min="9470" max="9470" width="15.21875" customWidth="1"/>
    <col min="9471" max="9471" width="12.77734375" customWidth="1"/>
    <col min="9472" max="9472" width="13.77734375" customWidth="1"/>
    <col min="9473" max="9473" width="1.77734375" customWidth="1"/>
    <col min="9474" max="9474" width="13" customWidth="1"/>
    <col min="9475" max="9714" width="8.77734375"/>
    <col min="9715" max="9715" width="6" customWidth="1"/>
    <col min="9716" max="9716" width="1.44140625" customWidth="1"/>
    <col min="9717" max="9717" width="39.109375" customWidth="1"/>
    <col min="9718" max="9718" width="12" customWidth="1"/>
    <col min="9719" max="9719" width="14.44140625" customWidth="1"/>
    <col min="9720" max="9720" width="11.77734375" customWidth="1"/>
    <col min="9721" max="9721" width="14.109375" customWidth="1"/>
    <col min="9722" max="9722" width="13.77734375" customWidth="1"/>
    <col min="9723" max="9724" width="12.77734375" customWidth="1"/>
    <col min="9725" max="9725" width="13.5546875" customWidth="1"/>
    <col min="9726" max="9726" width="15.21875" customWidth="1"/>
    <col min="9727" max="9727" width="12.77734375" customWidth="1"/>
    <col min="9728" max="9728" width="13.77734375" customWidth="1"/>
    <col min="9729" max="9729" width="1.77734375" customWidth="1"/>
    <col min="9730" max="9730" width="13" customWidth="1"/>
    <col min="9731" max="9970" width="8.77734375"/>
    <col min="9971" max="9971" width="6" customWidth="1"/>
    <col min="9972" max="9972" width="1.44140625" customWidth="1"/>
    <col min="9973" max="9973" width="39.109375" customWidth="1"/>
    <col min="9974" max="9974" width="12" customWidth="1"/>
    <col min="9975" max="9975" width="14.44140625" customWidth="1"/>
    <col min="9976" max="9976" width="11.77734375" customWidth="1"/>
    <col min="9977" max="9977" width="14.109375" customWidth="1"/>
    <col min="9978" max="9978" width="13.77734375" customWidth="1"/>
    <col min="9979" max="9980" width="12.77734375" customWidth="1"/>
    <col min="9981" max="9981" width="13.5546875" customWidth="1"/>
    <col min="9982" max="9982" width="15.21875" customWidth="1"/>
    <col min="9983" max="9983" width="12.77734375" customWidth="1"/>
    <col min="9984" max="9984" width="13.77734375" customWidth="1"/>
    <col min="9985" max="9985" width="1.77734375" customWidth="1"/>
    <col min="9986" max="9986" width="13" customWidth="1"/>
    <col min="9987" max="10226" width="8.77734375"/>
    <col min="10227" max="10227" width="6" customWidth="1"/>
    <col min="10228" max="10228" width="1.44140625" customWidth="1"/>
    <col min="10229" max="10229" width="39.109375" customWidth="1"/>
    <col min="10230" max="10230" width="12" customWidth="1"/>
    <col min="10231" max="10231" width="14.44140625" customWidth="1"/>
    <col min="10232" max="10232" width="11.77734375" customWidth="1"/>
    <col min="10233" max="10233" width="14.109375" customWidth="1"/>
    <col min="10234" max="10234" width="13.77734375" customWidth="1"/>
    <col min="10235" max="10236" width="12.77734375" customWidth="1"/>
    <col min="10237" max="10237" width="13.5546875" customWidth="1"/>
    <col min="10238" max="10238" width="15.21875" customWidth="1"/>
    <col min="10239" max="10239" width="12.77734375" customWidth="1"/>
    <col min="10240" max="10240" width="13.77734375" customWidth="1"/>
    <col min="10241" max="10241" width="1.77734375" customWidth="1"/>
    <col min="10242" max="10242" width="13" customWidth="1"/>
    <col min="10243" max="10482" width="8.77734375"/>
    <col min="10483" max="10483" width="6" customWidth="1"/>
    <col min="10484" max="10484" width="1.44140625" customWidth="1"/>
    <col min="10485" max="10485" width="39.109375" customWidth="1"/>
    <col min="10486" max="10486" width="12" customWidth="1"/>
    <col min="10487" max="10487" width="14.44140625" customWidth="1"/>
    <col min="10488" max="10488" width="11.77734375" customWidth="1"/>
    <col min="10489" max="10489" width="14.109375" customWidth="1"/>
    <col min="10490" max="10490" width="13.77734375" customWidth="1"/>
    <col min="10491" max="10492" width="12.77734375" customWidth="1"/>
    <col min="10493" max="10493" width="13.5546875" customWidth="1"/>
    <col min="10494" max="10494" width="15.21875" customWidth="1"/>
    <col min="10495" max="10495" width="12.77734375" customWidth="1"/>
    <col min="10496" max="10496" width="13.77734375" customWidth="1"/>
    <col min="10497" max="10497" width="1.77734375" customWidth="1"/>
    <col min="10498" max="10498" width="13" customWidth="1"/>
    <col min="10499" max="10738" width="8.77734375"/>
    <col min="10739" max="10739" width="6" customWidth="1"/>
    <col min="10740" max="10740" width="1.44140625" customWidth="1"/>
    <col min="10741" max="10741" width="39.109375" customWidth="1"/>
    <col min="10742" max="10742" width="12" customWidth="1"/>
    <col min="10743" max="10743" width="14.44140625" customWidth="1"/>
    <col min="10744" max="10744" width="11.77734375" customWidth="1"/>
    <col min="10745" max="10745" width="14.109375" customWidth="1"/>
    <col min="10746" max="10746" width="13.77734375" customWidth="1"/>
    <col min="10747" max="10748" width="12.77734375" customWidth="1"/>
    <col min="10749" max="10749" width="13.5546875" customWidth="1"/>
    <col min="10750" max="10750" width="15.21875" customWidth="1"/>
    <col min="10751" max="10751" width="12.77734375" customWidth="1"/>
    <col min="10752" max="10752" width="13.77734375" customWidth="1"/>
    <col min="10753" max="10753" width="1.77734375" customWidth="1"/>
    <col min="10754" max="10754" width="13" customWidth="1"/>
    <col min="10755" max="10994" width="8.77734375"/>
    <col min="10995" max="10995" width="6" customWidth="1"/>
    <col min="10996" max="10996" width="1.44140625" customWidth="1"/>
    <col min="10997" max="10997" width="39.109375" customWidth="1"/>
    <col min="10998" max="10998" width="12" customWidth="1"/>
    <col min="10999" max="10999" width="14.44140625" customWidth="1"/>
    <col min="11000" max="11000" width="11.77734375" customWidth="1"/>
    <col min="11001" max="11001" width="14.109375" customWidth="1"/>
    <col min="11002" max="11002" width="13.77734375" customWidth="1"/>
    <col min="11003" max="11004" width="12.77734375" customWidth="1"/>
    <col min="11005" max="11005" width="13.5546875" customWidth="1"/>
    <col min="11006" max="11006" width="15.21875" customWidth="1"/>
    <col min="11007" max="11007" width="12.77734375" customWidth="1"/>
    <col min="11008" max="11008" width="13.77734375" customWidth="1"/>
    <col min="11009" max="11009" width="1.77734375" customWidth="1"/>
    <col min="11010" max="11010" width="13" customWidth="1"/>
    <col min="11011" max="11250" width="8.77734375"/>
    <col min="11251" max="11251" width="6" customWidth="1"/>
    <col min="11252" max="11252" width="1.44140625" customWidth="1"/>
    <col min="11253" max="11253" width="39.109375" customWidth="1"/>
    <col min="11254" max="11254" width="12" customWidth="1"/>
    <col min="11255" max="11255" width="14.44140625" customWidth="1"/>
    <col min="11256" max="11256" width="11.77734375" customWidth="1"/>
    <col min="11257" max="11257" width="14.109375" customWidth="1"/>
    <col min="11258" max="11258" width="13.77734375" customWidth="1"/>
    <col min="11259" max="11260" width="12.77734375" customWidth="1"/>
    <col min="11261" max="11261" width="13.5546875" customWidth="1"/>
    <col min="11262" max="11262" width="15.21875" customWidth="1"/>
    <col min="11263" max="11263" width="12.77734375" customWidth="1"/>
    <col min="11264" max="11264" width="13.77734375" customWidth="1"/>
    <col min="11265" max="11265" width="1.77734375" customWidth="1"/>
    <col min="11266" max="11266" width="13" customWidth="1"/>
    <col min="11267" max="11506" width="8.77734375"/>
    <col min="11507" max="11507" width="6" customWidth="1"/>
    <col min="11508" max="11508" width="1.44140625" customWidth="1"/>
    <col min="11509" max="11509" width="39.109375" customWidth="1"/>
    <col min="11510" max="11510" width="12" customWidth="1"/>
    <col min="11511" max="11511" width="14.44140625" customWidth="1"/>
    <col min="11512" max="11512" width="11.77734375" customWidth="1"/>
    <col min="11513" max="11513" width="14.109375" customWidth="1"/>
    <col min="11514" max="11514" width="13.77734375" customWidth="1"/>
    <col min="11515" max="11516" width="12.77734375" customWidth="1"/>
    <col min="11517" max="11517" width="13.5546875" customWidth="1"/>
    <col min="11518" max="11518" width="15.21875" customWidth="1"/>
    <col min="11519" max="11519" width="12.77734375" customWidth="1"/>
    <col min="11520" max="11520" width="13.77734375" customWidth="1"/>
    <col min="11521" max="11521" width="1.77734375" customWidth="1"/>
    <col min="11522" max="11522" width="13" customWidth="1"/>
    <col min="11523" max="11762" width="8.77734375"/>
    <col min="11763" max="11763" width="6" customWidth="1"/>
    <col min="11764" max="11764" width="1.44140625" customWidth="1"/>
    <col min="11765" max="11765" width="39.109375" customWidth="1"/>
    <col min="11766" max="11766" width="12" customWidth="1"/>
    <col min="11767" max="11767" width="14.44140625" customWidth="1"/>
    <col min="11768" max="11768" width="11.77734375" customWidth="1"/>
    <col min="11769" max="11769" width="14.109375" customWidth="1"/>
    <col min="11770" max="11770" width="13.77734375" customWidth="1"/>
    <col min="11771" max="11772" width="12.77734375" customWidth="1"/>
    <col min="11773" max="11773" width="13.5546875" customWidth="1"/>
    <col min="11774" max="11774" width="15.21875" customWidth="1"/>
    <col min="11775" max="11775" width="12.77734375" customWidth="1"/>
    <col min="11776" max="11776" width="13.77734375" customWidth="1"/>
    <col min="11777" max="11777" width="1.77734375" customWidth="1"/>
    <col min="11778" max="11778" width="13" customWidth="1"/>
    <col min="11779" max="12018" width="8.77734375"/>
    <col min="12019" max="12019" width="6" customWidth="1"/>
    <col min="12020" max="12020" width="1.44140625" customWidth="1"/>
    <col min="12021" max="12021" width="39.109375" customWidth="1"/>
    <col min="12022" max="12022" width="12" customWidth="1"/>
    <col min="12023" max="12023" width="14.44140625" customWidth="1"/>
    <col min="12024" max="12024" width="11.77734375" customWidth="1"/>
    <col min="12025" max="12025" width="14.109375" customWidth="1"/>
    <col min="12026" max="12026" width="13.77734375" customWidth="1"/>
    <col min="12027" max="12028" width="12.77734375" customWidth="1"/>
    <col min="12029" max="12029" width="13.5546875" customWidth="1"/>
    <col min="12030" max="12030" width="15.21875" customWidth="1"/>
    <col min="12031" max="12031" width="12.77734375" customWidth="1"/>
    <col min="12032" max="12032" width="13.77734375" customWidth="1"/>
    <col min="12033" max="12033" width="1.77734375" customWidth="1"/>
    <col min="12034" max="12034" width="13" customWidth="1"/>
    <col min="12035" max="12274" width="8.77734375"/>
    <col min="12275" max="12275" width="6" customWidth="1"/>
    <col min="12276" max="12276" width="1.44140625" customWidth="1"/>
    <col min="12277" max="12277" width="39.109375" customWidth="1"/>
    <col min="12278" max="12278" width="12" customWidth="1"/>
    <col min="12279" max="12279" width="14.44140625" customWidth="1"/>
    <col min="12280" max="12280" width="11.77734375" customWidth="1"/>
    <col min="12281" max="12281" width="14.109375" customWidth="1"/>
    <col min="12282" max="12282" width="13.77734375" customWidth="1"/>
    <col min="12283" max="12284" width="12.77734375" customWidth="1"/>
    <col min="12285" max="12285" width="13.5546875" customWidth="1"/>
    <col min="12286" max="12286" width="15.21875" customWidth="1"/>
    <col min="12287" max="12287" width="12.77734375" customWidth="1"/>
    <col min="12288" max="12288" width="13.77734375" customWidth="1"/>
    <col min="12289" max="12289" width="1.77734375" customWidth="1"/>
    <col min="12290" max="12290" width="13" customWidth="1"/>
    <col min="12291" max="12530" width="8.77734375"/>
    <col min="12531" max="12531" width="6" customWidth="1"/>
    <col min="12532" max="12532" width="1.44140625" customWidth="1"/>
    <col min="12533" max="12533" width="39.109375" customWidth="1"/>
    <col min="12534" max="12534" width="12" customWidth="1"/>
    <col min="12535" max="12535" width="14.44140625" customWidth="1"/>
    <col min="12536" max="12536" width="11.77734375" customWidth="1"/>
    <col min="12537" max="12537" width="14.109375" customWidth="1"/>
    <col min="12538" max="12538" width="13.77734375" customWidth="1"/>
    <col min="12539" max="12540" width="12.77734375" customWidth="1"/>
    <col min="12541" max="12541" width="13.5546875" customWidth="1"/>
    <col min="12542" max="12542" width="15.21875" customWidth="1"/>
    <col min="12543" max="12543" width="12.77734375" customWidth="1"/>
    <col min="12544" max="12544" width="13.77734375" customWidth="1"/>
    <col min="12545" max="12545" width="1.77734375" customWidth="1"/>
    <col min="12546" max="12546" width="13" customWidth="1"/>
    <col min="12547" max="12786" width="8.77734375"/>
    <col min="12787" max="12787" width="6" customWidth="1"/>
    <col min="12788" max="12788" width="1.44140625" customWidth="1"/>
    <col min="12789" max="12789" width="39.109375" customWidth="1"/>
    <col min="12790" max="12790" width="12" customWidth="1"/>
    <col min="12791" max="12791" width="14.44140625" customWidth="1"/>
    <col min="12792" max="12792" width="11.77734375" customWidth="1"/>
    <col min="12793" max="12793" width="14.109375" customWidth="1"/>
    <col min="12794" max="12794" width="13.77734375" customWidth="1"/>
    <col min="12795" max="12796" width="12.77734375" customWidth="1"/>
    <col min="12797" max="12797" width="13.5546875" customWidth="1"/>
    <col min="12798" max="12798" width="15.21875" customWidth="1"/>
    <col min="12799" max="12799" width="12.77734375" customWidth="1"/>
    <col min="12800" max="12800" width="13.77734375" customWidth="1"/>
    <col min="12801" max="12801" width="1.77734375" customWidth="1"/>
    <col min="12802" max="12802" width="13" customWidth="1"/>
    <col min="12803" max="13042" width="8.77734375"/>
    <col min="13043" max="13043" width="6" customWidth="1"/>
    <col min="13044" max="13044" width="1.44140625" customWidth="1"/>
    <col min="13045" max="13045" width="39.109375" customWidth="1"/>
    <col min="13046" max="13046" width="12" customWidth="1"/>
    <col min="13047" max="13047" width="14.44140625" customWidth="1"/>
    <col min="13048" max="13048" width="11.77734375" customWidth="1"/>
    <col min="13049" max="13049" width="14.109375" customWidth="1"/>
    <col min="13050" max="13050" width="13.77734375" customWidth="1"/>
    <col min="13051" max="13052" width="12.77734375" customWidth="1"/>
    <col min="13053" max="13053" width="13.5546875" customWidth="1"/>
    <col min="13054" max="13054" width="15.21875" customWidth="1"/>
    <col min="13055" max="13055" width="12.77734375" customWidth="1"/>
    <col min="13056" max="13056" width="13.77734375" customWidth="1"/>
    <col min="13057" max="13057" width="1.77734375" customWidth="1"/>
    <col min="13058" max="13058" width="13" customWidth="1"/>
    <col min="13059" max="13298" width="8.77734375"/>
    <col min="13299" max="13299" width="6" customWidth="1"/>
    <col min="13300" max="13300" width="1.44140625" customWidth="1"/>
    <col min="13301" max="13301" width="39.109375" customWidth="1"/>
    <col min="13302" max="13302" width="12" customWidth="1"/>
    <col min="13303" max="13303" width="14.44140625" customWidth="1"/>
    <col min="13304" max="13304" width="11.77734375" customWidth="1"/>
    <col min="13305" max="13305" width="14.109375" customWidth="1"/>
    <col min="13306" max="13306" width="13.77734375" customWidth="1"/>
    <col min="13307" max="13308" width="12.77734375" customWidth="1"/>
    <col min="13309" max="13309" width="13.5546875" customWidth="1"/>
    <col min="13310" max="13310" width="15.21875" customWidth="1"/>
    <col min="13311" max="13311" width="12.77734375" customWidth="1"/>
    <col min="13312" max="13312" width="13.77734375" customWidth="1"/>
    <col min="13313" max="13313" width="1.77734375" customWidth="1"/>
    <col min="13314" max="13314" width="13" customWidth="1"/>
    <col min="13315" max="13554" width="8.77734375"/>
    <col min="13555" max="13555" width="6" customWidth="1"/>
    <col min="13556" max="13556" width="1.44140625" customWidth="1"/>
    <col min="13557" max="13557" width="39.109375" customWidth="1"/>
    <col min="13558" max="13558" width="12" customWidth="1"/>
    <col min="13559" max="13559" width="14.44140625" customWidth="1"/>
    <col min="13560" max="13560" width="11.77734375" customWidth="1"/>
    <col min="13561" max="13561" width="14.109375" customWidth="1"/>
    <col min="13562" max="13562" width="13.77734375" customWidth="1"/>
    <col min="13563" max="13564" width="12.77734375" customWidth="1"/>
    <col min="13565" max="13565" width="13.5546875" customWidth="1"/>
    <col min="13566" max="13566" width="15.21875" customWidth="1"/>
    <col min="13567" max="13567" width="12.77734375" customWidth="1"/>
    <col min="13568" max="13568" width="13.77734375" customWidth="1"/>
    <col min="13569" max="13569" width="1.77734375" customWidth="1"/>
    <col min="13570" max="13570" width="13" customWidth="1"/>
    <col min="13571" max="13810" width="8.77734375"/>
    <col min="13811" max="13811" width="6" customWidth="1"/>
    <col min="13812" max="13812" width="1.44140625" customWidth="1"/>
    <col min="13813" max="13813" width="39.109375" customWidth="1"/>
    <col min="13814" max="13814" width="12" customWidth="1"/>
    <col min="13815" max="13815" width="14.44140625" customWidth="1"/>
    <col min="13816" max="13816" width="11.77734375" customWidth="1"/>
    <col min="13817" max="13817" width="14.109375" customWidth="1"/>
    <col min="13818" max="13818" width="13.77734375" customWidth="1"/>
    <col min="13819" max="13820" width="12.77734375" customWidth="1"/>
    <col min="13821" max="13821" width="13.5546875" customWidth="1"/>
    <col min="13822" max="13822" width="15.21875" customWidth="1"/>
    <col min="13823" max="13823" width="12.77734375" customWidth="1"/>
    <col min="13824" max="13824" width="13.77734375" customWidth="1"/>
    <col min="13825" max="13825" width="1.77734375" customWidth="1"/>
    <col min="13826" max="13826" width="13" customWidth="1"/>
    <col min="13827" max="14066" width="8.77734375"/>
    <col min="14067" max="14067" width="6" customWidth="1"/>
    <col min="14068" max="14068" width="1.44140625" customWidth="1"/>
    <col min="14069" max="14069" width="39.109375" customWidth="1"/>
    <col min="14070" max="14070" width="12" customWidth="1"/>
    <col min="14071" max="14071" width="14.44140625" customWidth="1"/>
    <col min="14072" max="14072" width="11.77734375" customWidth="1"/>
    <col min="14073" max="14073" width="14.109375" customWidth="1"/>
    <col min="14074" max="14074" width="13.77734375" customWidth="1"/>
    <col min="14075" max="14076" width="12.77734375" customWidth="1"/>
    <col min="14077" max="14077" width="13.5546875" customWidth="1"/>
    <col min="14078" max="14078" width="15.21875" customWidth="1"/>
    <col min="14079" max="14079" width="12.77734375" customWidth="1"/>
    <col min="14080" max="14080" width="13.77734375" customWidth="1"/>
    <col min="14081" max="14081" width="1.77734375" customWidth="1"/>
    <col min="14082" max="14082" width="13" customWidth="1"/>
    <col min="14083" max="14322" width="8.77734375"/>
    <col min="14323" max="14323" width="6" customWidth="1"/>
    <col min="14324" max="14324" width="1.44140625" customWidth="1"/>
    <col min="14325" max="14325" width="39.109375" customWidth="1"/>
    <col min="14326" max="14326" width="12" customWidth="1"/>
    <col min="14327" max="14327" width="14.44140625" customWidth="1"/>
    <col min="14328" max="14328" width="11.77734375" customWidth="1"/>
    <col min="14329" max="14329" width="14.109375" customWidth="1"/>
    <col min="14330" max="14330" width="13.77734375" customWidth="1"/>
    <col min="14331" max="14332" width="12.77734375" customWidth="1"/>
    <col min="14333" max="14333" width="13.5546875" customWidth="1"/>
    <col min="14334" max="14334" width="15.21875" customWidth="1"/>
    <col min="14335" max="14335" width="12.77734375" customWidth="1"/>
    <col min="14336" max="14336" width="13.77734375" customWidth="1"/>
    <col min="14337" max="14337" width="1.77734375" customWidth="1"/>
    <col min="14338" max="14338" width="13" customWidth="1"/>
    <col min="14339" max="14578" width="8.77734375"/>
    <col min="14579" max="14579" width="6" customWidth="1"/>
    <col min="14580" max="14580" width="1.44140625" customWidth="1"/>
    <col min="14581" max="14581" width="39.109375" customWidth="1"/>
    <col min="14582" max="14582" width="12" customWidth="1"/>
    <col min="14583" max="14583" width="14.44140625" customWidth="1"/>
    <col min="14584" max="14584" width="11.77734375" customWidth="1"/>
    <col min="14585" max="14585" width="14.109375" customWidth="1"/>
    <col min="14586" max="14586" width="13.77734375" customWidth="1"/>
    <col min="14587" max="14588" width="12.77734375" customWidth="1"/>
    <col min="14589" max="14589" width="13.5546875" customWidth="1"/>
    <col min="14590" max="14590" width="15.21875" customWidth="1"/>
    <col min="14591" max="14591" width="12.77734375" customWidth="1"/>
    <col min="14592" max="14592" width="13.77734375" customWidth="1"/>
    <col min="14593" max="14593" width="1.77734375" customWidth="1"/>
    <col min="14594" max="14594" width="13" customWidth="1"/>
    <col min="14595" max="14834" width="8.77734375"/>
    <col min="14835" max="14835" width="6" customWidth="1"/>
    <col min="14836" max="14836" width="1.44140625" customWidth="1"/>
    <col min="14837" max="14837" width="39.109375" customWidth="1"/>
    <col min="14838" max="14838" width="12" customWidth="1"/>
    <col min="14839" max="14839" width="14.44140625" customWidth="1"/>
    <col min="14840" max="14840" width="11.77734375" customWidth="1"/>
    <col min="14841" max="14841" width="14.109375" customWidth="1"/>
    <col min="14842" max="14842" width="13.77734375" customWidth="1"/>
    <col min="14843" max="14844" width="12.77734375" customWidth="1"/>
    <col min="14845" max="14845" width="13.5546875" customWidth="1"/>
    <col min="14846" max="14846" width="15.21875" customWidth="1"/>
    <col min="14847" max="14847" width="12.77734375" customWidth="1"/>
    <col min="14848" max="14848" width="13.77734375" customWidth="1"/>
    <col min="14849" max="14849" width="1.77734375" customWidth="1"/>
    <col min="14850" max="14850" width="13" customWidth="1"/>
    <col min="14851" max="15090" width="8.77734375"/>
    <col min="15091" max="15091" width="6" customWidth="1"/>
    <col min="15092" max="15092" width="1.44140625" customWidth="1"/>
    <col min="15093" max="15093" width="39.109375" customWidth="1"/>
    <col min="15094" max="15094" width="12" customWidth="1"/>
    <col min="15095" max="15095" width="14.44140625" customWidth="1"/>
    <col min="15096" max="15096" width="11.77734375" customWidth="1"/>
    <col min="15097" max="15097" width="14.109375" customWidth="1"/>
    <col min="15098" max="15098" width="13.77734375" customWidth="1"/>
    <col min="15099" max="15100" width="12.77734375" customWidth="1"/>
    <col min="15101" max="15101" width="13.5546875" customWidth="1"/>
    <col min="15102" max="15102" width="15.21875" customWidth="1"/>
    <col min="15103" max="15103" width="12.77734375" customWidth="1"/>
    <col min="15104" max="15104" width="13.77734375" customWidth="1"/>
    <col min="15105" max="15105" width="1.77734375" customWidth="1"/>
    <col min="15106" max="15106" width="13" customWidth="1"/>
    <col min="15107" max="15346" width="8.77734375"/>
    <col min="15347" max="15347" width="6" customWidth="1"/>
    <col min="15348" max="15348" width="1.44140625" customWidth="1"/>
    <col min="15349" max="15349" width="39.109375" customWidth="1"/>
    <col min="15350" max="15350" width="12" customWidth="1"/>
    <col min="15351" max="15351" width="14.44140625" customWidth="1"/>
    <col min="15352" max="15352" width="11.77734375" customWidth="1"/>
    <col min="15353" max="15353" width="14.109375" customWidth="1"/>
    <col min="15354" max="15354" width="13.77734375" customWidth="1"/>
    <col min="15355" max="15356" width="12.77734375" customWidth="1"/>
    <col min="15357" max="15357" width="13.5546875" customWidth="1"/>
    <col min="15358" max="15358" width="15.21875" customWidth="1"/>
    <col min="15359" max="15359" width="12.77734375" customWidth="1"/>
    <col min="15360" max="15360" width="13.77734375" customWidth="1"/>
    <col min="15361" max="15361" width="1.77734375" customWidth="1"/>
    <col min="15362" max="15362" width="13" customWidth="1"/>
    <col min="15363" max="15602" width="8.77734375"/>
    <col min="15603" max="15603" width="6" customWidth="1"/>
    <col min="15604" max="15604" width="1.44140625" customWidth="1"/>
    <col min="15605" max="15605" width="39.109375" customWidth="1"/>
    <col min="15606" max="15606" width="12" customWidth="1"/>
    <col min="15607" max="15607" width="14.44140625" customWidth="1"/>
    <col min="15608" max="15608" width="11.77734375" customWidth="1"/>
    <col min="15609" max="15609" width="14.109375" customWidth="1"/>
    <col min="15610" max="15610" width="13.77734375" customWidth="1"/>
    <col min="15611" max="15612" width="12.77734375" customWidth="1"/>
    <col min="15613" max="15613" width="13.5546875" customWidth="1"/>
    <col min="15614" max="15614" width="15.21875" customWidth="1"/>
    <col min="15615" max="15615" width="12.77734375" customWidth="1"/>
    <col min="15616" max="15616" width="13.77734375" customWidth="1"/>
    <col min="15617" max="15617" width="1.77734375" customWidth="1"/>
    <col min="15618" max="15618" width="13" customWidth="1"/>
    <col min="15619" max="15858" width="8.77734375"/>
    <col min="15859" max="15859" width="6" customWidth="1"/>
    <col min="15860" max="15860" width="1.44140625" customWidth="1"/>
    <col min="15861" max="15861" width="39.109375" customWidth="1"/>
    <col min="15862" max="15862" width="12" customWidth="1"/>
    <col min="15863" max="15863" width="14.44140625" customWidth="1"/>
    <col min="15864" max="15864" width="11.77734375" customWidth="1"/>
    <col min="15865" max="15865" width="14.109375" customWidth="1"/>
    <col min="15866" max="15866" width="13.77734375" customWidth="1"/>
    <col min="15867" max="15868" width="12.77734375" customWidth="1"/>
    <col min="15869" max="15869" width="13.5546875" customWidth="1"/>
    <col min="15870" max="15870" width="15.21875" customWidth="1"/>
    <col min="15871" max="15871" width="12.77734375" customWidth="1"/>
    <col min="15872" max="15872" width="13.77734375" customWidth="1"/>
    <col min="15873" max="15873" width="1.77734375" customWidth="1"/>
    <col min="15874" max="15874" width="13" customWidth="1"/>
    <col min="15875" max="16114" width="8.77734375"/>
    <col min="16115" max="16115" width="6" customWidth="1"/>
    <col min="16116" max="16116" width="1.44140625" customWidth="1"/>
    <col min="16117" max="16117" width="39.109375" customWidth="1"/>
    <col min="16118" max="16118" width="12" customWidth="1"/>
    <col min="16119" max="16119" width="14.44140625" customWidth="1"/>
    <col min="16120" max="16120" width="11.77734375" customWidth="1"/>
    <col min="16121" max="16121" width="14.109375" customWidth="1"/>
    <col min="16122" max="16122" width="13.77734375" customWidth="1"/>
    <col min="16123" max="16124" width="12.77734375" customWidth="1"/>
    <col min="16125" max="16125" width="13.5546875" customWidth="1"/>
    <col min="16126" max="16126" width="15.21875" customWidth="1"/>
    <col min="16127" max="16127" width="12.77734375" customWidth="1"/>
    <col min="16128" max="16128" width="13.77734375" customWidth="1"/>
    <col min="16129" max="16129" width="1.77734375" customWidth="1"/>
    <col min="16130" max="16130" width="13" customWidth="1"/>
    <col min="16131" max="16370" width="8.77734375"/>
    <col min="16371" max="16384" width="8.77734375" customWidth="1"/>
  </cols>
  <sheetData>
    <row r="1" spans="1:14">
      <c r="I1" s="50" t="s">
        <v>299</v>
      </c>
    </row>
    <row r="2" spans="1:14">
      <c r="I2" s="50" t="s">
        <v>341</v>
      </c>
      <c r="M2" s="949"/>
      <c r="N2" s="949"/>
    </row>
    <row r="3" spans="1:14">
      <c r="I3" s="50" t="s">
        <v>193</v>
      </c>
    </row>
    <row r="4" spans="1:14">
      <c r="I4" s="61" t="str">
        <f>"For the 12 months ended: "&amp;TEXT(INPUT!B1,"mm/dd/yyyy")</f>
        <v>For the 12 months ended: 12/31/2020</v>
      </c>
    </row>
    <row r="5" spans="1:14">
      <c r="C5" s="24"/>
    </row>
    <row r="6" spans="1:14">
      <c r="A6" s="144" t="s">
        <v>257</v>
      </c>
      <c r="B6" s="174"/>
      <c r="C6" s="174"/>
      <c r="D6" s="144"/>
      <c r="E6" s="144"/>
      <c r="F6" s="144"/>
      <c r="G6" s="174"/>
      <c r="H6" s="144"/>
      <c r="I6" s="144"/>
      <c r="J6" s="1"/>
    </row>
    <row r="7" spans="1:14">
      <c r="A7" s="145" t="s">
        <v>300</v>
      </c>
      <c r="B7" s="174"/>
      <c r="C7" s="174"/>
      <c r="D7" s="146"/>
      <c r="E7" s="146"/>
      <c r="F7" s="146"/>
      <c r="G7" s="174"/>
      <c r="H7" s="146"/>
      <c r="I7" s="146"/>
      <c r="J7" s="1"/>
    </row>
    <row r="8" spans="1:14">
      <c r="A8" s="146"/>
      <c r="B8" s="174"/>
      <c r="C8" s="174"/>
      <c r="D8" s="146"/>
      <c r="E8" s="146"/>
      <c r="F8" s="146"/>
      <c r="G8" s="174"/>
      <c r="H8" s="146"/>
      <c r="I8" s="146"/>
      <c r="J8" s="1"/>
    </row>
    <row r="9" spans="1:14">
      <c r="A9" s="259" t="str">
        <f>DEO!A11</f>
        <v>DUKE ENERGY OHIO (DEO)</v>
      </c>
      <c r="B9" s="174"/>
      <c r="C9" s="174"/>
      <c r="D9" s="146"/>
      <c r="E9" s="146"/>
      <c r="F9" s="146"/>
      <c r="G9" s="174"/>
      <c r="H9" s="177"/>
      <c r="I9" s="146"/>
      <c r="J9" s="1"/>
    </row>
    <row r="10" spans="1:14">
      <c r="A10" s="226" t="s">
        <v>298</v>
      </c>
      <c r="B10" s="174"/>
      <c r="C10" s="174"/>
      <c r="D10" s="146"/>
      <c r="E10" s="146"/>
      <c r="F10" s="146"/>
      <c r="G10" s="174"/>
      <c r="H10" s="177"/>
      <c r="I10" s="146"/>
      <c r="J10" s="1"/>
    </row>
    <row r="11" spans="1:14">
      <c r="A11" s="251"/>
      <c r="B11" s="174"/>
      <c r="C11" s="146"/>
      <c r="D11" s="146"/>
      <c r="E11" s="146"/>
      <c r="F11" s="146"/>
      <c r="G11" s="177"/>
      <c r="H11" s="146"/>
      <c r="I11" s="146"/>
      <c r="J11" s="1"/>
    </row>
    <row r="12" spans="1:14">
      <c r="A12" s="146" t="s">
        <v>501</v>
      </c>
      <c r="B12" s="174"/>
      <c r="C12" s="174"/>
      <c r="D12" s="146"/>
      <c r="E12" s="146"/>
      <c r="F12" s="146"/>
      <c r="G12" s="177"/>
      <c r="H12" s="146"/>
      <c r="I12" s="146"/>
      <c r="J12" s="1"/>
    </row>
    <row r="13" spans="1:14">
      <c r="A13" s="86"/>
      <c r="C13" s="1"/>
      <c r="D13" s="1"/>
      <c r="E13" s="1"/>
      <c r="F13" s="1"/>
      <c r="G13" s="17"/>
    </row>
    <row r="14" spans="1:14">
      <c r="A14" s="86"/>
      <c r="C14" s="1"/>
      <c r="D14" s="1"/>
      <c r="E14" s="1"/>
      <c r="F14" s="1"/>
      <c r="G14" s="1"/>
    </row>
    <row r="15" spans="1:14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</row>
    <row r="16" spans="1:14" ht="15.75">
      <c r="C16" s="1"/>
      <c r="D16" s="1"/>
      <c r="I16" s="27"/>
    </row>
    <row r="17" spans="1:12">
      <c r="A17" s="26" t="s">
        <v>8</v>
      </c>
      <c r="C17" s="1"/>
      <c r="D17" s="1"/>
      <c r="E17" s="4" t="s">
        <v>299</v>
      </c>
      <c r="F17" s="4"/>
      <c r="G17" s="2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</row>
    <row r="19" spans="1:12" ht="15.75">
      <c r="A19" s="90"/>
      <c r="C19" s="1" t="s">
        <v>338</v>
      </c>
      <c r="D19" s="1"/>
      <c r="E19" s="2"/>
      <c r="F19" s="2"/>
      <c r="G19" s="2"/>
      <c r="I19" s="2"/>
    </row>
    <row r="20" spans="1:12">
      <c r="A20" s="91">
        <v>1</v>
      </c>
      <c r="C20" s="1" t="s">
        <v>214</v>
      </c>
      <c r="D20" s="1"/>
      <c r="E20" s="4" t="s">
        <v>657</v>
      </c>
      <c r="F20" s="4"/>
      <c r="G20" s="92">
        <f>DEO!J54</f>
        <v>1174534297</v>
      </c>
    </row>
    <row r="21" spans="1:12">
      <c r="A21" s="91">
        <v>2</v>
      </c>
      <c r="C21" s="1" t="s">
        <v>215</v>
      </c>
      <c r="D21" s="1"/>
      <c r="E21" s="4" t="s">
        <v>658</v>
      </c>
      <c r="F21" s="4"/>
      <c r="G21" s="92">
        <f>DEO!J70</f>
        <v>953301675</v>
      </c>
      <c r="I21" s="2"/>
    </row>
    <row r="22" spans="1:12">
      <c r="A22" s="91"/>
      <c r="E22" s="4"/>
      <c r="F22" s="4"/>
    </row>
    <row r="23" spans="1:12">
      <c r="A23" s="91"/>
      <c r="C23" s="1" t="s">
        <v>194</v>
      </c>
      <c r="D23" s="1"/>
      <c r="E23" s="4"/>
      <c r="F23" s="4"/>
      <c r="G23" s="2"/>
    </row>
    <row r="24" spans="1:12">
      <c r="A24" s="91">
        <v>3</v>
      </c>
      <c r="C24" s="1" t="s">
        <v>216</v>
      </c>
      <c r="D24" s="1"/>
      <c r="E24" s="4" t="s">
        <v>656</v>
      </c>
      <c r="F24" s="4"/>
      <c r="G24" s="92">
        <f>DEO!J127</f>
        <v>23582774</v>
      </c>
    </row>
    <row r="25" spans="1:12">
      <c r="A25" s="91">
        <v>4</v>
      </c>
      <c r="C25" s="1" t="s">
        <v>217</v>
      </c>
      <c r="D25" s="1"/>
      <c r="E25" s="4" t="s">
        <v>663</v>
      </c>
      <c r="F25" s="4"/>
      <c r="G25" s="93">
        <f>ROUND(IF(G24=0,0,G24/G20),4)</f>
        <v>2.01E-2</v>
      </c>
      <c r="I25" s="94">
        <f>G25</f>
        <v>2.01E-2</v>
      </c>
    </row>
    <row r="26" spans="1:12">
      <c r="A26" s="91"/>
      <c r="E26" s="4"/>
      <c r="F26" s="4"/>
    </row>
    <row r="27" spans="1:12" ht="30">
      <c r="A27" s="97"/>
      <c r="C27" s="403" t="s">
        <v>578</v>
      </c>
      <c r="D27" s="1"/>
      <c r="E27" s="67"/>
      <c r="F27" s="4"/>
    </row>
    <row r="28" spans="1:12">
      <c r="A28" s="97" t="s">
        <v>218</v>
      </c>
      <c r="C28" s="1" t="s">
        <v>579</v>
      </c>
      <c r="D28" s="1"/>
      <c r="E28" s="4" t="s">
        <v>544</v>
      </c>
      <c r="F28" s="4"/>
      <c r="G28" s="92">
        <f>DEO!J131+DEO!J132</f>
        <v>6129161</v>
      </c>
    </row>
    <row r="29" spans="1:12" ht="30">
      <c r="A29" s="404" t="s">
        <v>219</v>
      </c>
      <c r="C29" s="403" t="s">
        <v>580</v>
      </c>
      <c r="D29" s="1"/>
      <c r="E29" s="405" t="s">
        <v>660</v>
      </c>
      <c r="F29" s="405"/>
      <c r="G29" s="406">
        <f>ROUND(IF(G28=0,0,G28/G20),4)</f>
        <v>5.1999999999999998E-3</v>
      </c>
      <c r="H29" s="407"/>
      <c r="I29" s="408">
        <f>G29</f>
        <v>5.1999999999999998E-3</v>
      </c>
      <c r="K29" s="87"/>
      <c r="L29" s="84"/>
    </row>
    <row r="30" spans="1:12">
      <c r="A30" s="91"/>
      <c r="E30" s="4"/>
      <c r="F30" s="4"/>
    </row>
    <row r="31" spans="1:12">
      <c r="A31" s="97"/>
      <c r="C31" s="1" t="s">
        <v>197</v>
      </c>
      <c r="D31" s="1"/>
      <c r="E31" s="67"/>
      <c r="F31" s="67"/>
      <c r="G31" s="2"/>
    </row>
    <row r="32" spans="1:12">
      <c r="A32" s="97" t="s">
        <v>221</v>
      </c>
      <c r="C32" s="1" t="s">
        <v>199</v>
      </c>
      <c r="D32" s="1"/>
      <c r="E32" s="4" t="s">
        <v>655</v>
      </c>
      <c r="F32" s="4"/>
      <c r="G32" s="92">
        <f>DEO!J144</f>
        <v>46269737</v>
      </c>
    </row>
    <row r="33" spans="1:10">
      <c r="A33" s="97" t="s">
        <v>223</v>
      </c>
      <c r="C33" s="1" t="s">
        <v>220</v>
      </c>
      <c r="D33" s="1"/>
      <c r="E33" s="4" t="s">
        <v>661</v>
      </c>
      <c r="F33" s="4"/>
      <c r="G33" s="93">
        <f>ROUND(IF(G32=0,0,G32/G20),4)</f>
        <v>3.9399999999999998E-2</v>
      </c>
      <c r="I33" s="94">
        <f>G33</f>
        <v>3.9399999999999998E-2</v>
      </c>
    </row>
    <row r="34" spans="1:10">
      <c r="A34" s="97"/>
      <c r="C34" s="1"/>
      <c r="D34" s="1"/>
      <c r="E34" s="4"/>
      <c r="F34" s="4"/>
      <c r="G34" s="2"/>
      <c r="I34" s="2"/>
    </row>
    <row r="35" spans="1:10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6.4699999999999994E-2</v>
      </c>
    </row>
    <row r="36" spans="1:10">
      <c r="A36" s="229"/>
      <c r="C36" s="1"/>
      <c r="D36" s="1"/>
      <c r="E36" s="4"/>
      <c r="F36" s="4"/>
      <c r="G36" s="2"/>
      <c r="I36" s="2"/>
    </row>
    <row r="37" spans="1:10">
      <c r="A37" s="97"/>
      <c r="B37" s="102"/>
      <c r="C37" s="2" t="s">
        <v>201</v>
      </c>
      <c r="D37" s="2"/>
      <c r="E37" s="4"/>
      <c r="F37" s="4"/>
      <c r="G37" s="2"/>
    </row>
    <row r="38" spans="1:10">
      <c r="A38" s="97" t="s">
        <v>196</v>
      </c>
      <c r="B38" s="102"/>
      <c r="C38" s="2" t="s">
        <v>125</v>
      </c>
      <c r="D38" s="2"/>
      <c r="E38" s="4" t="s">
        <v>820</v>
      </c>
      <c r="F38" s="4"/>
      <c r="G38" s="92">
        <f>DEO!J159</f>
        <v>6840366</v>
      </c>
      <c r="I38" s="2"/>
    </row>
    <row r="39" spans="1:10">
      <c r="A39" s="97" t="s">
        <v>198</v>
      </c>
      <c r="B39" s="102"/>
      <c r="C39" s="2" t="s">
        <v>224</v>
      </c>
      <c r="D39" s="2"/>
      <c r="E39" s="4" t="s">
        <v>662</v>
      </c>
      <c r="F39" s="4"/>
      <c r="G39" s="93">
        <f>ROUND(IF(G38=0,0,G38/G21),4)</f>
        <v>7.1999999999999998E-3</v>
      </c>
      <c r="I39" s="94">
        <f>G39</f>
        <v>7.1999999999999998E-3</v>
      </c>
    </row>
    <row r="40" spans="1:10">
      <c r="A40" s="97"/>
      <c r="C40" s="2"/>
      <c r="D40" s="2"/>
      <c r="E40" s="4"/>
      <c r="F40" s="4"/>
      <c r="G40" s="2"/>
      <c r="I40" s="2"/>
    </row>
    <row r="41" spans="1:10">
      <c r="A41" s="97"/>
      <c r="C41" s="1" t="s">
        <v>59</v>
      </c>
      <c r="D41" s="1"/>
      <c r="E41" s="15"/>
      <c r="F41" s="15"/>
    </row>
    <row r="42" spans="1:10">
      <c r="A42" s="97" t="s">
        <v>200</v>
      </c>
      <c r="C42" s="1" t="s">
        <v>202</v>
      </c>
      <c r="D42" s="1"/>
      <c r="E42" s="4" t="s">
        <v>821</v>
      </c>
      <c r="F42" s="4"/>
      <c r="G42" s="92">
        <f>DEO!J161</f>
        <v>62749670</v>
      </c>
    </row>
    <row r="43" spans="1:10">
      <c r="A43" s="97" t="s">
        <v>263</v>
      </c>
      <c r="B43" s="102"/>
      <c r="C43" s="2" t="s">
        <v>225</v>
      </c>
      <c r="D43" s="2"/>
      <c r="E43" s="4" t="s">
        <v>659</v>
      </c>
      <c r="F43" s="4"/>
      <c r="G43" s="103">
        <f>ROUND(IF(G42=0,0,G42/G21),4)</f>
        <v>6.5799999999999997E-2</v>
      </c>
      <c r="I43" s="94">
        <f>G43</f>
        <v>6.5799999999999997E-2</v>
      </c>
    </row>
    <row r="44" spans="1:10">
      <c r="A44" s="97"/>
      <c r="C44" s="1"/>
      <c r="D44" s="1"/>
      <c r="E44" s="4"/>
      <c r="F44" s="4"/>
      <c r="G44" s="2"/>
      <c r="I44" s="2"/>
    </row>
    <row r="45" spans="1:10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7.2999999999999995E-2</v>
      </c>
    </row>
    <row r="47" spans="1:10">
      <c r="A47" s="106"/>
      <c r="C47" s="97"/>
      <c r="D47" s="97"/>
      <c r="E47" s="67"/>
      <c r="F47" s="67"/>
      <c r="G47" s="2"/>
      <c r="H47" s="9"/>
      <c r="I47" s="9"/>
      <c r="J47" s="93"/>
    </row>
    <row r="48" spans="1:10">
      <c r="A48" s="86"/>
      <c r="C48" s="9"/>
      <c r="D48" s="9"/>
      <c r="E48" s="9"/>
      <c r="F48" s="9"/>
      <c r="G48" s="2"/>
      <c r="H48" s="9"/>
      <c r="I48" s="9"/>
      <c r="J48" s="9"/>
    </row>
    <row r="49" spans="11:28">
      <c r="X49" s="50" t="s">
        <v>299</v>
      </c>
    </row>
    <row r="50" spans="11:28">
      <c r="X50" s="50" t="s">
        <v>341</v>
      </c>
    </row>
    <row r="51" spans="11:28">
      <c r="X51" s="107" t="s">
        <v>203</v>
      </c>
    </row>
    <row r="52" spans="11:28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  <c r="Y52" s="87"/>
      <c r="Z52" s="84"/>
      <c r="AA52" s="87"/>
      <c r="AB52" s="84"/>
    </row>
    <row r="53" spans="11:28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  <c r="Y53" s="87"/>
      <c r="Z53" s="84"/>
      <c r="AA53" s="87"/>
      <c r="AB53" s="84"/>
    </row>
    <row r="54" spans="11:28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  <c r="Y54" s="87"/>
      <c r="Z54" s="84"/>
      <c r="AA54" s="87"/>
      <c r="AB54" s="84"/>
    </row>
    <row r="55" spans="11:28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  <c r="Y55" s="87"/>
      <c r="Z55" s="84"/>
      <c r="AA55" s="87"/>
      <c r="AB55" s="84"/>
    </row>
    <row r="56" spans="11:28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  <c r="Y56" s="87"/>
      <c r="Z56" s="84"/>
      <c r="AA56" s="87"/>
      <c r="AB56" s="84"/>
    </row>
    <row r="57" spans="11:28">
      <c r="K57" s="70" t="str">
        <f>A9</f>
        <v>DUKE ENERGY OHIO (DEO)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  <c r="Y57" s="87"/>
      <c r="Z57" s="84"/>
      <c r="AA57" s="87"/>
      <c r="AB57" s="84"/>
    </row>
    <row r="58" spans="11:28">
      <c r="K58" s="70" t="str">
        <f>A10</f>
        <v>RTEP - Transmission Enhancement Charges</v>
      </c>
      <c r="L58" s="174"/>
      <c r="M58" s="174"/>
      <c r="N58" s="174"/>
      <c r="O58" s="70"/>
      <c r="P58" s="70"/>
      <c r="Q58" s="174"/>
      <c r="R58" s="70"/>
      <c r="S58" s="70"/>
      <c r="T58" s="70"/>
      <c r="U58" s="70"/>
      <c r="V58" s="70"/>
      <c r="W58" s="145"/>
      <c r="X58" s="145"/>
      <c r="Y58" s="87"/>
      <c r="Z58" s="84"/>
      <c r="AA58" s="87"/>
      <c r="AB58" s="84"/>
    </row>
    <row r="59" spans="11:28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  <c r="Y59" s="87"/>
      <c r="Z59" s="84"/>
      <c r="AA59" s="87"/>
      <c r="AB59" s="84"/>
    </row>
    <row r="60" spans="11:28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  <c r="Y60" s="87"/>
      <c r="Z60" s="84"/>
      <c r="AA60" s="87"/>
      <c r="AB60" s="84"/>
    </row>
    <row r="61" spans="11:28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  <c r="Y61" s="87"/>
      <c r="Z61" s="84"/>
      <c r="AA61" s="87"/>
      <c r="AB61" s="84"/>
    </row>
    <row r="62" spans="11:28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  <c r="Y62" s="87"/>
      <c r="Z62" s="84"/>
      <c r="AA62" s="87"/>
      <c r="AB62" s="84"/>
    </row>
    <row r="63" spans="11:28" ht="63">
      <c r="K63" s="109" t="s">
        <v>227</v>
      </c>
      <c r="L63" s="110"/>
      <c r="M63" s="110" t="s">
        <v>207</v>
      </c>
      <c r="N63" s="111" t="s">
        <v>339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  <c r="Y63" s="96"/>
      <c r="Z63" s="84"/>
      <c r="AA63" s="87"/>
      <c r="AB63" s="84"/>
    </row>
    <row r="64" spans="11:28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  <c r="Y64" s="87"/>
      <c r="Z64" s="84"/>
      <c r="AA64" s="87"/>
      <c r="AB64" s="84"/>
    </row>
    <row r="65" spans="11:31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  <c r="Y65" s="87"/>
      <c r="Z65" s="84"/>
      <c r="AA65" s="87"/>
      <c r="AB65" s="84"/>
    </row>
    <row r="66" spans="11:31">
      <c r="K66" s="649" t="s">
        <v>1</v>
      </c>
      <c r="L66" s="369"/>
      <c r="M66" s="370"/>
      <c r="N66" s="371"/>
      <c r="O66" s="372">
        <v>0</v>
      </c>
      <c r="P66" s="373">
        <f>$I$35</f>
        <v>6.4699999999999994E-2</v>
      </c>
      <c r="Q66" s="600">
        <f>ROUND(O66*P66,0)</f>
        <v>0</v>
      </c>
      <c r="R66" s="126">
        <v>0</v>
      </c>
      <c r="S66" s="94">
        <f>$I$45</f>
        <v>7.2999999999999995E-2</v>
      </c>
      <c r="T66" s="600">
        <f>ROUND(R66*S66,0)</f>
        <v>0</v>
      </c>
      <c r="U66" s="601">
        <v>0</v>
      </c>
      <c r="V66" s="600">
        <f>Q66+T66+U66</f>
        <v>0</v>
      </c>
      <c r="W66" s="128">
        <v>0</v>
      </c>
      <c r="X66" s="600">
        <f>V66+W66</f>
        <v>0</v>
      </c>
      <c r="Y66" s="129"/>
      <c r="Z66" s="129"/>
      <c r="AA66" s="129"/>
      <c r="AB66" s="129"/>
      <c r="AC66" s="129"/>
      <c r="AD66" s="129"/>
      <c r="AE66" s="129"/>
    </row>
    <row r="67" spans="11:31">
      <c r="K67" s="649" t="s">
        <v>244</v>
      </c>
      <c r="L67" s="369"/>
      <c r="M67" s="369"/>
      <c r="N67" s="369"/>
      <c r="O67" s="372">
        <v>0</v>
      </c>
      <c r="P67" s="373">
        <f>$I$35</f>
        <v>6.4699999999999994E-2</v>
      </c>
      <c r="Q67" s="600">
        <f t="shared" ref="Q67:Q68" si="0">ROUND(O67*P67,0)</f>
        <v>0</v>
      </c>
      <c r="R67" s="126">
        <v>0</v>
      </c>
      <c r="S67" s="94">
        <f>$I$45</f>
        <v>7.2999999999999995E-2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  <c r="Y67" s="129"/>
      <c r="Z67" s="129"/>
      <c r="AA67" s="129"/>
      <c r="AB67" s="129"/>
      <c r="AC67" s="129"/>
      <c r="AD67" s="129"/>
      <c r="AE67" s="129"/>
    </row>
    <row r="68" spans="11:31">
      <c r="K68" s="649" t="s">
        <v>247</v>
      </c>
      <c r="L68" s="369"/>
      <c r="M68" s="369"/>
      <c r="N68" s="369"/>
      <c r="O68" s="372">
        <v>0</v>
      </c>
      <c r="P68" s="373">
        <f>$I$35</f>
        <v>6.4699999999999994E-2</v>
      </c>
      <c r="Q68" s="600">
        <f t="shared" si="0"/>
        <v>0</v>
      </c>
      <c r="R68" s="126">
        <v>0</v>
      </c>
      <c r="S68" s="94">
        <f>$I$45</f>
        <v>7.2999999999999995E-2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  <c r="Y68" s="129"/>
      <c r="Z68" s="129"/>
      <c r="AA68" s="129"/>
      <c r="AB68" s="129"/>
      <c r="AC68" s="129"/>
      <c r="AD68" s="129"/>
      <c r="AE68" s="129"/>
    </row>
    <row r="69" spans="11:31">
      <c r="K69" s="125"/>
      <c r="Q69" s="127"/>
      <c r="T69" s="127"/>
      <c r="V69" s="127"/>
      <c r="X69" s="127"/>
      <c r="Y69" s="129"/>
      <c r="Z69" s="129"/>
      <c r="AA69" s="129"/>
      <c r="AB69" s="129"/>
      <c r="AC69" s="129"/>
      <c r="AD69" s="129"/>
      <c r="AE69" s="129"/>
    </row>
    <row r="70" spans="11:31">
      <c r="K70" s="125"/>
      <c r="Q70" s="127"/>
      <c r="T70" s="127"/>
      <c r="V70" s="127"/>
      <c r="X70" s="127"/>
      <c r="Y70" s="129"/>
      <c r="Z70" s="129"/>
      <c r="AA70" s="129"/>
      <c r="AB70" s="129"/>
      <c r="AC70" s="129"/>
      <c r="AD70" s="129"/>
      <c r="AE70" s="129"/>
    </row>
    <row r="71" spans="11:31">
      <c r="K71" s="125"/>
      <c r="Q71" s="127"/>
      <c r="T71" s="127"/>
      <c r="V71" s="127"/>
      <c r="X71" s="127"/>
      <c r="Y71" s="129"/>
      <c r="Z71" s="129"/>
      <c r="AA71" s="129"/>
      <c r="AB71" s="129"/>
      <c r="AC71" s="129"/>
      <c r="AD71" s="129"/>
      <c r="AE71" s="129"/>
    </row>
    <row r="72" spans="11:31">
      <c r="K72" s="125"/>
      <c r="Q72" s="127"/>
      <c r="T72" s="127"/>
      <c r="V72" s="127"/>
      <c r="X72" s="127"/>
      <c r="Y72" s="129"/>
      <c r="Z72" s="129"/>
      <c r="AA72" s="129"/>
      <c r="AB72" s="129"/>
      <c r="AC72" s="129"/>
      <c r="AD72" s="129"/>
      <c r="AE72" s="129"/>
    </row>
    <row r="73" spans="11:31">
      <c r="K73" s="125"/>
      <c r="Q73" s="127"/>
      <c r="T73" s="127"/>
      <c r="V73" s="127"/>
      <c r="X73" s="127"/>
      <c r="Y73" s="129"/>
      <c r="Z73" s="129"/>
      <c r="AA73" s="129"/>
      <c r="AB73" s="129"/>
      <c r="AC73" s="129"/>
      <c r="AD73" s="129"/>
      <c r="AE73" s="129"/>
    </row>
    <row r="74" spans="11:31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  <c r="Y74" s="129"/>
      <c r="Z74" s="129"/>
      <c r="AA74" s="129"/>
      <c r="AB74" s="129"/>
      <c r="AC74" s="129"/>
      <c r="AD74" s="129"/>
      <c r="AE74" s="129"/>
    </row>
    <row r="75" spans="11:31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  <c r="Y75" s="129"/>
      <c r="Z75" s="129"/>
      <c r="AA75" s="129"/>
      <c r="AB75" s="129"/>
      <c r="AC75" s="129"/>
      <c r="AD75" s="129"/>
      <c r="AE75" s="129"/>
    </row>
    <row r="76" spans="11:31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  <c r="Y76" s="129"/>
      <c r="Z76" s="129"/>
      <c r="AA76" s="129"/>
      <c r="AB76" s="129"/>
      <c r="AC76" s="129"/>
      <c r="AD76" s="129"/>
      <c r="AE76" s="129"/>
    </row>
    <row r="77" spans="11:31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  <c r="Y77" s="129"/>
      <c r="Z77" s="129"/>
      <c r="AA77" s="129"/>
      <c r="AB77" s="129"/>
      <c r="AC77" s="129"/>
      <c r="AD77" s="129"/>
      <c r="AE77" s="129"/>
    </row>
    <row r="78" spans="11:31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  <c r="Y78" s="129"/>
      <c r="Z78" s="129"/>
      <c r="AA78" s="129"/>
      <c r="AB78" s="129"/>
      <c r="AC78" s="129"/>
      <c r="AD78" s="129"/>
      <c r="AE78" s="129"/>
    </row>
    <row r="79" spans="11:31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  <c r="Y79" s="129"/>
      <c r="Z79" s="129"/>
      <c r="AA79" s="129"/>
      <c r="AB79" s="129"/>
      <c r="AC79" s="129"/>
      <c r="AD79" s="129"/>
      <c r="AE79" s="129"/>
    </row>
    <row r="80" spans="11:31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  <c r="Y80" s="129"/>
      <c r="Z80" s="129"/>
      <c r="AA80" s="129"/>
      <c r="AB80" s="129"/>
      <c r="AC80" s="129"/>
      <c r="AD80" s="129"/>
      <c r="AE80" s="129"/>
    </row>
    <row r="81" spans="11:31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  <c r="Y81" s="129"/>
      <c r="Z81" s="129"/>
      <c r="AA81" s="129"/>
      <c r="AB81" s="129"/>
      <c r="AC81" s="129"/>
      <c r="AD81" s="129"/>
      <c r="AE81" s="129"/>
    </row>
    <row r="82" spans="11:31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  <c r="Y82" s="129"/>
      <c r="Z82" s="129"/>
      <c r="AA82" s="129"/>
      <c r="AB82" s="129"/>
      <c r="AC82" s="129"/>
      <c r="AD82" s="129"/>
      <c r="AE82" s="129"/>
    </row>
    <row r="83" spans="11:31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  <c r="Y83" s="129"/>
      <c r="Z83" s="129"/>
      <c r="AA83" s="129"/>
      <c r="AB83" s="129"/>
      <c r="AC83" s="129"/>
      <c r="AD83" s="129"/>
      <c r="AE83" s="129"/>
    </row>
    <row r="84" spans="11:31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  <c r="Y84" s="129"/>
      <c r="Z84" s="129"/>
      <c r="AA84" s="129"/>
      <c r="AB84" s="129"/>
      <c r="AC84" s="129"/>
      <c r="AD84" s="129"/>
      <c r="AE84" s="129"/>
    </row>
    <row r="85" spans="11:31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  <c r="Y85" s="129"/>
      <c r="Z85" s="129"/>
      <c r="AA85" s="129"/>
      <c r="AB85" s="129"/>
      <c r="AC85" s="129"/>
      <c r="AD85" s="129"/>
      <c r="AE85" s="129"/>
    </row>
    <row r="86" spans="11:31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577">
        <f>SUM(V66:V85)</f>
        <v>0</v>
      </c>
      <c r="W86" s="577">
        <f>SUM(W66:W85)</f>
        <v>0</v>
      </c>
      <c r="X86" s="577">
        <f>SUM(X66:X85)</f>
        <v>0</v>
      </c>
      <c r="Y86" s="129"/>
      <c r="Z86" s="129"/>
      <c r="AA86" s="129"/>
      <c r="AB86" s="129"/>
      <c r="AC86" s="129"/>
      <c r="AD86" s="129"/>
      <c r="AE86" s="129"/>
    </row>
    <row r="87" spans="11:31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599"/>
      <c r="W87" s="599"/>
      <c r="X87" s="599"/>
      <c r="Y87" s="129"/>
      <c r="Z87" s="129"/>
      <c r="AA87" s="129"/>
      <c r="AB87" s="129"/>
      <c r="AC87" s="129"/>
      <c r="AD87" s="129"/>
      <c r="AE87" s="129"/>
    </row>
    <row r="88" spans="11:31">
      <c r="K88" s="135">
        <v>3</v>
      </c>
      <c r="L88" s="129"/>
      <c r="M88" s="9" t="s">
        <v>543</v>
      </c>
      <c r="N88" s="129"/>
      <c r="O88" s="129"/>
      <c r="P88" s="129"/>
      <c r="Q88" s="129"/>
      <c r="R88" s="129"/>
      <c r="S88" s="129"/>
      <c r="T88" s="129"/>
      <c r="U88" s="129"/>
      <c r="V88" s="577"/>
      <c r="W88" s="599"/>
      <c r="X88" s="577">
        <f>X86</f>
        <v>0</v>
      </c>
      <c r="Y88" s="129"/>
      <c r="Z88" s="129"/>
      <c r="AA88" s="129"/>
      <c r="AB88" s="129"/>
      <c r="AC88" s="129"/>
      <c r="AD88" s="129"/>
      <c r="AE88" s="129"/>
    </row>
    <row r="89" spans="11:31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</row>
    <row r="90" spans="11:31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</row>
    <row r="91" spans="11:31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</row>
    <row r="92" spans="11:31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</row>
    <row r="93" spans="11:31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129"/>
      <c r="Z93" s="129"/>
      <c r="AA93" s="129"/>
      <c r="AB93" s="129"/>
      <c r="AC93" s="129"/>
      <c r="AD93" s="129"/>
      <c r="AE93" s="129"/>
    </row>
    <row r="94" spans="11:31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129"/>
      <c r="Z94" s="129"/>
      <c r="AA94" s="129"/>
      <c r="AB94" s="129"/>
      <c r="AC94" s="129"/>
      <c r="AD94" s="129"/>
      <c r="AE94" s="129"/>
    </row>
    <row r="95" spans="11:31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  <c r="Y95" s="129"/>
      <c r="Z95" s="129"/>
      <c r="AA95" s="129"/>
      <c r="AB95" s="129"/>
      <c r="AC95" s="129"/>
      <c r="AD95" s="129"/>
      <c r="AE95" s="129"/>
    </row>
    <row r="96" spans="11:31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  <c r="Y96" s="129"/>
      <c r="Z96" s="129"/>
      <c r="AA96" s="129"/>
      <c r="AB96" s="129"/>
      <c r="AC96" s="129"/>
      <c r="AD96" s="129"/>
      <c r="AE96" s="129"/>
    </row>
    <row r="97" spans="1:31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129"/>
      <c r="Z97" s="129"/>
      <c r="AA97" s="129"/>
      <c r="AB97" s="129"/>
      <c r="AC97" s="129"/>
      <c r="AD97" s="129"/>
      <c r="AE97" s="129"/>
    </row>
    <row r="98" spans="1:31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129"/>
      <c r="Z98" s="129"/>
      <c r="AA98" s="129"/>
      <c r="AB98" s="129"/>
      <c r="AC98" s="129"/>
      <c r="AD98" s="129"/>
      <c r="AE98" s="129"/>
    </row>
    <row r="99" spans="1:31">
      <c r="K99" s="136" t="s">
        <v>102</v>
      </c>
      <c r="L99" s="66"/>
      <c r="M99" s="983" t="s">
        <v>542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129"/>
      <c r="Z99" s="129"/>
      <c r="AA99" s="129"/>
      <c r="AB99" s="129"/>
      <c r="AC99" s="129"/>
      <c r="AD99" s="129"/>
      <c r="AE99" s="129"/>
    </row>
    <row r="100" spans="1:31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  <c r="Y100" s="129"/>
      <c r="Z100" s="129"/>
      <c r="AA100" s="129"/>
      <c r="AB100" s="129"/>
      <c r="AC100" s="129"/>
      <c r="AD100" s="129"/>
      <c r="AE100" s="129"/>
    </row>
    <row r="101" spans="1:31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  <c r="Y101" s="129"/>
      <c r="Z101" s="129"/>
      <c r="AA101" s="129"/>
      <c r="AB101" s="129"/>
      <c r="AC101" s="129"/>
      <c r="AD101" s="129"/>
      <c r="AE101" s="129"/>
    </row>
    <row r="102" spans="1:31" ht="15.75">
      <c r="A102" s="104"/>
      <c r="B102" s="138"/>
      <c r="C102" s="139"/>
      <c r="D102" s="97"/>
      <c r="E102" s="67"/>
      <c r="F102" s="67"/>
      <c r="G102" s="2"/>
      <c r="H102" s="9"/>
      <c r="I102" s="9"/>
      <c r="J102" s="93"/>
    </row>
    <row r="103" spans="1:31">
      <c r="C103" s="129"/>
      <c r="D103" s="129"/>
      <c r="E103" s="129"/>
      <c r="F103" s="129"/>
      <c r="G103" s="129"/>
      <c r="H103" s="129"/>
      <c r="I103" s="129"/>
      <c r="J103" s="129"/>
    </row>
    <row r="104" spans="1:31">
      <c r="C104" s="129"/>
      <c r="D104" s="129"/>
      <c r="E104" s="129"/>
      <c r="F104" s="129"/>
      <c r="G104" s="129"/>
      <c r="H104" s="129"/>
      <c r="I104" s="129"/>
      <c r="J104" s="129"/>
    </row>
    <row r="105" spans="1:31">
      <c r="C105" s="129"/>
      <c r="D105" s="129"/>
      <c r="E105" s="129"/>
      <c r="F105" s="129"/>
      <c r="G105" s="129"/>
      <c r="H105" s="129"/>
      <c r="I105" s="129"/>
      <c r="J105" s="129"/>
    </row>
    <row r="106" spans="1:31">
      <c r="C106" s="129"/>
      <c r="D106" s="129"/>
      <c r="E106" s="129"/>
      <c r="F106" s="129"/>
      <c r="G106" s="129"/>
      <c r="H106" s="129"/>
      <c r="I106" s="129"/>
      <c r="J106" s="129"/>
    </row>
    <row r="107" spans="1:31">
      <c r="C107" s="129"/>
      <c r="D107" s="129"/>
      <c r="E107" s="129"/>
      <c r="F107" s="129"/>
      <c r="G107" s="129"/>
      <c r="H107" s="129"/>
      <c r="I107" s="129"/>
      <c r="J107" s="129"/>
    </row>
    <row r="108" spans="1:31">
      <c r="C108" s="129"/>
      <c r="D108" s="129"/>
      <c r="E108" s="129"/>
      <c r="F108" s="129"/>
      <c r="G108" s="129"/>
      <c r="H108" s="129"/>
      <c r="I108" s="129"/>
      <c r="J108" s="129"/>
    </row>
    <row r="109" spans="1:31">
      <c r="C109" s="129"/>
      <c r="D109" s="129"/>
      <c r="E109" s="129"/>
      <c r="F109" s="129"/>
      <c r="G109" s="129"/>
      <c r="H109" s="129"/>
      <c r="I109" s="129"/>
      <c r="J109" s="129"/>
    </row>
    <row r="110" spans="1:31">
      <c r="C110" s="129"/>
      <c r="D110" s="129"/>
      <c r="E110" s="129"/>
      <c r="F110" s="129"/>
      <c r="G110" s="129"/>
      <c r="H110" s="129"/>
      <c r="I110" s="129"/>
      <c r="J110" s="129"/>
    </row>
    <row r="111" spans="1:31">
      <c r="C111" s="129"/>
      <c r="D111" s="129"/>
      <c r="E111" s="129"/>
      <c r="F111" s="129"/>
      <c r="G111" s="129"/>
      <c r="H111" s="129"/>
      <c r="I111" s="129"/>
      <c r="J111" s="129"/>
    </row>
    <row r="112" spans="1:31">
      <c r="C112" s="129"/>
      <c r="D112" s="129"/>
      <c r="E112" s="129"/>
      <c r="F112" s="129"/>
      <c r="G112" s="129"/>
      <c r="H112" s="129"/>
      <c r="I112" s="129"/>
      <c r="J112" s="129"/>
    </row>
    <row r="113" spans="3:10">
      <c r="C113" s="129"/>
      <c r="D113" s="129"/>
      <c r="E113" s="129"/>
      <c r="F113" s="129"/>
      <c r="G113" s="129"/>
      <c r="H113" s="129"/>
      <c r="I113" s="129"/>
      <c r="J113" s="129"/>
    </row>
    <row r="114" spans="3:10">
      <c r="C114" s="129"/>
      <c r="D114" s="129"/>
      <c r="E114" s="129"/>
      <c r="F114" s="129"/>
      <c r="G114" s="129"/>
      <c r="H114" s="129"/>
      <c r="I114" s="129"/>
      <c r="J114" s="129"/>
    </row>
    <row r="115" spans="3:10">
      <c r="C115" s="129"/>
      <c r="D115" s="129"/>
      <c r="E115" s="129"/>
      <c r="F115" s="129"/>
      <c r="G115" s="129"/>
      <c r="H115" s="129"/>
      <c r="I115" s="129"/>
      <c r="J115" s="129"/>
    </row>
    <row r="116" spans="3:10">
      <c r="C116" s="129"/>
      <c r="D116" s="129"/>
      <c r="E116" s="129"/>
      <c r="F116" s="129"/>
      <c r="G116" s="129"/>
      <c r="H116" s="129"/>
      <c r="I116" s="129"/>
      <c r="J116" s="129"/>
    </row>
    <row r="117" spans="3:10">
      <c r="C117" s="129"/>
      <c r="D117" s="129"/>
      <c r="E117" s="129"/>
      <c r="F117" s="129"/>
      <c r="G117" s="129"/>
      <c r="H117" s="129"/>
      <c r="I117" s="129"/>
      <c r="J117" s="129"/>
    </row>
    <row r="118" spans="3:10">
      <c r="C118" s="129"/>
      <c r="D118" s="129"/>
      <c r="E118" s="129"/>
      <c r="F118" s="129"/>
      <c r="G118" s="129"/>
      <c r="H118" s="129"/>
      <c r="I118" s="129"/>
      <c r="J118" s="129"/>
    </row>
    <row r="119" spans="3:10">
      <c r="C119" s="129"/>
      <c r="D119" s="129"/>
      <c r="E119" s="129"/>
      <c r="F119" s="129"/>
      <c r="G119" s="129"/>
      <c r="H119" s="129"/>
      <c r="I119" s="129"/>
      <c r="J119" s="129"/>
    </row>
    <row r="120" spans="3:10">
      <c r="C120" s="129"/>
      <c r="D120" s="129"/>
      <c r="E120" s="129"/>
      <c r="F120" s="129"/>
      <c r="G120" s="129"/>
      <c r="H120" s="129"/>
      <c r="I120" s="129"/>
      <c r="J120" s="129"/>
    </row>
    <row r="121" spans="3:10">
      <c r="C121" s="129"/>
      <c r="D121" s="129"/>
      <c r="E121" s="129"/>
      <c r="F121" s="129"/>
      <c r="G121" s="129"/>
      <c r="H121" s="129"/>
      <c r="I121" s="129"/>
      <c r="J121" s="129"/>
    </row>
    <row r="122" spans="3:10">
      <c r="C122" s="129"/>
      <c r="D122" s="129"/>
      <c r="E122" s="129"/>
      <c r="F122" s="129"/>
      <c r="G122" s="129"/>
      <c r="H122" s="129"/>
      <c r="I122" s="129"/>
      <c r="J122" s="129"/>
    </row>
    <row r="123" spans="3:10">
      <c r="C123" s="129"/>
      <c r="D123" s="129"/>
      <c r="E123" s="129"/>
      <c r="F123" s="129"/>
      <c r="G123" s="129"/>
      <c r="H123" s="129"/>
      <c r="I123" s="129"/>
      <c r="J123" s="129"/>
    </row>
    <row r="124" spans="3:10">
      <c r="C124" s="129"/>
      <c r="D124" s="129"/>
      <c r="E124" s="129"/>
      <c r="F124" s="129"/>
      <c r="G124" s="129"/>
      <c r="H124" s="129"/>
      <c r="I124" s="129"/>
      <c r="J124" s="129"/>
    </row>
    <row r="125" spans="3:10">
      <c r="C125" s="129"/>
      <c r="D125" s="129"/>
      <c r="E125" s="129"/>
      <c r="F125" s="129"/>
      <c r="G125" s="129"/>
      <c r="H125" s="129"/>
      <c r="I125" s="129"/>
      <c r="J125" s="129"/>
    </row>
    <row r="126" spans="3:10">
      <c r="C126" s="129"/>
      <c r="D126" s="129"/>
      <c r="E126" s="129"/>
      <c r="F126" s="129"/>
      <c r="G126" s="129"/>
      <c r="H126" s="129"/>
      <c r="I126" s="129"/>
      <c r="J126" s="129"/>
    </row>
    <row r="127" spans="3:10">
      <c r="C127" s="129"/>
      <c r="D127" s="129"/>
      <c r="E127" s="129"/>
      <c r="F127" s="129"/>
      <c r="G127" s="129"/>
      <c r="H127" s="129"/>
      <c r="I127" s="129"/>
      <c r="J127" s="129"/>
    </row>
    <row r="128" spans="3:10">
      <c r="C128" s="129"/>
      <c r="D128" s="129"/>
      <c r="E128" s="129"/>
      <c r="F128" s="129"/>
      <c r="G128" s="129"/>
      <c r="H128" s="129"/>
      <c r="I128" s="129"/>
      <c r="J128" s="129"/>
    </row>
    <row r="129" spans="3:10">
      <c r="C129" s="129"/>
      <c r="D129" s="129"/>
      <c r="E129" s="129"/>
      <c r="F129" s="129"/>
      <c r="G129" s="129"/>
      <c r="H129" s="129"/>
      <c r="I129" s="129"/>
      <c r="J129" s="129"/>
    </row>
    <row r="130" spans="3:10">
      <c r="C130" s="129"/>
      <c r="D130" s="129"/>
      <c r="E130" s="129"/>
      <c r="F130" s="129"/>
      <c r="G130" s="129"/>
      <c r="H130" s="129"/>
      <c r="I130" s="129"/>
      <c r="J130" s="129"/>
    </row>
    <row r="131" spans="3:10">
      <c r="C131" s="129"/>
      <c r="D131" s="129"/>
      <c r="E131" s="129"/>
      <c r="F131" s="129"/>
      <c r="G131" s="129"/>
      <c r="H131" s="129"/>
      <c r="I131" s="129"/>
      <c r="J131" s="129"/>
    </row>
    <row r="132" spans="3:10">
      <c r="C132" s="129"/>
      <c r="D132" s="129"/>
      <c r="E132" s="129"/>
      <c r="F132" s="129"/>
      <c r="G132" s="129"/>
      <c r="H132" s="129"/>
      <c r="I132" s="129"/>
      <c r="J132" s="129"/>
    </row>
    <row r="133" spans="3:10">
      <c r="C133" s="129"/>
      <c r="D133" s="129"/>
      <c r="E133" s="129"/>
      <c r="F133" s="129"/>
      <c r="G133" s="129"/>
      <c r="H133" s="129"/>
      <c r="I133" s="129"/>
      <c r="J133" s="129"/>
    </row>
    <row r="134" spans="3:10">
      <c r="C134" s="129"/>
      <c r="D134" s="129"/>
      <c r="E134" s="129"/>
      <c r="F134" s="129"/>
      <c r="G134" s="129"/>
      <c r="H134" s="129"/>
      <c r="I134" s="129"/>
      <c r="J134" s="129"/>
    </row>
    <row r="135" spans="3:10">
      <c r="C135" s="129"/>
      <c r="D135" s="129"/>
      <c r="E135" s="129"/>
      <c r="F135" s="129"/>
      <c r="G135" s="129"/>
      <c r="H135" s="129"/>
      <c r="I135" s="129"/>
      <c r="J135" s="129"/>
    </row>
    <row r="136" spans="3:10">
      <c r="C136" s="129"/>
      <c r="D136" s="129"/>
      <c r="E136" s="129"/>
      <c r="F136" s="129"/>
      <c r="G136" s="129"/>
      <c r="H136" s="129"/>
      <c r="I136" s="129"/>
      <c r="J136" s="129"/>
    </row>
    <row r="137" spans="3:10">
      <c r="C137" s="129"/>
      <c r="D137" s="129"/>
      <c r="E137" s="129"/>
      <c r="F137" s="129"/>
      <c r="G137" s="129"/>
      <c r="H137" s="129"/>
      <c r="I137" s="129"/>
      <c r="J137" s="129"/>
    </row>
    <row r="138" spans="3:10">
      <c r="C138" s="129"/>
      <c r="D138" s="129"/>
      <c r="E138" s="129"/>
      <c r="F138" s="129"/>
      <c r="G138" s="129"/>
      <c r="H138" s="129"/>
      <c r="I138" s="129"/>
      <c r="J138" s="129"/>
    </row>
    <row r="139" spans="3:10">
      <c r="C139" s="129"/>
      <c r="D139" s="129"/>
      <c r="E139" s="129"/>
      <c r="F139" s="129"/>
      <c r="G139" s="129"/>
      <c r="H139" s="129"/>
      <c r="I139" s="129"/>
      <c r="J139" s="129"/>
    </row>
    <row r="140" spans="3:10">
      <c r="C140" s="129"/>
      <c r="D140" s="129"/>
      <c r="E140" s="129"/>
      <c r="F140" s="129"/>
      <c r="G140" s="129"/>
      <c r="H140" s="129"/>
      <c r="I140" s="129"/>
      <c r="J140" s="129"/>
    </row>
    <row r="141" spans="3:10">
      <c r="C141" s="129"/>
      <c r="D141" s="129"/>
      <c r="E141" s="129"/>
      <c r="F141" s="129"/>
      <c r="G141" s="129"/>
      <c r="H141" s="129"/>
      <c r="I141" s="129"/>
      <c r="J141" s="129"/>
    </row>
    <row r="142" spans="3:10">
      <c r="C142" s="129"/>
      <c r="D142" s="129"/>
      <c r="E142" s="129"/>
      <c r="F142" s="129"/>
      <c r="G142" s="129"/>
      <c r="H142" s="129"/>
      <c r="I142" s="129"/>
      <c r="J142" s="129"/>
    </row>
    <row r="143" spans="3:10">
      <c r="C143" s="129"/>
      <c r="D143" s="129"/>
      <c r="E143" s="129"/>
      <c r="F143" s="129"/>
      <c r="G143" s="129"/>
      <c r="H143" s="129"/>
      <c r="I143" s="129"/>
      <c r="J143" s="129"/>
    </row>
    <row r="144" spans="3:10">
      <c r="C144" s="129"/>
      <c r="D144" s="129"/>
      <c r="E144" s="129"/>
      <c r="F144" s="129"/>
      <c r="G144" s="129"/>
      <c r="H144" s="129"/>
      <c r="I144" s="129"/>
      <c r="J144" s="129"/>
    </row>
    <row r="145" spans="3:10">
      <c r="C145" s="129"/>
      <c r="D145" s="129"/>
      <c r="E145" s="129"/>
      <c r="F145" s="129"/>
      <c r="G145" s="129"/>
      <c r="H145" s="129"/>
      <c r="I145" s="129"/>
      <c r="J145" s="129"/>
    </row>
    <row r="146" spans="3:10">
      <c r="C146" s="129"/>
      <c r="D146" s="129"/>
      <c r="E146" s="129"/>
      <c r="F146" s="129"/>
      <c r="G146" s="129"/>
      <c r="H146" s="129"/>
      <c r="I146" s="129"/>
      <c r="J146" s="129"/>
    </row>
    <row r="147" spans="3:10">
      <c r="C147" s="129"/>
      <c r="D147" s="129"/>
      <c r="E147" s="129"/>
      <c r="F147" s="129"/>
      <c r="G147" s="129"/>
      <c r="H147" s="129"/>
      <c r="I147" s="129"/>
      <c r="J147" s="129"/>
    </row>
    <row r="148" spans="3:10">
      <c r="C148" s="129"/>
      <c r="D148" s="129"/>
      <c r="E148" s="129"/>
      <c r="F148" s="129"/>
      <c r="G148" s="129"/>
      <c r="H148" s="129"/>
      <c r="I148" s="129"/>
      <c r="J148" s="129"/>
    </row>
    <row r="149" spans="3:10">
      <c r="C149" s="129"/>
      <c r="D149" s="129"/>
      <c r="E149" s="129"/>
      <c r="F149" s="129"/>
      <c r="G149" s="129"/>
      <c r="H149" s="129"/>
      <c r="I149" s="129"/>
      <c r="J149" s="129"/>
    </row>
    <row r="150" spans="3:10">
      <c r="C150" s="129"/>
      <c r="D150" s="129"/>
      <c r="E150" s="129"/>
      <c r="F150" s="129"/>
      <c r="G150" s="129"/>
      <c r="H150" s="129"/>
      <c r="I150" s="129"/>
      <c r="J150" s="129"/>
    </row>
    <row r="151" spans="3:10">
      <c r="C151" s="129"/>
      <c r="D151" s="129"/>
      <c r="E151" s="129"/>
      <c r="F151" s="129"/>
      <c r="G151" s="129"/>
      <c r="H151" s="129"/>
      <c r="I151" s="129"/>
      <c r="J151" s="129"/>
    </row>
    <row r="152" spans="3:10">
      <c r="C152" s="129"/>
      <c r="D152" s="129"/>
      <c r="E152" s="129"/>
      <c r="F152" s="129"/>
      <c r="G152" s="129"/>
      <c r="H152" s="129"/>
      <c r="I152" s="129"/>
      <c r="J152" s="129"/>
    </row>
    <row r="153" spans="3:10">
      <c r="C153" s="129"/>
      <c r="D153" s="129"/>
      <c r="E153" s="129"/>
      <c r="F153" s="129"/>
      <c r="G153" s="129"/>
      <c r="H153" s="129"/>
      <c r="I153" s="129"/>
      <c r="J153" s="129"/>
    </row>
    <row r="154" spans="3:10">
      <c r="C154" s="129"/>
      <c r="D154" s="129"/>
      <c r="E154" s="129"/>
      <c r="F154" s="129"/>
      <c r="G154" s="129"/>
      <c r="H154" s="129"/>
      <c r="I154" s="129"/>
      <c r="J154" s="129"/>
    </row>
    <row r="155" spans="3:10">
      <c r="C155" s="129"/>
      <c r="D155" s="129"/>
      <c r="E155" s="129"/>
      <c r="F155" s="129"/>
      <c r="G155" s="129"/>
      <c r="H155" s="129"/>
      <c r="I155" s="129"/>
      <c r="J155" s="129"/>
    </row>
    <row r="156" spans="3:10">
      <c r="C156" s="129"/>
      <c r="D156" s="129"/>
      <c r="E156" s="129"/>
      <c r="F156" s="129"/>
      <c r="G156" s="129"/>
      <c r="H156" s="129"/>
      <c r="I156" s="129"/>
      <c r="J156" s="129"/>
    </row>
    <row r="157" spans="3:10">
      <c r="C157" s="129"/>
      <c r="D157" s="129"/>
      <c r="E157" s="129"/>
      <c r="F157" s="129"/>
      <c r="G157" s="129"/>
      <c r="H157" s="129"/>
      <c r="I157" s="129"/>
      <c r="J157" s="129"/>
    </row>
    <row r="158" spans="3:10">
      <c r="C158" s="129"/>
      <c r="D158" s="129"/>
      <c r="E158" s="129"/>
      <c r="F158" s="129"/>
      <c r="G158" s="129"/>
      <c r="H158" s="129"/>
      <c r="I158" s="129"/>
      <c r="J158" s="129"/>
    </row>
    <row r="159" spans="3:10">
      <c r="C159" s="129"/>
      <c r="D159" s="129"/>
      <c r="E159" s="129"/>
      <c r="F159" s="129"/>
      <c r="G159" s="129"/>
      <c r="H159" s="129"/>
      <c r="I159" s="129"/>
      <c r="J159" s="129"/>
    </row>
    <row r="160" spans="3:10">
      <c r="C160" s="129"/>
      <c r="D160" s="129"/>
      <c r="E160" s="129"/>
      <c r="F160" s="129"/>
      <c r="G160" s="129"/>
      <c r="H160" s="129"/>
      <c r="I160" s="129"/>
      <c r="J160" s="129"/>
    </row>
    <row r="161" spans="3:10">
      <c r="C161" s="129"/>
      <c r="D161" s="129"/>
      <c r="E161" s="129"/>
      <c r="F161" s="129"/>
      <c r="G161" s="129"/>
      <c r="H161" s="129"/>
      <c r="I161" s="129"/>
      <c r="J161" s="129"/>
    </row>
    <row r="162" spans="3:10">
      <c r="C162" s="129"/>
      <c r="D162" s="129"/>
      <c r="E162" s="129"/>
      <c r="F162" s="129"/>
      <c r="G162" s="129"/>
      <c r="H162" s="129"/>
      <c r="I162" s="129"/>
      <c r="J162" s="129"/>
    </row>
    <row r="163" spans="3:10">
      <c r="C163" s="129"/>
      <c r="D163" s="129"/>
      <c r="E163" s="129"/>
      <c r="F163" s="129"/>
      <c r="G163" s="129"/>
      <c r="H163" s="129"/>
      <c r="I163" s="129"/>
      <c r="J163" s="129"/>
    </row>
    <row r="164" spans="3:10">
      <c r="C164" s="129"/>
      <c r="D164" s="129"/>
      <c r="E164" s="129"/>
      <c r="F164" s="129"/>
      <c r="G164" s="129"/>
      <c r="H164" s="129"/>
      <c r="I164" s="129"/>
      <c r="J164" s="129"/>
    </row>
    <row r="165" spans="3:10">
      <c r="C165" s="129"/>
      <c r="D165" s="129"/>
      <c r="E165" s="129"/>
      <c r="F165" s="129"/>
      <c r="G165" s="129"/>
      <c r="H165" s="129"/>
      <c r="I165" s="129"/>
      <c r="J165" s="129"/>
    </row>
    <row r="166" spans="3:10">
      <c r="C166" s="129"/>
      <c r="D166" s="129"/>
      <c r="E166" s="129"/>
      <c r="F166" s="129"/>
      <c r="G166" s="129"/>
      <c r="H166" s="129"/>
      <c r="I166" s="129"/>
      <c r="J166" s="129"/>
    </row>
    <row r="167" spans="3:10">
      <c r="C167" s="129"/>
      <c r="D167" s="129"/>
      <c r="E167" s="129"/>
      <c r="F167" s="129"/>
      <c r="G167" s="129"/>
      <c r="H167" s="129"/>
      <c r="I167" s="129"/>
      <c r="J167" s="129"/>
    </row>
    <row r="168" spans="3:10">
      <c r="C168" s="129"/>
      <c r="D168" s="129"/>
      <c r="E168" s="129"/>
      <c r="F168" s="129"/>
      <c r="G168" s="129"/>
      <c r="H168" s="129"/>
      <c r="I168" s="129"/>
      <c r="J168" s="129"/>
    </row>
    <row r="169" spans="3:10">
      <c r="C169" s="129"/>
      <c r="D169" s="129"/>
      <c r="E169" s="129"/>
      <c r="F169" s="129"/>
      <c r="G169" s="129"/>
      <c r="H169" s="129"/>
      <c r="I169" s="129"/>
      <c r="J169" s="129"/>
    </row>
    <row r="170" spans="3:10">
      <c r="C170" s="129"/>
      <c r="D170" s="129"/>
      <c r="E170" s="129"/>
      <c r="F170" s="129"/>
      <c r="G170" s="129"/>
      <c r="H170" s="129"/>
      <c r="I170" s="129"/>
      <c r="J170" s="129"/>
    </row>
    <row r="171" spans="3:10">
      <c r="C171" s="129"/>
      <c r="D171" s="129"/>
      <c r="E171" s="129"/>
      <c r="F171" s="129"/>
      <c r="G171" s="129"/>
      <c r="H171" s="129"/>
      <c r="I171" s="129"/>
      <c r="J171" s="129"/>
    </row>
    <row r="172" spans="3:10">
      <c r="C172" s="129"/>
      <c r="D172" s="129"/>
      <c r="E172" s="129"/>
      <c r="F172" s="129"/>
      <c r="G172" s="129"/>
      <c r="H172" s="129"/>
      <c r="I172" s="129"/>
      <c r="J172" s="129"/>
    </row>
    <row r="173" spans="3:10">
      <c r="C173" s="129"/>
      <c r="D173" s="129"/>
      <c r="E173" s="129"/>
      <c r="F173" s="129"/>
      <c r="G173" s="129"/>
      <c r="H173" s="129"/>
      <c r="I173" s="129"/>
      <c r="J173" s="129"/>
    </row>
    <row r="174" spans="3:10">
      <c r="C174" s="129"/>
      <c r="D174" s="129"/>
      <c r="E174" s="129"/>
      <c r="F174" s="129"/>
      <c r="G174" s="129"/>
      <c r="H174" s="129"/>
      <c r="I174" s="129"/>
      <c r="J174" s="129"/>
    </row>
    <row r="175" spans="3:10">
      <c r="C175" s="129"/>
      <c r="D175" s="129"/>
      <c r="E175" s="129"/>
      <c r="F175" s="129"/>
      <c r="G175" s="129"/>
      <c r="H175" s="129"/>
      <c r="I175" s="129"/>
      <c r="J175" s="129"/>
    </row>
    <row r="176" spans="3:10">
      <c r="C176" s="129"/>
      <c r="D176" s="129"/>
      <c r="E176" s="129"/>
      <c r="F176" s="129"/>
      <c r="G176" s="129"/>
      <c r="H176" s="129"/>
      <c r="I176" s="129"/>
      <c r="J176" s="129"/>
    </row>
    <row r="177" spans="3:10">
      <c r="C177" s="129"/>
      <c r="D177" s="129"/>
      <c r="E177" s="129"/>
      <c r="F177" s="129"/>
      <c r="G177" s="129"/>
      <c r="H177" s="129"/>
      <c r="I177" s="129"/>
      <c r="J177" s="129"/>
    </row>
    <row r="178" spans="3:10">
      <c r="C178" s="129"/>
      <c r="D178" s="129"/>
      <c r="E178" s="129"/>
      <c r="F178" s="129"/>
      <c r="G178" s="129"/>
      <c r="H178" s="129"/>
      <c r="I178" s="129"/>
      <c r="J178" s="129"/>
    </row>
    <row r="179" spans="3:10">
      <c r="C179" s="129"/>
      <c r="D179" s="129"/>
      <c r="E179" s="129"/>
      <c r="F179" s="129"/>
      <c r="G179" s="129"/>
      <c r="H179" s="129"/>
      <c r="I179" s="129"/>
      <c r="J179" s="129"/>
    </row>
    <row r="180" spans="3:10">
      <c r="C180" s="129"/>
      <c r="D180" s="129"/>
      <c r="E180" s="129"/>
      <c r="F180" s="129"/>
      <c r="G180" s="129"/>
      <c r="H180" s="129"/>
      <c r="I180" s="129"/>
      <c r="J180" s="129"/>
    </row>
    <row r="181" spans="3:10">
      <c r="C181" s="129"/>
      <c r="D181" s="129"/>
      <c r="E181" s="129"/>
      <c r="F181" s="129"/>
      <c r="G181" s="129"/>
      <c r="H181" s="129"/>
      <c r="I181" s="129"/>
      <c r="J181" s="129"/>
    </row>
    <row r="182" spans="3:10">
      <c r="C182" s="129"/>
      <c r="D182" s="129"/>
      <c r="E182" s="129"/>
      <c r="F182" s="129"/>
      <c r="G182" s="129"/>
      <c r="H182" s="129"/>
      <c r="I182" s="129"/>
      <c r="J182" s="129"/>
    </row>
    <row r="183" spans="3:10">
      <c r="C183" s="129"/>
      <c r="D183" s="129"/>
      <c r="E183" s="129"/>
      <c r="F183" s="129"/>
      <c r="G183" s="129"/>
      <c r="H183" s="129"/>
      <c r="I183" s="129"/>
      <c r="J183" s="129"/>
    </row>
    <row r="184" spans="3:10">
      <c r="C184" s="129"/>
      <c r="D184" s="129"/>
      <c r="E184" s="129"/>
      <c r="F184" s="129"/>
      <c r="G184" s="129"/>
      <c r="H184" s="129"/>
      <c r="I184" s="129"/>
      <c r="J184" s="129"/>
    </row>
    <row r="185" spans="3:10">
      <c r="C185" s="129"/>
      <c r="D185" s="129"/>
      <c r="E185" s="129"/>
      <c r="F185" s="129"/>
      <c r="G185" s="129"/>
      <c r="H185" s="129"/>
      <c r="I185" s="129"/>
      <c r="J185" s="129"/>
    </row>
    <row r="186" spans="3:10">
      <c r="C186" s="129"/>
      <c r="D186" s="129"/>
      <c r="E186" s="129"/>
      <c r="F186" s="129"/>
      <c r="G186" s="129"/>
      <c r="H186" s="129"/>
      <c r="I186" s="129"/>
      <c r="J186" s="129"/>
    </row>
    <row r="187" spans="3:10">
      <c r="C187" s="129"/>
      <c r="D187" s="129"/>
      <c r="E187" s="129"/>
      <c r="F187" s="129"/>
      <c r="G187" s="129"/>
      <c r="H187" s="129"/>
      <c r="I187" s="129"/>
      <c r="J187" s="129"/>
    </row>
    <row r="188" spans="3:10">
      <c r="C188" s="129"/>
      <c r="D188" s="129"/>
      <c r="E188" s="129"/>
      <c r="F188" s="129"/>
      <c r="G188" s="129"/>
      <c r="H188" s="129"/>
      <c r="I188" s="129"/>
      <c r="J188" s="129"/>
    </row>
    <row r="189" spans="3:10">
      <c r="C189" s="129"/>
      <c r="D189" s="129"/>
      <c r="E189" s="129"/>
      <c r="F189" s="129"/>
      <c r="G189" s="129"/>
      <c r="H189" s="129"/>
      <c r="I189" s="129"/>
      <c r="J189" s="129"/>
    </row>
    <row r="190" spans="3:10">
      <c r="C190" s="129"/>
      <c r="D190" s="129"/>
      <c r="E190" s="129"/>
      <c r="F190" s="129"/>
      <c r="G190" s="129"/>
      <c r="H190" s="129"/>
      <c r="I190" s="129"/>
      <c r="J190" s="129"/>
    </row>
    <row r="191" spans="3:10">
      <c r="C191" s="129"/>
      <c r="D191" s="129"/>
      <c r="E191" s="129"/>
      <c r="F191" s="129"/>
      <c r="G191" s="129"/>
      <c r="H191" s="129"/>
      <c r="I191" s="129"/>
      <c r="J191" s="129"/>
    </row>
    <row r="192" spans="3:10">
      <c r="C192" s="129"/>
      <c r="D192" s="129"/>
      <c r="E192" s="129"/>
      <c r="F192" s="129"/>
      <c r="G192" s="129"/>
      <c r="H192" s="129"/>
      <c r="I192" s="129"/>
      <c r="J192" s="129"/>
    </row>
    <row r="193" spans="3:10">
      <c r="C193" s="129"/>
      <c r="D193" s="129"/>
      <c r="E193" s="129"/>
      <c r="F193" s="129"/>
      <c r="G193" s="129"/>
      <c r="H193" s="129"/>
      <c r="I193" s="129"/>
      <c r="J193" s="129"/>
    </row>
    <row r="194" spans="3:10">
      <c r="C194" s="129"/>
      <c r="D194" s="129"/>
      <c r="E194" s="129"/>
      <c r="F194" s="129"/>
      <c r="G194" s="129"/>
      <c r="H194" s="129"/>
      <c r="I194" s="129"/>
      <c r="J194" s="129"/>
    </row>
    <row r="195" spans="3:10">
      <c r="C195" s="129"/>
      <c r="D195" s="129"/>
      <c r="E195" s="129"/>
      <c r="F195" s="129"/>
      <c r="G195" s="129"/>
      <c r="H195" s="129"/>
      <c r="I195" s="129"/>
      <c r="J195" s="129"/>
    </row>
    <row r="196" spans="3:10">
      <c r="C196" s="129"/>
      <c r="D196" s="129"/>
      <c r="E196" s="129"/>
      <c r="F196" s="129"/>
      <c r="G196" s="129"/>
      <c r="H196" s="129"/>
      <c r="I196" s="129"/>
      <c r="J196" s="129"/>
    </row>
    <row r="197" spans="3:10">
      <c r="C197" s="129"/>
      <c r="D197" s="129"/>
      <c r="E197" s="129"/>
      <c r="F197" s="129"/>
      <c r="G197" s="129"/>
      <c r="H197" s="129"/>
      <c r="I197" s="129"/>
      <c r="J197" s="129"/>
    </row>
    <row r="198" spans="3:10">
      <c r="C198" s="129"/>
      <c r="D198" s="129"/>
      <c r="E198" s="129"/>
      <c r="F198" s="129"/>
      <c r="G198" s="129"/>
      <c r="H198" s="129"/>
      <c r="I198" s="129"/>
      <c r="J198" s="129"/>
    </row>
    <row r="199" spans="3:10">
      <c r="C199" s="129"/>
      <c r="D199" s="129"/>
      <c r="E199" s="129"/>
      <c r="F199" s="129"/>
      <c r="G199" s="129"/>
      <c r="H199" s="129"/>
      <c r="I199" s="129"/>
      <c r="J199" s="129"/>
    </row>
    <row r="200" spans="3:10">
      <c r="C200" s="129"/>
      <c r="D200" s="129"/>
      <c r="E200" s="129"/>
      <c r="F200" s="129"/>
      <c r="G200" s="129"/>
      <c r="H200" s="129"/>
      <c r="I200" s="129"/>
      <c r="J200" s="129"/>
    </row>
    <row r="201" spans="3:10">
      <c r="C201" s="129"/>
      <c r="D201" s="129"/>
      <c r="E201" s="129"/>
      <c r="F201" s="129"/>
      <c r="G201" s="129"/>
      <c r="H201" s="129"/>
      <c r="I201" s="129"/>
      <c r="J201" s="129"/>
    </row>
    <row r="202" spans="3:10">
      <c r="C202" s="129"/>
      <c r="D202" s="129"/>
      <c r="E202" s="129"/>
      <c r="F202" s="129"/>
      <c r="G202" s="129"/>
      <c r="H202" s="129"/>
      <c r="I202" s="129"/>
      <c r="J202" s="129"/>
    </row>
    <row r="203" spans="3:10">
      <c r="C203" s="129"/>
      <c r="D203" s="129"/>
      <c r="E203" s="129"/>
      <c r="F203" s="129"/>
      <c r="G203" s="129"/>
      <c r="H203" s="129"/>
      <c r="I203" s="129"/>
      <c r="J203" s="129"/>
    </row>
    <row r="204" spans="3:10">
      <c r="C204" s="129"/>
      <c r="D204" s="129"/>
      <c r="E204" s="129"/>
      <c r="F204" s="129"/>
      <c r="G204" s="129"/>
      <c r="H204" s="129"/>
      <c r="I204" s="129"/>
      <c r="J204" s="129"/>
    </row>
    <row r="205" spans="3:10">
      <c r="C205" s="129"/>
      <c r="D205" s="129"/>
      <c r="E205" s="129"/>
      <c r="F205" s="129"/>
      <c r="G205" s="129"/>
      <c r="H205" s="129"/>
      <c r="I205" s="129"/>
      <c r="J205" s="129"/>
    </row>
    <row r="206" spans="3:10">
      <c r="C206" s="129"/>
      <c r="D206" s="129"/>
      <c r="E206" s="129"/>
      <c r="F206" s="129"/>
      <c r="G206" s="129"/>
      <c r="H206" s="129"/>
      <c r="I206" s="129"/>
      <c r="J206" s="129"/>
    </row>
    <row r="207" spans="3:10">
      <c r="C207" s="129"/>
      <c r="D207" s="129"/>
      <c r="E207" s="129"/>
      <c r="F207" s="129"/>
      <c r="G207" s="129"/>
      <c r="H207" s="129"/>
      <c r="I207" s="129"/>
      <c r="J207" s="129"/>
    </row>
    <row r="208" spans="3:10">
      <c r="C208" s="129"/>
      <c r="D208" s="129"/>
      <c r="E208" s="129"/>
      <c r="F208" s="129"/>
      <c r="G208" s="129"/>
      <c r="H208" s="129"/>
      <c r="I208" s="129"/>
      <c r="J208" s="129"/>
    </row>
    <row r="209" spans="3:10">
      <c r="C209" s="129"/>
      <c r="D209" s="129"/>
      <c r="E209" s="129"/>
      <c r="F209" s="129"/>
      <c r="G209" s="129"/>
      <c r="H209" s="129"/>
      <c r="I209" s="129"/>
      <c r="J209" s="129"/>
    </row>
    <row r="210" spans="3:10">
      <c r="C210" s="129"/>
      <c r="D210" s="129"/>
      <c r="E210" s="129"/>
      <c r="F210" s="129"/>
      <c r="G210" s="129"/>
      <c r="H210" s="129"/>
      <c r="I210" s="129"/>
      <c r="J210" s="129"/>
    </row>
    <row r="211" spans="3:10">
      <c r="C211" s="129"/>
      <c r="D211" s="129"/>
      <c r="E211" s="129"/>
      <c r="F211" s="129"/>
      <c r="G211" s="129"/>
      <c r="H211" s="129"/>
      <c r="I211" s="129"/>
      <c r="J211" s="129"/>
    </row>
    <row r="212" spans="3:10">
      <c r="C212" s="129"/>
      <c r="D212" s="129"/>
      <c r="E212" s="129"/>
      <c r="F212" s="129"/>
      <c r="G212" s="129"/>
      <c r="H212" s="129"/>
      <c r="I212" s="129"/>
      <c r="J212" s="129"/>
    </row>
    <row r="213" spans="3:10">
      <c r="C213" s="129"/>
      <c r="D213" s="129"/>
      <c r="E213" s="129"/>
      <c r="F213" s="129"/>
      <c r="G213" s="129"/>
      <c r="H213" s="129"/>
      <c r="I213" s="129"/>
      <c r="J213" s="129"/>
    </row>
    <row r="214" spans="3:10">
      <c r="C214" s="129"/>
      <c r="D214" s="129"/>
      <c r="E214" s="129"/>
      <c r="F214" s="129"/>
      <c r="G214" s="129"/>
      <c r="H214" s="129"/>
      <c r="I214" s="129"/>
      <c r="J214" s="129"/>
    </row>
    <row r="215" spans="3:10">
      <c r="C215" s="129"/>
      <c r="D215" s="129"/>
      <c r="E215" s="129"/>
      <c r="F215" s="129"/>
      <c r="G215" s="129"/>
      <c r="H215" s="129"/>
      <c r="I215" s="129"/>
      <c r="J215" s="129"/>
    </row>
    <row r="216" spans="3:10">
      <c r="C216" s="129"/>
      <c r="D216" s="129"/>
      <c r="E216" s="129"/>
      <c r="F216" s="129"/>
      <c r="G216" s="129"/>
      <c r="H216" s="129"/>
      <c r="I216" s="129"/>
      <c r="J216" s="129"/>
    </row>
    <row r="217" spans="3:10">
      <c r="C217" s="129"/>
      <c r="D217" s="129"/>
      <c r="E217" s="129"/>
      <c r="F217" s="129"/>
      <c r="G217" s="129"/>
      <c r="H217" s="129"/>
      <c r="I217" s="129"/>
      <c r="J217" s="129"/>
    </row>
    <row r="218" spans="3:10">
      <c r="C218" s="129"/>
      <c r="D218" s="129"/>
      <c r="E218" s="129"/>
      <c r="F218" s="129"/>
      <c r="G218" s="129"/>
      <c r="H218" s="129"/>
      <c r="I218" s="129"/>
      <c r="J218" s="129"/>
    </row>
    <row r="219" spans="3:10">
      <c r="C219" s="129"/>
      <c r="D219" s="129"/>
      <c r="E219" s="129"/>
      <c r="F219" s="129"/>
      <c r="G219" s="129"/>
      <c r="H219" s="129"/>
      <c r="I219" s="129"/>
      <c r="J219" s="129"/>
    </row>
    <row r="220" spans="3:10">
      <c r="C220" s="129"/>
      <c r="D220" s="129"/>
      <c r="E220" s="129"/>
      <c r="F220" s="129"/>
      <c r="G220" s="129"/>
      <c r="H220" s="129"/>
      <c r="I220" s="129"/>
      <c r="J220" s="129"/>
    </row>
    <row r="221" spans="3:10">
      <c r="C221" s="129"/>
      <c r="D221" s="129"/>
      <c r="E221" s="129"/>
      <c r="F221" s="129"/>
      <c r="G221" s="129"/>
      <c r="H221" s="129"/>
      <c r="I221" s="129"/>
      <c r="J221" s="129"/>
    </row>
    <row r="222" spans="3:10">
      <c r="C222" s="129"/>
      <c r="D222" s="129"/>
      <c r="E222" s="129"/>
      <c r="F222" s="129"/>
      <c r="G222" s="129"/>
      <c r="H222" s="129"/>
      <c r="I222" s="129"/>
      <c r="J222" s="129"/>
    </row>
    <row r="223" spans="3:10">
      <c r="C223" s="129"/>
      <c r="D223" s="129"/>
      <c r="E223" s="129"/>
      <c r="F223" s="129"/>
      <c r="G223" s="129"/>
      <c r="H223" s="129"/>
      <c r="I223" s="129"/>
      <c r="J223" s="129"/>
    </row>
    <row r="224" spans="3:10">
      <c r="C224" s="129"/>
      <c r="D224" s="129"/>
      <c r="E224" s="129"/>
      <c r="F224" s="129"/>
      <c r="G224" s="129"/>
      <c r="H224" s="129"/>
      <c r="I224" s="129"/>
      <c r="J224" s="129"/>
    </row>
    <row r="225" spans="3:10">
      <c r="C225" s="129"/>
      <c r="D225" s="129"/>
      <c r="E225" s="129"/>
      <c r="F225" s="129"/>
      <c r="G225" s="129"/>
      <c r="H225" s="129"/>
      <c r="I225" s="129"/>
      <c r="J225" s="129"/>
    </row>
    <row r="226" spans="3:10">
      <c r="C226" s="129"/>
      <c r="D226" s="129"/>
      <c r="E226" s="129"/>
      <c r="F226" s="129"/>
      <c r="G226" s="129"/>
      <c r="H226" s="129"/>
      <c r="I226" s="129"/>
      <c r="J226" s="129"/>
    </row>
    <row r="227" spans="3:10">
      <c r="C227" s="129"/>
      <c r="D227" s="129"/>
      <c r="E227" s="129"/>
      <c r="F227" s="129"/>
      <c r="G227" s="129"/>
      <c r="H227" s="129"/>
      <c r="I227" s="129"/>
      <c r="J227" s="129"/>
    </row>
    <row r="228" spans="3:10">
      <c r="C228" s="129"/>
      <c r="D228" s="129"/>
      <c r="E228" s="129"/>
      <c r="F228" s="129"/>
      <c r="G228" s="129"/>
      <c r="H228" s="129"/>
      <c r="I228" s="129"/>
      <c r="J228" s="129"/>
    </row>
    <row r="229" spans="3:10">
      <c r="C229" s="129"/>
      <c r="D229" s="129"/>
      <c r="E229" s="129"/>
      <c r="F229" s="129"/>
      <c r="G229" s="129"/>
      <c r="H229" s="129"/>
      <c r="I229" s="129"/>
      <c r="J229" s="129"/>
    </row>
    <row r="230" spans="3:10">
      <c r="C230" s="129"/>
      <c r="D230" s="129"/>
      <c r="E230" s="129"/>
      <c r="F230" s="129"/>
      <c r="G230" s="129"/>
      <c r="H230" s="129"/>
      <c r="I230" s="129"/>
      <c r="J230" s="129"/>
    </row>
    <row r="231" spans="3:10">
      <c r="C231" s="129"/>
      <c r="D231" s="129"/>
      <c r="E231" s="129"/>
      <c r="F231" s="129"/>
      <c r="G231" s="129"/>
      <c r="H231" s="129"/>
      <c r="I231" s="129"/>
      <c r="J231" s="129"/>
    </row>
    <row r="232" spans="3:10">
      <c r="C232" s="129"/>
      <c r="D232" s="129"/>
      <c r="E232" s="129"/>
      <c r="F232" s="129"/>
      <c r="G232" s="129"/>
      <c r="H232" s="129"/>
      <c r="I232" s="129"/>
      <c r="J232" s="129"/>
    </row>
    <row r="233" spans="3:10">
      <c r="C233" s="129"/>
      <c r="D233" s="129"/>
      <c r="E233" s="129"/>
      <c r="F233" s="129"/>
      <c r="G233" s="129"/>
      <c r="H233" s="129"/>
      <c r="I233" s="129"/>
      <c r="J233" s="129"/>
    </row>
    <row r="234" spans="3:10">
      <c r="C234" s="129"/>
      <c r="D234" s="129"/>
      <c r="E234" s="129"/>
      <c r="F234" s="129"/>
      <c r="G234" s="129"/>
      <c r="H234" s="129"/>
      <c r="I234" s="129"/>
      <c r="J234" s="129"/>
    </row>
    <row r="235" spans="3:10">
      <c r="C235" s="129"/>
      <c r="D235" s="129"/>
      <c r="E235" s="129"/>
      <c r="F235" s="129"/>
      <c r="G235" s="129"/>
      <c r="H235" s="129"/>
      <c r="I235" s="129"/>
      <c r="J235" s="129"/>
    </row>
    <row r="236" spans="3:10">
      <c r="C236" s="129"/>
      <c r="D236" s="129"/>
      <c r="E236" s="129"/>
      <c r="F236" s="129"/>
      <c r="G236" s="129"/>
      <c r="H236" s="129"/>
      <c r="I236" s="129"/>
      <c r="J236" s="129"/>
    </row>
    <row r="237" spans="3:10">
      <c r="C237" s="129"/>
      <c r="D237" s="129"/>
      <c r="E237" s="129"/>
      <c r="F237" s="129"/>
      <c r="G237" s="129"/>
      <c r="H237" s="129"/>
      <c r="I237" s="129"/>
      <c r="J237" s="129"/>
    </row>
    <row r="238" spans="3:10">
      <c r="C238" s="129"/>
      <c r="D238" s="129"/>
      <c r="E238" s="129"/>
      <c r="F238" s="129"/>
      <c r="G238" s="129"/>
      <c r="H238" s="129"/>
      <c r="I238" s="129"/>
      <c r="J238" s="129"/>
    </row>
    <row r="239" spans="3:10">
      <c r="C239" s="129"/>
      <c r="D239" s="129"/>
      <c r="E239" s="129"/>
      <c r="F239" s="129"/>
      <c r="G239" s="129"/>
      <c r="H239" s="129"/>
      <c r="I239" s="129"/>
      <c r="J239" s="129"/>
    </row>
    <row r="240" spans="3:10">
      <c r="C240" s="129"/>
      <c r="D240" s="129"/>
      <c r="E240" s="129"/>
      <c r="F240" s="129"/>
      <c r="G240" s="129"/>
      <c r="H240" s="129"/>
      <c r="I240" s="129"/>
      <c r="J240" s="129"/>
    </row>
    <row r="241" spans="3:10">
      <c r="C241" s="129"/>
      <c r="D241" s="129"/>
      <c r="E241" s="129"/>
      <c r="F241" s="129"/>
      <c r="G241" s="129"/>
      <c r="H241" s="129"/>
      <c r="I241" s="129"/>
      <c r="J241" s="129"/>
    </row>
    <row r="242" spans="3:10">
      <c r="C242" s="129"/>
      <c r="D242" s="129"/>
      <c r="E242" s="129"/>
      <c r="F242" s="129"/>
      <c r="G242" s="129"/>
      <c r="H242" s="129"/>
      <c r="I242" s="129"/>
      <c r="J242" s="129"/>
    </row>
    <row r="243" spans="3:10">
      <c r="C243" s="129"/>
      <c r="D243" s="129"/>
      <c r="E243" s="129"/>
      <c r="F243" s="129"/>
      <c r="G243" s="129"/>
      <c r="H243" s="129"/>
      <c r="I243" s="129"/>
      <c r="J243" s="129"/>
    </row>
    <row r="244" spans="3:10">
      <c r="C244" s="129"/>
      <c r="D244" s="129"/>
      <c r="E244" s="129"/>
      <c r="F244" s="129"/>
      <c r="G244" s="129"/>
      <c r="H244" s="129"/>
      <c r="I244" s="129"/>
      <c r="J244" s="129"/>
    </row>
    <row r="245" spans="3:10">
      <c r="C245" s="129"/>
      <c r="D245" s="129"/>
      <c r="E245" s="129"/>
      <c r="F245" s="129"/>
      <c r="G245" s="129"/>
      <c r="H245" s="129"/>
      <c r="I245" s="129"/>
      <c r="J245" s="129"/>
    </row>
    <row r="246" spans="3:10">
      <c r="C246" s="129"/>
      <c r="D246" s="129"/>
      <c r="E246" s="129"/>
      <c r="F246" s="129"/>
      <c r="G246" s="129"/>
      <c r="H246" s="129"/>
      <c r="I246" s="129"/>
      <c r="J246" s="129"/>
    </row>
    <row r="247" spans="3:10">
      <c r="C247" s="129"/>
      <c r="D247" s="129"/>
      <c r="E247" s="129"/>
      <c r="F247" s="129"/>
      <c r="G247" s="129"/>
      <c r="H247" s="129"/>
      <c r="I247" s="129"/>
      <c r="J247" s="129"/>
    </row>
    <row r="248" spans="3:10">
      <c r="C248" s="129"/>
      <c r="D248" s="129"/>
      <c r="E248" s="129"/>
      <c r="F248" s="129"/>
      <c r="G248" s="129"/>
      <c r="H248" s="129"/>
      <c r="I248" s="129"/>
      <c r="J248" s="129"/>
    </row>
    <row r="249" spans="3:10">
      <c r="C249" s="129"/>
      <c r="D249" s="129"/>
      <c r="E249" s="129"/>
      <c r="F249" s="129"/>
      <c r="G249" s="129"/>
      <c r="H249" s="129"/>
      <c r="I249" s="129"/>
      <c r="J249" s="129"/>
    </row>
    <row r="250" spans="3:10">
      <c r="C250" s="129"/>
      <c r="D250" s="129"/>
      <c r="E250" s="129"/>
      <c r="F250" s="129"/>
      <c r="G250" s="129"/>
      <c r="H250" s="129"/>
      <c r="I250" s="129"/>
      <c r="J250" s="129"/>
    </row>
    <row r="251" spans="3:10">
      <c r="C251" s="129"/>
      <c r="D251" s="129"/>
      <c r="E251" s="129"/>
      <c r="F251" s="129"/>
      <c r="G251" s="129"/>
      <c r="H251" s="129"/>
      <c r="I251" s="129"/>
      <c r="J251" s="129"/>
    </row>
    <row r="252" spans="3:10">
      <c r="C252" s="129"/>
      <c r="D252" s="129"/>
      <c r="E252" s="129"/>
      <c r="F252" s="129"/>
      <c r="G252" s="129"/>
      <c r="H252" s="129"/>
      <c r="I252" s="129"/>
      <c r="J252" s="129"/>
    </row>
    <row r="253" spans="3:10">
      <c r="C253" s="129"/>
      <c r="D253" s="129"/>
      <c r="E253" s="129"/>
      <c r="F253" s="129"/>
      <c r="G253" s="129"/>
      <c r="H253" s="129"/>
      <c r="I253" s="129"/>
      <c r="J253" s="129"/>
    </row>
    <row r="254" spans="3:10">
      <c r="C254" s="129"/>
      <c r="D254" s="129"/>
      <c r="E254" s="129"/>
      <c r="F254" s="129"/>
      <c r="G254" s="129"/>
      <c r="H254" s="129"/>
      <c r="I254" s="129"/>
      <c r="J254" s="129"/>
    </row>
    <row r="255" spans="3:10">
      <c r="C255" s="129"/>
      <c r="D255" s="129"/>
      <c r="E255" s="129"/>
      <c r="F255" s="129"/>
      <c r="G255" s="129"/>
      <c r="H255" s="129"/>
      <c r="I255" s="129"/>
      <c r="J255" s="129"/>
    </row>
    <row r="256" spans="3:10">
      <c r="C256" s="129"/>
      <c r="D256" s="129"/>
      <c r="E256" s="129"/>
      <c r="F256" s="129"/>
      <c r="G256" s="129"/>
      <c r="H256" s="129"/>
      <c r="I256" s="129"/>
      <c r="J256" s="129"/>
    </row>
    <row r="257" spans="3:10">
      <c r="C257" s="129"/>
      <c r="D257" s="129"/>
      <c r="E257" s="129"/>
      <c r="F257" s="129"/>
      <c r="G257" s="129"/>
      <c r="H257" s="129"/>
      <c r="I257" s="129"/>
      <c r="J257" s="129"/>
    </row>
    <row r="258" spans="3:10">
      <c r="C258" s="129"/>
      <c r="D258" s="129"/>
      <c r="E258" s="129"/>
      <c r="F258" s="129"/>
      <c r="G258" s="129"/>
      <c r="H258" s="129"/>
      <c r="I258" s="129"/>
      <c r="J258" s="129"/>
    </row>
    <row r="259" spans="3:10">
      <c r="C259" s="129"/>
      <c r="D259" s="129"/>
      <c r="E259" s="129"/>
      <c r="F259" s="129"/>
      <c r="G259" s="129"/>
      <c r="H259" s="129"/>
      <c r="I259" s="129"/>
      <c r="J259" s="129"/>
    </row>
    <row r="260" spans="3:10">
      <c r="C260" s="129"/>
      <c r="D260" s="129"/>
      <c r="E260" s="129"/>
      <c r="F260" s="129"/>
      <c r="G260" s="129"/>
      <c r="H260" s="129"/>
      <c r="I260" s="129"/>
      <c r="J260" s="129"/>
    </row>
    <row r="261" spans="3:10">
      <c r="C261" s="129"/>
      <c r="D261" s="129"/>
      <c r="E261" s="129"/>
      <c r="F261" s="129"/>
      <c r="G261" s="129"/>
      <c r="H261" s="129"/>
      <c r="I261" s="129"/>
      <c r="J261" s="129"/>
    </row>
    <row r="262" spans="3:10">
      <c r="C262" s="129"/>
      <c r="D262" s="129"/>
      <c r="E262" s="129"/>
      <c r="F262" s="129"/>
      <c r="G262" s="129"/>
      <c r="H262" s="129"/>
      <c r="I262" s="129"/>
      <c r="J262" s="129"/>
    </row>
    <row r="263" spans="3:10">
      <c r="C263" s="129"/>
      <c r="D263" s="129"/>
      <c r="E263" s="129"/>
      <c r="F263" s="129"/>
      <c r="G263" s="129"/>
      <c r="H263" s="129"/>
      <c r="I263" s="129"/>
      <c r="J263" s="129"/>
    </row>
    <row r="264" spans="3:10">
      <c r="C264" s="129"/>
      <c r="D264" s="129"/>
      <c r="E264" s="129"/>
      <c r="F264" s="129"/>
      <c r="G264" s="129"/>
      <c r="H264" s="129"/>
      <c r="I264" s="129"/>
      <c r="J264" s="129"/>
    </row>
    <row r="265" spans="3:10">
      <c r="C265" s="129"/>
      <c r="D265" s="129"/>
      <c r="E265" s="129"/>
      <c r="F265" s="129"/>
      <c r="G265" s="129"/>
      <c r="H265" s="129"/>
      <c r="I265" s="129"/>
      <c r="J265" s="129"/>
    </row>
    <row r="266" spans="3:10">
      <c r="C266" s="129"/>
      <c r="D266" s="129"/>
      <c r="E266" s="129"/>
      <c r="F266" s="129"/>
      <c r="G266" s="129"/>
      <c r="H266" s="129"/>
      <c r="I266" s="129"/>
      <c r="J266" s="129"/>
    </row>
    <row r="267" spans="3:10">
      <c r="C267" s="129"/>
      <c r="D267" s="129"/>
      <c r="E267" s="129"/>
      <c r="F267" s="129"/>
      <c r="G267" s="129"/>
      <c r="H267" s="129"/>
      <c r="I267" s="129"/>
      <c r="J267" s="129"/>
    </row>
    <row r="268" spans="3:10">
      <c r="C268" s="129"/>
      <c r="D268" s="129"/>
      <c r="E268" s="129"/>
      <c r="F268" s="129"/>
      <c r="G268" s="129"/>
      <c r="H268" s="129"/>
      <c r="I268" s="129"/>
      <c r="J268" s="129"/>
    </row>
    <row r="269" spans="3:10">
      <c r="C269" s="129"/>
      <c r="D269" s="129"/>
      <c r="E269" s="129"/>
      <c r="F269" s="129"/>
      <c r="G269" s="129"/>
      <c r="H269" s="129"/>
      <c r="I269" s="129"/>
      <c r="J269" s="129"/>
    </row>
    <row r="270" spans="3:10">
      <c r="C270" s="129"/>
      <c r="D270" s="129"/>
      <c r="E270" s="129"/>
      <c r="F270" s="129"/>
      <c r="G270" s="129"/>
      <c r="H270" s="129"/>
      <c r="I270" s="129"/>
      <c r="J270" s="129"/>
    </row>
    <row r="271" spans="3:10">
      <c r="C271" s="129"/>
      <c r="D271" s="129"/>
      <c r="E271" s="129"/>
      <c r="F271" s="129"/>
      <c r="G271" s="129"/>
      <c r="H271" s="129"/>
      <c r="I271" s="129"/>
      <c r="J271" s="129"/>
    </row>
    <row r="272" spans="3:10">
      <c r="C272" s="129"/>
      <c r="D272" s="129"/>
      <c r="E272" s="129"/>
      <c r="F272" s="129"/>
      <c r="G272" s="129"/>
      <c r="H272" s="129"/>
      <c r="I272" s="129"/>
      <c r="J272" s="129"/>
    </row>
    <row r="273" spans="3:10">
      <c r="C273" s="129"/>
      <c r="D273" s="129"/>
      <c r="E273" s="129"/>
      <c r="F273" s="129"/>
      <c r="G273" s="129"/>
      <c r="H273" s="129"/>
      <c r="I273" s="129"/>
      <c r="J273" s="129"/>
    </row>
    <row r="274" spans="3:10">
      <c r="C274" s="129"/>
      <c r="D274" s="129"/>
      <c r="E274" s="129"/>
      <c r="F274" s="129"/>
      <c r="G274" s="129"/>
      <c r="H274" s="129"/>
      <c r="I274" s="129"/>
      <c r="J274" s="129"/>
    </row>
    <row r="275" spans="3:10">
      <c r="C275" s="129"/>
      <c r="D275" s="129"/>
      <c r="E275" s="129"/>
      <c r="F275" s="129"/>
      <c r="G275" s="129"/>
      <c r="H275" s="129"/>
      <c r="I275" s="129"/>
      <c r="J275" s="129"/>
    </row>
    <row r="276" spans="3:10">
      <c r="C276" s="129"/>
      <c r="D276" s="129"/>
      <c r="E276" s="129"/>
      <c r="F276" s="129"/>
      <c r="G276" s="129"/>
      <c r="H276" s="129"/>
      <c r="I276" s="129"/>
      <c r="J276" s="129"/>
    </row>
    <row r="277" spans="3:10">
      <c r="C277" s="129"/>
      <c r="D277" s="129"/>
      <c r="E277" s="129"/>
      <c r="F277" s="129"/>
      <c r="G277" s="129"/>
      <c r="H277" s="129"/>
      <c r="I277" s="129"/>
      <c r="J277" s="129"/>
    </row>
    <row r="278" spans="3:10">
      <c r="C278" s="129"/>
      <c r="D278" s="129"/>
      <c r="E278" s="129"/>
      <c r="F278" s="129"/>
      <c r="G278" s="129"/>
      <c r="H278" s="129"/>
      <c r="I278" s="129"/>
      <c r="J278" s="129"/>
    </row>
    <row r="279" spans="3:10">
      <c r="C279" s="129"/>
      <c r="D279" s="129"/>
      <c r="E279" s="129"/>
      <c r="F279" s="129"/>
      <c r="G279" s="129"/>
      <c r="H279" s="129"/>
      <c r="I279" s="129"/>
      <c r="J279" s="129"/>
    </row>
    <row r="280" spans="3:10">
      <c r="C280" s="129"/>
      <c r="D280" s="129"/>
      <c r="E280" s="129"/>
      <c r="F280" s="129"/>
      <c r="G280" s="129"/>
      <c r="H280" s="129"/>
      <c r="I280" s="129"/>
      <c r="J280" s="129"/>
    </row>
    <row r="281" spans="3:10">
      <c r="C281" s="129"/>
      <c r="D281" s="129"/>
      <c r="E281" s="129"/>
      <c r="F281" s="129"/>
      <c r="G281" s="129"/>
      <c r="H281" s="129"/>
      <c r="I281" s="129"/>
      <c r="J281" s="129"/>
    </row>
    <row r="282" spans="3:10">
      <c r="C282" s="129"/>
      <c r="D282" s="129"/>
      <c r="E282" s="129"/>
      <c r="F282" s="129"/>
      <c r="G282" s="129"/>
      <c r="H282" s="129"/>
      <c r="I282" s="129"/>
      <c r="J282" s="129"/>
    </row>
    <row r="283" spans="3:10">
      <c r="C283" s="129"/>
      <c r="D283" s="129"/>
      <c r="E283" s="129"/>
      <c r="F283" s="129"/>
      <c r="G283" s="129"/>
      <c r="H283" s="129"/>
      <c r="I283" s="129"/>
      <c r="J283" s="129"/>
    </row>
    <row r="284" spans="3:10">
      <c r="C284" s="129"/>
      <c r="D284" s="129"/>
      <c r="E284" s="129"/>
      <c r="F284" s="129"/>
      <c r="G284" s="129"/>
      <c r="H284" s="129"/>
      <c r="I284" s="129"/>
      <c r="J284" s="129"/>
    </row>
    <row r="285" spans="3:10">
      <c r="C285" s="129"/>
      <c r="D285" s="129"/>
      <c r="E285" s="129"/>
      <c r="F285" s="129"/>
      <c r="G285" s="129"/>
      <c r="H285" s="129"/>
      <c r="I285" s="129"/>
      <c r="J285" s="129"/>
    </row>
    <row r="286" spans="3:10">
      <c r="C286" s="129"/>
      <c r="D286" s="129"/>
      <c r="E286" s="129"/>
      <c r="F286" s="129"/>
      <c r="G286" s="129"/>
      <c r="H286" s="129"/>
      <c r="I286" s="129"/>
      <c r="J286" s="129"/>
    </row>
    <row r="287" spans="3:10">
      <c r="C287" s="129"/>
      <c r="D287" s="129"/>
      <c r="E287" s="129"/>
      <c r="F287" s="129"/>
      <c r="G287" s="129"/>
      <c r="H287" s="129"/>
      <c r="I287" s="129"/>
      <c r="J287" s="129"/>
    </row>
    <row r="288" spans="3:10">
      <c r="C288" s="129"/>
      <c r="D288" s="129"/>
      <c r="E288" s="129"/>
      <c r="F288" s="129"/>
      <c r="G288" s="129"/>
      <c r="H288" s="129"/>
      <c r="I288" s="129"/>
      <c r="J288" s="129"/>
    </row>
    <row r="289" spans="3:10">
      <c r="C289" s="129"/>
      <c r="D289" s="129"/>
      <c r="E289" s="129"/>
      <c r="F289" s="129"/>
      <c r="G289" s="129"/>
      <c r="H289" s="129"/>
      <c r="I289" s="129"/>
      <c r="J289" s="129"/>
    </row>
    <row r="290" spans="3:10">
      <c r="C290" s="129"/>
      <c r="D290" s="129"/>
      <c r="E290" s="129"/>
      <c r="F290" s="129"/>
      <c r="G290" s="129"/>
      <c r="H290" s="129"/>
      <c r="I290" s="129"/>
      <c r="J290" s="129"/>
    </row>
    <row r="291" spans="3:10">
      <c r="C291" s="129"/>
      <c r="D291" s="129"/>
      <c r="E291" s="129"/>
      <c r="F291" s="129"/>
      <c r="G291" s="129"/>
      <c r="H291" s="129"/>
      <c r="I291" s="129"/>
      <c r="J291" s="129"/>
    </row>
    <row r="292" spans="3:10">
      <c r="C292" s="129"/>
      <c r="D292" s="129"/>
      <c r="E292" s="129"/>
      <c r="F292" s="129"/>
      <c r="G292" s="129"/>
      <c r="H292" s="129"/>
      <c r="I292" s="129"/>
      <c r="J292" s="129"/>
    </row>
    <row r="293" spans="3:10">
      <c r="C293" s="129"/>
      <c r="D293" s="129"/>
      <c r="E293" s="129"/>
      <c r="F293" s="129"/>
      <c r="G293" s="129"/>
      <c r="H293" s="129"/>
      <c r="I293" s="129"/>
      <c r="J293" s="129"/>
    </row>
    <row r="294" spans="3:10">
      <c r="C294" s="129"/>
      <c r="D294" s="129"/>
      <c r="E294" s="129"/>
      <c r="F294" s="129"/>
      <c r="G294" s="129"/>
      <c r="H294" s="129"/>
      <c r="I294" s="129"/>
      <c r="J294" s="129"/>
    </row>
    <row r="295" spans="3:10">
      <c r="C295" s="129"/>
      <c r="D295" s="129"/>
      <c r="E295" s="129"/>
      <c r="F295" s="129"/>
      <c r="G295" s="129"/>
      <c r="H295" s="129"/>
      <c r="I295" s="129"/>
      <c r="J295" s="129"/>
    </row>
    <row r="296" spans="3:10">
      <c r="C296" s="129"/>
      <c r="D296" s="129"/>
      <c r="E296" s="129"/>
      <c r="F296" s="129"/>
      <c r="G296" s="129"/>
      <c r="H296" s="129"/>
      <c r="I296" s="129"/>
      <c r="J296" s="129"/>
    </row>
    <row r="297" spans="3:10">
      <c r="C297" s="129"/>
      <c r="D297" s="129"/>
      <c r="E297" s="129"/>
      <c r="F297" s="129"/>
      <c r="G297" s="129"/>
      <c r="H297" s="129"/>
      <c r="I297" s="129"/>
      <c r="J297" s="129"/>
    </row>
    <row r="298" spans="3:10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100:X100"/>
    <mergeCell ref="M99:X99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9" orientation="portrait" horizontalDpi="300" verticalDpi="300" r:id="rId1"/>
  <headerFooter alignWithMargins="0"/>
  <rowBreaks count="1" manualBreakCount="1">
    <brk id="48" min="10" max="2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7622-0A20-4A4E-B936-1BB417B8233E}">
  <sheetPr codeName="Sheet34">
    <tabColor rgb="FF7030A0"/>
    <pageSetUpPr fitToPage="1"/>
  </sheetPr>
  <dimension ref="A1:AE298"/>
  <sheetViews>
    <sheetView view="pageBreakPreview" topLeftCell="H46" zoomScale="70" zoomScaleNormal="75" zoomScaleSheetLayoutView="70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50" customWidth="1"/>
    <col min="4" max="4" width="1.44140625" customWidth="1"/>
    <col min="5" max="5" width="37.109375" customWidth="1"/>
    <col min="6" max="6" width="1.109375" customWidth="1"/>
    <col min="7" max="7" width="14.109375" customWidth="1"/>
    <col min="8" max="8" width="1" customWidth="1"/>
    <col min="9" max="10" width="12.77734375" customWidth="1"/>
    <col min="11" max="11" width="5.21875" customWidth="1"/>
    <col min="12" max="12" width="2.21875" customWidth="1"/>
    <col min="13" max="13" width="26.21875" customWidth="1"/>
    <col min="14" max="14" width="9.77734375" customWidth="1"/>
    <col min="15" max="15" width="9" customWidth="1"/>
    <col min="16" max="16" width="14" customWidth="1"/>
    <col min="17" max="17" width="13.21875" customWidth="1"/>
    <col min="18" max="18" width="9" customWidth="1"/>
    <col min="19" max="19" width="14.77734375" customWidth="1"/>
    <col min="20" max="20" width="13.44140625" customWidth="1"/>
    <col min="21" max="21" width="12.109375" customWidth="1"/>
    <col min="22" max="22" width="16.77734375" customWidth="1"/>
    <col min="23" max="23" width="11.5546875" customWidth="1"/>
    <col min="24" max="24" width="15.77734375" customWidth="1"/>
    <col min="25" max="242" width="8.77734375"/>
    <col min="243" max="243" width="6" customWidth="1"/>
    <col min="244" max="244" width="1.44140625" customWidth="1"/>
    <col min="245" max="245" width="39.109375" customWidth="1"/>
    <col min="246" max="246" width="12" customWidth="1"/>
    <col min="247" max="247" width="14.44140625" customWidth="1"/>
    <col min="248" max="248" width="11.77734375" customWidth="1"/>
    <col min="249" max="249" width="14.109375" customWidth="1"/>
    <col min="250" max="250" width="13.77734375" customWidth="1"/>
    <col min="251" max="252" width="12.77734375" customWidth="1"/>
    <col min="253" max="253" width="13.5546875" customWidth="1"/>
    <col min="254" max="254" width="15.21875" customWidth="1"/>
    <col min="255" max="255" width="12.77734375" customWidth="1"/>
    <col min="256" max="256" width="13.77734375" customWidth="1"/>
    <col min="257" max="257" width="1.77734375" customWidth="1"/>
    <col min="258" max="258" width="13" customWidth="1"/>
    <col min="259" max="498" width="8.77734375"/>
    <col min="499" max="499" width="6" customWidth="1"/>
    <col min="500" max="500" width="1.44140625" customWidth="1"/>
    <col min="501" max="501" width="39.109375" customWidth="1"/>
    <col min="502" max="502" width="12" customWidth="1"/>
    <col min="503" max="503" width="14.44140625" customWidth="1"/>
    <col min="504" max="504" width="11.77734375" customWidth="1"/>
    <col min="505" max="505" width="14.109375" customWidth="1"/>
    <col min="506" max="506" width="13.77734375" customWidth="1"/>
    <col min="507" max="508" width="12.77734375" customWidth="1"/>
    <col min="509" max="509" width="13.5546875" customWidth="1"/>
    <col min="510" max="510" width="15.21875" customWidth="1"/>
    <col min="511" max="511" width="12.77734375" customWidth="1"/>
    <col min="512" max="512" width="13.77734375" customWidth="1"/>
    <col min="513" max="513" width="1.77734375" customWidth="1"/>
    <col min="514" max="514" width="13" customWidth="1"/>
    <col min="515" max="754" width="8.77734375"/>
    <col min="755" max="755" width="6" customWidth="1"/>
    <col min="756" max="756" width="1.44140625" customWidth="1"/>
    <col min="757" max="757" width="39.109375" customWidth="1"/>
    <col min="758" max="758" width="12" customWidth="1"/>
    <col min="759" max="759" width="14.44140625" customWidth="1"/>
    <col min="760" max="760" width="11.77734375" customWidth="1"/>
    <col min="761" max="761" width="14.109375" customWidth="1"/>
    <col min="762" max="762" width="13.77734375" customWidth="1"/>
    <col min="763" max="764" width="12.77734375" customWidth="1"/>
    <col min="765" max="765" width="13.5546875" customWidth="1"/>
    <col min="766" max="766" width="15.21875" customWidth="1"/>
    <col min="767" max="767" width="12.77734375" customWidth="1"/>
    <col min="768" max="768" width="13.77734375" customWidth="1"/>
    <col min="769" max="769" width="1.77734375" customWidth="1"/>
    <col min="770" max="770" width="13" customWidth="1"/>
    <col min="771" max="1010" width="8.77734375"/>
    <col min="1011" max="1011" width="6" customWidth="1"/>
    <col min="1012" max="1012" width="1.44140625" customWidth="1"/>
    <col min="1013" max="1013" width="39.109375" customWidth="1"/>
    <col min="1014" max="1014" width="12" customWidth="1"/>
    <col min="1015" max="1015" width="14.44140625" customWidth="1"/>
    <col min="1016" max="1016" width="11.77734375" customWidth="1"/>
    <col min="1017" max="1017" width="14.109375" customWidth="1"/>
    <col min="1018" max="1018" width="13.77734375" customWidth="1"/>
    <col min="1019" max="1020" width="12.77734375" customWidth="1"/>
    <col min="1021" max="1021" width="13.5546875" customWidth="1"/>
    <col min="1022" max="1022" width="15.21875" customWidth="1"/>
    <col min="1023" max="1023" width="12.77734375" customWidth="1"/>
    <col min="1024" max="1024" width="13.77734375" customWidth="1"/>
    <col min="1025" max="1025" width="1.77734375" customWidth="1"/>
    <col min="1026" max="1026" width="13" customWidth="1"/>
    <col min="1027" max="1266" width="8.77734375"/>
    <col min="1267" max="1267" width="6" customWidth="1"/>
    <col min="1268" max="1268" width="1.44140625" customWidth="1"/>
    <col min="1269" max="1269" width="39.109375" customWidth="1"/>
    <col min="1270" max="1270" width="12" customWidth="1"/>
    <col min="1271" max="1271" width="14.44140625" customWidth="1"/>
    <col min="1272" max="1272" width="11.77734375" customWidth="1"/>
    <col min="1273" max="1273" width="14.109375" customWidth="1"/>
    <col min="1274" max="1274" width="13.77734375" customWidth="1"/>
    <col min="1275" max="1276" width="12.77734375" customWidth="1"/>
    <col min="1277" max="1277" width="13.5546875" customWidth="1"/>
    <col min="1278" max="1278" width="15.21875" customWidth="1"/>
    <col min="1279" max="1279" width="12.77734375" customWidth="1"/>
    <col min="1280" max="1280" width="13.77734375" customWidth="1"/>
    <col min="1281" max="1281" width="1.77734375" customWidth="1"/>
    <col min="1282" max="1282" width="13" customWidth="1"/>
    <col min="1283" max="1522" width="8.77734375"/>
    <col min="1523" max="1523" width="6" customWidth="1"/>
    <col min="1524" max="1524" width="1.44140625" customWidth="1"/>
    <col min="1525" max="1525" width="39.109375" customWidth="1"/>
    <col min="1526" max="1526" width="12" customWidth="1"/>
    <col min="1527" max="1527" width="14.44140625" customWidth="1"/>
    <col min="1528" max="1528" width="11.77734375" customWidth="1"/>
    <col min="1529" max="1529" width="14.109375" customWidth="1"/>
    <col min="1530" max="1530" width="13.77734375" customWidth="1"/>
    <col min="1531" max="1532" width="12.77734375" customWidth="1"/>
    <col min="1533" max="1533" width="13.5546875" customWidth="1"/>
    <col min="1534" max="1534" width="15.21875" customWidth="1"/>
    <col min="1535" max="1535" width="12.77734375" customWidth="1"/>
    <col min="1536" max="1536" width="13.77734375" customWidth="1"/>
    <col min="1537" max="1537" width="1.77734375" customWidth="1"/>
    <col min="1538" max="1538" width="13" customWidth="1"/>
    <col min="1539" max="1778" width="8.77734375"/>
    <col min="1779" max="1779" width="6" customWidth="1"/>
    <col min="1780" max="1780" width="1.44140625" customWidth="1"/>
    <col min="1781" max="1781" width="39.109375" customWidth="1"/>
    <col min="1782" max="1782" width="12" customWidth="1"/>
    <col min="1783" max="1783" width="14.44140625" customWidth="1"/>
    <col min="1784" max="1784" width="11.77734375" customWidth="1"/>
    <col min="1785" max="1785" width="14.109375" customWidth="1"/>
    <col min="1786" max="1786" width="13.77734375" customWidth="1"/>
    <col min="1787" max="1788" width="12.77734375" customWidth="1"/>
    <col min="1789" max="1789" width="13.5546875" customWidth="1"/>
    <col min="1790" max="1790" width="15.21875" customWidth="1"/>
    <col min="1791" max="1791" width="12.77734375" customWidth="1"/>
    <col min="1792" max="1792" width="13.77734375" customWidth="1"/>
    <col min="1793" max="1793" width="1.77734375" customWidth="1"/>
    <col min="1794" max="1794" width="13" customWidth="1"/>
    <col min="1795" max="2034" width="8.77734375"/>
    <col min="2035" max="2035" width="6" customWidth="1"/>
    <col min="2036" max="2036" width="1.44140625" customWidth="1"/>
    <col min="2037" max="2037" width="39.109375" customWidth="1"/>
    <col min="2038" max="2038" width="12" customWidth="1"/>
    <col min="2039" max="2039" width="14.44140625" customWidth="1"/>
    <col min="2040" max="2040" width="11.77734375" customWidth="1"/>
    <col min="2041" max="2041" width="14.109375" customWidth="1"/>
    <col min="2042" max="2042" width="13.77734375" customWidth="1"/>
    <col min="2043" max="2044" width="12.77734375" customWidth="1"/>
    <col min="2045" max="2045" width="13.5546875" customWidth="1"/>
    <col min="2046" max="2046" width="15.21875" customWidth="1"/>
    <col min="2047" max="2047" width="12.77734375" customWidth="1"/>
    <col min="2048" max="2048" width="13.77734375" customWidth="1"/>
    <col min="2049" max="2049" width="1.77734375" customWidth="1"/>
    <col min="2050" max="2050" width="13" customWidth="1"/>
    <col min="2051" max="2290" width="8.77734375"/>
    <col min="2291" max="2291" width="6" customWidth="1"/>
    <col min="2292" max="2292" width="1.44140625" customWidth="1"/>
    <col min="2293" max="2293" width="39.109375" customWidth="1"/>
    <col min="2294" max="2294" width="12" customWidth="1"/>
    <col min="2295" max="2295" width="14.44140625" customWidth="1"/>
    <col min="2296" max="2296" width="11.77734375" customWidth="1"/>
    <col min="2297" max="2297" width="14.109375" customWidth="1"/>
    <col min="2298" max="2298" width="13.77734375" customWidth="1"/>
    <col min="2299" max="2300" width="12.77734375" customWidth="1"/>
    <col min="2301" max="2301" width="13.5546875" customWidth="1"/>
    <col min="2302" max="2302" width="15.21875" customWidth="1"/>
    <col min="2303" max="2303" width="12.77734375" customWidth="1"/>
    <col min="2304" max="2304" width="13.77734375" customWidth="1"/>
    <col min="2305" max="2305" width="1.77734375" customWidth="1"/>
    <col min="2306" max="2306" width="13" customWidth="1"/>
    <col min="2307" max="2546" width="8.77734375"/>
    <col min="2547" max="2547" width="6" customWidth="1"/>
    <col min="2548" max="2548" width="1.44140625" customWidth="1"/>
    <col min="2549" max="2549" width="39.109375" customWidth="1"/>
    <col min="2550" max="2550" width="12" customWidth="1"/>
    <col min="2551" max="2551" width="14.44140625" customWidth="1"/>
    <col min="2552" max="2552" width="11.77734375" customWidth="1"/>
    <col min="2553" max="2553" width="14.109375" customWidth="1"/>
    <col min="2554" max="2554" width="13.77734375" customWidth="1"/>
    <col min="2555" max="2556" width="12.77734375" customWidth="1"/>
    <col min="2557" max="2557" width="13.5546875" customWidth="1"/>
    <col min="2558" max="2558" width="15.21875" customWidth="1"/>
    <col min="2559" max="2559" width="12.77734375" customWidth="1"/>
    <col min="2560" max="2560" width="13.77734375" customWidth="1"/>
    <col min="2561" max="2561" width="1.77734375" customWidth="1"/>
    <col min="2562" max="2562" width="13" customWidth="1"/>
    <col min="2563" max="2802" width="8.77734375"/>
    <col min="2803" max="2803" width="6" customWidth="1"/>
    <col min="2804" max="2804" width="1.44140625" customWidth="1"/>
    <col min="2805" max="2805" width="39.109375" customWidth="1"/>
    <col min="2806" max="2806" width="12" customWidth="1"/>
    <col min="2807" max="2807" width="14.44140625" customWidth="1"/>
    <col min="2808" max="2808" width="11.77734375" customWidth="1"/>
    <col min="2809" max="2809" width="14.109375" customWidth="1"/>
    <col min="2810" max="2810" width="13.77734375" customWidth="1"/>
    <col min="2811" max="2812" width="12.77734375" customWidth="1"/>
    <col min="2813" max="2813" width="13.5546875" customWidth="1"/>
    <col min="2814" max="2814" width="15.21875" customWidth="1"/>
    <col min="2815" max="2815" width="12.77734375" customWidth="1"/>
    <col min="2816" max="2816" width="13.77734375" customWidth="1"/>
    <col min="2817" max="2817" width="1.77734375" customWidth="1"/>
    <col min="2818" max="2818" width="13" customWidth="1"/>
    <col min="2819" max="3058" width="8.77734375"/>
    <col min="3059" max="3059" width="6" customWidth="1"/>
    <col min="3060" max="3060" width="1.44140625" customWidth="1"/>
    <col min="3061" max="3061" width="39.109375" customWidth="1"/>
    <col min="3062" max="3062" width="12" customWidth="1"/>
    <col min="3063" max="3063" width="14.44140625" customWidth="1"/>
    <col min="3064" max="3064" width="11.77734375" customWidth="1"/>
    <col min="3065" max="3065" width="14.109375" customWidth="1"/>
    <col min="3066" max="3066" width="13.77734375" customWidth="1"/>
    <col min="3067" max="3068" width="12.77734375" customWidth="1"/>
    <col min="3069" max="3069" width="13.5546875" customWidth="1"/>
    <col min="3070" max="3070" width="15.21875" customWidth="1"/>
    <col min="3071" max="3071" width="12.77734375" customWidth="1"/>
    <col min="3072" max="3072" width="13.77734375" customWidth="1"/>
    <col min="3073" max="3073" width="1.77734375" customWidth="1"/>
    <col min="3074" max="3074" width="13" customWidth="1"/>
    <col min="3075" max="3314" width="8.77734375"/>
    <col min="3315" max="3315" width="6" customWidth="1"/>
    <col min="3316" max="3316" width="1.44140625" customWidth="1"/>
    <col min="3317" max="3317" width="39.109375" customWidth="1"/>
    <col min="3318" max="3318" width="12" customWidth="1"/>
    <col min="3319" max="3319" width="14.44140625" customWidth="1"/>
    <col min="3320" max="3320" width="11.77734375" customWidth="1"/>
    <col min="3321" max="3321" width="14.109375" customWidth="1"/>
    <col min="3322" max="3322" width="13.77734375" customWidth="1"/>
    <col min="3323" max="3324" width="12.77734375" customWidth="1"/>
    <col min="3325" max="3325" width="13.5546875" customWidth="1"/>
    <col min="3326" max="3326" width="15.21875" customWidth="1"/>
    <col min="3327" max="3327" width="12.77734375" customWidth="1"/>
    <col min="3328" max="3328" width="13.77734375" customWidth="1"/>
    <col min="3329" max="3329" width="1.77734375" customWidth="1"/>
    <col min="3330" max="3330" width="13" customWidth="1"/>
    <col min="3331" max="3570" width="8.77734375"/>
    <col min="3571" max="3571" width="6" customWidth="1"/>
    <col min="3572" max="3572" width="1.44140625" customWidth="1"/>
    <col min="3573" max="3573" width="39.109375" customWidth="1"/>
    <col min="3574" max="3574" width="12" customWidth="1"/>
    <col min="3575" max="3575" width="14.44140625" customWidth="1"/>
    <col min="3576" max="3576" width="11.77734375" customWidth="1"/>
    <col min="3577" max="3577" width="14.109375" customWidth="1"/>
    <col min="3578" max="3578" width="13.77734375" customWidth="1"/>
    <col min="3579" max="3580" width="12.77734375" customWidth="1"/>
    <col min="3581" max="3581" width="13.5546875" customWidth="1"/>
    <col min="3582" max="3582" width="15.21875" customWidth="1"/>
    <col min="3583" max="3583" width="12.77734375" customWidth="1"/>
    <col min="3584" max="3584" width="13.77734375" customWidth="1"/>
    <col min="3585" max="3585" width="1.77734375" customWidth="1"/>
    <col min="3586" max="3586" width="13" customWidth="1"/>
    <col min="3587" max="3826" width="8.77734375"/>
    <col min="3827" max="3827" width="6" customWidth="1"/>
    <col min="3828" max="3828" width="1.44140625" customWidth="1"/>
    <col min="3829" max="3829" width="39.109375" customWidth="1"/>
    <col min="3830" max="3830" width="12" customWidth="1"/>
    <col min="3831" max="3831" width="14.44140625" customWidth="1"/>
    <col min="3832" max="3832" width="11.77734375" customWidth="1"/>
    <col min="3833" max="3833" width="14.109375" customWidth="1"/>
    <col min="3834" max="3834" width="13.77734375" customWidth="1"/>
    <col min="3835" max="3836" width="12.77734375" customWidth="1"/>
    <col min="3837" max="3837" width="13.5546875" customWidth="1"/>
    <col min="3838" max="3838" width="15.21875" customWidth="1"/>
    <col min="3839" max="3839" width="12.77734375" customWidth="1"/>
    <col min="3840" max="3840" width="13.77734375" customWidth="1"/>
    <col min="3841" max="3841" width="1.77734375" customWidth="1"/>
    <col min="3842" max="3842" width="13" customWidth="1"/>
    <col min="3843" max="4082" width="8.77734375"/>
    <col min="4083" max="4083" width="6" customWidth="1"/>
    <col min="4084" max="4084" width="1.44140625" customWidth="1"/>
    <col min="4085" max="4085" width="39.109375" customWidth="1"/>
    <col min="4086" max="4086" width="12" customWidth="1"/>
    <col min="4087" max="4087" width="14.44140625" customWidth="1"/>
    <col min="4088" max="4088" width="11.77734375" customWidth="1"/>
    <col min="4089" max="4089" width="14.109375" customWidth="1"/>
    <col min="4090" max="4090" width="13.77734375" customWidth="1"/>
    <col min="4091" max="4092" width="12.77734375" customWidth="1"/>
    <col min="4093" max="4093" width="13.5546875" customWidth="1"/>
    <col min="4094" max="4094" width="15.21875" customWidth="1"/>
    <col min="4095" max="4095" width="12.77734375" customWidth="1"/>
    <col min="4096" max="4096" width="13.77734375" customWidth="1"/>
    <col min="4097" max="4097" width="1.77734375" customWidth="1"/>
    <col min="4098" max="4098" width="13" customWidth="1"/>
    <col min="4099" max="4338" width="8.77734375"/>
    <col min="4339" max="4339" width="6" customWidth="1"/>
    <col min="4340" max="4340" width="1.44140625" customWidth="1"/>
    <col min="4341" max="4341" width="39.109375" customWidth="1"/>
    <col min="4342" max="4342" width="12" customWidth="1"/>
    <col min="4343" max="4343" width="14.44140625" customWidth="1"/>
    <col min="4344" max="4344" width="11.77734375" customWidth="1"/>
    <col min="4345" max="4345" width="14.109375" customWidth="1"/>
    <col min="4346" max="4346" width="13.77734375" customWidth="1"/>
    <col min="4347" max="4348" width="12.77734375" customWidth="1"/>
    <col min="4349" max="4349" width="13.5546875" customWidth="1"/>
    <col min="4350" max="4350" width="15.21875" customWidth="1"/>
    <col min="4351" max="4351" width="12.77734375" customWidth="1"/>
    <col min="4352" max="4352" width="13.77734375" customWidth="1"/>
    <col min="4353" max="4353" width="1.77734375" customWidth="1"/>
    <col min="4354" max="4354" width="13" customWidth="1"/>
    <col min="4355" max="4594" width="8.77734375"/>
    <col min="4595" max="4595" width="6" customWidth="1"/>
    <col min="4596" max="4596" width="1.44140625" customWidth="1"/>
    <col min="4597" max="4597" width="39.109375" customWidth="1"/>
    <col min="4598" max="4598" width="12" customWidth="1"/>
    <col min="4599" max="4599" width="14.44140625" customWidth="1"/>
    <col min="4600" max="4600" width="11.77734375" customWidth="1"/>
    <col min="4601" max="4601" width="14.109375" customWidth="1"/>
    <col min="4602" max="4602" width="13.77734375" customWidth="1"/>
    <col min="4603" max="4604" width="12.77734375" customWidth="1"/>
    <col min="4605" max="4605" width="13.5546875" customWidth="1"/>
    <col min="4606" max="4606" width="15.21875" customWidth="1"/>
    <col min="4607" max="4607" width="12.77734375" customWidth="1"/>
    <col min="4608" max="4608" width="13.77734375" customWidth="1"/>
    <col min="4609" max="4609" width="1.77734375" customWidth="1"/>
    <col min="4610" max="4610" width="13" customWidth="1"/>
    <col min="4611" max="4850" width="8.77734375"/>
    <col min="4851" max="4851" width="6" customWidth="1"/>
    <col min="4852" max="4852" width="1.44140625" customWidth="1"/>
    <col min="4853" max="4853" width="39.109375" customWidth="1"/>
    <col min="4854" max="4854" width="12" customWidth="1"/>
    <col min="4855" max="4855" width="14.44140625" customWidth="1"/>
    <col min="4856" max="4856" width="11.77734375" customWidth="1"/>
    <col min="4857" max="4857" width="14.109375" customWidth="1"/>
    <col min="4858" max="4858" width="13.77734375" customWidth="1"/>
    <col min="4859" max="4860" width="12.77734375" customWidth="1"/>
    <col min="4861" max="4861" width="13.5546875" customWidth="1"/>
    <col min="4862" max="4862" width="15.21875" customWidth="1"/>
    <col min="4863" max="4863" width="12.77734375" customWidth="1"/>
    <col min="4864" max="4864" width="13.77734375" customWidth="1"/>
    <col min="4865" max="4865" width="1.77734375" customWidth="1"/>
    <col min="4866" max="4866" width="13" customWidth="1"/>
    <col min="4867" max="5106" width="8.77734375"/>
    <col min="5107" max="5107" width="6" customWidth="1"/>
    <col min="5108" max="5108" width="1.44140625" customWidth="1"/>
    <col min="5109" max="5109" width="39.109375" customWidth="1"/>
    <col min="5110" max="5110" width="12" customWidth="1"/>
    <col min="5111" max="5111" width="14.44140625" customWidth="1"/>
    <col min="5112" max="5112" width="11.77734375" customWidth="1"/>
    <col min="5113" max="5113" width="14.109375" customWidth="1"/>
    <col min="5114" max="5114" width="13.77734375" customWidth="1"/>
    <col min="5115" max="5116" width="12.77734375" customWidth="1"/>
    <col min="5117" max="5117" width="13.5546875" customWidth="1"/>
    <col min="5118" max="5118" width="15.21875" customWidth="1"/>
    <col min="5119" max="5119" width="12.77734375" customWidth="1"/>
    <col min="5120" max="5120" width="13.77734375" customWidth="1"/>
    <col min="5121" max="5121" width="1.77734375" customWidth="1"/>
    <col min="5122" max="5122" width="13" customWidth="1"/>
    <col min="5123" max="5362" width="8.77734375"/>
    <col min="5363" max="5363" width="6" customWidth="1"/>
    <col min="5364" max="5364" width="1.44140625" customWidth="1"/>
    <col min="5365" max="5365" width="39.109375" customWidth="1"/>
    <col min="5366" max="5366" width="12" customWidth="1"/>
    <col min="5367" max="5367" width="14.44140625" customWidth="1"/>
    <col min="5368" max="5368" width="11.77734375" customWidth="1"/>
    <col min="5369" max="5369" width="14.109375" customWidth="1"/>
    <col min="5370" max="5370" width="13.77734375" customWidth="1"/>
    <col min="5371" max="5372" width="12.77734375" customWidth="1"/>
    <col min="5373" max="5373" width="13.5546875" customWidth="1"/>
    <col min="5374" max="5374" width="15.21875" customWidth="1"/>
    <col min="5375" max="5375" width="12.77734375" customWidth="1"/>
    <col min="5376" max="5376" width="13.77734375" customWidth="1"/>
    <col min="5377" max="5377" width="1.77734375" customWidth="1"/>
    <col min="5378" max="5378" width="13" customWidth="1"/>
    <col min="5379" max="5618" width="8.77734375"/>
    <col min="5619" max="5619" width="6" customWidth="1"/>
    <col min="5620" max="5620" width="1.44140625" customWidth="1"/>
    <col min="5621" max="5621" width="39.109375" customWidth="1"/>
    <col min="5622" max="5622" width="12" customWidth="1"/>
    <col min="5623" max="5623" width="14.44140625" customWidth="1"/>
    <col min="5624" max="5624" width="11.77734375" customWidth="1"/>
    <col min="5625" max="5625" width="14.109375" customWidth="1"/>
    <col min="5626" max="5626" width="13.77734375" customWidth="1"/>
    <col min="5627" max="5628" width="12.77734375" customWidth="1"/>
    <col min="5629" max="5629" width="13.5546875" customWidth="1"/>
    <col min="5630" max="5630" width="15.21875" customWidth="1"/>
    <col min="5631" max="5631" width="12.77734375" customWidth="1"/>
    <col min="5632" max="5632" width="13.77734375" customWidth="1"/>
    <col min="5633" max="5633" width="1.77734375" customWidth="1"/>
    <col min="5634" max="5634" width="13" customWidth="1"/>
    <col min="5635" max="5874" width="8.77734375"/>
    <col min="5875" max="5875" width="6" customWidth="1"/>
    <col min="5876" max="5876" width="1.44140625" customWidth="1"/>
    <col min="5877" max="5877" width="39.109375" customWidth="1"/>
    <col min="5878" max="5878" width="12" customWidth="1"/>
    <col min="5879" max="5879" width="14.44140625" customWidth="1"/>
    <col min="5880" max="5880" width="11.77734375" customWidth="1"/>
    <col min="5881" max="5881" width="14.109375" customWidth="1"/>
    <col min="5882" max="5882" width="13.77734375" customWidth="1"/>
    <col min="5883" max="5884" width="12.77734375" customWidth="1"/>
    <col min="5885" max="5885" width="13.5546875" customWidth="1"/>
    <col min="5886" max="5886" width="15.21875" customWidth="1"/>
    <col min="5887" max="5887" width="12.77734375" customWidth="1"/>
    <col min="5888" max="5888" width="13.77734375" customWidth="1"/>
    <col min="5889" max="5889" width="1.77734375" customWidth="1"/>
    <col min="5890" max="5890" width="13" customWidth="1"/>
    <col min="5891" max="6130" width="8.77734375"/>
    <col min="6131" max="6131" width="6" customWidth="1"/>
    <col min="6132" max="6132" width="1.44140625" customWidth="1"/>
    <col min="6133" max="6133" width="39.109375" customWidth="1"/>
    <col min="6134" max="6134" width="12" customWidth="1"/>
    <col min="6135" max="6135" width="14.44140625" customWidth="1"/>
    <col min="6136" max="6136" width="11.77734375" customWidth="1"/>
    <col min="6137" max="6137" width="14.109375" customWidth="1"/>
    <col min="6138" max="6138" width="13.77734375" customWidth="1"/>
    <col min="6139" max="6140" width="12.77734375" customWidth="1"/>
    <col min="6141" max="6141" width="13.5546875" customWidth="1"/>
    <col min="6142" max="6142" width="15.21875" customWidth="1"/>
    <col min="6143" max="6143" width="12.77734375" customWidth="1"/>
    <col min="6144" max="6144" width="13.77734375" customWidth="1"/>
    <col min="6145" max="6145" width="1.77734375" customWidth="1"/>
    <col min="6146" max="6146" width="13" customWidth="1"/>
    <col min="6147" max="6386" width="8.77734375"/>
    <col min="6387" max="6387" width="6" customWidth="1"/>
    <col min="6388" max="6388" width="1.44140625" customWidth="1"/>
    <col min="6389" max="6389" width="39.109375" customWidth="1"/>
    <col min="6390" max="6390" width="12" customWidth="1"/>
    <col min="6391" max="6391" width="14.44140625" customWidth="1"/>
    <col min="6392" max="6392" width="11.77734375" customWidth="1"/>
    <col min="6393" max="6393" width="14.109375" customWidth="1"/>
    <col min="6394" max="6394" width="13.77734375" customWidth="1"/>
    <col min="6395" max="6396" width="12.77734375" customWidth="1"/>
    <col min="6397" max="6397" width="13.5546875" customWidth="1"/>
    <col min="6398" max="6398" width="15.21875" customWidth="1"/>
    <col min="6399" max="6399" width="12.77734375" customWidth="1"/>
    <col min="6400" max="6400" width="13.77734375" customWidth="1"/>
    <col min="6401" max="6401" width="1.77734375" customWidth="1"/>
    <col min="6402" max="6402" width="13" customWidth="1"/>
    <col min="6403" max="6642" width="8.77734375"/>
    <col min="6643" max="6643" width="6" customWidth="1"/>
    <col min="6644" max="6644" width="1.44140625" customWidth="1"/>
    <col min="6645" max="6645" width="39.109375" customWidth="1"/>
    <col min="6646" max="6646" width="12" customWidth="1"/>
    <col min="6647" max="6647" width="14.44140625" customWidth="1"/>
    <col min="6648" max="6648" width="11.77734375" customWidth="1"/>
    <col min="6649" max="6649" width="14.109375" customWidth="1"/>
    <col min="6650" max="6650" width="13.77734375" customWidth="1"/>
    <col min="6651" max="6652" width="12.77734375" customWidth="1"/>
    <col min="6653" max="6653" width="13.5546875" customWidth="1"/>
    <col min="6654" max="6654" width="15.21875" customWidth="1"/>
    <col min="6655" max="6655" width="12.77734375" customWidth="1"/>
    <col min="6656" max="6656" width="13.77734375" customWidth="1"/>
    <col min="6657" max="6657" width="1.77734375" customWidth="1"/>
    <col min="6658" max="6658" width="13" customWidth="1"/>
    <col min="6659" max="6898" width="8.77734375"/>
    <col min="6899" max="6899" width="6" customWidth="1"/>
    <col min="6900" max="6900" width="1.44140625" customWidth="1"/>
    <col min="6901" max="6901" width="39.109375" customWidth="1"/>
    <col min="6902" max="6902" width="12" customWidth="1"/>
    <col min="6903" max="6903" width="14.44140625" customWidth="1"/>
    <col min="6904" max="6904" width="11.77734375" customWidth="1"/>
    <col min="6905" max="6905" width="14.109375" customWidth="1"/>
    <col min="6906" max="6906" width="13.77734375" customWidth="1"/>
    <col min="6907" max="6908" width="12.77734375" customWidth="1"/>
    <col min="6909" max="6909" width="13.5546875" customWidth="1"/>
    <col min="6910" max="6910" width="15.21875" customWidth="1"/>
    <col min="6911" max="6911" width="12.77734375" customWidth="1"/>
    <col min="6912" max="6912" width="13.77734375" customWidth="1"/>
    <col min="6913" max="6913" width="1.77734375" customWidth="1"/>
    <col min="6914" max="6914" width="13" customWidth="1"/>
    <col min="6915" max="7154" width="8.77734375"/>
    <col min="7155" max="7155" width="6" customWidth="1"/>
    <col min="7156" max="7156" width="1.44140625" customWidth="1"/>
    <col min="7157" max="7157" width="39.109375" customWidth="1"/>
    <col min="7158" max="7158" width="12" customWidth="1"/>
    <col min="7159" max="7159" width="14.44140625" customWidth="1"/>
    <col min="7160" max="7160" width="11.77734375" customWidth="1"/>
    <col min="7161" max="7161" width="14.109375" customWidth="1"/>
    <col min="7162" max="7162" width="13.77734375" customWidth="1"/>
    <col min="7163" max="7164" width="12.77734375" customWidth="1"/>
    <col min="7165" max="7165" width="13.5546875" customWidth="1"/>
    <col min="7166" max="7166" width="15.21875" customWidth="1"/>
    <col min="7167" max="7167" width="12.77734375" customWidth="1"/>
    <col min="7168" max="7168" width="13.77734375" customWidth="1"/>
    <col min="7169" max="7169" width="1.77734375" customWidth="1"/>
    <col min="7170" max="7170" width="13" customWidth="1"/>
    <col min="7171" max="7410" width="8.77734375"/>
    <col min="7411" max="7411" width="6" customWidth="1"/>
    <col min="7412" max="7412" width="1.44140625" customWidth="1"/>
    <col min="7413" max="7413" width="39.109375" customWidth="1"/>
    <col min="7414" max="7414" width="12" customWidth="1"/>
    <col min="7415" max="7415" width="14.44140625" customWidth="1"/>
    <col min="7416" max="7416" width="11.77734375" customWidth="1"/>
    <col min="7417" max="7417" width="14.109375" customWidth="1"/>
    <col min="7418" max="7418" width="13.77734375" customWidth="1"/>
    <col min="7419" max="7420" width="12.77734375" customWidth="1"/>
    <col min="7421" max="7421" width="13.5546875" customWidth="1"/>
    <col min="7422" max="7422" width="15.21875" customWidth="1"/>
    <col min="7423" max="7423" width="12.77734375" customWidth="1"/>
    <col min="7424" max="7424" width="13.77734375" customWidth="1"/>
    <col min="7425" max="7425" width="1.77734375" customWidth="1"/>
    <col min="7426" max="7426" width="13" customWidth="1"/>
    <col min="7427" max="7666" width="8.77734375"/>
    <col min="7667" max="7667" width="6" customWidth="1"/>
    <col min="7668" max="7668" width="1.44140625" customWidth="1"/>
    <col min="7669" max="7669" width="39.109375" customWidth="1"/>
    <col min="7670" max="7670" width="12" customWidth="1"/>
    <col min="7671" max="7671" width="14.44140625" customWidth="1"/>
    <col min="7672" max="7672" width="11.77734375" customWidth="1"/>
    <col min="7673" max="7673" width="14.109375" customWidth="1"/>
    <col min="7674" max="7674" width="13.77734375" customWidth="1"/>
    <col min="7675" max="7676" width="12.77734375" customWidth="1"/>
    <col min="7677" max="7677" width="13.5546875" customWidth="1"/>
    <col min="7678" max="7678" width="15.21875" customWidth="1"/>
    <col min="7679" max="7679" width="12.77734375" customWidth="1"/>
    <col min="7680" max="7680" width="13.77734375" customWidth="1"/>
    <col min="7681" max="7681" width="1.77734375" customWidth="1"/>
    <col min="7682" max="7682" width="13" customWidth="1"/>
    <col min="7683" max="7922" width="8.77734375"/>
    <col min="7923" max="7923" width="6" customWidth="1"/>
    <col min="7924" max="7924" width="1.44140625" customWidth="1"/>
    <col min="7925" max="7925" width="39.109375" customWidth="1"/>
    <col min="7926" max="7926" width="12" customWidth="1"/>
    <col min="7927" max="7927" width="14.44140625" customWidth="1"/>
    <col min="7928" max="7928" width="11.77734375" customWidth="1"/>
    <col min="7929" max="7929" width="14.109375" customWidth="1"/>
    <col min="7930" max="7930" width="13.77734375" customWidth="1"/>
    <col min="7931" max="7932" width="12.77734375" customWidth="1"/>
    <col min="7933" max="7933" width="13.5546875" customWidth="1"/>
    <col min="7934" max="7934" width="15.21875" customWidth="1"/>
    <col min="7935" max="7935" width="12.77734375" customWidth="1"/>
    <col min="7936" max="7936" width="13.77734375" customWidth="1"/>
    <col min="7937" max="7937" width="1.77734375" customWidth="1"/>
    <col min="7938" max="7938" width="13" customWidth="1"/>
    <col min="7939" max="8178" width="8.77734375"/>
    <col min="8179" max="8179" width="6" customWidth="1"/>
    <col min="8180" max="8180" width="1.44140625" customWidth="1"/>
    <col min="8181" max="8181" width="39.109375" customWidth="1"/>
    <col min="8182" max="8182" width="12" customWidth="1"/>
    <col min="8183" max="8183" width="14.44140625" customWidth="1"/>
    <col min="8184" max="8184" width="11.77734375" customWidth="1"/>
    <col min="8185" max="8185" width="14.109375" customWidth="1"/>
    <col min="8186" max="8186" width="13.77734375" customWidth="1"/>
    <col min="8187" max="8188" width="12.77734375" customWidth="1"/>
    <col min="8189" max="8189" width="13.5546875" customWidth="1"/>
    <col min="8190" max="8190" width="15.21875" customWidth="1"/>
    <col min="8191" max="8191" width="12.77734375" customWidth="1"/>
    <col min="8192" max="8192" width="13.77734375" customWidth="1"/>
    <col min="8193" max="8193" width="1.77734375" customWidth="1"/>
    <col min="8194" max="8194" width="13" customWidth="1"/>
    <col min="8195" max="8434" width="8.77734375"/>
    <col min="8435" max="8435" width="6" customWidth="1"/>
    <col min="8436" max="8436" width="1.44140625" customWidth="1"/>
    <col min="8437" max="8437" width="39.109375" customWidth="1"/>
    <col min="8438" max="8438" width="12" customWidth="1"/>
    <col min="8439" max="8439" width="14.44140625" customWidth="1"/>
    <col min="8440" max="8440" width="11.77734375" customWidth="1"/>
    <col min="8441" max="8441" width="14.109375" customWidth="1"/>
    <col min="8442" max="8442" width="13.77734375" customWidth="1"/>
    <col min="8443" max="8444" width="12.77734375" customWidth="1"/>
    <col min="8445" max="8445" width="13.5546875" customWidth="1"/>
    <col min="8446" max="8446" width="15.21875" customWidth="1"/>
    <col min="8447" max="8447" width="12.77734375" customWidth="1"/>
    <col min="8448" max="8448" width="13.77734375" customWidth="1"/>
    <col min="8449" max="8449" width="1.77734375" customWidth="1"/>
    <col min="8450" max="8450" width="13" customWidth="1"/>
    <col min="8451" max="8690" width="8.77734375"/>
    <col min="8691" max="8691" width="6" customWidth="1"/>
    <col min="8692" max="8692" width="1.44140625" customWidth="1"/>
    <col min="8693" max="8693" width="39.109375" customWidth="1"/>
    <col min="8694" max="8694" width="12" customWidth="1"/>
    <col min="8695" max="8695" width="14.44140625" customWidth="1"/>
    <col min="8696" max="8696" width="11.77734375" customWidth="1"/>
    <col min="8697" max="8697" width="14.109375" customWidth="1"/>
    <col min="8698" max="8698" width="13.77734375" customWidth="1"/>
    <col min="8699" max="8700" width="12.77734375" customWidth="1"/>
    <col min="8701" max="8701" width="13.5546875" customWidth="1"/>
    <col min="8702" max="8702" width="15.21875" customWidth="1"/>
    <col min="8703" max="8703" width="12.77734375" customWidth="1"/>
    <col min="8704" max="8704" width="13.77734375" customWidth="1"/>
    <col min="8705" max="8705" width="1.77734375" customWidth="1"/>
    <col min="8706" max="8706" width="13" customWidth="1"/>
    <col min="8707" max="8946" width="8.77734375"/>
    <col min="8947" max="8947" width="6" customWidth="1"/>
    <col min="8948" max="8948" width="1.44140625" customWidth="1"/>
    <col min="8949" max="8949" width="39.109375" customWidth="1"/>
    <col min="8950" max="8950" width="12" customWidth="1"/>
    <col min="8951" max="8951" width="14.44140625" customWidth="1"/>
    <col min="8952" max="8952" width="11.77734375" customWidth="1"/>
    <col min="8953" max="8953" width="14.109375" customWidth="1"/>
    <col min="8954" max="8954" width="13.77734375" customWidth="1"/>
    <col min="8955" max="8956" width="12.77734375" customWidth="1"/>
    <col min="8957" max="8957" width="13.5546875" customWidth="1"/>
    <col min="8958" max="8958" width="15.21875" customWidth="1"/>
    <col min="8959" max="8959" width="12.77734375" customWidth="1"/>
    <col min="8960" max="8960" width="13.77734375" customWidth="1"/>
    <col min="8961" max="8961" width="1.77734375" customWidth="1"/>
    <col min="8962" max="8962" width="13" customWidth="1"/>
    <col min="8963" max="9202" width="8.77734375"/>
    <col min="9203" max="9203" width="6" customWidth="1"/>
    <col min="9204" max="9204" width="1.44140625" customWidth="1"/>
    <col min="9205" max="9205" width="39.109375" customWidth="1"/>
    <col min="9206" max="9206" width="12" customWidth="1"/>
    <col min="9207" max="9207" width="14.44140625" customWidth="1"/>
    <col min="9208" max="9208" width="11.77734375" customWidth="1"/>
    <col min="9209" max="9209" width="14.109375" customWidth="1"/>
    <col min="9210" max="9210" width="13.77734375" customWidth="1"/>
    <col min="9211" max="9212" width="12.77734375" customWidth="1"/>
    <col min="9213" max="9213" width="13.5546875" customWidth="1"/>
    <col min="9214" max="9214" width="15.21875" customWidth="1"/>
    <col min="9215" max="9215" width="12.77734375" customWidth="1"/>
    <col min="9216" max="9216" width="13.77734375" customWidth="1"/>
    <col min="9217" max="9217" width="1.77734375" customWidth="1"/>
    <col min="9218" max="9218" width="13" customWidth="1"/>
    <col min="9219" max="9458" width="8.77734375"/>
    <col min="9459" max="9459" width="6" customWidth="1"/>
    <col min="9460" max="9460" width="1.44140625" customWidth="1"/>
    <col min="9461" max="9461" width="39.109375" customWidth="1"/>
    <col min="9462" max="9462" width="12" customWidth="1"/>
    <col min="9463" max="9463" width="14.44140625" customWidth="1"/>
    <col min="9464" max="9464" width="11.77734375" customWidth="1"/>
    <col min="9465" max="9465" width="14.109375" customWidth="1"/>
    <col min="9466" max="9466" width="13.77734375" customWidth="1"/>
    <col min="9467" max="9468" width="12.77734375" customWidth="1"/>
    <col min="9469" max="9469" width="13.5546875" customWidth="1"/>
    <col min="9470" max="9470" width="15.21875" customWidth="1"/>
    <col min="9471" max="9471" width="12.77734375" customWidth="1"/>
    <col min="9472" max="9472" width="13.77734375" customWidth="1"/>
    <col min="9473" max="9473" width="1.77734375" customWidth="1"/>
    <col min="9474" max="9474" width="13" customWidth="1"/>
    <col min="9475" max="9714" width="8.77734375"/>
    <col min="9715" max="9715" width="6" customWidth="1"/>
    <col min="9716" max="9716" width="1.44140625" customWidth="1"/>
    <col min="9717" max="9717" width="39.109375" customWidth="1"/>
    <col min="9718" max="9718" width="12" customWidth="1"/>
    <col min="9719" max="9719" width="14.44140625" customWidth="1"/>
    <col min="9720" max="9720" width="11.77734375" customWidth="1"/>
    <col min="9721" max="9721" width="14.109375" customWidth="1"/>
    <col min="9722" max="9722" width="13.77734375" customWidth="1"/>
    <col min="9723" max="9724" width="12.77734375" customWidth="1"/>
    <col min="9725" max="9725" width="13.5546875" customWidth="1"/>
    <col min="9726" max="9726" width="15.21875" customWidth="1"/>
    <col min="9727" max="9727" width="12.77734375" customWidth="1"/>
    <col min="9728" max="9728" width="13.77734375" customWidth="1"/>
    <col min="9729" max="9729" width="1.77734375" customWidth="1"/>
    <col min="9730" max="9730" width="13" customWidth="1"/>
    <col min="9731" max="9970" width="8.77734375"/>
    <col min="9971" max="9971" width="6" customWidth="1"/>
    <col min="9972" max="9972" width="1.44140625" customWidth="1"/>
    <col min="9973" max="9973" width="39.109375" customWidth="1"/>
    <col min="9974" max="9974" width="12" customWidth="1"/>
    <col min="9975" max="9975" width="14.44140625" customWidth="1"/>
    <col min="9976" max="9976" width="11.77734375" customWidth="1"/>
    <col min="9977" max="9977" width="14.109375" customWidth="1"/>
    <col min="9978" max="9978" width="13.77734375" customWidth="1"/>
    <col min="9979" max="9980" width="12.77734375" customWidth="1"/>
    <col min="9981" max="9981" width="13.5546875" customWidth="1"/>
    <col min="9982" max="9982" width="15.21875" customWidth="1"/>
    <col min="9983" max="9983" width="12.77734375" customWidth="1"/>
    <col min="9984" max="9984" width="13.77734375" customWidth="1"/>
    <col min="9985" max="9985" width="1.77734375" customWidth="1"/>
    <col min="9986" max="9986" width="13" customWidth="1"/>
    <col min="9987" max="10226" width="8.77734375"/>
    <col min="10227" max="10227" width="6" customWidth="1"/>
    <col min="10228" max="10228" width="1.44140625" customWidth="1"/>
    <col min="10229" max="10229" width="39.109375" customWidth="1"/>
    <col min="10230" max="10230" width="12" customWidth="1"/>
    <col min="10231" max="10231" width="14.44140625" customWidth="1"/>
    <col min="10232" max="10232" width="11.77734375" customWidth="1"/>
    <col min="10233" max="10233" width="14.109375" customWidth="1"/>
    <col min="10234" max="10234" width="13.77734375" customWidth="1"/>
    <col min="10235" max="10236" width="12.77734375" customWidth="1"/>
    <col min="10237" max="10237" width="13.5546875" customWidth="1"/>
    <col min="10238" max="10238" width="15.21875" customWidth="1"/>
    <col min="10239" max="10239" width="12.77734375" customWidth="1"/>
    <col min="10240" max="10240" width="13.77734375" customWidth="1"/>
    <col min="10241" max="10241" width="1.77734375" customWidth="1"/>
    <col min="10242" max="10242" width="13" customWidth="1"/>
    <col min="10243" max="10482" width="8.77734375"/>
    <col min="10483" max="10483" width="6" customWidth="1"/>
    <col min="10484" max="10484" width="1.44140625" customWidth="1"/>
    <col min="10485" max="10485" width="39.109375" customWidth="1"/>
    <col min="10486" max="10486" width="12" customWidth="1"/>
    <col min="10487" max="10487" width="14.44140625" customWidth="1"/>
    <col min="10488" max="10488" width="11.77734375" customWidth="1"/>
    <col min="10489" max="10489" width="14.109375" customWidth="1"/>
    <col min="10490" max="10490" width="13.77734375" customWidth="1"/>
    <col min="10491" max="10492" width="12.77734375" customWidth="1"/>
    <col min="10493" max="10493" width="13.5546875" customWidth="1"/>
    <col min="10494" max="10494" width="15.21875" customWidth="1"/>
    <col min="10495" max="10495" width="12.77734375" customWidth="1"/>
    <col min="10496" max="10496" width="13.77734375" customWidth="1"/>
    <col min="10497" max="10497" width="1.77734375" customWidth="1"/>
    <col min="10498" max="10498" width="13" customWidth="1"/>
    <col min="10499" max="10738" width="8.77734375"/>
    <col min="10739" max="10739" width="6" customWidth="1"/>
    <col min="10740" max="10740" width="1.44140625" customWidth="1"/>
    <col min="10741" max="10741" width="39.109375" customWidth="1"/>
    <col min="10742" max="10742" width="12" customWidth="1"/>
    <col min="10743" max="10743" width="14.44140625" customWidth="1"/>
    <col min="10744" max="10744" width="11.77734375" customWidth="1"/>
    <col min="10745" max="10745" width="14.109375" customWidth="1"/>
    <col min="10746" max="10746" width="13.77734375" customWidth="1"/>
    <col min="10747" max="10748" width="12.77734375" customWidth="1"/>
    <col min="10749" max="10749" width="13.5546875" customWidth="1"/>
    <col min="10750" max="10750" width="15.21875" customWidth="1"/>
    <col min="10751" max="10751" width="12.77734375" customWidth="1"/>
    <col min="10752" max="10752" width="13.77734375" customWidth="1"/>
    <col min="10753" max="10753" width="1.77734375" customWidth="1"/>
    <col min="10754" max="10754" width="13" customWidth="1"/>
    <col min="10755" max="10994" width="8.77734375"/>
    <col min="10995" max="10995" width="6" customWidth="1"/>
    <col min="10996" max="10996" width="1.44140625" customWidth="1"/>
    <col min="10997" max="10997" width="39.109375" customWidth="1"/>
    <col min="10998" max="10998" width="12" customWidth="1"/>
    <col min="10999" max="10999" width="14.44140625" customWidth="1"/>
    <col min="11000" max="11000" width="11.77734375" customWidth="1"/>
    <col min="11001" max="11001" width="14.109375" customWidth="1"/>
    <col min="11002" max="11002" width="13.77734375" customWidth="1"/>
    <col min="11003" max="11004" width="12.77734375" customWidth="1"/>
    <col min="11005" max="11005" width="13.5546875" customWidth="1"/>
    <col min="11006" max="11006" width="15.21875" customWidth="1"/>
    <col min="11007" max="11007" width="12.77734375" customWidth="1"/>
    <col min="11008" max="11008" width="13.77734375" customWidth="1"/>
    <col min="11009" max="11009" width="1.77734375" customWidth="1"/>
    <col min="11010" max="11010" width="13" customWidth="1"/>
    <col min="11011" max="11250" width="8.77734375"/>
    <col min="11251" max="11251" width="6" customWidth="1"/>
    <col min="11252" max="11252" width="1.44140625" customWidth="1"/>
    <col min="11253" max="11253" width="39.109375" customWidth="1"/>
    <col min="11254" max="11254" width="12" customWidth="1"/>
    <col min="11255" max="11255" width="14.44140625" customWidth="1"/>
    <col min="11256" max="11256" width="11.77734375" customWidth="1"/>
    <col min="11257" max="11257" width="14.109375" customWidth="1"/>
    <col min="11258" max="11258" width="13.77734375" customWidth="1"/>
    <col min="11259" max="11260" width="12.77734375" customWidth="1"/>
    <col min="11261" max="11261" width="13.5546875" customWidth="1"/>
    <col min="11262" max="11262" width="15.21875" customWidth="1"/>
    <col min="11263" max="11263" width="12.77734375" customWidth="1"/>
    <col min="11264" max="11264" width="13.77734375" customWidth="1"/>
    <col min="11265" max="11265" width="1.77734375" customWidth="1"/>
    <col min="11266" max="11266" width="13" customWidth="1"/>
    <col min="11267" max="11506" width="8.77734375"/>
    <col min="11507" max="11507" width="6" customWidth="1"/>
    <col min="11508" max="11508" width="1.44140625" customWidth="1"/>
    <col min="11509" max="11509" width="39.109375" customWidth="1"/>
    <col min="11510" max="11510" width="12" customWidth="1"/>
    <col min="11511" max="11511" width="14.44140625" customWidth="1"/>
    <col min="11512" max="11512" width="11.77734375" customWidth="1"/>
    <col min="11513" max="11513" width="14.109375" customWidth="1"/>
    <col min="11514" max="11514" width="13.77734375" customWidth="1"/>
    <col min="11515" max="11516" width="12.77734375" customWidth="1"/>
    <col min="11517" max="11517" width="13.5546875" customWidth="1"/>
    <col min="11518" max="11518" width="15.21875" customWidth="1"/>
    <col min="11519" max="11519" width="12.77734375" customWidth="1"/>
    <col min="11520" max="11520" width="13.77734375" customWidth="1"/>
    <col min="11521" max="11521" width="1.77734375" customWidth="1"/>
    <col min="11522" max="11522" width="13" customWidth="1"/>
    <col min="11523" max="11762" width="8.77734375"/>
    <col min="11763" max="11763" width="6" customWidth="1"/>
    <col min="11764" max="11764" width="1.44140625" customWidth="1"/>
    <col min="11765" max="11765" width="39.109375" customWidth="1"/>
    <col min="11766" max="11766" width="12" customWidth="1"/>
    <col min="11767" max="11767" width="14.44140625" customWidth="1"/>
    <col min="11768" max="11768" width="11.77734375" customWidth="1"/>
    <col min="11769" max="11769" width="14.109375" customWidth="1"/>
    <col min="11770" max="11770" width="13.77734375" customWidth="1"/>
    <col min="11771" max="11772" width="12.77734375" customWidth="1"/>
    <col min="11773" max="11773" width="13.5546875" customWidth="1"/>
    <col min="11774" max="11774" width="15.21875" customWidth="1"/>
    <col min="11775" max="11775" width="12.77734375" customWidth="1"/>
    <col min="11776" max="11776" width="13.77734375" customWidth="1"/>
    <col min="11777" max="11777" width="1.77734375" customWidth="1"/>
    <col min="11778" max="11778" width="13" customWidth="1"/>
    <col min="11779" max="12018" width="8.77734375"/>
    <col min="12019" max="12019" width="6" customWidth="1"/>
    <col min="12020" max="12020" width="1.44140625" customWidth="1"/>
    <col min="12021" max="12021" width="39.109375" customWidth="1"/>
    <col min="12022" max="12022" width="12" customWidth="1"/>
    <col min="12023" max="12023" width="14.44140625" customWidth="1"/>
    <col min="12024" max="12024" width="11.77734375" customWidth="1"/>
    <col min="12025" max="12025" width="14.109375" customWidth="1"/>
    <col min="12026" max="12026" width="13.77734375" customWidth="1"/>
    <col min="12027" max="12028" width="12.77734375" customWidth="1"/>
    <col min="12029" max="12029" width="13.5546875" customWidth="1"/>
    <col min="12030" max="12030" width="15.21875" customWidth="1"/>
    <col min="12031" max="12031" width="12.77734375" customWidth="1"/>
    <col min="12032" max="12032" width="13.77734375" customWidth="1"/>
    <col min="12033" max="12033" width="1.77734375" customWidth="1"/>
    <col min="12034" max="12034" width="13" customWidth="1"/>
    <col min="12035" max="12274" width="8.77734375"/>
    <col min="12275" max="12275" width="6" customWidth="1"/>
    <col min="12276" max="12276" width="1.44140625" customWidth="1"/>
    <col min="12277" max="12277" width="39.109375" customWidth="1"/>
    <col min="12278" max="12278" width="12" customWidth="1"/>
    <col min="12279" max="12279" width="14.44140625" customWidth="1"/>
    <col min="12280" max="12280" width="11.77734375" customWidth="1"/>
    <col min="12281" max="12281" width="14.109375" customWidth="1"/>
    <col min="12282" max="12282" width="13.77734375" customWidth="1"/>
    <col min="12283" max="12284" width="12.77734375" customWidth="1"/>
    <col min="12285" max="12285" width="13.5546875" customWidth="1"/>
    <col min="12286" max="12286" width="15.21875" customWidth="1"/>
    <col min="12287" max="12287" width="12.77734375" customWidth="1"/>
    <col min="12288" max="12288" width="13.77734375" customWidth="1"/>
    <col min="12289" max="12289" width="1.77734375" customWidth="1"/>
    <col min="12290" max="12290" width="13" customWidth="1"/>
    <col min="12291" max="12530" width="8.77734375"/>
    <col min="12531" max="12531" width="6" customWidth="1"/>
    <col min="12532" max="12532" width="1.44140625" customWidth="1"/>
    <col min="12533" max="12533" width="39.109375" customWidth="1"/>
    <col min="12534" max="12534" width="12" customWidth="1"/>
    <col min="12535" max="12535" width="14.44140625" customWidth="1"/>
    <col min="12536" max="12536" width="11.77734375" customWidth="1"/>
    <col min="12537" max="12537" width="14.109375" customWidth="1"/>
    <col min="12538" max="12538" width="13.77734375" customWidth="1"/>
    <col min="12539" max="12540" width="12.77734375" customWidth="1"/>
    <col min="12541" max="12541" width="13.5546875" customWidth="1"/>
    <col min="12542" max="12542" width="15.21875" customWidth="1"/>
    <col min="12543" max="12543" width="12.77734375" customWidth="1"/>
    <col min="12544" max="12544" width="13.77734375" customWidth="1"/>
    <col min="12545" max="12545" width="1.77734375" customWidth="1"/>
    <col min="12546" max="12546" width="13" customWidth="1"/>
    <col min="12547" max="12786" width="8.77734375"/>
    <col min="12787" max="12787" width="6" customWidth="1"/>
    <col min="12788" max="12788" width="1.44140625" customWidth="1"/>
    <col min="12789" max="12789" width="39.109375" customWidth="1"/>
    <col min="12790" max="12790" width="12" customWidth="1"/>
    <col min="12791" max="12791" width="14.44140625" customWidth="1"/>
    <col min="12792" max="12792" width="11.77734375" customWidth="1"/>
    <col min="12793" max="12793" width="14.109375" customWidth="1"/>
    <col min="12794" max="12794" width="13.77734375" customWidth="1"/>
    <col min="12795" max="12796" width="12.77734375" customWidth="1"/>
    <col min="12797" max="12797" width="13.5546875" customWidth="1"/>
    <col min="12798" max="12798" width="15.21875" customWidth="1"/>
    <col min="12799" max="12799" width="12.77734375" customWidth="1"/>
    <col min="12800" max="12800" width="13.77734375" customWidth="1"/>
    <col min="12801" max="12801" width="1.77734375" customWidth="1"/>
    <col min="12802" max="12802" width="13" customWidth="1"/>
    <col min="12803" max="13042" width="8.77734375"/>
    <col min="13043" max="13043" width="6" customWidth="1"/>
    <col min="13044" max="13044" width="1.44140625" customWidth="1"/>
    <col min="13045" max="13045" width="39.109375" customWidth="1"/>
    <col min="13046" max="13046" width="12" customWidth="1"/>
    <col min="13047" max="13047" width="14.44140625" customWidth="1"/>
    <col min="13048" max="13048" width="11.77734375" customWidth="1"/>
    <col min="13049" max="13049" width="14.109375" customWidth="1"/>
    <col min="13050" max="13050" width="13.77734375" customWidth="1"/>
    <col min="13051" max="13052" width="12.77734375" customWidth="1"/>
    <col min="13053" max="13053" width="13.5546875" customWidth="1"/>
    <col min="13054" max="13054" width="15.21875" customWidth="1"/>
    <col min="13055" max="13055" width="12.77734375" customWidth="1"/>
    <col min="13056" max="13056" width="13.77734375" customWidth="1"/>
    <col min="13057" max="13057" width="1.77734375" customWidth="1"/>
    <col min="13058" max="13058" width="13" customWidth="1"/>
    <col min="13059" max="13298" width="8.77734375"/>
    <col min="13299" max="13299" width="6" customWidth="1"/>
    <col min="13300" max="13300" width="1.44140625" customWidth="1"/>
    <col min="13301" max="13301" width="39.109375" customWidth="1"/>
    <col min="13302" max="13302" width="12" customWidth="1"/>
    <col min="13303" max="13303" width="14.44140625" customWidth="1"/>
    <col min="13304" max="13304" width="11.77734375" customWidth="1"/>
    <col min="13305" max="13305" width="14.109375" customWidth="1"/>
    <col min="13306" max="13306" width="13.77734375" customWidth="1"/>
    <col min="13307" max="13308" width="12.77734375" customWidth="1"/>
    <col min="13309" max="13309" width="13.5546875" customWidth="1"/>
    <col min="13310" max="13310" width="15.21875" customWidth="1"/>
    <col min="13311" max="13311" width="12.77734375" customWidth="1"/>
    <col min="13312" max="13312" width="13.77734375" customWidth="1"/>
    <col min="13313" max="13313" width="1.77734375" customWidth="1"/>
    <col min="13314" max="13314" width="13" customWidth="1"/>
    <col min="13315" max="13554" width="8.77734375"/>
    <col min="13555" max="13555" width="6" customWidth="1"/>
    <col min="13556" max="13556" width="1.44140625" customWidth="1"/>
    <col min="13557" max="13557" width="39.109375" customWidth="1"/>
    <col min="13558" max="13558" width="12" customWidth="1"/>
    <col min="13559" max="13559" width="14.44140625" customWidth="1"/>
    <col min="13560" max="13560" width="11.77734375" customWidth="1"/>
    <col min="13561" max="13561" width="14.109375" customWidth="1"/>
    <col min="13562" max="13562" width="13.77734375" customWidth="1"/>
    <col min="13563" max="13564" width="12.77734375" customWidth="1"/>
    <col min="13565" max="13565" width="13.5546875" customWidth="1"/>
    <col min="13566" max="13566" width="15.21875" customWidth="1"/>
    <col min="13567" max="13567" width="12.77734375" customWidth="1"/>
    <col min="13568" max="13568" width="13.77734375" customWidth="1"/>
    <col min="13569" max="13569" width="1.77734375" customWidth="1"/>
    <col min="13570" max="13570" width="13" customWidth="1"/>
    <col min="13571" max="13810" width="8.77734375"/>
    <col min="13811" max="13811" width="6" customWidth="1"/>
    <col min="13812" max="13812" width="1.44140625" customWidth="1"/>
    <col min="13813" max="13813" width="39.109375" customWidth="1"/>
    <col min="13814" max="13814" width="12" customWidth="1"/>
    <col min="13815" max="13815" width="14.44140625" customWidth="1"/>
    <col min="13816" max="13816" width="11.77734375" customWidth="1"/>
    <col min="13817" max="13817" width="14.109375" customWidth="1"/>
    <col min="13818" max="13818" width="13.77734375" customWidth="1"/>
    <col min="13819" max="13820" width="12.77734375" customWidth="1"/>
    <col min="13821" max="13821" width="13.5546875" customWidth="1"/>
    <col min="13822" max="13822" width="15.21875" customWidth="1"/>
    <col min="13823" max="13823" width="12.77734375" customWidth="1"/>
    <col min="13824" max="13824" width="13.77734375" customWidth="1"/>
    <col min="13825" max="13825" width="1.77734375" customWidth="1"/>
    <col min="13826" max="13826" width="13" customWidth="1"/>
    <col min="13827" max="14066" width="8.77734375"/>
    <col min="14067" max="14067" width="6" customWidth="1"/>
    <col min="14068" max="14068" width="1.44140625" customWidth="1"/>
    <col min="14069" max="14069" width="39.109375" customWidth="1"/>
    <col min="14070" max="14070" width="12" customWidth="1"/>
    <col min="14071" max="14071" width="14.44140625" customWidth="1"/>
    <col min="14072" max="14072" width="11.77734375" customWidth="1"/>
    <col min="14073" max="14073" width="14.109375" customWidth="1"/>
    <col min="14074" max="14074" width="13.77734375" customWidth="1"/>
    <col min="14075" max="14076" width="12.77734375" customWidth="1"/>
    <col min="14077" max="14077" width="13.5546875" customWidth="1"/>
    <col min="14078" max="14078" width="15.21875" customWidth="1"/>
    <col min="14079" max="14079" width="12.77734375" customWidth="1"/>
    <col min="14080" max="14080" width="13.77734375" customWidth="1"/>
    <col min="14081" max="14081" width="1.77734375" customWidth="1"/>
    <col min="14082" max="14082" width="13" customWidth="1"/>
    <col min="14083" max="14322" width="8.77734375"/>
    <col min="14323" max="14323" width="6" customWidth="1"/>
    <col min="14324" max="14324" width="1.44140625" customWidth="1"/>
    <col min="14325" max="14325" width="39.109375" customWidth="1"/>
    <col min="14326" max="14326" width="12" customWidth="1"/>
    <col min="14327" max="14327" width="14.44140625" customWidth="1"/>
    <col min="14328" max="14328" width="11.77734375" customWidth="1"/>
    <col min="14329" max="14329" width="14.109375" customWidth="1"/>
    <col min="14330" max="14330" width="13.77734375" customWidth="1"/>
    <col min="14331" max="14332" width="12.77734375" customWidth="1"/>
    <col min="14333" max="14333" width="13.5546875" customWidth="1"/>
    <col min="14334" max="14334" width="15.21875" customWidth="1"/>
    <col min="14335" max="14335" width="12.77734375" customWidth="1"/>
    <col min="14336" max="14336" width="13.77734375" customWidth="1"/>
    <col min="14337" max="14337" width="1.77734375" customWidth="1"/>
    <col min="14338" max="14338" width="13" customWidth="1"/>
    <col min="14339" max="14578" width="8.77734375"/>
    <col min="14579" max="14579" width="6" customWidth="1"/>
    <col min="14580" max="14580" width="1.44140625" customWidth="1"/>
    <col min="14581" max="14581" width="39.109375" customWidth="1"/>
    <col min="14582" max="14582" width="12" customWidth="1"/>
    <col min="14583" max="14583" width="14.44140625" customWidth="1"/>
    <col min="14584" max="14584" width="11.77734375" customWidth="1"/>
    <col min="14585" max="14585" width="14.109375" customWidth="1"/>
    <col min="14586" max="14586" width="13.77734375" customWidth="1"/>
    <col min="14587" max="14588" width="12.77734375" customWidth="1"/>
    <col min="14589" max="14589" width="13.5546875" customWidth="1"/>
    <col min="14590" max="14590" width="15.21875" customWidth="1"/>
    <col min="14591" max="14591" width="12.77734375" customWidth="1"/>
    <col min="14592" max="14592" width="13.77734375" customWidth="1"/>
    <col min="14593" max="14593" width="1.77734375" customWidth="1"/>
    <col min="14594" max="14594" width="13" customWidth="1"/>
    <col min="14595" max="14834" width="8.77734375"/>
    <col min="14835" max="14835" width="6" customWidth="1"/>
    <col min="14836" max="14836" width="1.44140625" customWidth="1"/>
    <col min="14837" max="14837" width="39.109375" customWidth="1"/>
    <col min="14838" max="14838" width="12" customWidth="1"/>
    <col min="14839" max="14839" width="14.44140625" customWidth="1"/>
    <col min="14840" max="14840" width="11.77734375" customWidth="1"/>
    <col min="14841" max="14841" width="14.109375" customWidth="1"/>
    <col min="14842" max="14842" width="13.77734375" customWidth="1"/>
    <col min="14843" max="14844" width="12.77734375" customWidth="1"/>
    <col min="14845" max="14845" width="13.5546875" customWidth="1"/>
    <col min="14846" max="14846" width="15.21875" customWidth="1"/>
    <col min="14847" max="14847" width="12.77734375" customWidth="1"/>
    <col min="14848" max="14848" width="13.77734375" customWidth="1"/>
    <col min="14849" max="14849" width="1.77734375" customWidth="1"/>
    <col min="14850" max="14850" width="13" customWidth="1"/>
    <col min="14851" max="15090" width="8.77734375"/>
    <col min="15091" max="15091" width="6" customWidth="1"/>
    <col min="15092" max="15092" width="1.44140625" customWidth="1"/>
    <col min="15093" max="15093" width="39.109375" customWidth="1"/>
    <col min="15094" max="15094" width="12" customWidth="1"/>
    <col min="15095" max="15095" width="14.44140625" customWidth="1"/>
    <col min="15096" max="15096" width="11.77734375" customWidth="1"/>
    <col min="15097" max="15097" width="14.109375" customWidth="1"/>
    <col min="15098" max="15098" width="13.77734375" customWidth="1"/>
    <col min="15099" max="15100" width="12.77734375" customWidth="1"/>
    <col min="15101" max="15101" width="13.5546875" customWidth="1"/>
    <col min="15102" max="15102" width="15.21875" customWidth="1"/>
    <col min="15103" max="15103" width="12.77734375" customWidth="1"/>
    <col min="15104" max="15104" width="13.77734375" customWidth="1"/>
    <col min="15105" max="15105" width="1.77734375" customWidth="1"/>
    <col min="15106" max="15106" width="13" customWidth="1"/>
    <col min="15107" max="15346" width="8.77734375"/>
    <col min="15347" max="15347" width="6" customWidth="1"/>
    <col min="15348" max="15348" width="1.44140625" customWidth="1"/>
    <col min="15349" max="15349" width="39.109375" customWidth="1"/>
    <col min="15350" max="15350" width="12" customWidth="1"/>
    <col min="15351" max="15351" width="14.44140625" customWidth="1"/>
    <col min="15352" max="15352" width="11.77734375" customWidth="1"/>
    <col min="15353" max="15353" width="14.109375" customWidth="1"/>
    <col min="15354" max="15354" width="13.77734375" customWidth="1"/>
    <col min="15355" max="15356" width="12.77734375" customWidth="1"/>
    <col min="15357" max="15357" width="13.5546875" customWidth="1"/>
    <col min="15358" max="15358" width="15.21875" customWidth="1"/>
    <col min="15359" max="15359" width="12.77734375" customWidth="1"/>
    <col min="15360" max="15360" width="13.77734375" customWidth="1"/>
    <col min="15361" max="15361" width="1.77734375" customWidth="1"/>
    <col min="15362" max="15362" width="13" customWidth="1"/>
    <col min="15363" max="15602" width="8.77734375"/>
    <col min="15603" max="15603" width="6" customWidth="1"/>
    <col min="15604" max="15604" width="1.44140625" customWidth="1"/>
    <col min="15605" max="15605" width="39.109375" customWidth="1"/>
    <col min="15606" max="15606" width="12" customWidth="1"/>
    <col min="15607" max="15607" width="14.44140625" customWidth="1"/>
    <col min="15608" max="15608" width="11.77734375" customWidth="1"/>
    <col min="15609" max="15609" width="14.109375" customWidth="1"/>
    <col min="15610" max="15610" width="13.77734375" customWidth="1"/>
    <col min="15611" max="15612" width="12.77734375" customWidth="1"/>
    <col min="15613" max="15613" width="13.5546875" customWidth="1"/>
    <col min="15614" max="15614" width="15.21875" customWidth="1"/>
    <col min="15615" max="15615" width="12.77734375" customWidth="1"/>
    <col min="15616" max="15616" width="13.77734375" customWidth="1"/>
    <col min="15617" max="15617" width="1.77734375" customWidth="1"/>
    <col min="15618" max="15618" width="13" customWidth="1"/>
    <col min="15619" max="15858" width="8.77734375"/>
    <col min="15859" max="15859" width="6" customWidth="1"/>
    <col min="15860" max="15860" width="1.44140625" customWidth="1"/>
    <col min="15861" max="15861" width="39.109375" customWidth="1"/>
    <col min="15862" max="15862" width="12" customWidth="1"/>
    <col min="15863" max="15863" width="14.44140625" customWidth="1"/>
    <col min="15864" max="15864" width="11.77734375" customWidth="1"/>
    <col min="15865" max="15865" width="14.109375" customWidth="1"/>
    <col min="15866" max="15866" width="13.77734375" customWidth="1"/>
    <col min="15867" max="15868" width="12.77734375" customWidth="1"/>
    <col min="15869" max="15869" width="13.5546875" customWidth="1"/>
    <col min="15870" max="15870" width="15.21875" customWidth="1"/>
    <col min="15871" max="15871" width="12.77734375" customWidth="1"/>
    <col min="15872" max="15872" width="13.77734375" customWidth="1"/>
    <col min="15873" max="15873" width="1.77734375" customWidth="1"/>
    <col min="15874" max="15874" width="13" customWidth="1"/>
    <col min="15875" max="16114" width="8.77734375"/>
    <col min="16115" max="16115" width="6" customWidth="1"/>
    <col min="16116" max="16116" width="1.44140625" customWidth="1"/>
    <col min="16117" max="16117" width="39.109375" customWidth="1"/>
    <col min="16118" max="16118" width="12" customWidth="1"/>
    <col min="16119" max="16119" width="14.44140625" customWidth="1"/>
    <col min="16120" max="16120" width="11.77734375" customWidth="1"/>
    <col min="16121" max="16121" width="14.109375" customWidth="1"/>
    <col min="16122" max="16122" width="13.77734375" customWidth="1"/>
    <col min="16123" max="16124" width="12.77734375" customWidth="1"/>
    <col min="16125" max="16125" width="13.5546875" customWidth="1"/>
    <col min="16126" max="16126" width="15.21875" customWidth="1"/>
    <col min="16127" max="16127" width="12.77734375" customWidth="1"/>
    <col min="16128" max="16128" width="13.77734375" customWidth="1"/>
    <col min="16129" max="16129" width="1.77734375" customWidth="1"/>
    <col min="16130" max="16130" width="13" customWidth="1"/>
    <col min="16131" max="16370" width="8.77734375"/>
    <col min="16371" max="16384" width="8.77734375" customWidth="1"/>
  </cols>
  <sheetData>
    <row r="1" spans="1:14">
      <c r="I1" s="50" t="s">
        <v>299</v>
      </c>
    </row>
    <row r="2" spans="1:14">
      <c r="I2" s="50" t="s">
        <v>341</v>
      </c>
      <c r="M2" s="949"/>
      <c r="N2" s="949"/>
    </row>
    <row r="3" spans="1:14">
      <c r="I3" s="50" t="s">
        <v>193</v>
      </c>
    </row>
    <row r="4" spans="1:14">
      <c r="I4" s="61" t="str">
        <f>"For the 12 months ended: "&amp;TEXT(INPUT!B1,"mm/dd/yyyy")</f>
        <v>For the 12 months ended: 12/31/2020</v>
      </c>
    </row>
    <row r="5" spans="1:14">
      <c r="C5" s="24"/>
    </row>
    <row r="6" spans="1:14">
      <c r="A6" s="144" t="s">
        <v>257</v>
      </c>
      <c r="B6" s="174"/>
      <c r="C6" s="174"/>
      <c r="D6" s="144"/>
      <c r="E6" s="144"/>
      <c r="F6" s="144"/>
      <c r="G6" s="174"/>
      <c r="H6" s="144"/>
      <c r="I6" s="144"/>
      <c r="J6" s="1"/>
    </row>
    <row r="7" spans="1:14">
      <c r="A7" s="145" t="s">
        <v>300</v>
      </c>
      <c r="B7" s="174"/>
      <c r="C7" s="174"/>
      <c r="D7" s="146"/>
      <c r="E7" s="146"/>
      <c r="F7" s="146"/>
      <c r="G7" s="174"/>
      <c r="H7" s="146"/>
      <c r="I7" s="146"/>
      <c r="J7" s="1"/>
    </row>
    <row r="8" spans="1:14">
      <c r="A8" s="146"/>
      <c r="B8" s="174"/>
      <c r="C8" s="174"/>
      <c r="D8" s="146"/>
      <c r="E8" s="146"/>
      <c r="F8" s="146"/>
      <c r="G8" s="174"/>
      <c r="H8" s="146"/>
      <c r="I8" s="146"/>
      <c r="J8" s="1"/>
    </row>
    <row r="9" spans="1:14">
      <c r="A9" s="259" t="str">
        <f>DEO!A11</f>
        <v>DUKE ENERGY OHIO (DEO)</v>
      </c>
      <c r="B9" s="174"/>
      <c r="C9" s="174"/>
      <c r="D9" s="146"/>
      <c r="E9" s="146"/>
      <c r="F9" s="146"/>
      <c r="G9" s="174"/>
      <c r="H9" s="177"/>
      <c r="I9" s="146"/>
      <c r="J9" s="1"/>
    </row>
    <row r="10" spans="1:14">
      <c r="A10" s="226" t="s">
        <v>298</v>
      </c>
      <c r="B10" s="174"/>
      <c r="C10" s="174"/>
      <c r="D10" s="146"/>
      <c r="E10" s="146"/>
      <c r="F10" s="146"/>
      <c r="G10" s="174"/>
      <c r="H10" s="177"/>
      <c r="I10" s="146"/>
      <c r="J10" s="1"/>
    </row>
    <row r="11" spans="1:14">
      <c r="A11" s="251"/>
      <c r="B11" s="174"/>
      <c r="C11" s="146"/>
      <c r="D11" s="146"/>
      <c r="E11" s="146"/>
      <c r="F11" s="146"/>
      <c r="G11" s="177"/>
      <c r="H11" s="146"/>
      <c r="I11" s="146"/>
      <c r="J11" s="1"/>
    </row>
    <row r="12" spans="1:14">
      <c r="A12" s="146" t="s">
        <v>501</v>
      </c>
      <c r="B12" s="174"/>
      <c r="C12" s="174"/>
      <c r="D12" s="146"/>
      <c r="E12" s="146"/>
      <c r="F12" s="146"/>
      <c r="G12" s="177"/>
      <c r="H12" s="146"/>
      <c r="I12" s="146"/>
      <c r="J12" s="1"/>
    </row>
    <row r="13" spans="1:14">
      <c r="A13" s="86"/>
      <c r="C13" s="1"/>
      <c r="D13" s="1"/>
      <c r="E13" s="1"/>
      <c r="F13" s="1"/>
      <c r="G13" s="17"/>
    </row>
    <row r="14" spans="1:14">
      <c r="A14" s="86"/>
      <c r="C14" s="1"/>
      <c r="D14" s="1"/>
      <c r="E14" s="1"/>
      <c r="F14" s="1"/>
      <c r="G14" s="1"/>
    </row>
    <row r="15" spans="1:14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</row>
    <row r="16" spans="1:14" ht="15.75">
      <c r="C16" s="1"/>
      <c r="D16" s="1"/>
      <c r="I16" s="27"/>
    </row>
    <row r="17" spans="1:12">
      <c r="A17" s="26" t="s">
        <v>8</v>
      </c>
      <c r="C17" s="1"/>
      <c r="D17" s="1"/>
      <c r="E17" s="4" t="s">
        <v>299</v>
      </c>
      <c r="F17" s="4"/>
      <c r="G17" s="2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</row>
    <row r="19" spans="1:12" ht="15.75">
      <c r="A19" s="90"/>
      <c r="C19" s="1" t="s">
        <v>338</v>
      </c>
      <c r="D19" s="1"/>
      <c r="E19" s="2"/>
      <c r="F19" s="2"/>
      <c r="G19" s="2"/>
      <c r="I19" s="2"/>
    </row>
    <row r="20" spans="1:12">
      <c r="A20" s="91">
        <v>1</v>
      </c>
      <c r="C20" s="1" t="s">
        <v>214</v>
      </c>
      <c r="D20" s="1"/>
      <c r="E20" s="4" t="s">
        <v>657</v>
      </c>
      <c r="F20" s="4"/>
      <c r="G20" s="92">
        <f>DEO!J54</f>
        <v>1174534297</v>
      </c>
    </row>
    <row r="21" spans="1:12">
      <c r="A21" s="91">
        <v>2</v>
      </c>
      <c r="C21" s="1" t="s">
        <v>215</v>
      </c>
      <c r="D21" s="1"/>
      <c r="E21" s="4" t="s">
        <v>658</v>
      </c>
      <c r="F21" s="4"/>
      <c r="G21" s="92">
        <f>DEO!J70</f>
        <v>953301675</v>
      </c>
      <c r="I21" s="2"/>
    </row>
    <row r="22" spans="1:12">
      <c r="A22" s="91"/>
      <c r="E22" s="4"/>
      <c r="F22" s="4"/>
    </row>
    <row r="23" spans="1:12">
      <c r="A23" s="91"/>
      <c r="C23" s="1" t="s">
        <v>194</v>
      </c>
      <c r="D23" s="1"/>
      <c r="E23" s="4"/>
      <c r="F23" s="4"/>
      <c r="G23" s="2"/>
    </row>
    <row r="24" spans="1:12">
      <c r="A24" s="91">
        <v>3</v>
      </c>
      <c r="C24" s="1" t="s">
        <v>216</v>
      </c>
      <c r="D24" s="1"/>
      <c r="E24" s="4" t="s">
        <v>656</v>
      </c>
      <c r="F24" s="4"/>
      <c r="G24" s="92">
        <f>DEO!J127</f>
        <v>23582774</v>
      </c>
    </row>
    <row r="25" spans="1:12">
      <c r="A25" s="91">
        <v>4</v>
      </c>
      <c r="C25" s="1" t="s">
        <v>217</v>
      </c>
      <c r="D25" s="1"/>
      <c r="E25" s="4" t="s">
        <v>663</v>
      </c>
      <c r="F25" s="4"/>
      <c r="G25" s="93">
        <f>ROUND(IF(G24=0,0,G24/G20),4)</f>
        <v>2.01E-2</v>
      </c>
      <c r="I25" s="94">
        <f>G25</f>
        <v>2.01E-2</v>
      </c>
    </row>
    <row r="26" spans="1:12">
      <c r="A26" s="91"/>
      <c r="E26" s="4"/>
      <c r="F26" s="4"/>
    </row>
    <row r="27" spans="1:12" ht="30">
      <c r="A27" s="97"/>
      <c r="C27" s="403" t="s">
        <v>578</v>
      </c>
      <c r="D27" s="1"/>
      <c r="E27" s="67"/>
      <c r="F27" s="4"/>
    </row>
    <row r="28" spans="1:12">
      <c r="A28" s="97" t="s">
        <v>218</v>
      </c>
      <c r="C28" s="1" t="s">
        <v>579</v>
      </c>
      <c r="D28" s="1"/>
      <c r="E28" s="4" t="s">
        <v>544</v>
      </c>
      <c r="F28" s="4"/>
      <c r="G28" s="92">
        <f>DEO!J131+DEO!J132</f>
        <v>6129161</v>
      </c>
    </row>
    <row r="29" spans="1:12" ht="30">
      <c r="A29" s="404" t="s">
        <v>219</v>
      </c>
      <c r="C29" s="403" t="s">
        <v>580</v>
      </c>
      <c r="D29" s="1"/>
      <c r="E29" s="405" t="s">
        <v>660</v>
      </c>
      <c r="F29" s="405"/>
      <c r="G29" s="406">
        <f>ROUND(IF(G28=0,0,G28/G20),4)</f>
        <v>5.1999999999999998E-3</v>
      </c>
      <c r="H29" s="407"/>
      <c r="I29" s="408">
        <f>G29</f>
        <v>5.1999999999999998E-3</v>
      </c>
      <c r="K29" s="87"/>
      <c r="L29" s="84"/>
    </row>
    <row r="30" spans="1:12">
      <c r="A30" s="91"/>
      <c r="E30" s="4"/>
      <c r="F30" s="4"/>
    </row>
    <row r="31" spans="1:12">
      <c r="A31" s="97"/>
      <c r="C31" s="1" t="s">
        <v>197</v>
      </c>
      <c r="D31" s="1"/>
      <c r="E31" s="67"/>
      <c r="F31" s="67"/>
      <c r="G31" s="2"/>
    </row>
    <row r="32" spans="1:12">
      <c r="A32" s="97" t="s">
        <v>221</v>
      </c>
      <c r="C32" s="1" t="s">
        <v>199</v>
      </c>
      <c r="D32" s="1"/>
      <c r="E32" s="4" t="s">
        <v>655</v>
      </c>
      <c r="F32" s="4"/>
      <c r="G32" s="92">
        <f>DEO!J144</f>
        <v>46269737</v>
      </c>
    </row>
    <row r="33" spans="1:10">
      <c r="A33" s="97" t="s">
        <v>223</v>
      </c>
      <c r="C33" s="1" t="s">
        <v>220</v>
      </c>
      <c r="D33" s="1"/>
      <c r="E33" s="4" t="s">
        <v>661</v>
      </c>
      <c r="F33" s="4"/>
      <c r="G33" s="93">
        <f>ROUND(IF(G32=0,0,G32/G20),4)</f>
        <v>3.9399999999999998E-2</v>
      </c>
      <c r="I33" s="94">
        <f>G33</f>
        <v>3.9399999999999998E-2</v>
      </c>
    </row>
    <row r="34" spans="1:10">
      <c r="A34" s="97"/>
      <c r="C34" s="1"/>
      <c r="D34" s="1"/>
      <c r="E34" s="4"/>
      <c r="F34" s="4"/>
      <c r="G34" s="2"/>
      <c r="I34" s="2"/>
    </row>
    <row r="35" spans="1:10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6.4699999999999994E-2</v>
      </c>
    </row>
    <row r="36" spans="1:10">
      <c r="A36" s="229"/>
      <c r="C36" s="1"/>
      <c r="D36" s="1"/>
      <c r="E36" s="4"/>
      <c r="F36" s="4"/>
      <c r="G36" s="2"/>
      <c r="I36" s="2"/>
    </row>
    <row r="37" spans="1:10">
      <c r="A37" s="97"/>
      <c r="B37" s="102"/>
      <c r="C37" s="2" t="s">
        <v>201</v>
      </c>
      <c r="D37" s="2"/>
      <c r="E37" s="4"/>
      <c r="F37" s="4"/>
      <c r="G37" s="2"/>
    </row>
    <row r="38" spans="1:10">
      <c r="A38" s="97" t="s">
        <v>196</v>
      </c>
      <c r="B38" s="102"/>
      <c r="C38" s="2" t="s">
        <v>125</v>
      </c>
      <c r="D38" s="2"/>
      <c r="E38" s="4" t="s">
        <v>820</v>
      </c>
      <c r="F38" s="4"/>
      <c r="G38" s="92">
        <f>DEO!J159</f>
        <v>6840366</v>
      </c>
      <c r="I38" s="2"/>
    </row>
    <row r="39" spans="1:10">
      <c r="A39" s="97" t="s">
        <v>198</v>
      </c>
      <c r="B39" s="102"/>
      <c r="C39" s="2" t="s">
        <v>224</v>
      </c>
      <c r="D39" s="2"/>
      <c r="E39" s="4" t="s">
        <v>662</v>
      </c>
      <c r="F39" s="4"/>
      <c r="G39" s="93">
        <f>ROUND(IF(G38=0,0,G38/G21),4)</f>
        <v>7.1999999999999998E-3</v>
      </c>
      <c r="I39" s="94">
        <f>G39</f>
        <v>7.1999999999999998E-3</v>
      </c>
    </row>
    <row r="40" spans="1:10">
      <c r="A40" s="97"/>
      <c r="C40" s="2"/>
      <c r="D40" s="2"/>
      <c r="E40" s="4"/>
      <c r="F40" s="4"/>
      <c r="G40" s="2"/>
      <c r="I40" s="2"/>
    </row>
    <row r="41" spans="1:10">
      <c r="A41" s="97"/>
      <c r="C41" s="1" t="s">
        <v>59</v>
      </c>
      <c r="D41" s="1"/>
      <c r="E41" s="15"/>
      <c r="F41" s="15"/>
    </row>
    <row r="42" spans="1:10">
      <c r="A42" s="97" t="s">
        <v>200</v>
      </c>
      <c r="C42" s="1" t="s">
        <v>202</v>
      </c>
      <c r="D42" s="1"/>
      <c r="E42" s="4" t="s">
        <v>821</v>
      </c>
      <c r="F42" s="4"/>
      <c r="G42" s="92">
        <f>DEO!J161</f>
        <v>62749670</v>
      </c>
    </row>
    <row r="43" spans="1:10">
      <c r="A43" s="97" t="s">
        <v>263</v>
      </c>
      <c r="B43" s="102"/>
      <c r="C43" s="2" t="s">
        <v>225</v>
      </c>
      <c r="D43" s="2"/>
      <c r="E43" s="4" t="s">
        <v>659</v>
      </c>
      <c r="F43" s="4"/>
      <c r="G43" s="103">
        <f>ROUND(IF(G42=0,0,G42/G21),4)</f>
        <v>6.5799999999999997E-2</v>
      </c>
      <c r="I43" s="94">
        <f>G43</f>
        <v>6.5799999999999997E-2</v>
      </c>
    </row>
    <row r="44" spans="1:10">
      <c r="A44" s="97"/>
      <c r="C44" s="1"/>
      <c r="D44" s="1"/>
      <c r="E44" s="4"/>
      <c r="F44" s="4"/>
      <c r="G44" s="2"/>
      <c r="I44" s="2"/>
    </row>
    <row r="45" spans="1:10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7.2999999999999995E-2</v>
      </c>
    </row>
    <row r="47" spans="1:10">
      <c r="A47" s="106"/>
      <c r="C47" s="97"/>
      <c r="D47" s="97"/>
      <c r="E47" s="67"/>
      <c r="F47" s="67"/>
      <c r="G47" s="2"/>
      <c r="H47" s="9"/>
      <c r="I47" s="9"/>
      <c r="J47" s="93"/>
    </row>
    <row r="48" spans="1:10">
      <c r="A48" s="86"/>
      <c r="C48" s="9"/>
      <c r="D48" s="9"/>
      <c r="E48" s="9"/>
      <c r="F48" s="9"/>
      <c r="G48" s="2"/>
      <c r="H48" s="9"/>
      <c r="I48" s="9"/>
      <c r="J48" s="9"/>
    </row>
    <row r="49" spans="11:28">
      <c r="X49" s="50" t="s">
        <v>299</v>
      </c>
    </row>
    <row r="50" spans="11:28">
      <c r="X50" s="50" t="s">
        <v>341</v>
      </c>
    </row>
    <row r="51" spans="11:28">
      <c r="X51" s="107" t="s">
        <v>203</v>
      </c>
    </row>
    <row r="52" spans="11:28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  <c r="Y52" s="87"/>
      <c r="Z52" s="84"/>
      <c r="AA52" s="87"/>
      <c r="AB52" s="84"/>
    </row>
    <row r="53" spans="11:28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  <c r="Y53" s="87"/>
      <c r="Z53" s="84"/>
      <c r="AA53" s="87"/>
      <c r="AB53" s="84"/>
    </row>
    <row r="54" spans="11:28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  <c r="Y54" s="87"/>
      <c r="Z54" s="84"/>
      <c r="AA54" s="87"/>
      <c r="AB54" s="84"/>
    </row>
    <row r="55" spans="11:28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  <c r="Y55" s="87"/>
      <c r="Z55" s="84"/>
      <c r="AA55" s="87"/>
      <c r="AB55" s="84"/>
    </row>
    <row r="56" spans="11:28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  <c r="Y56" s="87"/>
      <c r="Z56" s="84"/>
      <c r="AA56" s="87"/>
      <c r="AB56" s="84"/>
    </row>
    <row r="57" spans="11:28">
      <c r="K57" s="70" t="str">
        <f>A9</f>
        <v>DUKE ENERGY OHIO (DEO)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  <c r="Y57" s="87"/>
      <c r="Z57" s="84"/>
      <c r="AA57" s="87"/>
      <c r="AB57" s="84"/>
    </row>
    <row r="58" spans="11:28">
      <c r="K58" s="70" t="str">
        <f>A10</f>
        <v>RTEP - Transmission Enhancement Charges</v>
      </c>
      <c r="L58" s="174"/>
      <c r="M58" s="174"/>
      <c r="N58" s="174"/>
      <c r="O58" s="70"/>
      <c r="P58" s="70"/>
      <c r="Q58" s="174"/>
      <c r="R58" s="70"/>
      <c r="S58" s="70"/>
      <c r="T58" s="70"/>
      <c r="U58" s="70"/>
      <c r="V58" s="70"/>
      <c r="W58" s="145"/>
      <c r="X58" s="145"/>
      <c r="Y58" s="87"/>
      <c r="Z58" s="84"/>
      <c r="AA58" s="87"/>
      <c r="AB58" s="84"/>
    </row>
    <row r="59" spans="11:28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  <c r="Y59" s="87"/>
      <c r="Z59" s="84"/>
      <c r="AA59" s="87"/>
      <c r="AB59" s="84"/>
    </row>
    <row r="60" spans="11:28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  <c r="Y60" s="87"/>
      <c r="Z60" s="84"/>
      <c r="AA60" s="87"/>
      <c r="AB60" s="84"/>
    </row>
    <row r="61" spans="11:28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  <c r="Y61" s="87"/>
      <c r="Z61" s="84"/>
      <c r="AA61" s="87"/>
      <c r="AB61" s="84"/>
    </row>
    <row r="62" spans="11:28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  <c r="Y62" s="87"/>
      <c r="Z62" s="84"/>
      <c r="AA62" s="87"/>
      <c r="AB62" s="84"/>
    </row>
    <row r="63" spans="11:28" ht="63">
      <c r="K63" s="109" t="s">
        <v>227</v>
      </c>
      <c r="L63" s="110"/>
      <c r="M63" s="110" t="s">
        <v>207</v>
      </c>
      <c r="N63" s="111" t="s">
        <v>339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  <c r="Y63" s="96"/>
      <c r="Z63" s="84"/>
      <c r="AA63" s="87"/>
      <c r="AB63" s="84"/>
    </row>
    <row r="64" spans="11:28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  <c r="Y64" s="87"/>
      <c r="Z64" s="84"/>
      <c r="AA64" s="87"/>
      <c r="AB64" s="84"/>
    </row>
    <row r="65" spans="11:31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  <c r="Y65" s="87"/>
      <c r="Z65" s="84"/>
      <c r="AA65" s="87"/>
      <c r="AB65" s="84"/>
    </row>
    <row r="66" spans="11:31">
      <c r="K66" s="649" t="s">
        <v>1</v>
      </c>
      <c r="L66" s="369"/>
      <c r="M66" s="370"/>
      <c r="N66" s="371"/>
      <c r="O66" s="372">
        <v>0</v>
      </c>
      <c r="P66" s="373">
        <f>$I$35</f>
        <v>6.4699999999999994E-2</v>
      </c>
      <c r="Q66" s="600">
        <f>ROUND(O66*P66,0)</f>
        <v>0</v>
      </c>
      <c r="R66" s="126">
        <v>0</v>
      </c>
      <c r="S66" s="94">
        <f>$I$45</f>
        <v>7.2999999999999995E-2</v>
      </c>
      <c r="T66" s="600">
        <f>ROUND(R66*S66,0)</f>
        <v>0</v>
      </c>
      <c r="U66" s="601">
        <v>0</v>
      </c>
      <c r="V66" s="600">
        <f>Q66+T66+U66</f>
        <v>0</v>
      </c>
      <c r="W66" s="128">
        <v>0</v>
      </c>
      <c r="X66" s="600">
        <f>V66+W66</f>
        <v>0</v>
      </c>
      <c r="Y66" s="129"/>
      <c r="Z66" s="129"/>
      <c r="AA66" s="129"/>
      <c r="AB66" s="129"/>
      <c r="AC66" s="129"/>
      <c r="AD66" s="129"/>
      <c r="AE66" s="129"/>
    </row>
    <row r="67" spans="11:31">
      <c r="K67" s="649" t="s">
        <v>244</v>
      </c>
      <c r="L67" s="369"/>
      <c r="M67" s="369"/>
      <c r="N67" s="369"/>
      <c r="O67" s="372">
        <v>0</v>
      </c>
      <c r="P67" s="373">
        <f>$I$35</f>
        <v>6.4699999999999994E-2</v>
      </c>
      <c r="Q67" s="600">
        <f t="shared" ref="Q67:Q68" si="0">ROUND(O67*P67,0)</f>
        <v>0</v>
      </c>
      <c r="R67" s="126">
        <v>0</v>
      </c>
      <c r="S67" s="94">
        <f>$I$45</f>
        <v>7.2999999999999995E-2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  <c r="Y67" s="129"/>
      <c r="Z67" s="129"/>
      <c r="AA67" s="129"/>
      <c r="AB67" s="129"/>
      <c r="AC67" s="129"/>
      <c r="AD67" s="129"/>
      <c r="AE67" s="129"/>
    </row>
    <row r="68" spans="11:31">
      <c r="K68" s="649" t="s">
        <v>247</v>
      </c>
      <c r="L68" s="369"/>
      <c r="M68" s="369"/>
      <c r="N68" s="369"/>
      <c r="O68" s="372">
        <v>0</v>
      </c>
      <c r="P68" s="373">
        <f>$I$35</f>
        <v>6.4699999999999994E-2</v>
      </c>
      <c r="Q68" s="600">
        <f t="shared" si="0"/>
        <v>0</v>
      </c>
      <c r="R68" s="126">
        <v>0</v>
      </c>
      <c r="S68" s="94">
        <f>$I$45</f>
        <v>7.2999999999999995E-2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  <c r="Y68" s="129"/>
      <c r="Z68" s="129"/>
      <c r="AA68" s="129"/>
      <c r="AB68" s="129"/>
      <c r="AC68" s="129"/>
      <c r="AD68" s="129"/>
      <c r="AE68" s="129"/>
    </row>
    <row r="69" spans="11:31">
      <c r="K69" s="125"/>
      <c r="Q69" s="127"/>
      <c r="T69" s="127"/>
      <c r="V69" s="127"/>
      <c r="X69" s="127"/>
      <c r="Y69" s="129"/>
      <c r="Z69" s="129"/>
      <c r="AA69" s="129"/>
      <c r="AB69" s="129"/>
      <c r="AC69" s="129"/>
      <c r="AD69" s="129"/>
      <c r="AE69" s="129"/>
    </row>
    <row r="70" spans="11:31">
      <c r="K70" s="125"/>
      <c r="Q70" s="127"/>
      <c r="T70" s="127"/>
      <c r="V70" s="127"/>
      <c r="X70" s="127"/>
      <c r="Y70" s="129"/>
      <c r="Z70" s="129"/>
      <c r="AA70" s="129"/>
      <c r="AB70" s="129"/>
      <c r="AC70" s="129"/>
      <c r="AD70" s="129"/>
      <c r="AE70" s="129"/>
    </row>
    <row r="71" spans="11:31">
      <c r="K71" s="125"/>
      <c r="Q71" s="127"/>
      <c r="T71" s="127"/>
      <c r="V71" s="127"/>
      <c r="X71" s="127"/>
      <c r="Y71" s="129"/>
      <c r="Z71" s="129"/>
      <c r="AA71" s="129"/>
      <c r="AB71" s="129"/>
      <c r="AC71" s="129"/>
      <c r="AD71" s="129"/>
      <c r="AE71" s="129"/>
    </row>
    <row r="72" spans="11:31">
      <c r="K72" s="125"/>
      <c r="Q72" s="127"/>
      <c r="T72" s="127"/>
      <c r="V72" s="127"/>
      <c r="X72" s="127"/>
      <c r="Y72" s="129"/>
      <c r="Z72" s="129"/>
      <c r="AA72" s="129"/>
      <c r="AB72" s="129"/>
      <c r="AC72" s="129"/>
      <c r="AD72" s="129"/>
      <c r="AE72" s="129"/>
    </row>
    <row r="73" spans="11:31">
      <c r="K73" s="125"/>
      <c r="Q73" s="127"/>
      <c r="T73" s="127"/>
      <c r="V73" s="127"/>
      <c r="X73" s="127"/>
      <c r="Y73" s="129"/>
      <c r="Z73" s="129"/>
      <c r="AA73" s="129"/>
      <c r="AB73" s="129"/>
      <c r="AC73" s="129"/>
      <c r="AD73" s="129"/>
      <c r="AE73" s="129"/>
    </row>
    <row r="74" spans="11:31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  <c r="Y74" s="129"/>
      <c r="Z74" s="129"/>
      <c r="AA74" s="129"/>
      <c r="AB74" s="129"/>
      <c r="AC74" s="129"/>
      <c r="AD74" s="129"/>
      <c r="AE74" s="129"/>
    </row>
    <row r="75" spans="11:31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  <c r="Y75" s="129"/>
      <c r="Z75" s="129"/>
      <c r="AA75" s="129"/>
      <c r="AB75" s="129"/>
      <c r="AC75" s="129"/>
      <c r="AD75" s="129"/>
      <c r="AE75" s="129"/>
    </row>
    <row r="76" spans="11:31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  <c r="Y76" s="129"/>
      <c r="Z76" s="129"/>
      <c r="AA76" s="129"/>
      <c r="AB76" s="129"/>
      <c r="AC76" s="129"/>
      <c r="AD76" s="129"/>
      <c r="AE76" s="129"/>
    </row>
    <row r="77" spans="11:31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  <c r="Y77" s="129"/>
      <c r="Z77" s="129"/>
      <c r="AA77" s="129"/>
      <c r="AB77" s="129"/>
      <c r="AC77" s="129"/>
      <c r="AD77" s="129"/>
      <c r="AE77" s="129"/>
    </row>
    <row r="78" spans="11:31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  <c r="Y78" s="129"/>
      <c r="Z78" s="129"/>
      <c r="AA78" s="129"/>
      <c r="AB78" s="129"/>
      <c r="AC78" s="129"/>
      <c r="AD78" s="129"/>
      <c r="AE78" s="129"/>
    </row>
    <row r="79" spans="11:31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  <c r="Y79" s="129"/>
      <c r="Z79" s="129"/>
      <c r="AA79" s="129"/>
      <c r="AB79" s="129"/>
      <c r="AC79" s="129"/>
      <c r="AD79" s="129"/>
      <c r="AE79" s="129"/>
    </row>
    <row r="80" spans="11:31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  <c r="Y80" s="129"/>
      <c r="Z80" s="129"/>
      <c r="AA80" s="129"/>
      <c r="AB80" s="129"/>
      <c r="AC80" s="129"/>
      <c r="AD80" s="129"/>
      <c r="AE80" s="129"/>
    </row>
    <row r="81" spans="11:31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  <c r="Y81" s="129"/>
      <c r="Z81" s="129"/>
      <c r="AA81" s="129"/>
      <c r="AB81" s="129"/>
      <c r="AC81" s="129"/>
      <c r="AD81" s="129"/>
      <c r="AE81" s="129"/>
    </row>
    <row r="82" spans="11:31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  <c r="Y82" s="129"/>
      <c r="Z82" s="129"/>
      <c r="AA82" s="129"/>
      <c r="AB82" s="129"/>
      <c r="AC82" s="129"/>
      <c r="AD82" s="129"/>
      <c r="AE82" s="129"/>
    </row>
    <row r="83" spans="11:31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  <c r="Y83" s="129"/>
      <c r="Z83" s="129"/>
      <c r="AA83" s="129"/>
      <c r="AB83" s="129"/>
      <c r="AC83" s="129"/>
      <c r="AD83" s="129"/>
      <c r="AE83" s="129"/>
    </row>
    <row r="84" spans="11:31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  <c r="Y84" s="129"/>
      <c r="Z84" s="129"/>
      <c r="AA84" s="129"/>
      <c r="AB84" s="129"/>
      <c r="AC84" s="129"/>
      <c r="AD84" s="129"/>
      <c r="AE84" s="129"/>
    </row>
    <row r="85" spans="11:31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  <c r="Y85" s="129"/>
      <c r="Z85" s="129"/>
      <c r="AA85" s="129"/>
      <c r="AB85" s="129"/>
      <c r="AC85" s="129"/>
      <c r="AD85" s="129"/>
      <c r="AE85" s="129"/>
    </row>
    <row r="86" spans="11:31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577">
        <f>SUM(V66:V85)</f>
        <v>0</v>
      </c>
      <c r="W86" s="577">
        <f>SUM(W66:W85)</f>
        <v>0</v>
      </c>
      <c r="X86" s="577">
        <f>SUM(X66:X85)</f>
        <v>0</v>
      </c>
      <c r="Y86" s="129"/>
      <c r="Z86" s="129"/>
      <c r="AA86" s="129"/>
      <c r="AB86" s="129"/>
      <c r="AC86" s="129"/>
      <c r="AD86" s="129"/>
      <c r="AE86" s="129"/>
    </row>
    <row r="87" spans="11:31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599"/>
      <c r="W87" s="599"/>
      <c r="X87" s="599"/>
      <c r="Y87" s="129"/>
      <c r="Z87" s="129"/>
      <c r="AA87" s="129"/>
      <c r="AB87" s="129"/>
      <c r="AC87" s="129"/>
      <c r="AD87" s="129"/>
      <c r="AE87" s="129"/>
    </row>
    <row r="88" spans="11:31">
      <c r="K88" s="135">
        <v>3</v>
      </c>
      <c r="L88" s="129"/>
      <c r="M88" s="9" t="s">
        <v>543</v>
      </c>
      <c r="N88" s="129"/>
      <c r="O88" s="129"/>
      <c r="P88" s="129"/>
      <c r="Q88" s="129"/>
      <c r="R88" s="129"/>
      <c r="S88" s="129"/>
      <c r="T88" s="129"/>
      <c r="U88" s="129"/>
      <c r="V88" s="577"/>
      <c r="W88" s="599"/>
      <c r="X88" s="577">
        <f>X86</f>
        <v>0</v>
      </c>
      <c r="Y88" s="129"/>
      <c r="Z88" s="129"/>
      <c r="AA88" s="129"/>
      <c r="AB88" s="129"/>
      <c r="AC88" s="129"/>
      <c r="AD88" s="129"/>
      <c r="AE88" s="129"/>
    </row>
    <row r="89" spans="11:31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</row>
    <row r="90" spans="11:31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</row>
    <row r="91" spans="11:31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</row>
    <row r="92" spans="11:31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</row>
    <row r="93" spans="11:31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129"/>
      <c r="Z93" s="129"/>
      <c r="AA93" s="129"/>
      <c r="AB93" s="129"/>
      <c r="AC93" s="129"/>
      <c r="AD93" s="129"/>
      <c r="AE93" s="129"/>
    </row>
    <row r="94" spans="11:31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129"/>
      <c r="Z94" s="129"/>
      <c r="AA94" s="129"/>
      <c r="AB94" s="129"/>
      <c r="AC94" s="129"/>
      <c r="AD94" s="129"/>
      <c r="AE94" s="129"/>
    </row>
    <row r="95" spans="11:31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  <c r="Y95" s="129"/>
      <c r="Z95" s="129"/>
      <c r="AA95" s="129"/>
      <c r="AB95" s="129"/>
      <c r="AC95" s="129"/>
      <c r="AD95" s="129"/>
      <c r="AE95" s="129"/>
    </row>
    <row r="96" spans="11:31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  <c r="Y96" s="129"/>
      <c r="Z96" s="129"/>
      <c r="AA96" s="129"/>
      <c r="AB96" s="129"/>
      <c r="AC96" s="129"/>
      <c r="AD96" s="129"/>
      <c r="AE96" s="129"/>
    </row>
    <row r="97" spans="1:31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129"/>
      <c r="Z97" s="129"/>
      <c r="AA97" s="129"/>
      <c r="AB97" s="129"/>
      <c r="AC97" s="129"/>
      <c r="AD97" s="129"/>
      <c r="AE97" s="129"/>
    </row>
    <row r="98" spans="1:31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129"/>
      <c r="Z98" s="129"/>
      <c r="AA98" s="129"/>
      <c r="AB98" s="129"/>
      <c r="AC98" s="129"/>
      <c r="AD98" s="129"/>
      <c r="AE98" s="129"/>
    </row>
    <row r="99" spans="1:31">
      <c r="K99" s="136" t="s">
        <v>102</v>
      </c>
      <c r="L99" s="66"/>
      <c r="M99" s="983" t="s">
        <v>542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129"/>
      <c r="Z99" s="129"/>
      <c r="AA99" s="129"/>
      <c r="AB99" s="129"/>
      <c r="AC99" s="129"/>
      <c r="AD99" s="129"/>
      <c r="AE99" s="129"/>
    </row>
    <row r="100" spans="1:31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  <c r="Y100" s="129"/>
      <c r="Z100" s="129"/>
      <c r="AA100" s="129"/>
      <c r="AB100" s="129"/>
      <c r="AC100" s="129"/>
      <c r="AD100" s="129"/>
      <c r="AE100" s="129"/>
    </row>
    <row r="101" spans="1:31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  <c r="Y101" s="129"/>
      <c r="Z101" s="129"/>
      <c r="AA101" s="129"/>
      <c r="AB101" s="129"/>
      <c r="AC101" s="129"/>
      <c r="AD101" s="129"/>
      <c r="AE101" s="129"/>
    </row>
    <row r="102" spans="1:31" ht="15.75">
      <c r="A102" s="104"/>
      <c r="B102" s="138"/>
      <c r="C102" s="139"/>
      <c r="D102" s="97"/>
      <c r="E102" s="67"/>
      <c r="F102" s="67"/>
      <c r="G102" s="2"/>
      <c r="H102" s="9"/>
      <c r="I102" s="9"/>
      <c r="J102" s="93"/>
    </row>
    <row r="103" spans="1:31">
      <c r="C103" s="129"/>
      <c r="D103" s="129"/>
      <c r="E103" s="129"/>
      <c r="F103" s="129"/>
      <c r="G103" s="129"/>
      <c r="H103" s="129"/>
      <c r="I103" s="129"/>
      <c r="J103" s="129"/>
    </row>
    <row r="104" spans="1:31">
      <c r="C104" s="129"/>
      <c r="D104" s="129"/>
      <c r="E104" s="129"/>
      <c r="F104" s="129"/>
      <c r="G104" s="129"/>
      <c r="H104" s="129"/>
      <c r="I104" s="129"/>
      <c r="J104" s="129"/>
    </row>
    <row r="105" spans="1:31">
      <c r="C105" s="129"/>
      <c r="D105" s="129"/>
      <c r="E105" s="129"/>
      <c r="F105" s="129"/>
      <c r="G105" s="129"/>
      <c r="H105" s="129"/>
      <c r="I105" s="129"/>
      <c r="J105" s="129"/>
    </row>
    <row r="106" spans="1:31">
      <c r="C106" s="129"/>
      <c r="D106" s="129"/>
      <c r="E106" s="129"/>
      <c r="F106" s="129"/>
      <c r="G106" s="129"/>
      <c r="H106" s="129"/>
      <c r="I106" s="129"/>
      <c r="J106" s="129"/>
    </row>
    <row r="107" spans="1:31">
      <c r="C107" s="129"/>
      <c r="D107" s="129"/>
      <c r="E107" s="129"/>
      <c r="F107" s="129"/>
      <c r="G107" s="129"/>
      <c r="H107" s="129"/>
      <c r="I107" s="129"/>
      <c r="J107" s="129"/>
    </row>
    <row r="108" spans="1:31">
      <c r="C108" s="129"/>
      <c r="D108" s="129"/>
      <c r="E108" s="129"/>
      <c r="F108" s="129"/>
      <c r="G108" s="129"/>
      <c r="H108" s="129"/>
      <c r="I108" s="129"/>
      <c r="J108" s="129"/>
    </row>
    <row r="109" spans="1:31">
      <c r="C109" s="129"/>
      <c r="D109" s="129"/>
      <c r="E109" s="129"/>
      <c r="F109" s="129"/>
      <c r="G109" s="129"/>
      <c r="H109" s="129"/>
      <c r="I109" s="129"/>
      <c r="J109" s="129"/>
    </row>
    <row r="110" spans="1:31">
      <c r="C110" s="129"/>
      <c r="D110" s="129"/>
      <c r="E110" s="129"/>
      <c r="F110" s="129"/>
      <c r="G110" s="129"/>
      <c r="H110" s="129"/>
      <c r="I110" s="129"/>
      <c r="J110" s="129"/>
    </row>
    <row r="111" spans="1:31">
      <c r="C111" s="129"/>
      <c r="D111" s="129"/>
      <c r="E111" s="129"/>
      <c r="F111" s="129"/>
      <c r="G111" s="129"/>
      <c r="H111" s="129"/>
      <c r="I111" s="129"/>
      <c r="J111" s="129"/>
    </row>
    <row r="112" spans="1:31">
      <c r="C112" s="129"/>
      <c r="D112" s="129"/>
      <c r="E112" s="129"/>
      <c r="F112" s="129"/>
      <c r="G112" s="129"/>
      <c r="H112" s="129"/>
      <c r="I112" s="129"/>
      <c r="J112" s="129"/>
    </row>
    <row r="113" spans="3:10">
      <c r="C113" s="129"/>
      <c r="D113" s="129"/>
      <c r="E113" s="129"/>
      <c r="F113" s="129"/>
      <c r="G113" s="129"/>
      <c r="H113" s="129"/>
      <c r="I113" s="129"/>
      <c r="J113" s="129"/>
    </row>
    <row r="114" spans="3:10">
      <c r="C114" s="129"/>
      <c r="D114" s="129"/>
      <c r="E114" s="129"/>
      <c r="F114" s="129"/>
      <c r="G114" s="129"/>
      <c r="H114" s="129"/>
      <c r="I114" s="129"/>
      <c r="J114" s="129"/>
    </row>
    <row r="115" spans="3:10">
      <c r="C115" s="129"/>
      <c r="D115" s="129"/>
      <c r="E115" s="129"/>
      <c r="F115" s="129"/>
      <c r="G115" s="129"/>
      <c r="H115" s="129"/>
      <c r="I115" s="129"/>
      <c r="J115" s="129"/>
    </row>
    <row r="116" spans="3:10">
      <c r="C116" s="129"/>
      <c r="D116" s="129"/>
      <c r="E116" s="129"/>
      <c r="F116" s="129"/>
      <c r="G116" s="129"/>
      <c r="H116" s="129"/>
      <c r="I116" s="129"/>
      <c r="J116" s="129"/>
    </row>
    <row r="117" spans="3:10">
      <c r="C117" s="129"/>
      <c r="D117" s="129"/>
      <c r="E117" s="129"/>
      <c r="F117" s="129"/>
      <c r="G117" s="129"/>
      <c r="H117" s="129"/>
      <c r="I117" s="129"/>
      <c r="J117" s="129"/>
    </row>
    <row r="118" spans="3:10">
      <c r="C118" s="129"/>
      <c r="D118" s="129"/>
      <c r="E118" s="129"/>
      <c r="F118" s="129"/>
      <c r="G118" s="129"/>
      <c r="H118" s="129"/>
      <c r="I118" s="129"/>
      <c r="J118" s="129"/>
    </row>
    <row r="119" spans="3:10">
      <c r="C119" s="129"/>
      <c r="D119" s="129"/>
      <c r="E119" s="129"/>
      <c r="F119" s="129"/>
      <c r="G119" s="129"/>
      <c r="H119" s="129"/>
      <c r="I119" s="129"/>
      <c r="J119" s="129"/>
    </row>
    <row r="120" spans="3:10">
      <c r="C120" s="129"/>
      <c r="D120" s="129"/>
      <c r="E120" s="129"/>
      <c r="F120" s="129"/>
      <c r="G120" s="129"/>
      <c r="H120" s="129"/>
      <c r="I120" s="129"/>
      <c r="J120" s="129"/>
    </row>
    <row r="121" spans="3:10">
      <c r="C121" s="129"/>
      <c r="D121" s="129"/>
      <c r="E121" s="129"/>
      <c r="F121" s="129"/>
      <c r="G121" s="129"/>
      <c r="H121" s="129"/>
      <c r="I121" s="129"/>
      <c r="J121" s="129"/>
    </row>
    <row r="122" spans="3:10">
      <c r="C122" s="129"/>
      <c r="D122" s="129"/>
      <c r="E122" s="129"/>
      <c r="F122" s="129"/>
      <c r="G122" s="129"/>
      <c r="H122" s="129"/>
      <c r="I122" s="129"/>
      <c r="J122" s="129"/>
    </row>
    <row r="123" spans="3:10">
      <c r="C123" s="129"/>
      <c r="D123" s="129"/>
      <c r="E123" s="129"/>
      <c r="F123" s="129"/>
      <c r="G123" s="129"/>
      <c r="H123" s="129"/>
      <c r="I123" s="129"/>
      <c r="J123" s="129"/>
    </row>
    <row r="124" spans="3:10">
      <c r="C124" s="129"/>
      <c r="D124" s="129"/>
      <c r="E124" s="129"/>
      <c r="F124" s="129"/>
      <c r="G124" s="129"/>
      <c r="H124" s="129"/>
      <c r="I124" s="129"/>
      <c r="J124" s="129"/>
    </row>
    <row r="125" spans="3:10">
      <c r="C125" s="129"/>
      <c r="D125" s="129"/>
      <c r="E125" s="129"/>
      <c r="F125" s="129"/>
      <c r="G125" s="129"/>
      <c r="H125" s="129"/>
      <c r="I125" s="129"/>
      <c r="J125" s="129"/>
    </row>
    <row r="126" spans="3:10">
      <c r="C126" s="129"/>
      <c r="D126" s="129"/>
      <c r="E126" s="129"/>
      <c r="F126" s="129"/>
      <c r="G126" s="129"/>
      <c r="H126" s="129"/>
      <c r="I126" s="129"/>
      <c r="J126" s="129"/>
    </row>
    <row r="127" spans="3:10">
      <c r="C127" s="129"/>
      <c r="D127" s="129"/>
      <c r="E127" s="129"/>
      <c r="F127" s="129"/>
      <c r="G127" s="129"/>
      <c r="H127" s="129"/>
      <c r="I127" s="129"/>
      <c r="J127" s="129"/>
    </row>
    <row r="128" spans="3:10">
      <c r="C128" s="129"/>
      <c r="D128" s="129"/>
      <c r="E128" s="129"/>
      <c r="F128" s="129"/>
      <c r="G128" s="129"/>
      <c r="H128" s="129"/>
      <c r="I128" s="129"/>
      <c r="J128" s="129"/>
    </row>
    <row r="129" spans="3:10">
      <c r="C129" s="129"/>
      <c r="D129" s="129"/>
      <c r="E129" s="129"/>
      <c r="F129" s="129"/>
      <c r="G129" s="129"/>
      <c r="H129" s="129"/>
      <c r="I129" s="129"/>
      <c r="J129" s="129"/>
    </row>
    <row r="130" spans="3:10">
      <c r="C130" s="129"/>
      <c r="D130" s="129"/>
      <c r="E130" s="129"/>
      <c r="F130" s="129"/>
      <c r="G130" s="129"/>
      <c r="H130" s="129"/>
      <c r="I130" s="129"/>
      <c r="J130" s="129"/>
    </row>
    <row r="131" spans="3:10">
      <c r="C131" s="129"/>
      <c r="D131" s="129"/>
      <c r="E131" s="129"/>
      <c r="F131" s="129"/>
      <c r="G131" s="129"/>
      <c r="H131" s="129"/>
      <c r="I131" s="129"/>
      <c r="J131" s="129"/>
    </row>
    <row r="132" spans="3:10">
      <c r="C132" s="129"/>
      <c r="D132" s="129"/>
      <c r="E132" s="129"/>
      <c r="F132" s="129"/>
      <c r="G132" s="129"/>
      <c r="H132" s="129"/>
      <c r="I132" s="129"/>
      <c r="J132" s="129"/>
    </row>
    <row r="133" spans="3:10">
      <c r="C133" s="129"/>
      <c r="D133" s="129"/>
      <c r="E133" s="129"/>
      <c r="F133" s="129"/>
      <c r="G133" s="129"/>
      <c r="H133" s="129"/>
      <c r="I133" s="129"/>
      <c r="J133" s="129"/>
    </row>
    <row r="134" spans="3:10">
      <c r="C134" s="129"/>
      <c r="D134" s="129"/>
      <c r="E134" s="129"/>
      <c r="F134" s="129"/>
      <c r="G134" s="129"/>
      <c r="H134" s="129"/>
      <c r="I134" s="129"/>
      <c r="J134" s="129"/>
    </row>
    <row r="135" spans="3:10">
      <c r="C135" s="129"/>
      <c r="D135" s="129"/>
      <c r="E135" s="129"/>
      <c r="F135" s="129"/>
      <c r="G135" s="129"/>
      <c r="H135" s="129"/>
      <c r="I135" s="129"/>
      <c r="J135" s="129"/>
    </row>
    <row r="136" spans="3:10">
      <c r="C136" s="129"/>
      <c r="D136" s="129"/>
      <c r="E136" s="129"/>
      <c r="F136" s="129"/>
      <c r="G136" s="129"/>
      <c r="H136" s="129"/>
      <c r="I136" s="129"/>
      <c r="J136" s="129"/>
    </row>
    <row r="137" spans="3:10">
      <c r="C137" s="129"/>
      <c r="D137" s="129"/>
      <c r="E137" s="129"/>
      <c r="F137" s="129"/>
      <c r="G137" s="129"/>
      <c r="H137" s="129"/>
      <c r="I137" s="129"/>
      <c r="J137" s="129"/>
    </row>
    <row r="138" spans="3:10">
      <c r="C138" s="129"/>
      <c r="D138" s="129"/>
      <c r="E138" s="129"/>
      <c r="F138" s="129"/>
      <c r="G138" s="129"/>
      <c r="H138" s="129"/>
      <c r="I138" s="129"/>
      <c r="J138" s="129"/>
    </row>
    <row r="139" spans="3:10">
      <c r="C139" s="129"/>
      <c r="D139" s="129"/>
      <c r="E139" s="129"/>
      <c r="F139" s="129"/>
      <c r="G139" s="129"/>
      <c r="H139" s="129"/>
      <c r="I139" s="129"/>
      <c r="J139" s="129"/>
    </row>
    <row r="140" spans="3:10">
      <c r="C140" s="129"/>
      <c r="D140" s="129"/>
      <c r="E140" s="129"/>
      <c r="F140" s="129"/>
      <c r="G140" s="129"/>
      <c r="H140" s="129"/>
      <c r="I140" s="129"/>
      <c r="J140" s="129"/>
    </row>
    <row r="141" spans="3:10">
      <c r="C141" s="129"/>
      <c r="D141" s="129"/>
      <c r="E141" s="129"/>
      <c r="F141" s="129"/>
      <c r="G141" s="129"/>
      <c r="H141" s="129"/>
      <c r="I141" s="129"/>
      <c r="J141" s="129"/>
    </row>
    <row r="142" spans="3:10">
      <c r="C142" s="129"/>
      <c r="D142" s="129"/>
      <c r="E142" s="129"/>
      <c r="F142" s="129"/>
      <c r="G142" s="129"/>
      <c r="H142" s="129"/>
      <c r="I142" s="129"/>
      <c r="J142" s="129"/>
    </row>
    <row r="143" spans="3:10">
      <c r="C143" s="129"/>
      <c r="D143" s="129"/>
      <c r="E143" s="129"/>
      <c r="F143" s="129"/>
      <c r="G143" s="129"/>
      <c r="H143" s="129"/>
      <c r="I143" s="129"/>
      <c r="J143" s="129"/>
    </row>
    <row r="144" spans="3:10">
      <c r="C144" s="129"/>
      <c r="D144" s="129"/>
      <c r="E144" s="129"/>
      <c r="F144" s="129"/>
      <c r="G144" s="129"/>
      <c r="H144" s="129"/>
      <c r="I144" s="129"/>
      <c r="J144" s="129"/>
    </row>
    <row r="145" spans="3:10">
      <c r="C145" s="129"/>
      <c r="D145" s="129"/>
      <c r="E145" s="129"/>
      <c r="F145" s="129"/>
      <c r="G145" s="129"/>
      <c r="H145" s="129"/>
      <c r="I145" s="129"/>
      <c r="J145" s="129"/>
    </row>
    <row r="146" spans="3:10">
      <c r="C146" s="129"/>
      <c r="D146" s="129"/>
      <c r="E146" s="129"/>
      <c r="F146" s="129"/>
      <c r="G146" s="129"/>
      <c r="H146" s="129"/>
      <c r="I146" s="129"/>
      <c r="J146" s="129"/>
    </row>
    <row r="147" spans="3:10">
      <c r="C147" s="129"/>
      <c r="D147" s="129"/>
      <c r="E147" s="129"/>
      <c r="F147" s="129"/>
      <c r="G147" s="129"/>
      <c r="H147" s="129"/>
      <c r="I147" s="129"/>
      <c r="J147" s="129"/>
    </row>
    <row r="148" spans="3:10">
      <c r="C148" s="129"/>
      <c r="D148" s="129"/>
      <c r="E148" s="129"/>
      <c r="F148" s="129"/>
      <c r="G148" s="129"/>
      <c r="H148" s="129"/>
      <c r="I148" s="129"/>
      <c r="J148" s="129"/>
    </row>
    <row r="149" spans="3:10">
      <c r="C149" s="129"/>
      <c r="D149" s="129"/>
      <c r="E149" s="129"/>
      <c r="F149" s="129"/>
      <c r="G149" s="129"/>
      <c r="H149" s="129"/>
      <c r="I149" s="129"/>
      <c r="J149" s="129"/>
    </row>
    <row r="150" spans="3:10">
      <c r="C150" s="129"/>
      <c r="D150" s="129"/>
      <c r="E150" s="129"/>
      <c r="F150" s="129"/>
      <c r="G150" s="129"/>
      <c r="H150" s="129"/>
      <c r="I150" s="129"/>
      <c r="J150" s="129"/>
    </row>
    <row r="151" spans="3:10">
      <c r="C151" s="129"/>
      <c r="D151" s="129"/>
      <c r="E151" s="129"/>
      <c r="F151" s="129"/>
      <c r="G151" s="129"/>
      <c r="H151" s="129"/>
      <c r="I151" s="129"/>
      <c r="J151" s="129"/>
    </row>
    <row r="152" spans="3:10">
      <c r="C152" s="129"/>
      <c r="D152" s="129"/>
      <c r="E152" s="129"/>
      <c r="F152" s="129"/>
      <c r="G152" s="129"/>
      <c r="H152" s="129"/>
      <c r="I152" s="129"/>
      <c r="J152" s="129"/>
    </row>
    <row r="153" spans="3:10">
      <c r="C153" s="129"/>
      <c r="D153" s="129"/>
      <c r="E153" s="129"/>
      <c r="F153" s="129"/>
      <c r="G153" s="129"/>
      <c r="H153" s="129"/>
      <c r="I153" s="129"/>
      <c r="J153" s="129"/>
    </row>
    <row r="154" spans="3:10">
      <c r="C154" s="129"/>
      <c r="D154" s="129"/>
      <c r="E154" s="129"/>
      <c r="F154" s="129"/>
      <c r="G154" s="129"/>
      <c r="H154" s="129"/>
      <c r="I154" s="129"/>
      <c r="J154" s="129"/>
    </row>
    <row r="155" spans="3:10">
      <c r="C155" s="129"/>
      <c r="D155" s="129"/>
      <c r="E155" s="129"/>
      <c r="F155" s="129"/>
      <c r="G155" s="129"/>
      <c r="H155" s="129"/>
      <c r="I155" s="129"/>
      <c r="J155" s="129"/>
    </row>
    <row r="156" spans="3:10">
      <c r="C156" s="129"/>
      <c r="D156" s="129"/>
      <c r="E156" s="129"/>
      <c r="F156" s="129"/>
      <c r="G156" s="129"/>
      <c r="H156" s="129"/>
      <c r="I156" s="129"/>
      <c r="J156" s="129"/>
    </row>
    <row r="157" spans="3:10">
      <c r="C157" s="129"/>
      <c r="D157" s="129"/>
      <c r="E157" s="129"/>
      <c r="F157" s="129"/>
      <c r="G157" s="129"/>
      <c r="H157" s="129"/>
      <c r="I157" s="129"/>
      <c r="J157" s="129"/>
    </row>
    <row r="158" spans="3:10">
      <c r="C158" s="129"/>
      <c r="D158" s="129"/>
      <c r="E158" s="129"/>
      <c r="F158" s="129"/>
      <c r="G158" s="129"/>
      <c r="H158" s="129"/>
      <c r="I158" s="129"/>
      <c r="J158" s="129"/>
    </row>
    <row r="159" spans="3:10">
      <c r="C159" s="129"/>
      <c r="D159" s="129"/>
      <c r="E159" s="129"/>
      <c r="F159" s="129"/>
      <c r="G159" s="129"/>
      <c r="H159" s="129"/>
      <c r="I159" s="129"/>
      <c r="J159" s="129"/>
    </row>
    <row r="160" spans="3:10">
      <c r="C160" s="129"/>
      <c r="D160" s="129"/>
      <c r="E160" s="129"/>
      <c r="F160" s="129"/>
      <c r="G160" s="129"/>
      <c r="H160" s="129"/>
      <c r="I160" s="129"/>
      <c r="J160" s="129"/>
    </row>
    <row r="161" spans="3:10">
      <c r="C161" s="129"/>
      <c r="D161" s="129"/>
      <c r="E161" s="129"/>
      <c r="F161" s="129"/>
      <c r="G161" s="129"/>
      <c r="H161" s="129"/>
      <c r="I161" s="129"/>
      <c r="J161" s="129"/>
    </row>
    <row r="162" spans="3:10">
      <c r="C162" s="129"/>
      <c r="D162" s="129"/>
      <c r="E162" s="129"/>
      <c r="F162" s="129"/>
      <c r="G162" s="129"/>
      <c r="H162" s="129"/>
      <c r="I162" s="129"/>
      <c r="J162" s="129"/>
    </row>
    <row r="163" spans="3:10">
      <c r="C163" s="129"/>
      <c r="D163" s="129"/>
      <c r="E163" s="129"/>
      <c r="F163" s="129"/>
      <c r="G163" s="129"/>
      <c r="H163" s="129"/>
      <c r="I163" s="129"/>
      <c r="J163" s="129"/>
    </row>
    <row r="164" spans="3:10">
      <c r="C164" s="129"/>
      <c r="D164" s="129"/>
      <c r="E164" s="129"/>
      <c r="F164" s="129"/>
      <c r="G164" s="129"/>
      <c r="H164" s="129"/>
      <c r="I164" s="129"/>
      <c r="J164" s="129"/>
    </row>
    <row r="165" spans="3:10">
      <c r="C165" s="129"/>
      <c r="D165" s="129"/>
      <c r="E165" s="129"/>
      <c r="F165" s="129"/>
      <c r="G165" s="129"/>
      <c r="H165" s="129"/>
      <c r="I165" s="129"/>
      <c r="J165" s="129"/>
    </row>
    <row r="166" spans="3:10">
      <c r="C166" s="129"/>
      <c r="D166" s="129"/>
      <c r="E166" s="129"/>
      <c r="F166" s="129"/>
      <c r="G166" s="129"/>
      <c r="H166" s="129"/>
      <c r="I166" s="129"/>
      <c r="J166" s="129"/>
    </row>
    <row r="167" spans="3:10">
      <c r="C167" s="129"/>
      <c r="D167" s="129"/>
      <c r="E167" s="129"/>
      <c r="F167" s="129"/>
      <c r="G167" s="129"/>
      <c r="H167" s="129"/>
      <c r="I167" s="129"/>
      <c r="J167" s="129"/>
    </row>
    <row r="168" spans="3:10">
      <c r="C168" s="129"/>
      <c r="D168" s="129"/>
      <c r="E168" s="129"/>
      <c r="F168" s="129"/>
      <c r="G168" s="129"/>
      <c r="H168" s="129"/>
      <c r="I168" s="129"/>
      <c r="J168" s="129"/>
    </row>
    <row r="169" spans="3:10">
      <c r="C169" s="129"/>
      <c r="D169" s="129"/>
      <c r="E169" s="129"/>
      <c r="F169" s="129"/>
      <c r="G169" s="129"/>
      <c r="H169" s="129"/>
      <c r="I169" s="129"/>
      <c r="J169" s="129"/>
    </row>
    <row r="170" spans="3:10">
      <c r="C170" s="129"/>
      <c r="D170" s="129"/>
      <c r="E170" s="129"/>
      <c r="F170" s="129"/>
      <c r="G170" s="129"/>
      <c r="H170" s="129"/>
      <c r="I170" s="129"/>
      <c r="J170" s="129"/>
    </row>
    <row r="171" spans="3:10">
      <c r="C171" s="129"/>
      <c r="D171" s="129"/>
      <c r="E171" s="129"/>
      <c r="F171" s="129"/>
      <c r="G171" s="129"/>
      <c r="H171" s="129"/>
      <c r="I171" s="129"/>
      <c r="J171" s="129"/>
    </row>
    <row r="172" spans="3:10">
      <c r="C172" s="129"/>
      <c r="D172" s="129"/>
      <c r="E172" s="129"/>
      <c r="F172" s="129"/>
      <c r="G172" s="129"/>
      <c r="H172" s="129"/>
      <c r="I172" s="129"/>
      <c r="J172" s="129"/>
    </row>
    <row r="173" spans="3:10">
      <c r="C173" s="129"/>
      <c r="D173" s="129"/>
      <c r="E173" s="129"/>
      <c r="F173" s="129"/>
      <c r="G173" s="129"/>
      <c r="H173" s="129"/>
      <c r="I173" s="129"/>
      <c r="J173" s="129"/>
    </row>
    <row r="174" spans="3:10">
      <c r="C174" s="129"/>
      <c r="D174" s="129"/>
      <c r="E174" s="129"/>
      <c r="F174" s="129"/>
      <c r="G174" s="129"/>
      <c r="H174" s="129"/>
      <c r="I174" s="129"/>
      <c r="J174" s="129"/>
    </row>
    <row r="175" spans="3:10">
      <c r="C175" s="129"/>
      <c r="D175" s="129"/>
      <c r="E175" s="129"/>
      <c r="F175" s="129"/>
      <c r="G175" s="129"/>
      <c r="H175" s="129"/>
      <c r="I175" s="129"/>
      <c r="J175" s="129"/>
    </row>
    <row r="176" spans="3:10">
      <c r="C176" s="129"/>
      <c r="D176" s="129"/>
      <c r="E176" s="129"/>
      <c r="F176" s="129"/>
      <c r="G176" s="129"/>
      <c r="H176" s="129"/>
      <c r="I176" s="129"/>
      <c r="J176" s="129"/>
    </row>
    <row r="177" spans="3:10">
      <c r="C177" s="129"/>
      <c r="D177" s="129"/>
      <c r="E177" s="129"/>
      <c r="F177" s="129"/>
      <c r="G177" s="129"/>
      <c r="H177" s="129"/>
      <c r="I177" s="129"/>
      <c r="J177" s="129"/>
    </row>
    <row r="178" spans="3:10">
      <c r="C178" s="129"/>
      <c r="D178" s="129"/>
      <c r="E178" s="129"/>
      <c r="F178" s="129"/>
      <c r="G178" s="129"/>
      <c r="H178" s="129"/>
      <c r="I178" s="129"/>
      <c r="J178" s="129"/>
    </row>
    <row r="179" spans="3:10">
      <c r="C179" s="129"/>
      <c r="D179" s="129"/>
      <c r="E179" s="129"/>
      <c r="F179" s="129"/>
      <c r="G179" s="129"/>
      <c r="H179" s="129"/>
      <c r="I179" s="129"/>
      <c r="J179" s="129"/>
    </row>
    <row r="180" spans="3:10">
      <c r="C180" s="129"/>
      <c r="D180" s="129"/>
      <c r="E180" s="129"/>
      <c r="F180" s="129"/>
      <c r="G180" s="129"/>
      <c r="H180" s="129"/>
      <c r="I180" s="129"/>
      <c r="J180" s="129"/>
    </row>
    <row r="181" spans="3:10">
      <c r="C181" s="129"/>
      <c r="D181" s="129"/>
      <c r="E181" s="129"/>
      <c r="F181" s="129"/>
      <c r="G181" s="129"/>
      <c r="H181" s="129"/>
      <c r="I181" s="129"/>
      <c r="J181" s="129"/>
    </row>
    <row r="182" spans="3:10">
      <c r="C182" s="129"/>
      <c r="D182" s="129"/>
      <c r="E182" s="129"/>
      <c r="F182" s="129"/>
      <c r="G182" s="129"/>
      <c r="H182" s="129"/>
      <c r="I182" s="129"/>
      <c r="J182" s="129"/>
    </row>
    <row r="183" spans="3:10">
      <c r="C183" s="129"/>
      <c r="D183" s="129"/>
      <c r="E183" s="129"/>
      <c r="F183" s="129"/>
      <c r="G183" s="129"/>
      <c r="H183" s="129"/>
      <c r="I183" s="129"/>
      <c r="J183" s="129"/>
    </row>
    <row r="184" spans="3:10">
      <c r="C184" s="129"/>
      <c r="D184" s="129"/>
      <c r="E184" s="129"/>
      <c r="F184" s="129"/>
      <c r="G184" s="129"/>
      <c r="H184" s="129"/>
      <c r="I184" s="129"/>
      <c r="J184" s="129"/>
    </row>
    <row r="185" spans="3:10">
      <c r="C185" s="129"/>
      <c r="D185" s="129"/>
      <c r="E185" s="129"/>
      <c r="F185" s="129"/>
      <c r="G185" s="129"/>
      <c r="H185" s="129"/>
      <c r="I185" s="129"/>
      <c r="J185" s="129"/>
    </row>
    <row r="186" spans="3:10">
      <c r="C186" s="129"/>
      <c r="D186" s="129"/>
      <c r="E186" s="129"/>
      <c r="F186" s="129"/>
      <c r="G186" s="129"/>
      <c r="H186" s="129"/>
      <c r="I186" s="129"/>
      <c r="J186" s="129"/>
    </row>
    <row r="187" spans="3:10">
      <c r="C187" s="129"/>
      <c r="D187" s="129"/>
      <c r="E187" s="129"/>
      <c r="F187" s="129"/>
      <c r="G187" s="129"/>
      <c r="H187" s="129"/>
      <c r="I187" s="129"/>
      <c r="J187" s="129"/>
    </row>
    <row r="188" spans="3:10">
      <c r="C188" s="129"/>
      <c r="D188" s="129"/>
      <c r="E188" s="129"/>
      <c r="F188" s="129"/>
      <c r="G188" s="129"/>
      <c r="H188" s="129"/>
      <c r="I188" s="129"/>
      <c r="J188" s="129"/>
    </row>
    <row r="189" spans="3:10">
      <c r="C189" s="129"/>
      <c r="D189" s="129"/>
      <c r="E189" s="129"/>
      <c r="F189" s="129"/>
      <c r="G189" s="129"/>
      <c r="H189" s="129"/>
      <c r="I189" s="129"/>
      <c r="J189" s="129"/>
    </row>
    <row r="190" spans="3:10">
      <c r="C190" s="129"/>
      <c r="D190" s="129"/>
      <c r="E190" s="129"/>
      <c r="F190" s="129"/>
      <c r="G190" s="129"/>
      <c r="H190" s="129"/>
      <c r="I190" s="129"/>
      <c r="J190" s="129"/>
    </row>
    <row r="191" spans="3:10">
      <c r="C191" s="129"/>
      <c r="D191" s="129"/>
      <c r="E191" s="129"/>
      <c r="F191" s="129"/>
      <c r="G191" s="129"/>
      <c r="H191" s="129"/>
      <c r="I191" s="129"/>
      <c r="J191" s="129"/>
    </row>
    <row r="192" spans="3:10">
      <c r="C192" s="129"/>
      <c r="D192" s="129"/>
      <c r="E192" s="129"/>
      <c r="F192" s="129"/>
      <c r="G192" s="129"/>
      <c r="H192" s="129"/>
      <c r="I192" s="129"/>
      <c r="J192" s="129"/>
    </row>
    <row r="193" spans="3:10">
      <c r="C193" s="129"/>
      <c r="D193" s="129"/>
      <c r="E193" s="129"/>
      <c r="F193" s="129"/>
      <c r="G193" s="129"/>
      <c r="H193" s="129"/>
      <c r="I193" s="129"/>
      <c r="J193" s="129"/>
    </row>
    <row r="194" spans="3:10">
      <c r="C194" s="129"/>
      <c r="D194" s="129"/>
      <c r="E194" s="129"/>
      <c r="F194" s="129"/>
      <c r="G194" s="129"/>
      <c r="H194" s="129"/>
      <c r="I194" s="129"/>
      <c r="J194" s="129"/>
    </row>
    <row r="195" spans="3:10">
      <c r="C195" s="129"/>
      <c r="D195" s="129"/>
      <c r="E195" s="129"/>
      <c r="F195" s="129"/>
      <c r="G195" s="129"/>
      <c r="H195" s="129"/>
      <c r="I195" s="129"/>
      <c r="J195" s="129"/>
    </row>
    <row r="196" spans="3:10">
      <c r="C196" s="129"/>
      <c r="D196" s="129"/>
      <c r="E196" s="129"/>
      <c r="F196" s="129"/>
      <c r="G196" s="129"/>
      <c r="H196" s="129"/>
      <c r="I196" s="129"/>
      <c r="J196" s="129"/>
    </row>
    <row r="197" spans="3:10">
      <c r="C197" s="129"/>
      <c r="D197" s="129"/>
      <c r="E197" s="129"/>
      <c r="F197" s="129"/>
      <c r="G197" s="129"/>
      <c r="H197" s="129"/>
      <c r="I197" s="129"/>
      <c r="J197" s="129"/>
    </row>
    <row r="198" spans="3:10">
      <c r="C198" s="129"/>
      <c r="D198" s="129"/>
      <c r="E198" s="129"/>
      <c r="F198" s="129"/>
      <c r="G198" s="129"/>
      <c r="H198" s="129"/>
      <c r="I198" s="129"/>
      <c r="J198" s="129"/>
    </row>
    <row r="199" spans="3:10">
      <c r="C199" s="129"/>
      <c r="D199" s="129"/>
      <c r="E199" s="129"/>
      <c r="F199" s="129"/>
      <c r="G199" s="129"/>
      <c r="H199" s="129"/>
      <c r="I199" s="129"/>
      <c r="J199" s="129"/>
    </row>
    <row r="200" spans="3:10">
      <c r="C200" s="129"/>
      <c r="D200" s="129"/>
      <c r="E200" s="129"/>
      <c r="F200" s="129"/>
      <c r="G200" s="129"/>
      <c r="H200" s="129"/>
      <c r="I200" s="129"/>
      <c r="J200" s="129"/>
    </row>
    <row r="201" spans="3:10">
      <c r="C201" s="129"/>
      <c r="D201" s="129"/>
      <c r="E201" s="129"/>
      <c r="F201" s="129"/>
      <c r="G201" s="129"/>
      <c r="H201" s="129"/>
      <c r="I201" s="129"/>
      <c r="J201" s="129"/>
    </row>
    <row r="202" spans="3:10">
      <c r="C202" s="129"/>
      <c r="D202" s="129"/>
      <c r="E202" s="129"/>
      <c r="F202" s="129"/>
      <c r="G202" s="129"/>
      <c r="H202" s="129"/>
      <c r="I202" s="129"/>
      <c r="J202" s="129"/>
    </row>
    <row r="203" spans="3:10">
      <c r="C203" s="129"/>
      <c r="D203" s="129"/>
      <c r="E203" s="129"/>
      <c r="F203" s="129"/>
      <c r="G203" s="129"/>
      <c r="H203" s="129"/>
      <c r="I203" s="129"/>
      <c r="J203" s="129"/>
    </row>
    <row r="204" spans="3:10">
      <c r="C204" s="129"/>
      <c r="D204" s="129"/>
      <c r="E204" s="129"/>
      <c r="F204" s="129"/>
      <c r="G204" s="129"/>
      <c r="H204" s="129"/>
      <c r="I204" s="129"/>
      <c r="J204" s="129"/>
    </row>
    <row r="205" spans="3:10">
      <c r="C205" s="129"/>
      <c r="D205" s="129"/>
      <c r="E205" s="129"/>
      <c r="F205" s="129"/>
      <c r="G205" s="129"/>
      <c r="H205" s="129"/>
      <c r="I205" s="129"/>
      <c r="J205" s="129"/>
    </row>
    <row r="206" spans="3:10">
      <c r="C206" s="129"/>
      <c r="D206" s="129"/>
      <c r="E206" s="129"/>
      <c r="F206" s="129"/>
      <c r="G206" s="129"/>
      <c r="H206" s="129"/>
      <c r="I206" s="129"/>
      <c r="J206" s="129"/>
    </row>
    <row r="207" spans="3:10">
      <c r="C207" s="129"/>
      <c r="D207" s="129"/>
      <c r="E207" s="129"/>
      <c r="F207" s="129"/>
      <c r="G207" s="129"/>
      <c r="H207" s="129"/>
      <c r="I207" s="129"/>
      <c r="J207" s="129"/>
    </row>
    <row r="208" spans="3:10">
      <c r="C208" s="129"/>
      <c r="D208" s="129"/>
      <c r="E208" s="129"/>
      <c r="F208" s="129"/>
      <c r="G208" s="129"/>
      <c r="H208" s="129"/>
      <c r="I208" s="129"/>
      <c r="J208" s="129"/>
    </row>
    <row r="209" spans="3:10">
      <c r="C209" s="129"/>
      <c r="D209" s="129"/>
      <c r="E209" s="129"/>
      <c r="F209" s="129"/>
      <c r="G209" s="129"/>
      <c r="H209" s="129"/>
      <c r="I209" s="129"/>
      <c r="J209" s="129"/>
    </row>
    <row r="210" spans="3:10">
      <c r="C210" s="129"/>
      <c r="D210" s="129"/>
      <c r="E210" s="129"/>
      <c r="F210" s="129"/>
      <c r="G210" s="129"/>
      <c r="H210" s="129"/>
      <c r="I210" s="129"/>
      <c r="J210" s="129"/>
    </row>
    <row r="211" spans="3:10">
      <c r="C211" s="129"/>
      <c r="D211" s="129"/>
      <c r="E211" s="129"/>
      <c r="F211" s="129"/>
      <c r="G211" s="129"/>
      <c r="H211" s="129"/>
      <c r="I211" s="129"/>
      <c r="J211" s="129"/>
    </row>
    <row r="212" spans="3:10">
      <c r="C212" s="129"/>
      <c r="D212" s="129"/>
      <c r="E212" s="129"/>
      <c r="F212" s="129"/>
      <c r="G212" s="129"/>
      <c r="H212" s="129"/>
      <c r="I212" s="129"/>
      <c r="J212" s="129"/>
    </row>
    <row r="213" spans="3:10">
      <c r="C213" s="129"/>
      <c r="D213" s="129"/>
      <c r="E213" s="129"/>
      <c r="F213" s="129"/>
      <c r="G213" s="129"/>
      <c r="H213" s="129"/>
      <c r="I213" s="129"/>
      <c r="J213" s="129"/>
    </row>
    <row r="214" spans="3:10">
      <c r="C214" s="129"/>
      <c r="D214" s="129"/>
      <c r="E214" s="129"/>
      <c r="F214" s="129"/>
      <c r="G214" s="129"/>
      <c r="H214" s="129"/>
      <c r="I214" s="129"/>
      <c r="J214" s="129"/>
    </row>
    <row r="215" spans="3:10">
      <c r="C215" s="129"/>
      <c r="D215" s="129"/>
      <c r="E215" s="129"/>
      <c r="F215" s="129"/>
      <c r="G215" s="129"/>
      <c r="H215" s="129"/>
      <c r="I215" s="129"/>
      <c r="J215" s="129"/>
    </row>
    <row r="216" spans="3:10">
      <c r="C216" s="129"/>
      <c r="D216" s="129"/>
      <c r="E216" s="129"/>
      <c r="F216" s="129"/>
      <c r="G216" s="129"/>
      <c r="H216" s="129"/>
      <c r="I216" s="129"/>
      <c r="J216" s="129"/>
    </row>
    <row r="217" spans="3:10">
      <c r="C217" s="129"/>
      <c r="D217" s="129"/>
      <c r="E217" s="129"/>
      <c r="F217" s="129"/>
      <c r="G217" s="129"/>
      <c r="H217" s="129"/>
      <c r="I217" s="129"/>
      <c r="J217" s="129"/>
    </row>
    <row r="218" spans="3:10">
      <c r="C218" s="129"/>
      <c r="D218" s="129"/>
      <c r="E218" s="129"/>
      <c r="F218" s="129"/>
      <c r="G218" s="129"/>
      <c r="H218" s="129"/>
      <c r="I218" s="129"/>
      <c r="J218" s="129"/>
    </row>
    <row r="219" spans="3:10">
      <c r="C219" s="129"/>
      <c r="D219" s="129"/>
      <c r="E219" s="129"/>
      <c r="F219" s="129"/>
      <c r="G219" s="129"/>
      <c r="H219" s="129"/>
      <c r="I219" s="129"/>
      <c r="J219" s="129"/>
    </row>
    <row r="220" spans="3:10">
      <c r="C220" s="129"/>
      <c r="D220" s="129"/>
      <c r="E220" s="129"/>
      <c r="F220" s="129"/>
      <c r="G220" s="129"/>
      <c r="H220" s="129"/>
      <c r="I220" s="129"/>
      <c r="J220" s="129"/>
    </row>
    <row r="221" spans="3:10">
      <c r="C221" s="129"/>
      <c r="D221" s="129"/>
      <c r="E221" s="129"/>
      <c r="F221" s="129"/>
      <c r="G221" s="129"/>
      <c r="H221" s="129"/>
      <c r="I221" s="129"/>
      <c r="J221" s="129"/>
    </row>
    <row r="222" spans="3:10">
      <c r="C222" s="129"/>
      <c r="D222" s="129"/>
      <c r="E222" s="129"/>
      <c r="F222" s="129"/>
      <c r="G222" s="129"/>
      <c r="H222" s="129"/>
      <c r="I222" s="129"/>
      <c r="J222" s="129"/>
    </row>
    <row r="223" spans="3:10">
      <c r="C223" s="129"/>
      <c r="D223" s="129"/>
      <c r="E223" s="129"/>
      <c r="F223" s="129"/>
      <c r="G223" s="129"/>
      <c r="H223" s="129"/>
      <c r="I223" s="129"/>
      <c r="J223" s="129"/>
    </row>
    <row r="224" spans="3:10">
      <c r="C224" s="129"/>
      <c r="D224" s="129"/>
      <c r="E224" s="129"/>
      <c r="F224" s="129"/>
      <c r="G224" s="129"/>
      <c r="H224" s="129"/>
      <c r="I224" s="129"/>
      <c r="J224" s="129"/>
    </row>
    <row r="225" spans="3:10">
      <c r="C225" s="129"/>
      <c r="D225" s="129"/>
      <c r="E225" s="129"/>
      <c r="F225" s="129"/>
      <c r="G225" s="129"/>
      <c r="H225" s="129"/>
      <c r="I225" s="129"/>
      <c r="J225" s="129"/>
    </row>
    <row r="226" spans="3:10">
      <c r="C226" s="129"/>
      <c r="D226" s="129"/>
      <c r="E226" s="129"/>
      <c r="F226" s="129"/>
      <c r="G226" s="129"/>
      <c r="H226" s="129"/>
      <c r="I226" s="129"/>
      <c r="J226" s="129"/>
    </row>
    <row r="227" spans="3:10">
      <c r="C227" s="129"/>
      <c r="D227" s="129"/>
      <c r="E227" s="129"/>
      <c r="F227" s="129"/>
      <c r="G227" s="129"/>
      <c r="H227" s="129"/>
      <c r="I227" s="129"/>
      <c r="J227" s="129"/>
    </row>
    <row r="228" spans="3:10">
      <c r="C228" s="129"/>
      <c r="D228" s="129"/>
      <c r="E228" s="129"/>
      <c r="F228" s="129"/>
      <c r="G228" s="129"/>
      <c r="H228" s="129"/>
      <c r="I228" s="129"/>
      <c r="J228" s="129"/>
    </row>
    <row r="229" spans="3:10">
      <c r="C229" s="129"/>
      <c r="D229" s="129"/>
      <c r="E229" s="129"/>
      <c r="F229" s="129"/>
      <c r="G229" s="129"/>
      <c r="H229" s="129"/>
      <c r="I229" s="129"/>
      <c r="J229" s="129"/>
    </row>
    <row r="230" spans="3:10">
      <c r="C230" s="129"/>
      <c r="D230" s="129"/>
      <c r="E230" s="129"/>
      <c r="F230" s="129"/>
      <c r="G230" s="129"/>
      <c r="H230" s="129"/>
      <c r="I230" s="129"/>
      <c r="J230" s="129"/>
    </row>
    <row r="231" spans="3:10">
      <c r="C231" s="129"/>
      <c r="D231" s="129"/>
      <c r="E231" s="129"/>
      <c r="F231" s="129"/>
      <c r="G231" s="129"/>
      <c r="H231" s="129"/>
      <c r="I231" s="129"/>
      <c r="J231" s="129"/>
    </row>
    <row r="232" spans="3:10">
      <c r="C232" s="129"/>
      <c r="D232" s="129"/>
      <c r="E232" s="129"/>
      <c r="F232" s="129"/>
      <c r="G232" s="129"/>
      <c r="H232" s="129"/>
      <c r="I232" s="129"/>
      <c r="J232" s="129"/>
    </row>
    <row r="233" spans="3:10">
      <c r="C233" s="129"/>
      <c r="D233" s="129"/>
      <c r="E233" s="129"/>
      <c r="F233" s="129"/>
      <c r="G233" s="129"/>
      <c r="H233" s="129"/>
      <c r="I233" s="129"/>
      <c r="J233" s="129"/>
    </row>
    <row r="234" spans="3:10">
      <c r="C234" s="129"/>
      <c r="D234" s="129"/>
      <c r="E234" s="129"/>
      <c r="F234" s="129"/>
      <c r="G234" s="129"/>
      <c r="H234" s="129"/>
      <c r="I234" s="129"/>
      <c r="J234" s="129"/>
    </row>
    <row r="235" spans="3:10">
      <c r="C235" s="129"/>
      <c r="D235" s="129"/>
      <c r="E235" s="129"/>
      <c r="F235" s="129"/>
      <c r="G235" s="129"/>
      <c r="H235" s="129"/>
      <c r="I235" s="129"/>
      <c r="J235" s="129"/>
    </row>
    <row r="236" spans="3:10">
      <c r="C236" s="129"/>
      <c r="D236" s="129"/>
      <c r="E236" s="129"/>
      <c r="F236" s="129"/>
      <c r="G236" s="129"/>
      <c r="H236" s="129"/>
      <c r="I236" s="129"/>
      <c r="J236" s="129"/>
    </row>
    <row r="237" spans="3:10">
      <c r="C237" s="129"/>
      <c r="D237" s="129"/>
      <c r="E237" s="129"/>
      <c r="F237" s="129"/>
      <c r="G237" s="129"/>
      <c r="H237" s="129"/>
      <c r="I237" s="129"/>
      <c r="J237" s="129"/>
    </row>
    <row r="238" spans="3:10">
      <c r="C238" s="129"/>
      <c r="D238" s="129"/>
      <c r="E238" s="129"/>
      <c r="F238" s="129"/>
      <c r="G238" s="129"/>
      <c r="H238" s="129"/>
      <c r="I238" s="129"/>
      <c r="J238" s="129"/>
    </row>
    <row r="239" spans="3:10">
      <c r="C239" s="129"/>
      <c r="D239" s="129"/>
      <c r="E239" s="129"/>
      <c r="F239" s="129"/>
      <c r="G239" s="129"/>
      <c r="H239" s="129"/>
      <c r="I239" s="129"/>
      <c r="J239" s="129"/>
    </row>
    <row r="240" spans="3:10">
      <c r="C240" s="129"/>
      <c r="D240" s="129"/>
      <c r="E240" s="129"/>
      <c r="F240" s="129"/>
      <c r="G240" s="129"/>
      <c r="H240" s="129"/>
      <c r="I240" s="129"/>
      <c r="J240" s="129"/>
    </row>
    <row r="241" spans="3:10">
      <c r="C241" s="129"/>
      <c r="D241" s="129"/>
      <c r="E241" s="129"/>
      <c r="F241" s="129"/>
      <c r="G241" s="129"/>
      <c r="H241" s="129"/>
      <c r="I241" s="129"/>
      <c r="J241" s="129"/>
    </row>
    <row r="242" spans="3:10">
      <c r="C242" s="129"/>
      <c r="D242" s="129"/>
      <c r="E242" s="129"/>
      <c r="F242" s="129"/>
      <c r="G242" s="129"/>
      <c r="H242" s="129"/>
      <c r="I242" s="129"/>
      <c r="J242" s="129"/>
    </row>
    <row r="243" spans="3:10">
      <c r="C243" s="129"/>
      <c r="D243" s="129"/>
      <c r="E243" s="129"/>
      <c r="F243" s="129"/>
      <c r="G243" s="129"/>
      <c r="H243" s="129"/>
      <c r="I243" s="129"/>
      <c r="J243" s="129"/>
    </row>
    <row r="244" spans="3:10">
      <c r="C244" s="129"/>
      <c r="D244" s="129"/>
      <c r="E244" s="129"/>
      <c r="F244" s="129"/>
      <c r="G244" s="129"/>
      <c r="H244" s="129"/>
      <c r="I244" s="129"/>
      <c r="J244" s="129"/>
    </row>
    <row r="245" spans="3:10">
      <c r="C245" s="129"/>
      <c r="D245" s="129"/>
      <c r="E245" s="129"/>
      <c r="F245" s="129"/>
      <c r="G245" s="129"/>
      <c r="H245" s="129"/>
      <c r="I245" s="129"/>
      <c r="J245" s="129"/>
    </row>
    <row r="246" spans="3:10">
      <c r="C246" s="129"/>
      <c r="D246" s="129"/>
      <c r="E246" s="129"/>
      <c r="F246" s="129"/>
      <c r="G246" s="129"/>
      <c r="H246" s="129"/>
      <c r="I246" s="129"/>
      <c r="J246" s="129"/>
    </row>
    <row r="247" spans="3:10">
      <c r="C247" s="129"/>
      <c r="D247" s="129"/>
      <c r="E247" s="129"/>
      <c r="F247" s="129"/>
      <c r="G247" s="129"/>
      <c r="H247" s="129"/>
      <c r="I247" s="129"/>
      <c r="J247" s="129"/>
    </row>
    <row r="248" spans="3:10">
      <c r="C248" s="129"/>
      <c r="D248" s="129"/>
      <c r="E248" s="129"/>
      <c r="F248" s="129"/>
      <c r="G248" s="129"/>
      <c r="H248" s="129"/>
      <c r="I248" s="129"/>
      <c r="J248" s="129"/>
    </row>
    <row r="249" spans="3:10">
      <c r="C249" s="129"/>
      <c r="D249" s="129"/>
      <c r="E249" s="129"/>
      <c r="F249" s="129"/>
      <c r="G249" s="129"/>
      <c r="H249" s="129"/>
      <c r="I249" s="129"/>
      <c r="J249" s="129"/>
    </row>
    <row r="250" spans="3:10">
      <c r="C250" s="129"/>
      <c r="D250" s="129"/>
      <c r="E250" s="129"/>
      <c r="F250" s="129"/>
      <c r="G250" s="129"/>
      <c r="H250" s="129"/>
      <c r="I250" s="129"/>
      <c r="J250" s="129"/>
    </row>
    <row r="251" spans="3:10">
      <c r="C251" s="129"/>
      <c r="D251" s="129"/>
      <c r="E251" s="129"/>
      <c r="F251" s="129"/>
      <c r="G251" s="129"/>
      <c r="H251" s="129"/>
      <c r="I251" s="129"/>
      <c r="J251" s="129"/>
    </row>
    <row r="252" spans="3:10">
      <c r="C252" s="129"/>
      <c r="D252" s="129"/>
      <c r="E252" s="129"/>
      <c r="F252" s="129"/>
      <c r="G252" s="129"/>
      <c r="H252" s="129"/>
      <c r="I252" s="129"/>
      <c r="J252" s="129"/>
    </row>
    <row r="253" spans="3:10">
      <c r="C253" s="129"/>
      <c r="D253" s="129"/>
      <c r="E253" s="129"/>
      <c r="F253" s="129"/>
      <c r="G253" s="129"/>
      <c r="H253" s="129"/>
      <c r="I253" s="129"/>
      <c r="J253" s="129"/>
    </row>
    <row r="254" spans="3:10">
      <c r="C254" s="129"/>
      <c r="D254" s="129"/>
      <c r="E254" s="129"/>
      <c r="F254" s="129"/>
      <c r="G254" s="129"/>
      <c r="H254" s="129"/>
      <c r="I254" s="129"/>
      <c r="J254" s="129"/>
    </row>
    <row r="255" spans="3:10">
      <c r="C255" s="129"/>
      <c r="D255" s="129"/>
      <c r="E255" s="129"/>
      <c r="F255" s="129"/>
      <c r="G255" s="129"/>
      <c r="H255" s="129"/>
      <c r="I255" s="129"/>
      <c r="J255" s="129"/>
    </row>
    <row r="256" spans="3:10">
      <c r="C256" s="129"/>
      <c r="D256" s="129"/>
      <c r="E256" s="129"/>
      <c r="F256" s="129"/>
      <c r="G256" s="129"/>
      <c r="H256" s="129"/>
      <c r="I256" s="129"/>
      <c r="J256" s="129"/>
    </row>
    <row r="257" spans="3:10">
      <c r="C257" s="129"/>
      <c r="D257" s="129"/>
      <c r="E257" s="129"/>
      <c r="F257" s="129"/>
      <c r="G257" s="129"/>
      <c r="H257" s="129"/>
      <c r="I257" s="129"/>
      <c r="J257" s="129"/>
    </row>
    <row r="258" spans="3:10">
      <c r="C258" s="129"/>
      <c r="D258" s="129"/>
      <c r="E258" s="129"/>
      <c r="F258" s="129"/>
      <c r="G258" s="129"/>
      <c r="H258" s="129"/>
      <c r="I258" s="129"/>
      <c r="J258" s="129"/>
    </row>
    <row r="259" spans="3:10">
      <c r="C259" s="129"/>
      <c r="D259" s="129"/>
      <c r="E259" s="129"/>
      <c r="F259" s="129"/>
      <c r="G259" s="129"/>
      <c r="H259" s="129"/>
      <c r="I259" s="129"/>
      <c r="J259" s="129"/>
    </row>
    <row r="260" spans="3:10">
      <c r="C260" s="129"/>
      <c r="D260" s="129"/>
      <c r="E260" s="129"/>
      <c r="F260" s="129"/>
      <c r="G260" s="129"/>
      <c r="H260" s="129"/>
      <c r="I260" s="129"/>
      <c r="J260" s="129"/>
    </row>
    <row r="261" spans="3:10">
      <c r="C261" s="129"/>
      <c r="D261" s="129"/>
      <c r="E261" s="129"/>
      <c r="F261" s="129"/>
      <c r="G261" s="129"/>
      <c r="H261" s="129"/>
      <c r="I261" s="129"/>
      <c r="J261" s="129"/>
    </row>
    <row r="262" spans="3:10">
      <c r="C262" s="129"/>
      <c r="D262" s="129"/>
      <c r="E262" s="129"/>
      <c r="F262" s="129"/>
      <c r="G262" s="129"/>
      <c r="H262" s="129"/>
      <c r="I262" s="129"/>
      <c r="J262" s="129"/>
    </row>
    <row r="263" spans="3:10">
      <c r="C263" s="129"/>
      <c r="D263" s="129"/>
      <c r="E263" s="129"/>
      <c r="F263" s="129"/>
      <c r="G263" s="129"/>
      <c r="H263" s="129"/>
      <c r="I263" s="129"/>
      <c r="J263" s="129"/>
    </row>
    <row r="264" spans="3:10">
      <c r="C264" s="129"/>
      <c r="D264" s="129"/>
      <c r="E264" s="129"/>
      <c r="F264" s="129"/>
      <c r="G264" s="129"/>
      <c r="H264" s="129"/>
      <c r="I264" s="129"/>
      <c r="J264" s="129"/>
    </row>
    <row r="265" spans="3:10">
      <c r="C265" s="129"/>
      <c r="D265" s="129"/>
      <c r="E265" s="129"/>
      <c r="F265" s="129"/>
      <c r="G265" s="129"/>
      <c r="H265" s="129"/>
      <c r="I265" s="129"/>
      <c r="J265" s="129"/>
    </row>
    <row r="266" spans="3:10">
      <c r="C266" s="129"/>
      <c r="D266" s="129"/>
      <c r="E266" s="129"/>
      <c r="F266" s="129"/>
      <c r="G266" s="129"/>
      <c r="H266" s="129"/>
      <c r="I266" s="129"/>
      <c r="J266" s="129"/>
    </row>
    <row r="267" spans="3:10">
      <c r="C267" s="129"/>
      <c r="D267" s="129"/>
      <c r="E267" s="129"/>
      <c r="F267" s="129"/>
      <c r="G267" s="129"/>
      <c r="H267" s="129"/>
      <c r="I267" s="129"/>
      <c r="J267" s="129"/>
    </row>
    <row r="268" spans="3:10">
      <c r="C268" s="129"/>
      <c r="D268" s="129"/>
      <c r="E268" s="129"/>
      <c r="F268" s="129"/>
      <c r="G268" s="129"/>
      <c r="H268" s="129"/>
      <c r="I268" s="129"/>
      <c r="J268" s="129"/>
    </row>
    <row r="269" spans="3:10">
      <c r="C269" s="129"/>
      <c r="D269" s="129"/>
      <c r="E269" s="129"/>
      <c r="F269" s="129"/>
      <c r="G269" s="129"/>
      <c r="H269" s="129"/>
      <c r="I269" s="129"/>
      <c r="J269" s="129"/>
    </row>
    <row r="270" spans="3:10">
      <c r="C270" s="129"/>
      <c r="D270" s="129"/>
      <c r="E270" s="129"/>
      <c r="F270" s="129"/>
      <c r="G270" s="129"/>
      <c r="H270" s="129"/>
      <c r="I270" s="129"/>
      <c r="J270" s="129"/>
    </row>
    <row r="271" spans="3:10">
      <c r="C271" s="129"/>
      <c r="D271" s="129"/>
      <c r="E271" s="129"/>
      <c r="F271" s="129"/>
      <c r="G271" s="129"/>
      <c r="H271" s="129"/>
      <c r="I271" s="129"/>
      <c r="J271" s="129"/>
    </row>
    <row r="272" spans="3:10">
      <c r="C272" s="129"/>
      <c r="D272" s="129"/>
      <c r="E272" s="129"/>
      <c r="F272" s="129"/>
      <c r="G272" s="129"/>
      <c r="H272" s="129"/>
      <c r="I272" s="129"/>
      <c r="J272" s="129"/>
    </row>
    <row r="273" spans="3:10">
      <c r="C273" s="129"/>
      <c r="D273" s="129"/>
      <c r="E273" s="129"/>
      <c r="F273" s="129"/>
      <c r="G273" s="129"/>
      <c r="H273" s="129"/>
      <c r="I273" s="129"/>
      <c r="J273" s="129"/>
    </row>
    <row r="274" spans="3:10">
      <c r="C274" s="129"/>
      <c r="D274" s="129"/>
      <c r="E274" s="129"/>
      <c r="F274" s="129"/>
      <c r="G274" s="129"/>
      <c r="H274" s="129"/>
      <c r="I274" s="129"/>
      <c r="J274" s="129"/>
    </row>
    <row r="275" spans="3:10">
      <c r="C275" s="129"/>
      <c r="D275" s="129"/>
      <c r="E275" s="129"/>
      <c r="F275" s="129"/>
      <c r="G275" s="129"/>
      <c r="H275" s="129"/>
      <c r="I275" s="129"/>
      <c r="J275" s="129"/>
    </row>
    <row r="276" spans="3:10">
      <c r="C276" s="129"/>
      <c r="D276" s="129"/>
      <c r="E276" s="129"/>
      <c r="F276" s="129"/>
      <c r="G276" s="129"/>
      <c r="H276" s="129"/>
      <c r="I276" s="129"/>
      <c r="J276" s="129"/>
    </row>
    <row r="277" spans="3:10">
      <c r="C277" s="129"/>
      <c r="D277" s="129"/>
      <c r="E277" s="129"/>
      <c r="F277" s="129"/>
      <c r="G277" s="129"/>
      <c r="H277" s="129"/>
      <c r="I277" s="129"/>
      <c r="J277" s="129"/>
    </row>
    <row r="278" spans="3:10">
      <c r="C278" s="129"/>
      <c r="D278" s="129"/>
      <c r="E278" s="129"/>
      <c r="F278" s="129"/>
      <c r="G278" s="129"/>
      <c r="H278" s="129"/>
      <c r="I278" s="129"/>
      <c r="J278" s="129"/>
    </row>
    <row r="279" spans="3:10">
      <c r="C279" s="129"/>
      <c r="D279" s="129"/>
      <c r="E279" s="129"/>
      <c r="F279" s="129"/>
      <c r="G279" s="129"/>
      <c r="H279" s="129"/>
      <c r="I279" s="129"/>
      <c r="J279" s="129"/>
    </row>
    <row r="280" spans="3:10">
      <c r="C280" s="129"/>
      <c r="D280" s="129"/>
      <c r="E280" s="129"/>
      <c r="F280" s="129"/>
      <c r="G280" s="129"/>
      <c r="H280" s="129"/>
      <c r="I280" s="129"/>
      <c r="J280" s="129"/>
    </row>
    <row r="281" spans="3:10">
      <c r="C281" s="129"/>
      <c r="D281" s="129"/>
      <c r="E281" s="129"/>
      <c r="F281" s="129"/>
      <c r="G281" s="129"/>
      <c r="H281" s="129"/>
      <c r="I281" s="129"/>
      <c r="J281" s="129"/>
    </row>
    <row r="282" spans="3:10">
      <c r="C282" s="129"/>
      <c r="D282" s="129"/>
      <c r="E282" s="129"/>
      <c r="F282" s="129"/>
      <c r="G282" s="129"/>
      <c r="H282" s="129"/>
      <c r="I282" s="129"/>
      <c r="J282" s="129"/>
    </row>
    <row r="283" spans="3:10">
      <c r="C283" s="129"/>
      <c r="D283" s="129"/>
      <c r="E283" s="129"/>
      <c r="F283" s="129"/>
      <c r="G283" s="129"/>
      <c r="H283" s="129"/>
      <c r="I283" s="129"/>
      <c r="J283" s="129"/>
    </row>
    <row r="284" spans="3:10">
      <c r="C284" s="129"/>
      <c r="D284" s="129"/>
      <c r="E284" s="129"/>
      <c r="F284" s="129"/>
      <c r="G284" s="129"/>
      <c r="H284" s="129"/>
      <c r="I284" s="129"/>
      <c r="J284" s="129"/>
    </row>
    <row r="285" spans="3:10">
      <c r="C285" s="129"/>
      <c r="D285" s="129"/>
      <c r="E285" s="129"/>
      <c r="F285" s="129"/>
      <c r="G285" s="129"/>
      <c r="H285" s="129"/>
      <c r="I285" s="129"/>
      <c r="J285" s="129"/>
    </row>
    <row r="286" spans="3:10">
      <c r="C286" s="129"/>
      <c r="D286" s="129"/>
      <c r="E286" s="129"/>
      <c r="F286" s="129"/>
      <c r="G286" s="129"/>
      <c r="H286" s="129"/>
      <c r="I286" s="129"/>
      <c r="J286" s="129"/>
    </row>
    <row r="287" spans="3:10">
      <c r="C287" s="129"/>
      <c r="D287" s="129"/>
      <c r="E287" s="129"/>
      <c r="F287" s="129"/>
      <c r="G287" s="129"/>
      <c r="H287" s="129"/>
      <c r="I287" s="129"/>
      <c r="J287" s="129"/>
    </row>
    <row r="288" spans="3:10">
      <c r="C288" s="129"/>
      <c r="D288" s="129"/>
      <c r="E288" s="129"/>
      <c r="F288" s="129"/>
      <c r="G288" s="129"/>
      <c r="H288" s="129"/>
      <c r="I288" s="129"/>
      <c r="J288" s="129"/>
    </row>
    <row r="289" spans="3:10">
      <c r="C289" s="129"/>
      <c r="D289" s="129"/>
      <c r="E289" s="129"/>
      <c r="F289" s="129"/>
      <c r="G289" s="129"/>
      <c r="H289" s="129"/>
      <c r="I289" s="129"/>
      <c r="J289" s="129"/>
    </row>
    <row r="290" spans="3:10">
      <c r="C290" s="129"/>
      <c r="D290" s="129"/>
      <c r="E290" s="129"/>
      <c r="F290" s="129"/>
      <c r="G290" s="129"/>
      <c r="H290" s="129"/>
      <c r="I290" s="129"/>
      <c r="J290" s="129"/>
    </row>
    <row r="291" spans="3:10">
      <c r="C291" s="129"/>
      <c r="D291" s="129"/>
      <c r="E291" s="129"/>
      <c r="F291" s="129"/>
      <c r="G291" s="129"/>
      <c r="H291" s="129"/>
      <c r="I291" s="129"/>
      <c r="J291" s="129"/>
    </row>
    <row r="292" spans="3:10">
      <c r="C292" s="129"/>
      <c r="D292" s="129"/>
      <c r="E292" s="129"/>
      <c r="F292" s="129"/>
      <c r="G292" s="129"/>
      <c r="H292" s="129"/>
      <c r="I292" s="129"/>
      <c r="J292" s="129"/>
    </row>
    <row r="293" spans="3:10">
      <c r="C293" s="129"/>
      <c r="D293" s="129"/>
      <c r="E293" s="129"/>
      <c r="F293" s="129"/>
      <c r="G293" s="129"/>
      <c r="H293" s="129"/>
      <c r="I293" s="129"/>
      <c r="J293" s="129"/>
    </row>
    <row r="294" spans="3:10">
      <c r="C294" s="129"/>
      <c r="D294" s="129"/>
      <c r="E294" s="129"/>
      <c r="F294" s="129"/>
      <c r="G294" s="129"/>
      <c r="H294" s="129"/>
      <c r="I294" s="129"/>
      <c r="J294" s="129"/>
    </row>
    <row r="295" spans="3:10">
      <c r="C295" s="129"/>
      <c r="D295" s="129"/>
      <c r="E295" s="129"/>
      <c r="F295" s="129"/>
      <c r="G295" s="129"/>
      <c r="H295" s="129"/>
      <c r="I295" s="129"/>
      <c r="J295" s="129"/>
    </row>
    <row r="296" spans="3:10">
      <c r="C296" s="129"/>
      <c r="D296" s="129"/>
      <c r="E296" s="129"/>
      <c r="F296" s="129"/>
      <c r="G296" s="129"/>
      <c r="H296" s="129"/>
      <c r="I296" s="129"/>
      <c r="J296" s="129"/>
    </row>
    <row r="297" spans="3:10">
      <c r="C297" s="129"/>
      <c r="D297" s="129"/>
      <c r="E297" s="129"/>
      <c r="F297" s="129"/>
      <c r="G297" s="129"/>
      <c r="H297" s="129"/>
      <c r="I297" s="129"/>
      <c r="J297" s="129"/>
    </row>
    <row r="298" spans="3:10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99:X99"/>
    <mergeCell ref="M100:X100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6" orientation="landscape" horizontalDpi="300" verticalDpi="300" r:id="rId1"/>
  <headerFooter alignWithMargins="0"/>
  <rowBreaks count="1" manualBreakCount="1">
    <brk id="48" min="10" max="2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4">
    <tabColor rgb="FFFF3300"/>
    <pageSetUpPr fitToPage="1"/>
  </sheetPr>
  <dimension ref="A1:AB298"/>
  <sheetViews>
    <sheetView view="pageBreakPreview" zoomScale="60" zoomScaleNormal="80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52.21875" customWidth="1"/>
    <col min="4" max="4" width="1.109375" customWidth="1"/>
    <col min="5" max="5" width="37.109375" customWidth="1"/>
    <col min="6" max="6" width="1.21875" customWidth="1"/>
    <col min="7" max="7" width="14.109375" customWidth="1"/>
    <col min="8" max="8" width="0.77734375" customWidth="1"/>
    <col min="9" max="9" width="12.77734375" customWidth="1"/>
    <col min="10" max="10" width="3.77734375" customWidth="1"/>
    <col min="11" max="11" width="5.21875" customWidth="1"/>
    <col min="12" max="12" width="1.77734375" customWidth="1"/>
    <col min="13" max="13" width="19.21875" customWidth="1"/>
    <col min="14" max="14" width="8.77734375"/>
    <col min="15" max="15" width="13.77734375" customWidth="1"/>
    <col min="16" max="16" width="13.109375" customWidth="1"/>
    <col min="17" max="17" width="13.77734375" customWidth="1"/>
    <col min="18" max="18" width="12.44140625" customWidth="1"/>
    <col min="19" max="19" width="14.77734375" customWidth="1"/>
    <col min="20" max="20" width="13.21875" customWidth="1"/>
    <col min="21" max="21" width="12.77734375" customWidth="1"/>
    <col min="22" max="22" width="17.44140625" customWidth="1"/>
    <col min="23" max="23" width="12" customWidth="1"/>
    <col min="24" max="24" width="16.21875" customWidth="1"/>
    <col min="25" max="245" width="8.77734375"/>
    <col min="246" max="246" width="6" customWidth="1"/>
    <col min="247" max="247" width="1.44140625" customWidth="1"/>
    <col min="248" max="248" width="39.109375" customWidth="1"/>
    <col min="249" max="249" width="12" customWidth="1"/>
    <col min="250" max="250" width="14.44140625" customWidth="1"/>
    <col min="251" max="251" width="11.77734375" customWidth="1"/>
    <col min="252" max="252" width="14.109375" customWidth="1"/>
    <col min="253" max="253" width="13.77734375" customWidth="1"/>
    <col min="254" max="255" width="12.77734375" customWidth="1"/>
    <col min="256" max="256" width="13.5546875" customWidth="1"/>
    <col min="257" max="257" width="15.21875" customWidth="1"/>
    <col min="258" max="258" width="12.77734375" customWidth="1"/>
    <col min="259" max="259" width="13.77734375" customWidth="1"/>
    <col min="260" max="260" width="1.77734375" customWidth="1"/>
    <col min="261" max="261" width="13" customWidth="1"/>
    <col min="262" max="501" width="8.77734375"/>
    <col min="502" max="502" width="6" customWidth="1"/>
    <col min="503" max="503" width="1.44140625" customWidth="1"/>
    <col min="504" max="504" width="39.109375" customWidth="1"/>
    <col min="505" max="505" width="12" customWidth="1"/>
    <col min="506" max="506" width="14.44140625" customWidth="1"/>
    <col min="507" max="507" width="11.77734375" customWidth="1"/>
    <col min="508" max="508" width="14.109375" customWidth="1"/>
    <col min="509" max="509" width="13.77734375" customWidth="1"/>
    <col min="510" max="511" width="12.77734375" customWidth="1"/>
    <col min="512" max="512" width="13.5546875" customWidth="1"/>
    <col min="513" max="513" width="15.21875" customWidth="1"/>
    <col min="514" max="514" width="12.77734375" customWidth="1"/>
    <col min="515" max="515" width="13.77734375" customWidth="1"/>
    <col min="516" max="516" width="1.77734375" customWidth="1"/>
    <col min="517" max="517" width="13" customWidth="1"/>
    <col min="518" max="757" width="8.77734375"/>
    <col min="758" max="758" width="6" customWidth="1"/>
    <col min="759" max="759" width="1.44140625" customWidth="1"/>
    <col min="760" max="760" width="39.109375" customWidth="1"/>
    <col min="761" max="761" width="12" customWidth="1"/>
    <col min="762" max="762" width="14.44140625" customWidth="1"/>
    <col min="763" max="763" width="11.77734375" customWidth="1"/>
    <col min="764" max="764" width="14.109375" customWidth="1"/>
    <col min="765" max="765" width="13.77734375" customWidth="1"/>
    <col min="766" max="767" width="12.77734375" customWidth="1"/>
    <col min="768" max="768" width="13.5546875" customWidth="1"/>
    <col min="769" max="769" width="15.21875" customWidth="1"/>
    <col min="770" max="770" width="12.77734375" customWidth="1"/>
    <col min="771" max="771" width="13.77734375" customWidth="1"/>
    <col min="772" max="772" width="1.77734375" customWidth="1"/>
    <col min="773" max="773" width="13" customWidth="1"/>
    <col min="774" max="1013" width="8.77734375"/>
    <col min="1014" max="1014" width="6" customWidth="1"/>
    <col min="1015" max="1015" width="1.44140625" customWidth="1"/>
    <col min="1016" max="1016" width="39.109375" customWidth="1"/>
    <col min="1017" max="1017" width="12" customWidth="1"/>
    <col min="1018" max="1018" width="14.44140625" customWidth="1"/>
    <col min="1019" max="1019" width="11.77734375" customWidth="1"/>
    <col min="1020" max="1020" width="14.109375" customWidth="1"/>
    <col min="1021" max="1021" width="13.77734375" customWidth="1"/>
    <col min="1022" max="1023" width="12.77734375" customWidth="1"/>
    <col min="1024" max="1024" width="13.5546875" customWidth="1"/>
    <col min="1025" max="1025" width="15.21875" customWidth="1"/>
    <col min="1026" max="1026" width="12.77734375" customWidth="1"/>
    <col min="1027" max="1027" width="13.77734375" customWidth="1"/>
    <col min="1028" max="1028" width="1.77734375" customWidth="1"/>
    <col min="1029" max="1029" width="13" customWidth="1"/>
    <col min="1030" max="1269" width="8.77734375"/>
    <col min="1270" max="1270" width="6" customWidth="1"/>
    <col min="1271" max="1271" width="1.44140625" customWidth="1"/>
    <col min="1272" max="1272" width="39.109375" customWidth="1"/>
    <col min="1273" max="1273" width="12" customWidth="1"/>
    <col min="1274" max="1274" width="14.44140625" customWidth="1"/>
    <col min="1275" max="1275" width="11.77734375" customWidth="1"/>
    <col min="1276" max="1276" width="14.109375" customWidth="1"/>
    <col min="1277" max="1277" width="13.77734375" customWidth="1"/>
    <col min="1278" max="1279" width="12.77734375" customWidth="1"/>
    <col min="1280" max="1280" width="13.5546875" customWidth="1"/>
    <col min="1281" max="1281" width="15.21875" customWidth="1"/>
    <col min="1282" max="1282" width="12.77734375" customWidth="1"/>
    <col min="1283" max="1283" width="13.77734375" customWidth="1"/>
    <col min="1284" max="1284" width="1.77734375" customWidth="1"/>
    <col min="1285" max="1285" width="13" customWidth="1"/>
    <col min="1286" max="1525" width="8.77734375"/>
    <col min="1526" max="1526" width="6" customWidth="1"/>
    <col min="1527" max="1527" width="1.44140625" customWidth="1"/>
    <col min="1528" max="1528" width="39.109375" customWidth="1"/>
    <col min="1529" max="1529" width="12" customWidth="1"/>
    <col min="1530" max="1530" width="14.44140625" customWidth="1"/>
    <col min="1531" max="1531" width="11.77734375" customWidth="1"/>
    <col min="1532" max="1532" width="14.109375" customWidth="1"/>
    <col min="1533" max="1533" width="13.77734375" customWidth="1"/>
    <col min="1534" max="1535" width="12.77734375" customWidth="1"/>
    <col min="1536" max="1536" width="13.5546875" customWidth="1"/>
    <col min="1537" max="1537" width="15.21875" customWidth="1"/>
    <col min="1538" max="1538" width="12.77734375" customWidth="1"/>
    <col min="1539" max="1539" width="13.77734375" customWidth="1"/>
    <col min="1540" max="1540" width="1.77734375" customWidth="1"/>
    <col min="1541" max="1541" width="13" customWidth="1"/>
    <col min="1542" max="1781" width="8.77734375"/>
    <col min="1782" max="1782" width="6" customWidth="1"/>
    <col min="1783" max="1783" width="1.44140625" customWidth="1"/>
    <col min="1784" max="1784" width="39.109375" customWidth="1"/>
    <col min="1785" max="1785" width="12" customWidth="1"/>
    <col min="1786" max="1786" width="14.44140625" customWidth="1"/>
    <col min="1787" max="1787" width="11.77734375" customWidth="1"/>
    <col min="1788" max="1788" width="14.109375" customWidth="1"/>
    <col min="1789" max="1789" width="13.77734375" customWidth="1"/>
    <col min="1790" max="1791" width="12.77734375" customWidth="1"/>
    <col min="1792" max="1792" width="13.5546875" customWidth="1"/>
    <col min="1793" max="1793" width="15.21875" customWidth="1"/>
    <col min="1794" max="1794" width="12.77734375" customWidth="1"/>
    <col min="1795" max="1795" width="13.77734375" customWidth="1"/>
    <col min="1796" max="1796" width="1.77734375" customWidth="1"/>
    <col min="1797" max="1797" width="13" customWidth="1"/>
    <col min="1798" max="2037" width="8.77734375"/>
    <col min="2038" max="2038" width="6" customWidth="1"/>
    <col min="2039" max="2039" width="1.44140625" customWidth="1"/>
    <col min="2040" max="2040" width="39.109375" customWidth="1"/>
    <col min="2041" max="2041" width="12" customWidth="1"/>
    <col min="2042" max="2042" width="14.44140625" customWidth="1"/>
    <col min="2043" max="2043" width="11.77734375" customWidth="1"/>
    <col min="2044" max="2044" width="14.109375" customWidth="1"/>
    <col min="2045" max="2045" width="13.77734375" customWidth="1"/>
    <col min="2046" max="2047" width="12.77734375" customWidth="1"/>
    <col min="2048" max="2048" width="13.5546875" customWidth="1"/>
    <col min="2049" max="2049" width="15.21875" customWidth="1"/>
    <col min="2050" max="2050" width="12.77734375" customWidth="1"/>
    <col min="2051" max="2051" width="13.77734375" customWidth="1"/>
    <col min="2052" max="2052" width="1.77734375" customWidth="1"/>
    <col min="2053" max="2053" width="13" customWidth="1"/>
    <col min="2054" max="2293" width="8.77734375"/>
    <col min="2294" max="2294" width="6" customWidth="1"/>
    <col min="2295" max="2295" width="1.44140625" customWidth="1"/>
    <col min="2296" max="2296" width="39.109375" customWidth="1"/>
    <col min="2297" max="2297" width="12" customWidth="1"/>
    <col min="2298" max="2298" width="14.44140625" customWidth="1"/>
    <col min="2299" max="2299" width="11.77734375" customWidth="1"/>
    <col min="2300" max="2300" width="14.109375" customWidth="1"/>
    <col min="2301" max="2301" width="13.77734375" customWidth="1"/>
    <col min="2302" max="2303" width="12.77734375" customWidth="1"/>
    <col min="2304" max="2304" width="13.5546875" customWidth="1"/>
    <col min="2305" max="2305" width="15.21875" customWidth="1"/>
    <col min="2306" max="2306" width="12.77734375" customWidth="1"/>
    <col min="2307" max="2307" width="13.77734375" customWidth="1"/>
    <col min="2308" max="2308" width="1.77734375" customWidth="1"/>
    <col min="2309" max="2309" width="13" customWidth="1"/>
    <col min="2310" max="2549" width="8.77734375"/>
    <col min="2550" max="2550" width="6" customWidth="1"/>
    <col min="2551" max="2551" width="1.44140625" customWidth="1"/>
    <col min="2552" max="2552" width="39.109375" customWidth="1"/>
    <col min="2553" max="2553" width="12" customWidth="1"/>
    <col min="2554" max="2554" width="14.44140625" customWidth="1"/>
    <col min="2555" max="2555" width="11.77734375" customWidth="1"/>
    <col min="2556" max="2556" width="14.109375" customWidth="1"/>
    <col min="2557" max="2557" width="13.77734375" customWidth="1"/>
    <col min="2558" max="2559" width="12.77734375" customWidth="1"/>
    <col min="2560" max="2560" width="13.5546875" customWidth="1"/>
    <col min="2561" max="2561" width="15.21875" customWidth="1"/>
    <col min="2562" max="2562" width="12.77734375" customWidth="1"/>
    <col min="2563" max="2563" width="13.77734375" customWidth="1"/>
    <col min="2564" max="2564" width="1.77734375" customWidth="1"/>
    <col min="2565" max="2565" width="13" customWidth="1"/>
    <col min="2566" max="2805" width="8.77734375"/>
    <col min="2806" max="2806" width="6" customWidth="1"/>
    <col min="2807" max="2807" width="1.44140625" customWidth="1"/>
    <col min="2808" max="2808" width="39.109375" customWidth="1"/>
    <col min="2809" max="2809" width="12" customWidth="1"/>
    <col min="2810" max="2810" width="14.44140625" customWidth="1"/>
    <col min="2811" max="2811" width="11.77734375" customWidth="1"/>
    <col min="2812" max="2812" width="14.109375" customWidth="1"/>
    <col min="2813" max="2813" width="13.77734375" customWidth="1"/>
    <col min="2814" max="2815" width="12.77734375" customWidth="1"/>
    <col min="2816" max="2816" width="13.5546875" customWidth="1"/>
    <col min="2817" max="2817" width="15.21875" customWidth="1"/>
    <col min="2818" max="2818" width="12.77734375" customWidth="1"/>
    <col min="2819" max="2819" width="13.77734375" customWidth="1"/>
    <col min="2820" max="2820" width="1.77734375" customWidth="1"/>
    <col min="2821" max="2821" width="13" customWidth="1"/>
    <col min="2822" max="3061" width="8.77734375"/>
    <col min="3062" max="3062" width="6" customWidth="1"/>
    <col min="3063" max="3063" width="1.44140625" customWidth="1"/>
    <col min="3064" max="3064" width="39.109375" customWidth="1"/>
    <col min="3065" max="3065" width="12" customWidth="1"/>
    <col min="3066" max="3066" width="14.44140625" customWidth="1"/>
    <col min="3067" max="3067" width="11.77734375" customWidth="1"/>
    <col min="3068" max="3068" width="14.109375" customWidth="1"/>
    <col min="3069" max="3069" width="13.77734375" customWidth="1"/>
    <col min="3070" max="3071" width="12.77734375" customWidth="1"/>
    <col min="3072" max="3072" width="13.5546875" customWidth="1"/>
    <col min="3073" max="3073" width="15.21875" customWidth="1"/>
    <col min="3074" max="3074" width="12.77734375" customWidth="1"/>
    <col min="3075" max="3075" width="13.77734375" customWidth="1"/>
    <col min="3076" max="3076" width="1.77734375" customWidth="1"/>
    <col min="3077" max="3077" width="13" customWidth="1"/>
    <col min="3078" max="3317" width="8.77734375"/>
    <col min="3318" max="3318" width="6" customWidth="1"/>
    <col min="3319" max="3319" width="1.44140625" customWidth="1"/>
    <col min="3320" max="3320" width="39.109375" customWidth="1"/>
    <col min="3321" max="3321" width="12" customWidth="1"/>
    <col min="3322" max="3322" width="14.44140625" customWidth="1"/>
    <col min="3323" max="3323" width="11.77734375" customWidth="1"/>
    <col min="3324" max="3324" width="14.109375" customWidth="1"/>
    <col min="3325" max="3325" width="13.77734375" customWidth="1"/>
    <col min="3326" max="3327" width="12.77734375" customWidth="1"/>
    <col min="3328" max="3328" width="13.5546875" customWidth="1"/>
    <col min="3329" max="3329" width="15.21875" customWidth="1"/>
    <col min="3330" max="3330" width="12.77734375" customWidth="1"/>
    <col min="3331" max="3331" width="13.77734375" customWidth="1"/>
    <col min="3332" max="3332" width="1.77734375" customWidth="1"/>
    <col min="3333" max="3333" width="13" customWidth="1"/>
    <col min="3334" max="3573" width="8.77734375"/>
    <col min="3574" max="3574" width="6" customWidth="1"/>
    <col min="3575" max="3575" width="1.44140625" customWidth="1"/>
    <col min="3576" max="3576" width="39.109375" customWidth="1"/>
    <col min="3577" max="3577" width="12" customWidth="1"/>
    <col min="3578" max="3578" width="14.44140625" customWidth="1"/>
    <col min="3579" max="3579" width="11.77734375" customWidth="1"/>
    <col min="3580" max="3580" width="14.109375" customWidth="1"/>
    <col min="3581" max="3581" width="13.77734375" customWidth="1"/>
    <col min="3582" max="3583" width="12.77734375" customWidth="1"/>
    <col min="3584" max="3584" width="13.5546875" customWidth="1"/>
    <col min="3585" max="3585" width="15.21875" customWidth="1"/>
    <col min="3586" max="3586" width="12.77734375" customWidth="1"/>
    <col min="3587" max="3587" width="13.77734375" customWidth="1"/>
    <col min="3588" max="3588" width="1.77734375" customWidth="1"/>
    <col min="3589" max="3589" width="13" customWidth="1"/>
    <col min="3590" max="3829" width="8.77734375"/>
    <col min="3830" max="3830" width="6" customWidth="1"/>
    <col min="3831" max="3831" width="1.44140625" customWidth="1"/>
    <col min="3832" max="3832" width="39.109375" customWidth="1"/>
    <col min="3833" max="3833" width="12" customWidth="1"/>
    <col min="3834" max="3834" width="14.44140625" customWidth="1"/>
    <col min="3835" max="3835" width="11.77734375" customWidth="1"/>
    <col min="3836" max="3836" width="14.109375" customWidth="1"/>
    <col min="3837" max="3837" width="13.77734375" customWidth="1"/>
    <col min="3838" max="3839" width="12.77734375" customWidth="1"/>
    <col min="3840" max="3840" width="13.5546875" customWidth="1"/>
    <col min="3841" max="3841" width="15.21875" customWidth="1"/>
    <col min="3842" max="3842" width="12.77734375" customWidth="1"/>
    <col min="3843" max="3843" width="13.77734375" customWidth="1"/>
    <col min="3844" max="3844" width="1.77734375" customWidth="1"/>
    <col min="3845" max="3845" width="13" customWidth="1"/>
    <col min="3846" max="4085" width="8.77734375"/>
    <col min="4086" max="4086" width="6" customWidth="1"/>
    <col min="4087" max="4087" width="1.44140625" customWidth="1"/>
    <col min="4088" max="4088" width="39.109375" customWidth="1"/>
    <col min="4089" max="4089" width="12" customWidth="1"/>
    <col min="4090" max="4090" width="14.44140625" customWidth="1"/>
    <col min="4091" max="4091" width="11.77734375" customWidth="1"/>
    <col min="4092" max="4092" width="14.109375" customWidth="1"/>
    <col min="4093" max="4093" width="13.77734375" customWidth="1"/>
    <col min="4094" max="4095" width="12.77734375" customWidth="1"/>
    <col min="4096" max="4096" width="13.5546875" customWidth="1"/>
    <col min="4097" max="4097" width="15.21875" customWidth="1"/>
    <col min="4098" max="4098" width="12.77734375" customWidth="1"/>
    <col min="4099" max="4099" width="13.77734375" customWidth="1"/>
    <col min="4100" max="4100" width="1.77734375" customWidth="1"/>
    <col min="4101" max="4101" width="13" customWidth="1"/>
    <col min="4102" max="4341" width="8.77734375"/>
    <col min="4342" max="4342" width="6" customWidth="1"/>
    <col min="4343" max="4343" width="1.44140625" customWidth="1"/>
    <col min="4344" max="4344" width="39.109375" customWidth="1"/>
    <col min="4345" max="4345" width="12" customWidth="1"/>
    <col min="4346" max="4346" width="14.44140625" customWidth="1"/>
    <col min="4347" max="4347" width="11.77734375" customWidth="1"/>
    <col min="4348" max="4348" width="14.109375" customWidth="1"/>
    <col min="4349" max="4349" width="13.77734375" customWidth="1"/>
    <col min="4350" max="4351" width="12.77734375" customWidth="1"/>
    <col min="4352" max="4352" width="13.5546875" customWidth="1"/>
    <col min="4353" max="4353" width="15.21875" customWidth="1"/>
    <col min="4354" max="4354" width="12.77734375" customWidth="1"/>
    <col min="4355" max="4355" width="13.77734375" customWidth="1"/>
    <col min="4356" max="4356" width="1.77734375" customWidth="1"/>
    <col min="4357" max="4357" width="13" customWidth="1"/>
    <col min="4358" max="4597" width="8.77734375"/>
    <col min="4598" max="4598" width="6" customWidth="1"/>
    <col min="4599" max="4599" width="1.44140625" customWidth="1"/>
    <col min="4600" max="4600" width="39.109375" customWidth="1"/>
    <col min="4601" max="4601" width="12" customWidth="1"/>
    <col min="4602" max="4602" width="14.44140625" customWidth="1"/>
    <col min="4603" max="4603" width="11.77734375" customWidth="1"/>
    <col min="4604" max="4604" width="14.109375" customWidth="1"/>
    <col min="4605" max="4605" width="13.77734375" customWidth="1"/>
    <col min="4606" max="4607" width="12.77734375" customWidth="1"/>
    <col min="4608" max="4608" width="13.5546875" customWidth="1"/>
    <col min="4609" max="4609" width="15.21875" customWidth="1"/>
    <col min="4610" max="4610" width="12.77734375" customWidth="1"/>
    <col min="4611" max="4611" width="13.77734375" customWidth="1"/>
    <col min="4612" max="4612" width="1.77734375" customWidth="1"/>
    <col min="4613" max="4613" width="13" customWidth="1"/>
    <col min="4614" max="4853" width="8.77734375"/>
    <col min="4854" max="4854" width="6" customWidth="1"/>
    <col min="4855" max="4855" width="1.44140625" customWidth="1"/>
    <col min="4856" max="4856" width="39.109375" customWidth="1"/>
    <col min="4857" max="4857" width="12" customWidth="1"/>
    <col min="4858" max="4858" width="14.44140625" customWidth="1"/>
    <col min="4859" max="4859" width="11.77734375" customWidth="1"/>
    <col min="4860" max="4860" width="14.109375" customWidth="1"/>
    <col min="4861" max="4861" width="13.77734375" customWidth="1"/>
    <col min="4862" max="4863" width="12.77734375" customWidth="1"/>
    <col min="4864" max="4864" width="13.5546875" customWidth="1"/>
    <col min="4865" max="4865" width="15.21875" customWidth="1"/>
    <col min="4866" max="4866" width="12.77734375" customWidth="1"/>
    <col min="4867" max="4867" width="13.77734375" customWidth="1"/>
    <col min="4868" max="4868" width="1.77734375" customWidth="1"/>
    <col min="4869" max="4869" width="13" customWidth="1"/>
    <col min="4870" max="5109" width="8.77734375"/>
    <col min="5110" max="5110" width="6" customWidth="1"/>
    <col min="5111" max="5111" width="1.44140625" customWidth="1"/>
    <col min="5112" max="5112" width="39.109375" customWidth="1"/>
    <col min="5113" max="5113" width="12" customWidth="1"/>
    <col min="5114" max="5114" width="14.44140625" customWidth="1"/>
    <col min="5115" max="5115" width="11.77734375" customWidth="1"/>
    <col min="5116" max="5116" width="14.109375" customWidth="1"/>
    <col min="5117" max="5117" width="13.77734375" customWidth="1"/>
    <col min="5118" max="5119" width="12.77734375" customWidth="1"/>
    <col min="5120" max="5120" width="13.5546875" customWidth="1"/>
    <col min="5121" max="5121" width="15.21875" customWidth="1"/>
    <col min="5122" max="5122" width="12.77734375" customWidth="1"/>
    <col min="5123" max="5123" width="13.77734375" customWidth="1"/>
    <col min="5124" max="5124" width="1.77734375" customWidth="1"/>
    <col min="5125" max="5125" width="13" customWidth="1"/>
    <col min="5126" max="5365" width="8.77734375"/>
    <col min="5366" max="5366" width="6" customWidth="1"/>
    <col min="5367" max="5367" width="1.44140625" customWidth="1"/>
    <col min="5368" max="5368" width="39.109375" customWidth="1"/>
    <col min="5369" max="5369" width="12" customWidth="1"/>
    <col min="5370" max="5370" width="14.44140625" customWidth="1"/>
    <col min="5371" max="5371" width="11.77734375" customWidth="1"/>
    <col min="5372" max="5372" width="14.109375" customWidth="1"/>
    <col min="5373" max="5373" width="13.77734375" customWidth="1"/>
    <col min="5374" max="5375" width="12.77734375" customWidth="1"/>
    <col min="5376" max="5376" width="13.5546875" customWidth="1"/>
    <col min="5377" max="5377" width="15.21875" customWidth="1"/>
    <col min="5378" max="5378" width="12.77734375" customWidth="1"/>
    <col min="5379" max="5379" width="13.77734375" customWidth="1"/>
    <col min="5380" max="5380" width="1.77734375" customWidth="1"/>
    <col min="5381" max="5381" width="13" customWidth="1"/>
    <col min="5382" max="5621" width="8.77734375"/>
    <col min="5622" max="5622" width="6" customWidth="1"/>
    <col min="5623" max="5623" width="1.44140625" customWidth="1"/>
    <col min="5624" max="5624" width="39.109375" customWidth="1"/>
    <col min="5625" max="5625" width="12" customWidth="1"/>
    <col min="5626" max="5626" width="14.44140625" customWidth="1"/>
    <col min="5627" max="5627" width="11.77734375" customWidth="1"/>
    <col min="5628" max="5628" width="14.109375" customWidth="1"/>
    <col min="5629" max="5629" width="13.77734375" customWidth="1"/>
    <col min="5630" max="5631" width="12.77734375" customWidth="1"/>
    <col min="5632" max="5632" width="13.5546875" customWidth="1"/>
    <col min="5633" max="5633" width="15.21875" customWidth="1"/>
    <col min="5634" max="5634" width="12.77734375" customWidth="1"/>
    <col min="5635" max="5635" width="13.77734375" customWidth="1"/>
    <col min="5636" max="5636" width="1.77734375" customWidth="1"/>
    <col min="5637" max="5637" width="13" customWidth="1"/>
    <col min="5638" max="5877" width="8.77734375"/>
    <col min="5878" max="5878" width="6" customWidth="1"/>
    <col min="5879" max="5879" width="1.44140625" customWidth="1"/>
    <col min="5880" max="5880" width="39.109375" customWidth="1"/>
    <col min="5881" max="5881" width="12" customWidth="1"/>
    <col min="5882" max="5882" width="14.44140625" customWidth="1"/>
    <col min="5883" max="5883" width="11.77734375" customWidth="1"/>
    <col min="5884" max="5884" width="14.109375" customWidth="1"/>
    <col min="5885" max="5885" width="13.77734375" customWidth="1"/>
    <col min="5886" max="5887" width="12.77734375" customWidth="1"/>
    <col min="5888" max="5888" width="13.5546875" customWidth="1"/>
    <col min="5889" max="5889" width="15.21875" customWidth="1"/>
    <col min="5890" max="5890" width="12.77734375" customWidth="1"/>
    <col min="5891" max="5891" width="13.77734375" customWidth="1"/>
    <col min="5892" max="5892" width="1.77734375" customWidth="1"/>
    <col min="5893" max="5893" width="13" customWidth="1"/>
    <col min="5894" max="6133" width="8.77734375"/>
    <col min="6134" max="6134" width="6" customWidth="1"/>
    <col min="6135" max="6135" width="1.44140625" customWidth="1"/>
    <col min="6136" max="6136" width="39.109375" customWidth="1"/>
    <col min="6137" max="6137" width="12" customWidth="1"/>
    <col min="6138" max="6138" width="14.44140625" customWidth="1"/>
    <col min="6139" max="6139" width="11.77734375" customWidth="1"/>
    <col min="6140" max="6140" width="14.109375" customWidth="1"/>
    <col min="6141" max="6141" width="13.77734375" customWidth="1"/>
    <col min="6142" max="6143" width="12.77734375" customWidth="1"/>
    <col min="6144" max="6144" width="13.5546875" customWidth="1"/>
    <col min="6145" max="6145" width="15.21875" customWidth="1"/>
    <col min="6146" max="6146" width="12.77734375" customWidth="1"/>
    <col min="6147" max="6147" width="13.77734375" customWidth="1"/>
    <col min="6148" max="6148" width="1.77734375" customWidth="1"/>
    <col min="6149" max="6149" width="13" customWidth="1"/>
    <col min="6150" max="6389" width="8.77734375"/>
    <col min="6390" max="6390" width="6" customWidth="1"/>
    <col min="6391" max="6391" width="1.44140625" customWidth="1"/>
    <col min="6392" max="6392" width="39.109375" customWidth="1"/>
    <col min="6393" max="6393" width="12" customWidth="1"/>
    <col min="6394" max="6394" width="14.44140625" customWidth="1"/>
    <col min="6395" max="6395" width="11.77734375" customWidth="1"/>
    <col min="6396" max="6396" width="14.109375" customWidth="1"/>
    <col min="6397" max="6397" width="13.77734375" customWidth="1"/>
    <col min="6398" max="6399" width="12.77734375" customWidth="1"/>
    <col min="6400" max="6400" width="13.5546875" customWidth="1"/>
    <col min="6401" max="6401" width="15.21875" customWidth="1"/>
    <col min="6402" max="6402" width="12.77734375" customWidth="1"/>
    <col min="6403" max="6403" width="13.77734375" customWidth="1"/>
    <col min="6404" max="6404" width="1.77734375" customWidth="1"/>
    <col min="6405" max="6405" width="13" customWidth="1"/>
    <col min="6406" max="6645" width="8.77734375"/>
    <col min="6646" max="6646" width="6" customWidth="1"/>
    <col min="6647" max="6647" width="1.44140625" customWidth="1"/>
    <col min="6648" max="6648" width="39.109375" customWidth="1"/>
    <col min="6649" max="6649" width="12" customWidth="1"/>
    <col min="6650" max="6650" width="14.44140625" customWidth="1"/>
    <col min="6651" max="6651" width="11.77734375" customWidth="1"/>
    <col min="6652" max="6652" width="14.109375" customWidth="1"/>
    <col min="6653" max="6653" width="13.77734375" customWidth="1"/>
    <col min="6654" max="6655" width="12.77734375" customWidth="1"/>
    <col min="6656" max="6656" width="13.5546875" customWidth="1"/>
    <col min="6657" max="6657" width="15.21875" customWidth="1"/>
    <col min="6658" max="6658" width="12.77734375" customWidth="1"/>
    <col min="6659" max="6659" width="13.77734375" customWidth="1"/>
    <col min="6660" max="6660" width="1.77734375" customWidth="1"/>
    <col min="6661" max="6661" width="13" customWidth="1"/>
    <col min="6662" max="6901" width="8.77734375"/>
    <col min="6902" max="6902" width="6" customWidth="1"/>
    <col min="6903" max="6903" width="1.44140625" customWidth="1"/>
    <col min="6904" max="6904" width="39.109375" customWidth="1"/>
    <col min="6905" max="6905" width="12" customWidth="1"/>
    <col min="6906" max="6906" width="14.44140625" customWidth="1"/>
    <col min="6907" max="6907" width="11.77734375" customWidth="1"/>
    <col min="6908" max="6908" width="14.109375" customWidth="1"/>
    <col min="6909" max="6909" width="13.77734375" customWidth="1"/>
    <col min="6910" max="6911" width="12.77734375" customWidth="1"/>
    <col min="6912" max="6912" width="13.5546875" customWidth="1"/>
    <col min="6913" max="6913" width="15.21875" customWidth="1"/>
    <col min="6914" max="6914" width="12.77734375" customWidth="1"/>
    <col min="6915" max="6915" width="13.77734375" customWidth="1"/>
    <col min="6916" max="6916" width="1.77734375" customWidth="1"/>
    <col min="6917" max="6917" width="13" customWidth="1"/>
    <col min="6918" max="7157" width="8.77734375"/>
    <col min="7158" max="7158" width="6" customWidth="1"/>
    <col min="7159" max="7159" width="1.44140625" customWidth="1"/>
    <col min="7160" max="7160" width="39.109375" customWidth="1"/>
    <col min="7161" max="7161" width="12" customWidth="1"/>
    <col min="7162" max="7162" width="14.44140625" customWidth="1"/>
    <col min="7163" max="7163" width="11.77734375" customWidth="1"/>
    <col min="7164" max="7164" width="14.109375" customWidth="1"/>
    <col min="7165" max="7165" width="13.77734375" customWidth="1"/>
    <col min="7166" max="7167" width="12.77734375" customWidth="1"/>
    <col min="7168" max="7168" width="13.5546875" customWidth="1"/>
    <col min="7169" max="7169" width="15.21875" customWidth="1"/>
    <col min="7170" max="7170" width="12.77734375" customWidth="1"/>
    <col min="7171" max="7171" width="13.77734375" customWidth="1"/>
    <col min="7172" max="7172" width="1.77734375" customWidth="1"/>
    <col min="7173" max="7173" width="13" customWidth="1"/>
    <col min="7174" max="7413" width="8.77734375"/>
    <col min="7414" max="7414" width="6" customWidth="1"/>
    <col min="7415" max="7415" width="1.44140625" customWidth="1"/>
    <col min="7416" max="7416" width="39.109375" customWidth="1"/>
    <col min="7417" max="7417" width="12" customWidth="1"/>
    <col min="7418" max="7418" width="14.44140625" customWidth="1"/>
    <col min="7419" max="7419" width="11.77734375" customWidth="1"/>
    <col min="7420" max="7420" width="14.109375" customWidth="1"/>
    <col min="7421" max="7421" width="13.77734375" customWidth="1"/>
    <col min="7422" max="7423" width="12.77734375" customWidth="1"/>
    <col min="7424" max="7424" width="13.5546875" customWidth="1"/>
    <col min="7425" max="7425" width="15.21875" customWidth="1"/>
    <col min="7426" max="7426" width="12.77734375" customWidth="1"/>
    <col min="7427" max="7427" width="13.77734375" customWidth="1"/>
    <col min="7428" max="7428" width="1.77734375" customWidth="1"/>
    <col min="7429" max="7429" width="13" customWidth="1"/>
    <col min="7430" max="7669" width="8.77734375"/>
    <col min="7670" max="7670" width="6" customWidth="1"/>
    <col min="7671" max="7671" width="1.44140625" customWidth="1"/>
    <col min="7672" max="7672" width="39.109375" customWidth="1"/>
    <col min="7673" max="7673" width="12" customWidth="1"/>
    <col min="7674" max="7674" width="14.44140625" customWidth="1"/>
    <col min="7675" max="7675" width="11.77734375" customWidth="1"/>
    <col min="7676" max="7676" width="14.109375" customWidth="1"/>
    <col min="7677" max="7677" width="13.77734375" customWidth="1"/>
    <col min="7678" max="7679" width="12.77734375" customWidth="1"/>
    <col min="7680" max="7680" width="13.5546875" customWidth="1"/>
    <col min="7681" max="7681" width="15.21875" customWidth="1"/>
    <col min="7682" max="7682" width="12.77734375" customWidth="1"/>
    <col min="7683" max="7683" width="13.77734375" customWidth="1"/>
    <col min="7684" max="7684" width="1.77734375" customWidth="1"/>
    <col min="7685" max="7685" width="13" customWidth="1"/>
    <col min="7686" max="7925" width="8.77734375"/>
    <col min="7926" max="7926" width="6" customWidth="1"/>
    <col min="7927" max="7927" width="1.44140625" customWidth="1"/>
    <col min="7928" max="7928" width="39.109375" customWidth="1"/>
    <col min="7929" max="7929" width="12" customWidth="1"/>
    <col min="7930" max="7930" width="14.44140625" customWidth="1"/>
    <col min="7931" max="7931" width="11.77734375" customWidth="1"/>
    <col min="7932" max="7932" width="14.109375" customWidth="1"/>
    <col min="7933" max="7933" width="13.77734375" customWidth="1"/>
    <col min="7934" max="7935" width="12.77734375" customWidth="1"/>
    <col min="7936" max="7936" width="13.5546875" customWidth="1"/>
    <col min="7937" max="7937" width="15.21875" customWidth="1"/>
    <col min="7938" max="7938" width="12.77734375" customWidth="1"/>
    <col min="7939" max="7939" width="13.77734375" customWidth="1"/>
    <col min="7940" max="7940" width="1.77734375" customWidth="1"/>
    <col min="7941" max="7941" width="13" customWidth="1"/>
    <col min="7942" max="8181" width="8.77734375"/>
    <col min="8182" max="8182" width="6" customWidth="1"/>
    <col min="8183" max="8183" width="1.44140625" customWidth="1"/>
    <col min="8184" max="8184" width="39.109375" customWidth="1"/>
    <col min="8185" max="8185" width="12" customWidth="1"/>
    <col min="8186" max="8186" width="14.44140625" customWidth="1"/>
    <col min="8187" max="8187" width="11.77734375" customWidth="1"/>
    <col min="8188" max="8188" width="14.109375" customWidth="1"/>
    <col min="8189" max="8189" width="13.77734375" customWidth="1"/>
    <col min="8190" max="8191" width="12.77734375" customWidth="1"/>
    <col min="8192" max="8192" width="13.5546875" customWidth="1"/>
    <col min="8193" max="8193" width="15.21875" customWidth="1"/>
    <col min="8194" max="8194" width="12.77734375" customWidth="1"/>
    <col min="8195" max="8195" width="13.77734375" customWidth="1"/>
    <col min="8196" max="8196" width="1.77734375" customWidth="1"/>
    <col min="8197" max="8197" width="13" customWidth="1"/>
    <col min="8198" max="8437" width="8.77734375"/>
    <col min="8438" max="8438" width="6" customWidth="1"/>
    <col min="8439" max="8439" width="1.44140625" customWidth="1"/>
    <col min="8440" max="8440" width="39.109375" customWidth="1"/>
    <col min="8441" max="8441" width="12" customWidth="1"/>
    <col min="8442" max="8442" width="14.44140625" customWidth="1"/>
    <col min="8443" max="8443" width="11.77734375" customWidth="1"/>
    <col min="8444" max="8444" width="14.109375" customWidth="1"/>
    <col min="8445" max="8445" width="13.77734375" customWidth="1"/>
    <col min="8446" max="8447" width="12.77734375" customWidth="1"/>
    <col min="8448" max="8448" width="13.5546875" customWidth="1"/>
    <col min="8449" max="8449" width="15.21875" customWidth="1"/>
    <col min="8450" max="8450" width="12.77734375" customWidth="1"/>
    <col min="8451" max="8451" width="13.77734375" customWidth="1"/>
    <col min="8452" max="8452" width="1.77734375" customWidth="1"/>
    <col min="8453" max="8453" width="13" customWidth="1"/>
    <col min="8454" max="8693" width="8.77734375"/>
    <col min="8694" max="8694" width="6" customWidth="1"/>
    <col min="8695" max="8695" width="1.44140625" customWidth="1"/>
    <col min="8696" max="8696" width="39.109375" customWidth="1"/>
    <col min="8697" max="8697" width="12" customWidth="1"/>
    <col min="8698" max="8698" width="14.44140625" customWidth="1"/>
    <col min="8699" max="8699" width="11.77734375" customWidth="1"/>
    <col min="8700" max="8700" width="14.109375" customWidth="1"/>
    <col min="8701" max="8701" width="13.77734375" customWidth="1"/>
    <col min="8702" max="8703" width="12.77734375" customWidth="1"/>
    <col min="8704" max="8704" width="13.5546875" customWidth="1"/>
    <col min="8705" max="8705" width="15.21875" customWidth="1"/>
    <col min="8706" max="8706" width="12.77734375" customWidth="1"/>
    <col min="8707" max="8707" width="13.77734375" customWidth="1"/>
    <col min="8708" max="8708" width="1.77734375" customWidth="1"/>
    <col min="8709" max="8709" width="13" customWidth="1"/>
    <col min="8710" max="8949" width="8.77734375"/>
    <col min="8950" max="8950" width="6" customWidth="1"/>
    <col min="8951" max="8951" width="1.44140625" customWidth="1"/>
    <col min="8952" max="8952" width="39.109375" customWidth="1"/>
    <col min="8953" max="8953" width="12" customWidth="1"/>
    <col min="8954" max="8954" width="14.44140625" customWidth="1"/>
    <col min="8955" max="8955" width="11.77734375" customWidth="1"/>
    <col min="8956" max="8956" width="14.109375" customWidth="1"/>
    <col min="8957" max="8957" width="13.77734375" customWidth="1"/>
    <col min="8958" max="8959" width="12.77734375" customWidth="1"/>
    <col min="8960" max="8960" width="13.5546875" customWidth="1"/>
    <col min="8961" max="8961" width="15.21875" customWidth="1"/>
    <col min="8962" max="8962" width="12.77734375" customWidth="1"/>
    <col min="8963" max="8963" width="13.77734375" customWidth="1"/>
    <col min="8964" max="8964" width="1.77734375" customWidth="1"/>
    <col min="8965" max="8965" width="13" customWidth="1"/>
    <col min="8966" max="9205" width="8.77734375"/>
    <col min="9206" max="9206" width="6" customWidth="1"/>
    <col min="9207" max="9207" width="1.44140625" customWidth="1"/>
    <col min="9208" max="9208" width="39.109375" customWidth="1"/>
    <col min="9209" max="9209" width="12" customWidth="1"/>
    <col min="9210" max="9210" width="14.44140625" customWidth="1"/>
    <col min="9211" max="9211" width="11.77734375" customWidth="1"/>
    <col min="9212" max="9212" width="14.109375" customWidth="1"/>
    <col min="9213" max="9213" width="13.77734375" customWidth="1"/>
    <col min="9214" max="9215" width="12.77734375" customWidth="1"/>
    <col min="9216" max="9216" width="13.5546875" customWidth="1"/>
    <col min="9217" max="9217" width="15.21875" customWidth="1"/>
    <col min="9218" max="9218" width="12.77734375" customWidth="1"/>
    <col min="9219" max="9219" width="13.77734375" customWidth="1"/>
    <col min="9220" max="9220" width="1.77734375" customWidth="1"/>
    <col min="9221" max="9221" width="13" customWidth="1"/>
    <col min="9222" max="9461" width="8.77734375"/>
    <col min="9462" max="9462" width="6" customWidth="1"/>
    <col min="9463" max="9463" width="1.44140625" customWidth="1"/>
    <col min="9464" max="9464" width="39.109375" customWidth="1"/>
    <col min="9465" max="9465" width="12" customWidth="1"/>
    <col min="9466" max="9466" width="14.44140625" customWidth="1"/>
    <col min="9467" max="9467" width="11.77734375" customWidth="1"/>
    <col min="9468" max="9468" width="14.109375" customWidth="1"/>
    <col min="9469" max="9469" width="13.77734375" customWidth="1"/>
    <col min="9470" max="9471" width="12.77734375" customWidth="1"/>
    <col min="9472" max="9472" width="13.5546875" customWidth="1"/>
    <col min="9473" max="9473" width="15.21875" customWidth="1"/>
    <col min="9474" max="9474" width="12.77734375" customWidth="1"/>
    <col min="9475" max="9475" width="13.77734375" customWidth="1"/>
    <col min="9476" max="9476" width="1.77734375" customWidth="1"/>
    <col min="9477" max="9477" width="13" customWidth="1"/>
    <col min="9478" max="9717" width="8.77734375"/>
    <col min="9718" max="9718" width="6" customWidth="1"/>
    <col min="9719" max="9719" width="1.44140625" customWidth="1"/>
    <col min="9720" max="9720" width="39.109375" customWidth="1"/>
    <col min="9721" max="9721" width="12" customWidth="1"/>
    <col min="9722" max="9722" width="14.44140625" customWidth="1"/>
    <col min="9723" max="9723" width="11.77734375" customWidth="1"/>
    <col min="9724" max="9724" width="14.109375" customWidth="1"/>
    <col min="9725" max="9725" width="13.77734375" customWidth="1"/>
    <col min="9726" max="9727" width="12.77734375" customWidth="1"/>
    <col min="9728" max="9728" width="13.5546875" customWidth="1"/>
    <col min="9729" max="9729" width="15.21875" customWidth="1"/>
    <col min="9730" max="9730" width="12.77734375" customWidth="1"/>
    <col min="9731" max="9731" width="13.77734375" customWidth="1"/>
    <col min="9732" max="9732" width="1.77734375" customWidth="1"/>
    <col min="9733" max="9733" width="13" customWidth="1"/>
    <col min="9734" max="9973" width="8.77734375"/>
    <col min="9974" max="9974" width="6" customWidth="1"/>
    <col min="9975" max="9975" width="1.44140625" customWidth="1"/>
    <col min="9976" max="9976" width="39.109375" customWidth="1"/>
    <col min="9977" max="9977" width="12" customWidth="1"/>
    <col min="9978" max="9978" width="14.44140625" customWidth="1"/>
    <col min="9979" max="9979" width="11.77734375" customWidth="1"/>
    <col min="9980" max="9980" width="14.109375" customWidth="1"/>
    <col min="9981" max="9981" width="13.77734375" customWidth="1"/>
    <col min="9982" max="9983" width="12.77734375" customWidth="1"/>
    <col min="9984" max="9984" width="13.5546875" customWidth="1"/>
    <col min="9985" max="9985" width="15.21875" customWidth="1"/>
    <col min="9986" max="9986" width="12.77734375" customWidth="1"/>
    <col min="9987" max="9987" width="13.77734375" customWidth="1"/>
    <col min="9988" max="9988" width="1.77734375" customWidth="1"/>
    <col min="9989" max="9989" width="13" customWidth="1"/>
    <col min="9990" max="10229" width="8.77734375"/>
    <col min="10230" max="10230" width="6" customWidth="1"/>
    <col min="10231" max="10231" width="1.44140625" customWidth="1"/>
    <col min="10232" max="10232" width="39.109375" customWidth="1"/>
    <col min="10233" max="10233" width="12" customWidth="1"/>
    <col min="10234" max="10234" width="14.44140625" customWidth="1"/>
    <col min="10235" max="10235" width="11.77734375" customWidth="1"/>
    <col min="10236" max="10236" width="14.109375" customWidth="1"/>
    <col min="10237" max="10237" width="13.77734375" customWidth="1"/>
    <col min="10238" max="10239" width="12.77734375" customWidth="1"/>
    <col min="10240" max="10240" width="13.5546875" customWidth="1"/>
    <col min="10241" max="10241" width="15.21875" customWidth="1"/>
    <col min="10242" max="10242" width="12.77734375" customWidth="1"/>
    <col min="10243" max="10243" width="13.77734375" customWidth="1"/>
    <col min="10244" max="10244" width="1.77734375" customWidth="1"/>
    <col min="10245" max="10245" width="13" customWidth="1"/>
    <col min="10246" max="10485" width="8.77734375"/>
    <col min="10486" max="10486" width="6" customWidth="1"/>
    <col min="10487" max="10487" width="1.44140625" customWidth="1"/>
    <col min="10488" max="10488" width="39.109375" customWidth="1"/>
    <col min="10489" max="10489" width="12" customWidth="1"/>
    <col min="10490" max="10490" width="14.44140625" customWidth="1"/>
    <col min="10491" max="10491" width="11.77734375" customWidth="1"/>
    <col min="10492" max="10492" width="14.109375" customWidth="1"/>
    <col min="10493" max="10493" width="13.77734375" customWidth="1"/>
    <col min="10494" max="10495" width="12.77734375" customWidth="1"/>
    <col min="10496" max="10496" width="13.5546875" customWidth="1"/>
    <col min="10497" max="10497" width="15.21875" customWidth="1"/>
    <col min="10498" max="10498" width="12.77734375" customWidth="1"/>
    <col min="10499" max="10499" width="13.77734375" customWidth="1"/>
    <col min="10500" max="10500" width="1.77734375" customWidth="1"/>
    <col min="10501" max="10501" width="13" customWidth="1"/>
    <col min="10502" max="10741" width="8.77734375"/>
    <col min="10742" max="10742" width="6" customWidth="1"/>
    <col min="10743" max="10743" width="1.44140625" customWidth="1"/>
    <col min="10744" max="10744" width="39.109375" customWidth="1"/>
    <col min="10745" max="10745" width="12" customWidth="1"/>
    <col min="10746" max="10746" width="14.44140625" customWidth="1"/>
    <col min="10747" max="10747" width="11.77734375" customWidth="1"/>
    <col min="10748" max="10748" width="14.109375" customWidth="1"/>
    <col min="10749" max="10749" width="13.77734375" customWidth="1"/>
    <col min="10750" max="10751" width="12.77734375" customWidth="1"/>
    <col min="10752" max="10752" width="13.5546875" customWidth="1"/>
    <col min="10753" max="10753" width="15.21875" customWidth="1"/>
    <col min="10754" max="10754" width="12.77734375" customWidth="1"/>
    <col min="10755" max="10755" width="13.77734375" customWidth="1"/>
    <col min="10756" max="10756" width="1.77734375" customWidth="1"/>
    <col min="10757" max="10757" width="13" customWidth="1"/>
    <col min="10758" max="10997" width="8.77734375"/>
    <col min="10998" max="10998" width="6" customWidth="1"/>
    <col min="10999" max="10999" width="1.44140625" customWidth="1"/>
    <col min="11000" max="11000" width="39.109375" customWidth="1"/>
    <col min="11001" max="11001" width="12" customWidth="1"/>
    <col min="11002" max="11002" width="14.44140625" customWidth="1"/>
    <col min="11003" max="11003" width="11.77734375" customWidth="1"/>
    <col min="11004" max="11004" width="14.109375" customWidth="1"/>
    <col min="11005" max="11005" width="13.77734375" customWidth="1"/>
    <col min="11006" max="11007" width="12.77734375" customWidth="1"/>
    <col min="11008" max="11008" width="13.5546875" customWidth="1"/>
    <col min="11009" max="11009" width="15.21875" customWidth="1"/>
    <col min="11010" max="11010" width="12.77734375" customWidth="1"/>
    <col min="11011" max="11011" width="13.77734375" customWidth="1"/>
    <col min="11012" max="11012" width="1.77734375" customWidth="1"/>
    <col min="11013" max="11013" width="13" customWidth="1"/>
    <col min="11014" max="11253" width="8.77734375"/>
    <col min="11254" max="11254" width="6" customWidth="1"/>
    <col min="11255" max="11255" width="1.44140625" customWidth="1"/>
    <col min="11256" max="11256" width="39.109375" customWidth="1"/>
    <col min="11257" max="11257" width="12" customWidth="1"/>
    <col min="11258" max="11258" width="14.44140625" customWidth="1"/>
    <col min="11259" max="11259" width="11.77734375" customWidth="1"/>
    <col min="11260" max="11260" width="14.109375" customWidth="1"/>
    <col min="11261" max="11261" width="13.77734375" customWidth="1"/>
    <col min="11262" max="11263" width="12.77734375" customWidth="1"/>
    <col min="11264" max="11264" width="13.5546875" customWidth="1"/>
    <col min="11265" max="11265" width="15.21875" customWidth="1"/>
    <col min="11266" max="11266" width="12.77734375" customWidth="1"/>
    <col min="11267" max="11267" width="13.77734375" customWidth="1"/>
    <col min="11268" max="11268" width="1.77734375" customWidth="1"/>
    <col min="11269" max="11269" width="13" customWidth="1"/>
    <col min="11270" max="11509" width="8.77734375"/>
    <col min="11510" max="11510" width="6" customWidth="1"/>
    <col min="11511" max="11511" width="1.44140625" customWidth="1"/>
    <col min="11512" max="11512" width="39.109375" customWidth="1"/>
    <col min="11513" max="11513" width="12" customWidth="1"/>
    <col min="11514" max="11514" width="14.44140625" customWidth="1"/>
    <col min="11515" max="11515" width="11.77734375" customWidth="1"/>
    <col min="11516" max="11516" width="14.109375" customWidth="1"/>
    <col min="11517" max="11517" width="13.77734375" customWidth="1"/>
    <col min="11518" max="11519" width="12.77734375" customWidth="1"/>
    <col min="11520" max="11520" width="13.5546875" customWidth="1"/>
    <col min="11521" max="11521" width="15.21875" customWidth="1"/>
    <col min="11522" max="11522" width="12.77734375" customWidth="1"/>
    <col min="11523" max="11523" width="13.77734375" customWidth="1"/>
    <col min="11524" max="11524" width="1.77734375" customWidth="1"/>
    <col min="11525" max="11525" width="13" customWidth="1"/>
    <col min="11526" max="11765" width="8.77734375"/>
    <col min="11766" max="11766" width="6" customWidth="1"/>
    <col min="11767" max="11767" width="1.44140625" customWidth="1"/>
    <col min="11768" max="11768" width="39.109375" customWidth="1"/>
    <col min="11769" max="11769" width="12" customWidth="1"/>
    <col min="11770" max="11770" width="14.44140625" customWidth="1"/>
    <col min="11771" max="11771" width="11.77734375" customWidth="1"/>
    <col min="11772" max="11772" width="14.109375" customWidth="1"/>
    <col min="11773" max="11773" width="13.77734375" customWidth="1"/>
    <col min="11774" max="11775" width="12.77734375" customWidth="1"/>
    <col min="11776" max="11776" width="13.5546875" customWidth="1"/>
    <col min="11777" max="11777" width="15.21875" customWidth="1"/>
    <col min="11778" max="11778" width="12.77734375" customWidth="1"/>
    <col min="11779" max="11779" width="13.77734375" customWidth="1"/>
    <col min="11780" max="11780" width="1.77734375" customWidth="1"/>
    <col min="11781" max="11781" width="13" customWidth="1"/>
    <col min="11782" max="12021" width="8.77734375"/>
    <col min="12022" max="12022" width="6" customWidth="1"/>
    <col min="12023" max="12023" width="1.44140625" customWidth="1"/>
    <col min="12024" max="12024" width="39.109375" customWidth="1"/>
    <col min="12025" max="12025" width="12" customWidth="1"/>
    <col min="12026" max="12026" width="14.44140625" customWidth="1"/>
    <col min="12027" max="12027" width="11.77734375" customWidth="1"/>
    <col min="12028" max="12028" width="14.109375" customWidth="1"/>
    <col min="12029" max="12029" width="13.77734375" customWidth="1"/>
    <col min="12030" max="12031" width="12.77734375" customWidth="1"/>
    <col min="12032" max="12032" width="13.5546875" customWidth="1"/>
    <col min="12033" max="12033" width="15.21875" customWidth="1"/>
    <col min="12034" max="12034" width="12.77734375" customWidth="1"/>
    <col min="12035" max="12035" width="13.77734375" customWidth="1"/>
    <col min="12036" max="12036" width="1.77734375" customWidth="1"/>
    <col min="12037" max="12037" width="13" customWidth="1"/>
    <col min="12038" max="12277" width="8.77734375"/>
    <col min="12278" max="12278" width="6" customWidth="1"/>
    <col min="12279" max="12279" width="1.44140625" customWidth="1"/>
    <col min="12280" max="12280" width="39.109375" customWidth="1"/>
    <col min="12281" max="12281" width="12" customWidth="1"/>
    <col min="12282" max="12282" width="14.44140625" customWidth="1"/>
    <col min="12283" max="12283" width="11.77734375" customWidth="1"/>
    <col min="12284" max="12284" width="14.109375" customWidth="1"/>
    <col min="12285" max="12285" width="13.77734375" customWidth="1"/>
    <col min="12286" max="12287" width="12.77734375" customWidth="1"/>
    <col min="12288" max="12288" width="13.5546875" customWidth="1"/>
    <col min="12289" max="12289" width="15.21875" customWidth="1"/>
    <col min="12290" max="12290" width="12.77734375" customWidth="1"/>
    <col min="12291" max="12291" width="13.77734375" customWidth="1"/>
    <col min="12292" max="12292" width="1.77734375" customWidth="1"/>
    <col min="12293" max="12293" width="13" customWidth="1"/>
    <col min="12294" max="12533" width="8.77734375"/>
    <col min="12534" max="12534" width="6" customWidth="1"/>
    <col min="12535" max="12535" width="1.44140625" customWidth="1"/>
    <col min="12536" max="12536" width="39.109375" customWidth="1"/>
    <col min="12537" max="12537" width="12" customWidth="1"/>
    <col min="12538" max="12538" width="14.44140625" customWidth="1"/>
    <col min="12539" max="12539" width="11.77734375" customWidth="1"/>
    <col min="12540" max="12540" width="14.109375" customWidth="1"/>
    <col min="12541" max="12541" width="13.77734375" customWidth="1"/>
    <col min="12542" max="12543" width="12.77734375" customWidth="1"/>
    <col min="12544" max="12544" width="13.5546875" customWidth="1"/>
    <col min="12545" max="12545" width="15.21875" customWidth="1"/>
    <col min="12546" max="12546" width="12.77734375" customWidth="1"/>
    <col min="12547" max="12547" width="13.77734375" customWidth="1"/>
    <col min="12548" max="12548" width="1.77734375" customWidth="1"/>
    <col min="12549" max="12549" width="13" customWidth="1"/>
    <col min="12550" max="12789" width="8.77734375"/>
    <col min="12790" max="12790" width="6" customWidth="1"/>
    <col min="12791" max="12791" width="1.44140625" customWidth="1"/>
    <col min="12792" max="12792" width="39.109375" customWidth="1"/>
    <col min="12793" max="12793" width="12" customWidth="1"/>
    <col min="12794" max="12794" width="14.44140625" customWidth="1"/>
    <col min="12795" max="12795" width="11.77734375" customWidth="1"/>
    <col min="12796" max="12796" width="14.109375" customWidth="1"/>
    <col min="12797" max="12797" width="13.77734375" customWidth="1"/>
    <col min="12798" max="12799" width="12.77734375" customWidth="1"/>
    <col min="12800" max="12800" width="13.5546875" customWidth="1"/>
    <col min="12801" max="12801" width="15.21875" customWidth="1"/>
    <col min="12802" max="12802" width="12.77734375" customWidth="1"/>
    <col min="12803" max="12803" width="13.77734375" customWidth="1"/>
    <col min="12804" max="12804" width="1.77734375" customWidth="1"/>
    <col min="12805" max="12805" width="13" customWidth="1"/>
    <col min="12806" max="13045" width="8.77734375"/>
    <col min="13046" max="13046" width="6" customWidth="1"/>
    <col min="13047" max="13047" width="1.44140625" customWidth="1"/>
    <col min="13048" max="13048" width="39.109375" customWidth="1"/>
    <col min="13049" max="13049" width="12" customWidth="1"/>
    <col min="13050" max="13050" width="14.44140625" customWidth="1"/>
    <col min="13051" max="13051" width="11.77734375" customWidth="1"/>
    <col min="13052" max="13052" width="14.109375" customWidth="1"/>
    <col min="13053" max="13053" width="13.77734375" customWidth="1"/>
    <col min="13054" max="13055" width="12.77734375" customWidth="1"/>
    <col min="13056" max="13056" width="13.5546875" customWidth="1"/>
    <col min="13057" max="13057" width="15.21875" customWidth="1"/>
    <col min="13058" max="13058" width="12.77734375" customWidth="1"/>
    <col min="13059" max="13059" width="13.77734375" customWidth="1"/>
    <col min="13060" max="13060" width="1.77734375" customWidth="1"/>
    <col min="13061" max="13061" width="13" customWidth="1"/>
    <col min="13062" max="13301" width="8.77734375"/>
    <col min="13302" max="13302" width="6" customWidth="1"/>
    <col min="13303" max="13303" width="1.44140625" customWidth="1"/>
    <col min="13304" max="13304" width="39.109375" customWidth="1"/>
    <col min="13305" max="13305" width="12" customWidth="1"/>
    <col min="13306" max="13306" width="14.44140625" customWidth="1"/>
    <col min="13307" max="13307" width="11.77734375" customWidth="1"/>
    <col min="13308" max="13308" width="14.109375" customWidth="1"/>
    <col min="13309" max="13309" width="13.77734375" customWidth="1"/>
    <col min="13310" max="13311" width="12.77734375" customWidth="1"/>
    <col min="13312" max="13312" width="13.5546875" customWidth="1"/>
    <col min="13313" max="13313" width="15.21875" customWidth="1"/>
    <col min="13314" max="13314" width="12.77734375" customWidth="1"/>
    <col min="13315" max="13315" width="13.77734375" customWidth="1"/>
    <col min="13316" max="13316" width="1.77734375" customWidth="1"/>
    <col min="13317" max="13317" width="13" customWidth="1"/>
    <col min="13318" max="13557" width="8.77734375"/>
    <col min="13558" max="13558" width="6" customWidth="1"/>
    <col min="13559" max="13559" width="1.44140625" customWidth="1"/>
    <col min="13560" max="13560" width="39.109375" customWidth="1"/>
    <col min="13561" max="13561" width="12" customWidth="1"/>
    <col min="13562" max="13562" width="14.44140625" customWidth="1"/>
    <col min="13563" max="13563" width="11.77734375" customWidth="1"/>
    <col min="13564" max="13564" width="14.109375" customWidth="1"/>
    <col min="13565" max="13565" width="13.77734375" customWidth="1"/>
    <col min="13566" max="13567" width="12.77734375" customWidth="1"/>
    <col min="13568" max="13568" width="13.5546875" customWidth="1"/>
    <col min="13569" max="13569" width="15.21875" customWidth="1"/>
    <col min="13570" max="13570" width="12.77734375" customWidth="1"/>
    <col min="13571" max="13571" width="13.77734375" customWidth="1"/>
    <col min="13572" max="13572" width="1.77734375" customWidth="1"/>
    <col min="13573" max="13573" width="13" customWidth="1"/>
    <col min="13574" max="13813" width="8.77734375"/>
    <col min="13814" max="13814" width="6" customWidth="1"/>
    <col min="13815" max="13815" width="1.44140625" customWidth="1"/>
    <col min="13816" max="13816" width="39.109375" customWidth="1"/>
    <col min="13817" max="13817" width="12" customWidth="1"/>
    <col min="13818" max="13818" width="14.44140625" customWidth="1"/>
    <col min="13819" max="13819" width="11.77734375" customWidth="1"/>
    <col min="13820" max="13820" width="14.109375" customWidth="1"/>
    <col min="13821" max="13821" width="13.77734375" customWidth="1"/>
    <col min="13822" max="13823" width="12.77734375" customWidth="1"/>
    <col min="13824" max="13824" width="13.5546875" customWidth="1"/>
    <col min="13825" max="13825" width="15.21875" customWidth="1"/>
    <col min="13826" max="13826" width="12.77734375" customWidth="1"/>
    <col min="13827" max="13827" width="13.77734375" customWidth="1"/>
    <col min="13828" max="13828" width="1.77734375" customWidth="1"/>
    <col min="13829" max="13829" width="13" customWidth="1"/>
    <col min="13830" max="14069" width="8.77734375"/>
    <col min="14070" max="14070" width="6" customWidth="1"/>
    <col min="14071" max="14071" width="1.44140625" customWidth="1"/>
    <col min="14072" max="14072" width="39.109375" customWidth="1"/>
    <col min="14073" max="14073" width="12" customWidth="1"/>
    <col min="14074" max="14074" width="14.44140625" customWidth="1"/>
    <col min="14075" max="14075" width="11.77734375" customWidth="1"/>
    <col min="14076" max="14076" width="14.109375" customWidth="1"/>
    <col min="14077" max="14077" width="13.77734375" customWidth="1"/>
    <col min="14078" max="14079" width="12.77734375" customWidth="1"/>
    <col min="14080" max="14080" width="13.5546875" customWidth="1"/>
    <col min="14081" max="14081" width="15.21875" customWidth="1"/>
    <col min="14082" max="14082" width="12.77734375" customWidth="1"/>
    <col min="14083" max="14083" width="13.77734375" customWidth="1"/>
    <col min="14084" max="14084" width="1.77734375" customWidth="1"/>
    <col min="14085" max="14085" width="13" customWidth="1"/>
    <col min="14086" max="14325" width="8.77734375"/>
    <col min="14326" max="14326" width="6" customWidth="1"/>
    <col min="14327" max="14327" width="1.44140625" customWidth="1"/>
    <col min="14328" max="14328" width="39.109375" customWidth="1"/>
    <col min="14329" max="14329" width="12" customWidth="1"/>
    <col min="14330" max="14330" width="14.44140625" customWidth="1"/>
    <col min="14331" max="14331" width="11.77734375" customWidth="1"/>
    <col min="14332" max="14332" width="14.109375" customWidth="1"/>
    <col min="14333" max="14333" width="13.77734375" customWidth="1"/>
    <col min="14334" max="14335" width="12.77734375" customWidth="1"/>
    <col min="14336" max="14336" width="13.5546875" customWidth="1"/>
    <col min="14337" max="14337" width="15.21875" customWidth="1"/>
    <col min="14338" max="14338" width="12.77734375" customWidth="1"/>
    <col min="14339" max="14339" width="13.77734375" customWidth="1"/>
    <col min="14340" max="14340" width="1.77734375" customWidth="1"/>
    <col min="14341" max="14341" width="13" customWidth="1"/>
    <col min="14342" max="14581" width="8.77734375"/>
    <col min="14582" max="14582" width="6" customWidth="1"/>
    <col min="14583" max="14583" width="1.44140625" customWidth="1"/>
    <col min="14584" max="14584" width="39.109375" customWidth="1"/>
    <col min="14585" max="14585" width="12" customWidth="1"/>
    <col min="14586" max="14586" width="14.44140625" customWidth="1"/>
    <col min="14587" max="14587" width="11.77734375" customWidth="1"/>
    <col min="14588" max="14588" width="14.109375" customWidth="1"/>
    <col min="14589" max="14589" width="13.77734375" customWidth="1"/>
    <col min="14590" max="14591" width="12.77734375" customWidth="1"/>
    <col min="14592" max="14592" width="13.5546875" customWidth="1"/>
    <col min="14593" max="14593" width="15.21875" customWidth="1"/>
    <col min="14594" max="14594" width="12.77734375" customWidth="1"/>
    <col min="14595" max="14595" width="13.77734375" customWidth="1"/>
    <col min="14596" max="14596" width="1.77734375" customWidth="1"/>
    <col min="14597" max="14597" width="13" customWidth="1"/>
    <col min="14598" max="14837" width="8.77734375"/>
    <col min="14838" max="14838" width="6" customWidth="1"/>
    <col min="14839" max="14839" width="1.44140625" customWidth="1"/>
    <col min="14840" max="14840" width="39.109375" customWidth="1"/>
    <col min="14841" max="14841" width="12" customWidth="1"/>
    <col min="14842" max="14842" width="14.44140625" customWidth="1"/>
    <col min="14843" max="14843" width="11.77734375" customWidth="1"/>
    <col min="14844" max="14844" width="14.109375" customWidth="1"/>
    <col min="14845" max="14845" width="13.77734375" customWidth="1"/>
    <col min="14846" max="14847" width="12.77734375" customWidth="1"/>
    <col min="14848" max="14848" width="13.5546875" customWidth="1"/>
    <col min="14849" max="14849" width="15.21875" customWidth="1"/>
    <col min="14850" max="14850" width="12.77734375" customWidth="1"/>
    <col min="14851" max="14851" width="13.77734375" customWidth="1"/>
    <col min="14852" max="14852" width="1.77734375" customWidth="1"/>
    <col min="14853" max="14853" width="13" customWidth="1"/>
    <col min="14854" max="15093" width="8.77734375"/>
    <col min="15094" max="15094" width="6" customWidth="1"/>
    <col min="15095" max="15095" width="1.44140625" customWidth="1"/>
    <col min="15096" max="15096" width="39.109375" customWidth="1"/>
    <col min="15097" max="15097" width="12" customWidth="1"/>
    <col min="15098" max="15098" width="14.44140625" customWidth="1"/>
    <col min="15099" max="15099" width="11.77734375" customWidth="1"/>
    <col min="15100" max="15100" width="14.109375" customWidth="1"/>
    <col min="15101" max="15101" width="13.77734375" customWidth="1"/>
    <col min="15102" max="15103" width="12.77734375" customWidth="1"/>
    <col min="15104" max="15104" width="13.5546875" customWidth="1"/>
    <col min="15105" max="15105" width="15.21875" customWidth="1"/>
    <col min="15106" max="15106" width="12.77734375" customWidth="1"/>
    <col min="15107" max="15107" width="13.77734375" customWidth="1"/>
    <col min="15108" max="15108" width="1.77734375" customWidth="1"/>
    <col min="15109" max="15109" width="13" customWidth="1"/>
    <col min="15110" max="15349" width="8.77734375"/>
    <col min="15350" max="15350" width="6" customWidth="1"/>
    <col min="15351" max="15351" width="1.44140625" customWidth="1"/>
    <col min="15352" max="15352" width="39.109375" customWidth="1"/>
    <col min="15353" max="15353" width="12" customWidth="1"/>
    <col min="15354" max="15354" width="14.44140625" customWidth="1"/>
    <col min="15355" max="15355" width="11.77734375" customWidth="1"/>
    <col min="15356" max="15356" width="14.109375" customWidth="1"/>
    <col min="15357" max="15357" width="13.77734375" customWidth="1"/>
    <col min="15358" max="15359" width="12.77734375" customWidth="1"/>
    <col min="15360" max="15360" width="13.5546875" customWidth="1"/>
    <col min="15361" max="15361" width="15.21875" customWidth="1"/>
    <col min="15362" max="15362" width="12.77734375" customWidth="1"/>
    <col min="15363" max="15363" width="13.77734375" customWidth="1"/>
    <col min="15364" max="15364" width="1.77734375" customWidth="1"/>
    <col min="15365" max="15365" width="13" customWidth="1"/>
    <col min="15366" max="15605" width="8.77734375"/>
    <col min="15606" max="15606" width="6" customWidth="1"/>
    <col min="15607" max="15607" width="1.44140625" customWidth="1"/>
    <col min="15608" max="15608" width="39.109375" customWidth="1"/>
    <col min="15609" max="15609" width="12" customWidth="1"/>
    <col min="15610" max="15610" width="14.44140625" customWidth="1"/>
    <col min="15611" max="15611" width="11.77734375" customWidth="1"/>
    <col min="15612" max="15612" width="14.109375" customWidth="1"/>
    <col min="15613" max="15613" width="13.77734375" customWidth="1"/>
    <col min="15614" max="15615" width="12.77734375" customWidth="1"/>
    <col min="15616" max="15616" width="13.5546875" customWidth="1"/>
    <col min="15617" max="15617" width="15.21875" customWidth="1"/>
    <col min="15618" max="15618" width="12.77734375" customWidth="1"/>
    <col min="15619" max="15619" width="13.77734375" customWidth="1"/>
    <col min="15620" max="15620" width="1.77734375" customWidth="1"/>
    <col min="15621" max="15621" width="13" customWidth="1"/>
    <col min="15622" max="15861" width="8.77734375"/>
    <col min="15862" max="15862" width="6" customWidth="1"/>
    <col min="15863" max="15863" width="1.44140625" customWidth="1"/>
    <col min="15864" max="15864" width="39.109375" customWidth="1"/>
    <col min="15865" max="15865" width="12" customWidth="1"/>
    <col min="15866" max="15866" width="14.44140625" customWidth="1"/>
    <col min="15867" max="15867" width="11.77734375" customWidth="1"/>
    <col min="15868" max="15868" width="14.109375" customWidth="1"/>
    <col min="15869" max="15869" width="13.77734375" customWidth="1"/>
    <col min="15870" max="15871" width="12.77734375" customWidth="1"/>
    <col min="15872" max="15872" width="13.5546875" customWidth="1"/>
    <col min="15873" max="15873" width="15.21875" customWidth="1"/>
    <col min="15874" max="15874" width="12.77734375" customWidth="1"/>
    <col min="15875" max="15875" width="13.77734375" customWidth="1"/>
    <col min="15876" max="15876" width="1.77734375" customWidth="1"/>
    <col min="15877" max="15877" width="13" customWidth="1"/>
    <col min="15878" max="16117" width="8.77734375"/>
    <col min="16118" max="16118" width="6" customWidth="1"/>
    <col min="16119" max="16119" width="1.44140625" customWidth="1"/>
    <col min="16120" max="16120" width="39.109375" customWidth="1"/>
    <col min="16121" max="16121" width="12" customWidth="1"/>
    <col min="16122" max="16122" width="14.44140625" customWidth="1"/>
    <col min="16123" max="16123" width="11.77734375" customWidth="1"/>
    <col min="16124" max="16124" width="14.109375" customWidth="1"/>
    <col min="16125" max="16125" width="13.77734375" customWidth="1"/>
    <col min="16126" max="16127" width="12.77734375" customWidth="1"/>
    <col min="16128" max="16128" width="13.5546875" customWidth="1"/>
    <col min="16129" max="16129" width="15.21875" customWidth="1"/>
    <col min="16130" max="16130" width="12.77734375" customWidth="1"/>
    <col min="16131" max="16131" width="13.77734375" customWidth="1"/>
    <col min="16132" max="16132" width="1.77734375" customWidth="1"/>
    <col min="16133" max="16133" width="13" customWidth="1"/>
    <col min="16134" max="16373" width="8.77734375"/>
    <col min="16374" max="16384" width="8.77734375" customWidth="1"/>
  </cols>
  <sheetData>
    <row r="1" spans="1:14">
      <c r="I1" s="50" t="s">
        <v>299</v>
      </c>
    </row>
    <row r="2" spans="1:14">
      <c r="I2" s="50" t="s">
        <v>297</v>
      </c>
      <c r="M2" s="949"/>
      <c r="N2" s="949"/>
    </row>
    <row r="3" spans="1:14">
      <c r="I3" s="50" t="s">
        <v>193</v>
      </c>
    </row>
    <row r="4" spans="1:14">
      <c r="I4" s="61" t="str">
        <f>"For the 12 months ended: "&amp;TEXT(INPUT!B1,"mm/dd/yyyy")</f>
        <v>For the 12 months ended: 12/31/2020</v>
      </c>
    </row>
    <row r="5" spans="1:14">
      <c r="C5" s="24"/>
    </row>
    <row r="6" spans="1:14">
      <c r="A6" s="144" t="s">
        <v>257</v>
      </c>
      <c r="B6" s="174"/>
      <c r="C6" s="174"/>
      <c r="D6" s="144"/>
      <c r="E6" s="144"/>
      <c r="F6" s="144"/>
      <c r="G6" s="174"/>
      <c r="H6" s="144"/>
      <c r="I6" s="144"/>
    </row>
    <row r="7" spans="1:14">
      <c r="A7" s="145" t="s">
        <v>300</v>
      </c>
      <c r="B7" s="174"/>
      <c r="C7" s="174"/>
      <c r="D7" s="146"/>
      <c r="E7" s="146"/>
      <c r="F7" s="146"/>
      <c r="G7" s="174"/>
      <c r="H7" s="146"/>
      <c r="I7" s="146"/>
    </row>
    <row r="8" spans="1:14">
      <c r="A8" s="146"/>
      <c r="B8" s="174"/>
      <c r="C8" s="174"/>
      <c r="D8" s="146"/>
      <c r="E8" s="146"/>
      <c r="F8" s="146"/>
      <c r="G8" s="174"/>
      <c r="H8" s="146"/>
      <c r="I8" s="146"/>
    </row>
    <row r="9" spans="1:14">
      <c r="A9" s="259" t="str">
        <f>DEO!A11</f>
        <v>DUKE ENERGY OHIO (DEO)</v>
      </c>
      <c r="B9" s="174"/>
      <c r="C9" s="174"/>
      <c r="D9" s="146"/>
      <c r="E9" s="146"/>
      <c r="F9" s="146"/>
      <c r="G9" s="174"/>
      <c r="H9" s="177"/>
      <c r="I9" s="146"/>
    </row>
    <row r="10" spans="1:14">
      <c r="A10" s="176" t="s">
        <v>606</v>
      </c>
      <c r="B10" s="174"/>
      <c r="C10" s="146"/>
      <c r="D10" s="146"/>
      <c r="E10" s="146"/>
      <c r="F10" s="146"/>
      <c r="G10" s="174"/>
      <c r="H10" s="177"/>
      <c r="I10" s="146"/>
    </row>
    <row r="11" spans="1:14">
      <c r="A11" s="251"/>
      <c r="B11" s="174"/>
      <c r="C11" s="146"/>
      <c r="D11" s="146"/>
      <c r="E11" s="146"/>
      <c r="F11" s="146"/>
      <c r="G11" s="177"/>
      <c r="H11" s="146"/>
      <c r="I11" s="146"/>
    </row>
    <row r="12" spans="1:14">
      <c r="A12" s="146" t="s">
        <v>803</v>
      </c>
      <c r="B12" s="174"/>
      <c r="C12" s="174"/>
      <c r="D12" s="146"/>
      <c r="E12" s="146"/>
      <c r="F12" s="146"/>
      <c r="G12" s="177"/>
      <c r="H12" s="146"/>
      <c r="I12" s="146"/>
    </row>
    <row r="13" spans="1:14">
      <c r="A13" s="86"/>
      <c r="C13" s="1"/>
      <c r="D13" s="1"/>
      <c r="E13" s="1"/>
      <c r="F13" s="1"/>
      <c r="G13" s="17"/>
    </row>
    <row r="14" spans="1:14">
      <c r="A14" s="86"/>
      <c r="C14" s="1"/>
      <c r="D14" s="1"/>
      <c r="E14" s="1"/>
      <c r="F14" s="1"/>
      <c r="G14" s="1"/>
    </row>
    <row r="15" spans="1:14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</row>
    <row r="16" spans="1:14">
      <c r="C16" s="1"/>
      <c r="D16" s="1"/>
    </row>
    <row r="17" spans="1:12">
      <c r="A17" s="26" t="s">
        <v>8</v>
      </c>
      <c r="C17" s="1"/>
      <c r="D17" s="1"/>
      <c r="E17" s="4" t="s">
        <v>299</v>
      </c>
      <c r="F17" s="4"/>
      <c r="G17" s="2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</row>
    <row r="19" spans="1:12" ht="15.75">
      <c r="A19" s="90"/>
      <c r="C19" s="1" t="s">
        <v>338</v>
      </c>
      <c r="D19" s="1"/>
      <c r="E19" s="4"/>
      <c r="F19" s="2"/>
      <c r="G19" s="2"/>
      <c r="I19" s="2"/>
    </row>
    <row r="20" spans="1:12">
      <c r="A20" s="91">
        <v>1</v>
      </c>
      <c r="C20" s="1" t="s">
        <v>214</v>
      </c>
      <c r="D20" s="1"/>
      <c r="E20" s="4" t="s">
        <v>657</v>
      </c>
      <c r="F20" s="4"/>
      <c r="G20" s="92">
        <f>DEO!J54</f>
        <v>1174534297</v>
      </c>
    </row>
    <row r="21" spans="1:12">
      <c r="A21" s="91">
        <v>2</v>
      </c>
      <c r="C21" s="1" t="s">
        <v>215</v>
      </c>
      <c r="D21" s="1"/>
      <c r="E21" s="4" t="s">
        <v>658</v>
      </c>
      <c r="F21" s="4"/>
      <c r="G21" s="92">
        <f>DEO!J70</f>
        <v>953301675</v>
      </c>
    </row>
    <row r="22" spans="1:12">
      <c r="A22" s="91"/>
      <c r="E22" s="4"/>
      <c r="F22" s="4"/>
    </row>
    <row r="23" spans="1:12">
      <c r="A23" s="91"/>
      <c r="C23" s="1" t="s">
        <v>194</v>
      </c>
      <c r="D23" s="1"/>
      <c r="E23" s="4"/>
      <c r="F23" s="4"/>
      <c r="G23" s="2"/>
      <c r="I23" s="2"/>
    </row>
    <row r="24" spans="1:12">
      <c r="A24" s="91">
        <v>3</v>
      </c>
      <c r="C24" s="1" t="s">
        <v>216</v>
      </c>
      <c r="D24" s="1"/>
      <c r="E24" s="4" t="s">
        <v>656</v>
      </c>
      <c r="F24" s="4"/>
      <c r="G24" s="92">
        <f>DEO!J127</f>
        <v>23582774</v>
      </c>
    </row>
    <row r="25" spans="1:12">
      <c r="A25" s="91">
        <v>4</v>
      </c>
      <c r="C25" s="1" t="s">
        <v>217</v>
      </c>
      <c r="D25" s="1"/>
      <c r="E25" s="4" t="s">
        <v>663</v>
      </c>
      <c r="F25" s="4"/>
      <c r="G25" s="93">
        <f>ROUND(IF(G24=0,0,G24/G20),4)</f>
        <v>2.01E-2</v>
      </c>
      <c r="I25" s="94">
        <f>G25</f>
        <v>2.01E-2</v>
      </c>
    </row>
    <row r="26" spans="1:12">
      <c r="A26" s="91"/>
      <c r="E26" s="4"/>
      <c r="F26" s="4"/>
    </row>
    <row r="27" spans="1:12" ht="30">
      <c r="A27" s="97"/>
      <c r="C27" s="403" t="s">
        <v>578</v>
      </c>
      <c r="D27" s="1"/>
      <c r="E27" s="67"/>
      <c r="F27" s="4"/>
    </row>
    <row r="28" spans="1:12">
      <c r="A28" s="97" t="s">
        <v>218</v>
      </c>
      <c r="C28" s="1" t="s">
        <v>579</v>
      </c>
      <c r="D28" s="1"/>
      <c r="E28" s="4" t="s">
        <v>544</v>
      </c>
      <c r="F28" s="4"/>
      <c r="G28" s="92">
        <f>DEO!J131+DEO!J132</f>
        <v>6129161</v>
      </c>
    </row>
    <row r="29" spans="1:12" ht="30">
      <c r="A29" s="404" t="s">
        <v>219</v>
      </c>
      <c r="C29" s="403" t="s">
        <v>580</v>
      </c>
      <c r="D29" s="1"/>
      <c r="E29" s="405" t="s">
        <v>660</v>
      </c>
      <c r="F29" s="405"/>
      <c r="G29" s="406">
        <f>ROUND(IF(G28=0,0,G28/G20),4)</f>
        <v>5.1999999999999998E-3</v>
      </c>
      <c r="H29" s="407"/>
      <c r="I29" s="408">
        <f>G29</f>
        <v>5.1999999999999998E-3</v>
      </c>
      <c r="K29" s="87"/>
      <c r="L29" s="84"/>
    </row>
    <row r="30" spans="1:12">
      <c r="A30" s="91"/>
      <c r="E30" s="4"/>
      <c r="F30" s="4"/>
    </row>
    <row r="31" spans="1:12">
      <c r="A31" s="97"/>
      <c r="C31" s="1" t="s">
        <v>197</v>
      </c>
      <c r="D31" s="1"/>
      <c r="E31" s="67"/>
      <c r="F31" s="67"/>
      <c r="G31" s="2"/>
      <c r="I31" s="2"/>
    </row>
    <row r="32" spans="1:12">
      <c r="A32" s="97" t="s">
        <v>221</v>
      </c>
      <c r="C32" s="1" t="s">
        <v>199</v>
      </c>
      <c r="D32" s="1"/>
      <c r="E32" s="4" t="s">
        <v>655</v>
      </c>
      <c r="F32" s="4"/>
      <c r="G32" s="92">
        <f>DEO!J144</f>
        <v>46269737</v>
      </c>
    </row>
    <row r="33" spans="1:10">
      <c r="A33" s="97" t="s">
        <v>223</v>
      </c>
      <c r="C33" s="1" t="s">
        <v>220</v>
      </c>
      <c r="D33" s="1"/>
      <c r="E33" s="4" t="s">
        <v>661</v>
      </c>
      <c r="F33" s="4"/>
      <c r="G33" s="93">
        <f>ROUND(IF(G32=0,0,G32/G20),4)</f>
        <v>3.9399999999999998E-2</v>
      </c>
      <c r="I33" s="94">
        <f>G33</f>
        <v>3.9399999999999998E-2</v>
      </c>
    </row>
    <row r="34" spans="1:10">
      <c r="A34" s="97"/>
      <c r="C34" s="1"/>
      <c r="D34" s="1"/>
      <c r="E34" s="4"/>
      <c r="F34" s="4"/>
      <c r="G34" s="2"/>
      <c r="I34" s="2"/>
    </row>
    <row r="35" spans="1:10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6.4699999999999994E-2</v>
      </c>
    </row>
    <row r="36" spans="1:10">
      <c r="A36" s="229"/>
      <c r="C36" s="1"/>
      <c r="D36" s="1"/>
      <c r="E36" s="4"/>
      <c r="F36" s="4"/>
      <c r="G36" s="2"/>
      <c r="I36" s="2"/>
    </row>
    <row r="37" spans="1:10">
      <c r="A37" s="97"/>
      <c r="B37" s="102"/>
      <c r="C37" s="2" t="s">
        <v>201</v>
      </c>
      <c r="D37" s="2"/>
      <c r="E37" s="4"/>
      <c r="F37" s="4"/>
      <c r="G37" s="2"/>
      <c r="I37" s="2"/>
    </row>
    <row r="38" spans="1:10">
      <c r="A38" s="97" t="s">
        <v>196</v>
      </c>
      <c r="B38" s="102"/>
      <c r="C38" s="2" t="s">
        <v>125</v>
      </c>
      <c r="D38" s="2"/>
      <c r="E38" s="4" t="s">
        <v>820</v>
      </c>
      <c r="F38" s="4"/>
      <c r="G38" s="92">
        <f>DEO!J159</f>
        <v>6840366</v>
      </c>
      <c r="I38" s="2"/>
    </row>
    <row r="39" spans="1:10">
      <c r="A39" s="97" t="s">
        <v>198</v>
      </c>
      <c r="B39" s="102"/>
      <c r="C39" s="2" t="s">
        <v>224</v>
      </c>
      <c r="D39" s="2"/>
      <c r="E39" s="4" t="s">
        <v>662</v>
      </c>
      <c r="F39" s="4"/>
      <c r="G39" s="93">
        <f>ROUND(IF(G38=0,0,G38/G21),4)</f>
        <v>7.1999999999999998E-3</v>
      </c>
      <c r="I39" s="94">
        <f>G39</f>
        <v>7.1999999999999998E-3</v>
      </c>
    </row>
    <row r="40" spans="1:10">
      <c r="A40" s="97"/>
      <c r="C40" s="2"/>
      <c r="D40" s="2"/>
      <c r="E40" s="4"/>
      <c r="F40" s="4"/>
      <c r="G40" s="2"/>
      <c r="I40" s="2"/>
    </row>
    <row r="41" spans="1:10">
      <c r="A41" s="97"/>
      <c r="C41" s="1" t="s">
        <v>59</v>
      </c>
      <c r="D41" s="1"/>
      <c r="E41" s="15"/>
      <c r="F41" s="15"/>
    </row>
    <row r="42" spans="1:10">
      <c r="A42" s="97" t="s">
        <v>200</v>
      </c>
      <c r="C42" s="1" t="s">
        <v>202</v>
      </c>
      <c r="D42" s="1"/>
      <c r="E42" s="4" t="s">
        <v>821</v>
      </c>
      <c r="F42" s="4"/>
      <c r="G42" s="92">
        <f>DEO!J161</f>
        <v>62749670</v>
      </c>
      <c r="I42" s="2"/>
    </row>
    <row r="43" spans="1:10">
      <c r="A43" s="97" t="s">
        <v>263</v>
      </c>
      <c r="B43" s="102"/>
      <c r="C43" s="2" t="s">
        <v>225</v>
      </c>
      <c r="D43" s="2"/>
      <c r="E43" s="4" t="s">
        <v>659</v>
      </c>
      <c r="F43" s="4"/>
      <c r="G43" s="103">
        <f>ROUND(IF(G42=0,0,G42/G21),4)</f>
        <v>6.5799999999999997E-2</v>
      </c>
      <c r="I43" s="94">
        <f>G43</f>
        <v>6.5799999999999997E-2</v>
      </c>
    </row>
    <row r="44" spans="1:10">
      <c r="A44" s="97"/>
      <c r="C44" s="1"/>
      <c r="D44" s="1"/>
      <c r="E44" s="4"/>
      <c r="F44" s="4"/>
      <c r="G44" s="2"/>
      <c r="I44" s="2"/>
    </row>
    <row r="45" spans="1:10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7.2999999999999995E-2</v>
      </c>
    </row>
    <row r="47" spans="1:10">
      <c r="A47" s="106"/>
      <c r="C47" s="97"/>
      <c r="D47" s="97"/>
      <c r="E47" s="67"/>
      <c r="F47" s="67"/>
      <c r="G47" s="2"/>
      <c r="H47" s="9"/>
      <c r="I47" s="9"/>
      <c r="J47" s="93"/>
    </row>
    <row r="48" spans="1:10">
      <c r="A48" s="86"/>
      <c r="C48" s="9"/>
      <c r="D48" s="9"/>
      <c r="E48" s="9"/>
      <c r="F48" s="9"/>
      <c r="G48" s="2"/>
      <c r="H48" s="9"/>
      <c r="I48" s="9"/>
      <c r="J48" s="9"/>
    </row>
    <row r="49" spans="11:28">
      <c r="X49" s="50" t="s">
        <v>299</v>
      </c>
    </row>
    <row r="50" spans="11:28">
      <c r="X50" s="50" t="s">
        <v>297</v>
      </c>
    </row>
    <row r="51" spans="11:28">
      <c r="X51" s="107" t="s">
        <v>203</v>
      </c>
    </row>
    <row r="52" spans="11:28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  <c r="Y52" s="87"/>
      <c r="Z52" s="84"/>
      <c r="AA52" s="87"/>
      <c r="AB52" s="84"/>
    </row>
    <row r="53" spans="11:28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  <c r="Y53" s="87"/>
      <c r="Z53" s="84"/>
      <c r="AA53" s="87"/>
      <c r="AB53" s="84"/>
    </row>
    <row r="54" spans="11:28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  <c r="Y54" s="87"/>
      <c r="Z54" s="84"/>
      <c r="AA54" s="87"/>
      <c r="AB54" s="84"/>
    </row>
    <row r="55" spans="11:28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  <c r="Y55" s="87"/>
      <c r="Z55" s="84"/>
      <c r="AA55" s="87"/>
      <c r="AB55" s="84"/>
    </row>
    <row r="56" spans="11:28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  <c r="Y56" s="87"/>
      <c r="Z56" s="84"/>
      <c r="AA56" s="87"/>
      <c r="AB56" s="84"/>
    </row>
    <row r="57" spans="11:28">
      <c r="K57" s="70" t="str">
        <f>A9</f>
        <v>DUKE ENERGY OHIO (DEO)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  <c r="Y57" s="87"/>
      <c r="Z57" s="84"/>
      <c r="AA57" s="87"/>
      <c r="AB57" s="84"/>
    </row>
    <row r="58" spans="11:28">
      <c r="K58" s="70" t="str">
        <f>A10</f>
        <v>MTEP - Transmission Enhancement Charges</v>
      </c>
      <c r="L58" s="174"/>
      <c r="M58" s="174"/>
      <c r="N58" s="174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87"/>
      <c r="Z58" s="84"/>
      <c r="AA58" s="87"/>
      <c r="AB58" s="84"/>
    </row>
    <row r="59" spans="11:28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  <c r="Y59" s="87"/>
      <c r="Z59" s="84"/>
      <c r="AA59" s="87"/>
      <c r="AB59" s="84"/>
    </row>
    <row r="60" spans="11:28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  <c r="Y60" s="87"/>
      <c r="Z60" s="84"/>
      <c r="AA60" s="87"/>
      <c r="AB60" s="84"/>
    </row>
    <row r="61" spans="11:28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  <c r="Y61" s="87"/>
      <c r="Z61" s="84"/>
      <c r="AA61" s="87"/>
      <c r="AB61" s="84"/>
    </row>
    <row r="62" spans="11:28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  <c r="Y62" s="87"/>
      <c r="Z62" s="84"/>
      <c r="AA62" s="87"/>
      <c r="AB62" s="84"/>
    </row>
    <row r="63" spans="11:28" ht="63">
      <c r="K63" s="109" t="s">
        <v>227</v>
      </c>
      <c r="L63" s="110"/>
      <c r="M63" s="110" t="s">
        <v>207</v>
      </c>
      <c r="N63" s="111" t="s">
        <v>228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  <c r="Y63" s="96"/>
      <c r="Z63" s="84"/>
      <c r="AA63" s="87"/>
      <c r="AB63" s="84"/>
    </row>
    <row r="64" spans="11:28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  <c r="Y64" s="87"/>
      <c r="Z64" s="84"/>
      <c r="AA64" s="87"/>
      <c r="AB64" s="84"/>
    </row>
    <row r="65" spans="11:28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  <c r="Y65" s="87"/>
      <c r="Z65" s="84"/>
      <c r="AA65" s="87"/>
      <c r="AB65" s="84"/>
    </row>
    <row r="66" spans="11:28">
      <c r="K66" s="650" t="s">
        <v>1</v>
      </c>
      <c r="L66" s="256"/>
      <c r="M66" s="256" t="s">
        <v>256</v>
      </c>
      <c r="N66" s="647">
        <v>91</v>
      </c>
      <c r="O66" s="160">
        <v>17543031</v>
      </c>
      <c r="P66" s="94">
        <f>$I$35</f>
        <v>6.4699999999999994E-2</v>
      </c>
      <c r="Q66" s="600">
        <f>ROUND(O66*P66,0)</f>
        <v>1135034</v>
      </c>
      <c r="R66" s="160">
        <v>15253451</v>
      </c>
      <c r="S66" s="94">
        <f>$I$45</f>
        <v>7.2999999999999995E-2</v>
      </c>
      <c r="T66" s="600">
        <f>ROUND(R66*S66,0)</f>
        <v>1113502</v>
      </c>
      <c r="U66" s="652">
        <v>315747</v>
      </c>
      <c r="V66" s="600">
        <f>Q66+T66+U66</f>
        <v>2564283</v>
      </c>
      <c r="W66" s="128">
        <v>0</v>
      </c>
      <c r="X66" s="600">
        <f>V66+W66</f>
        <v>2564283</v>
      </c>
      <c r="Y66" s="129"/>
      <c r="Z66" s="129"/>
      <c r="AA66" s="129"/>
      <c r="AB66" s="129"/>
    </row>
    <row r="67" spans="11:28">
      <c r="K67" s="650" t="s">
        <v>244</v>
      </c>
      <c r="L67" s="256"/>
      <c r="M67" s="256" t="s">
        <v>245</v>
      </c>
      <c r="N67" s="648" t="s">
        <v>246</v>
      </c>
      <c r="O67" s="160">
        <v>0</v>
      </c>
      <c r="P67" s="94">
        <f>$I$35</f>
        <v>6.4699999999999994E-2</v>
      </c>
      <c r="Q67" s="600">
        <f t="shared" ref="Q67:Q68" si="0">ROUND(O67*P67,0)</f>
        <v>0</v>
      </c>
      <c r="R67" s="126">
        <v>0</v>
      </c>
      <c r="S67" s="94">
        <f>$I$45</f>
        <v>7.2999999999999995E-2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  <c r="Y67" s="129"/>
      <c r="Z67" s="129"/>
      <c r="AA67" s="129"/>
      <c r="AB67" s="129"/>
    </row>
    <row r="68" spans="11:28">
      <c r="K68" s="651" t="s">
        <v>247</v>
      </c>
      <c r="L68" s="256"/>
      <c r="M68" s="256" t="s">
        <v>248</v>
      </c>
      <c r="N68" s="648" t="s">
        <v>249</v>
      </c>
      <c r="O68" s="160">
        <v>0</v>
      </c>
      <c r="P68" s="94">
        <f>$I$35</f>
        <v>6.4699999999999994E-2</v>
      </c>
      <c r="Q68" s="600">
        <f t="shared" si="0"/>
        <v>0</v>
      </c>
      <c r="R68" s="126">
        <v>0</v>
      </c>
      <c r="S68" s="94">
        <f>$I$45</f>
        <v>7.2999999999999995E-2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  <c r="Y68" s="129"/>
      <c r="Z68" s="129"/>
      <c r="AA68" s="129"/>
      <c r="AB68" s="129"/>
    </row>
    <row r="69" spans="11:28">
      <c r="K69" s="125"/>
      <c r="Q69" s="127"/>
      <c r="T69" s="127"/>
      <c r="V69" s="127"/>
      <c r="X69" s="127"/>
      <c r="Y69" s="129"/>
      <c r="Z69" s="129"/>
      <c r="AA69" s="129"/>
      <c r="AB69" s="129"/>
    </row>
    <row r="70" spans="11:28">
      <c r="K70" s="125"/>
      <c r="Q70" s="127"/>
      <c r="T70" s="127"/>
      <c r="V70" s="127"/>
      <c r="X70" s="127"/>
      <c r="Y70" s="129"/>
      <c r="Z70" s="129"/>
      <c r="AA70" s="129"/>
      <c r="AB70" s="129"/>
    </row>
    <row r="71" spans="11:28">
      <c r="K71" s="125"/>
      <c r="Q71" s="127"/>
      <c r="T71" s="127"/>
      <c r="V71" s="127"/>
      <c r="X71" s="127"/>
      <c r="Y71" s="129"/>
      <c r="Z71" s="129"/>
      <c r="AA71" s="129"/>
      <c r="AB71" s="129"/>
    </row>
    <row r="72" spans="11:28">
      <c r="K72" s="125"/>
      <c r="Q72" s="127"/>
      <c r="T72" s="127"/>
      <c r="V72" s="127"/>
      <c r="X72" s="127"/>
      <c r="Y72" s="129"/>
      <c r="Z72" s="129"/>
      <c r="AA72" s="129"/>
      <c r="AB72" s="129"/>
    </row>
    <row r="73" spans="11:28">
      <c r="K73" s="125"/>
      <c r="Q73" s="127"/>
      <c r="T73" s="127"/>
      <c r="V73" s="127"/>
      <c r="X73" s="127"/>
      <c r="Y73" s="129"/>
      <c r="Z73" s="129"/>
      <c r="AA73" s="129"/>
      <c r="AB73" s="129"/>
    </row>
    <row r="74" spans="11:28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  <c r="Y74" s="129"/>
      <c r="Z74" s="129"/>
      <c r="AA74" s="129"/>
      <c r="AB74" s="129"/>
    </row>
    <row r="75" spans="11:28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  <c r="Y75" s="129"/>
      <c r="Z75" s="129"/>
      <c r="AA75" s="129"/>
      <c r="AB75" s="129"/>
    </row>
    <row r="76" spans="11:28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  <c r="Y76" s="129"/>
      <c r="Z76" s="129"/>
      <c r="AA76" s="129"/>
      <c r="AB76" s="129"/>
    </row>
    <row r="77" spans="11:28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  <c r="Y77" s="129"/>
      <c r="Z77" s="129"/>
      <c r="AA77" s="129"/>
      <c r="AB77" s="129"/>
    </row>
    <row r="78" spans="11:28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  <c r="Y78" s="129"/>
      <c r="Z78" s="129"/>
      <c r="AA78" s="129"/>
      <c r="AB78" s="129"/>
    </row>
    <row r="79" spans="11:28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  <c r="Y79" s="129"/>
      <c r="Z79" s="129"/>
      <c r="AA79" s="129"/>
      <c r="AB79" s="129"/>
    </row>
    <row r="80" spans="11:28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  <c r="Y80" s="129"/>
      <c r="Z80" s="129"/>
      <c r="AA80" s="129"/>
      <c r="AB80" s="129"/>
    </row>
    <row r="81" spans="11:28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  <c r="Y81" s="129"/>
      <c r="Z81" s="129"/>
      <c r="AA81" s="129"/>
      <c r="AB81" s="129"/>
    </row>
    <row r="82" spans="11:28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  <c r="Y82" s="129"/>
      <c r="Z82" s="129"/>
      <c r="AA82" s="129"/>
      <c r="AB82" s="129"/>
    </row>
    <row r="83" spans="11:28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  <c r="Y83" s="129"/>
      <c r="Z83" s="129"/>
      <c r="AA83" s="129"/>
      <c r="AB83" s="129"/>
    </row>
    <row r="84" spans="11:28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  <c r="Y84" s="129"/>
      <c r="Z84" s="129"/>
      <c r="AA84" s="129"/>
      <c r="AB84" s="129"/>
    </row>
    <row r="85" spans="11:28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  <c r="Y85" s="129"/>
      <c r="Z85" s="129"/>
      <c r="AA85" s="129"/>
      <c r="AB85" s="129"/>
    </row>
    <row r="86" spans="11:28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577">
        <f>SUM(V66:V85)</f>
        <v>2564283</v>
      </c>
      <c r="W86" s="577">
        <f>SUM(W66:W85)</f>
        <v>0</v>
      </c>
      <c r="X86" s="577">
        <f>SUM(X66:X85)</f>
        <v>2564283</v>
      </c>
      <c r="Y86" s="129"/>
      <c r="Z86" s="129"/>
      <c r="AA86" s="129"/>
      <c r="AB86" s="129"/>
    </row>
    <row r="87" spans="11:28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599"/>
      <c r="W87" s="599"/>
      <c r="X87" s="599"/>
      <c r="Y87" s="129"/>
      <c r="Z87" s="129"/>
      <c r="AA87" s="129"/>
      <c r="AB87" s="129"/>
    </row>
    <row r="88" spans="11:28">
      <c r="K88" s="135">
        <v>3</v>
      </c>
      <c r="L88" s="129"/>
      <c r="M88" s="9" t="str">
        <f>'Appx C - DEOK(MTEP)'!D40</f>
        <v>MTEP Transmission Enhancement Charges</v>
      </c>
      <c r="N88" s="129"/>
      <c r="O88" s="129"/>
      <c r="P88" s="129"/>
      <c r="Q88" s="129"/>
      <c r="R88" s="129"/>
      <c r="S88" s="129"/>
      <c r="T88" s="129"/>
      <c r="U88" s="129"/>
      <c r="V88" s="577"/>
      <c r="W88" s="599"/>
      <c r="X88" s="577">
        <f>X86</f>
        <v>2564283</v>
      </c>
      <c r="Y88" s="129"/>
      <c r="Z88" s="129"/>
      <c r="AA88" s="129"/>
      <c r="AB88" s="129"/>
    </row>
    <row r="89" spans="11:28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</row>
    <row r="90" spans="11:28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</row>
    <row r="91" spans="11:28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</row>
    <row r="92" spans="11:28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</row>
    <row r="93" spans="11:28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129"/>
      <c r="Z93" s="129"/>
      <c r="AA93" s="129"/>
      <c r="AB93" s="129"/>
    </row>
    <row r="94" spans="11:28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129"/>
      <c r="Z94" s="129"/>
      <c r="AA94" s="129"/>
      <c r="AB94" s="129"/>
    </row>
    <row r="95" spans="11:28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  <c r="Y95" s="129"/>
      <c r="Z95" s="129"/>
      <c r="AA95" s="129"/>
      <c r="AB95" s="129"/>
    </row>
    <row r="96" spans="11:28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  <c r="Y96" s="129"/>
      <c r="Z96" s="129"/>
      <c r="AA96" s="129"/>
      <c r="AB96" s="129"/>
    </row>
    <row r="97" spans="3:28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129"/>
      <c r="Z97" s="129"/>
      <c r="AA97" s="129"/>
      <c r="AB97" s="129"/>
    </row>
    <row r="98" spans="3:28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129"/>
      <c r="Z98" s="129"/>
      <c r="AA98" s="129"/>
      <c r="AB98" s="129"/>
    </row>
    <row r="99" spans="3:28">
      <c r="K99" s="136" t="s">
        <v>102</v>
      </c>
      <c r="L99" s="66"/>
      <c r="M99" s="984" t="s">
        <v>255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129"/>
      <c r="Z99" s="129"/>
      <c r="AA99" s="129"/>
      <c r="AB99" s="129"/>
    </row>
    <row r="100" spans="3:28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  <c r="Y100" s="129"/>
      <c r="Z100" s="129"/>
      <c r="AA100" s="129"/>
      <c r="AB100" s="129"/>
    </row>
    <row r="101" spans="3:28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  <c r="Y101" s="129"/>
      <c r="Z101" s="129"/>
      <c r="AA101" s="129"/>
      <c r="AB101" s="129"/>
    </row>
    <row r="102" spans="3:28" ht="15.75">
      <c r="K102" s="104"/>
      <c r="L102" s="138"/>
      <c r="M102" s="139"/>
      <c r="N102" s="97"/>
      <c r="O102" s="67"/>
      <c r="P102" s="67"/>
      <c r="Q102" s="2"/>
      <c r="R102" s="9"/>
      <c r="S102" s="9"/>
      <c r="T102" s="93"/>
      <c r="U102" s="9"/>
      <c r="W102" s="2"/>
      <c r="X102" s="95"/>
      <c r="Y102" s="129"/>
      <c r="Z102" s="129"/>
      <c r="AA102" s="129"/>
      <c r="AB102" s="129"/>
    </row>
    <row r="103" spans="3:28"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</row>
    <row r="104" spans="3:28">
      <c r="C104" s="129"/>
      <c r="D104" s="129"/>
      <c r="E104" s="129"/>
      <c r="F104" s="129"/>
      <c r="G104" s="129"/>
      <c r="H104" s="129"/>
      <c r="I104" s="129"/>
      <c r="J104" s="129"/>
    </row>
    <row r="105" spans="3:28">
      <c r="C105" s="129"/>
      <c r="D105" s="129"/>
      <c r="E105" s="129"/>
      <c r="F105" s="129"/>
      <c r="G105" s="129"/>
      <c r="H105" s="129"/>
      <c r="I105" s="129"/>
      <c r="J105" s="129"/>
    </row>
    <row r="106" spans="3:28">
      <c r="C106" s="129"/>
      <c r="D106" s="129"/>
      <c r="E106" s="129"/>
      <c r="F106" s="129"/>
      <c r="G106" s="129"/>
      <c r="H106" s="129"/>
      <c r="I106" s="129"/>
      <c r="J106" s="129"/>
    </row>
    <row r="107" spans="3:28">
      <c r="C107" s="129"/>
      <c r="D107" s="129"/>
      <c r="E107" s="129"/>
      <c r="F107" s="129"/>
      <c r="G107" s="129"/>
      <c r="H107" s="129"/>
      <c r="I107" s="129"/>
      <c r="J107" s="129"/>
    </row>
    <row r="108" spans="3:28">
      <c r="C108" s="129"/>
      <c r="D108" s="129"/>
      <c r="E108" s="129"/>
      <c r="F108" s="129"/>
      <c r="G108" s="129"/>
      <c r="H108" s="129"/>
      <c r="I108" s="129"/>
      <c r="J108" s="129"/>
    </row>
    <row r="109" spans="3:28">
      <c r="C109" s="129"/>
      <c r="D109" s="129"/>
      <c r="E109" s="129"/>
      <c r="F109" s="129"/>
      <c r="G109" s="129"/>
      <c r="H109" s="129"/>
      <c r="I109" s="129"/>
      <c r="J109" s="129"/>
    </row>
    <row r="110" spans="3:28">
      <c r="C110" s="129"/>
      <c r="D110" s="129"/>
      <c r="E110" s="129"/>
      <c r="F110" s="129"/>
      <c r="G110" s="129"/>
      <c r="H110" s="129"/>
      <c r="I110" s="129"/>
      <c r="J110" s="129"/>
    </row>
    <row r="111" spans="3:28">
      <c r="C111" s="129"/>
      <c r="D111" s="129"/>
      <c r="E111" s="129"/>
      <c r="F111" s="129"/>
      <c r="G111" s="129"/>
      <c r="H111" s="129"/>
      <c r="I111" s="129"/>
      <c r="J111" s="129"/>
    </row>
    <row r="112" spans="3:28">
      <c r="C112" s="129"/>
      <c r="D112" s="129"/>
      <c r="E112" s="129"/>
      <c r="F112" s="129"/>
      <c r="G112" s="129"/>
      <c r="H112" s="129"/>
      <c r="I112" s="129"/>
      <c r="J112" s="129"/>
    </row>
    <row r="113" spans="3:10">
      <c r="C113" s="129"/>
      <c r="D113" s="129"/>
      <c r="E113" s="129"/>
      <c r="F113" s="129"/>
      <c r="G113" s="129"/>
      <c r="H113" s="129"/>
      <c r="I113" s="129"/>
      <c r="J113" s="129"/>
    </row>
    <row r="114" spans="3:10">
      <c r="C114" s="129"/>
      <c r="D114" s="129"/>
      <c r="E114" s="129"/>
      <c r="F114" s="129"/>
      <c r="G114" s="129"/>
      <c r="H114" s="129"/>
      <c r="I114" s="129"/>
      <c r="J114" s="129"/>
    </row>
    <row r="115" spans="3:10">
      <c r="C115" s="129"/>
      <c r="D115" s="129"/>
      <c r="E115" s="129"/>
      <c r="F115" s="129"/>
      <c r="G115" s="129"/>
      <c r="H115" s="129"/>
      <c r="I115" s="129"/>
      <c r="J115" s="129"/>
    </row>
    <row r="116" spans="3:10">
      <c r="C116" s="129"/>
      <c r="D116" s="129"/>
      <c r="E116" s="129"/>
      <c r="F116" s="129"/>
      <c r="G116" s="129"/>
      <c r="H116" s="129"/>
      <c r="I116" s="129"/>
      <c r="J116" s="129"/>
    </row>
    <row r="117" spans="3:10">
      <c r="C117" s="129"/>
      <c r="D117" s="129"/>
      <c r="E117" s="129"/>
      <c r="F117" s="129"/>
      <c r="G117" s="129"/>
      <c r="H117" s="129"/>
      <c r="I117" s="129"/>
      <c r="J117" s="129"/>
    </row>
    <row r="118" spans="3:10">
      <c r="C118" s="129"/>
      <c r="D118" s="129"/>
      <c r="E118" s="129"/>
      <c r="F118" s="129"/>
      <c r="G118" s="129"/>
      <c r="H118" s="129"/>
      <c r="I118" s="129"/>
      <c r="J118" s="129"/>
    </row>
    <row r="119" spans="3:10">
      <c r="C119" s="129"/>
      <c r="D119" s="129"/>
      <c r="E119" s="129"/>
      <c r="F119" s="129"/>
      <c r="G119" s="129"/>
      <c r="H119" s="129"/>
      <c r="I119" s="129"/>
      <c r="J119" s="129"/>
    </row>
    <row r="120" spans="3:10">
      <c r="C120" s="129"/>
      <c r="D120" s="129"/>
      <c r="E120" s="129"/>
      <c r="F120" s="129"/>
      <c r="G120" s="129"/>
      <c r="H120" s="129"/>
      <c r="I120" s="129"/>
      <c r="J120" s="129"/>
    </row>
    <row r="121" spans="3:10">
      <c r="C121" s="129"/>
      <c r="D121" s="129"/>
      <c r="E121" s="129"/>
      <c r="F121" s="129"/>
      <c r="G121" s="129"/>
      <c r="H121" s="129"/>
      <c r="I121" s="129"/>
      <c r="J121" s="129"/>
    </row>
    <row r="122" spans="3:10">
      <c r="C122" s="129"/>
      <c r="D122" s="129"/>
      <c r="E122" s="129"/>
      <c r="F122" s="129"/>
      <c r="G122" s="129"/>
      <c r="H122" s="129"/>
      <c r="I122" s="129"/>
      <c r="J122" s="129"/>
    </row>
    <row r="123" spans="3:10">
      <c r="C123" s="129"/>
      <c r="D123" s="129"/>
      <c r="E123" s="129"/>
      <c r="F123" s="129"/>
      <c r="G123" s="129"/>
      <c r="H123" s="129"/>
      <c r="I123" s="129"/>
      <c r="J123" s="129"/>
    </row>
    <row r="124" spans="3:10">
      <c r="C124" s="129"/>
      <c r="D124" s="129"/>
      <c r="E124" s="129"/>
      <c r="F124" s="129"/>
      <c r="G124" s="129"/>
      <c r="H124" s="129"/>
      <c r="I124" s="129"/>
      <c r="J124" s="129"/>
    </row>
    <row r="125" spans="3:10">
      <c r="C125" s="129"/>
      <c r="D125" s="129"/>
      <c r="E125" s="129"/>
      <c r="F125" s="129"/>
      <c r="G125" s="129"/>
      <c r="H125" s="129"/>
      <c r="I125" s="129"/>
      <c r="J125" s="129"/>
    </row>
    <row r="126" spans="3:10">
      <c r="C126" s="129"/>
      <c r="D126" s="129"/>
      <c r="E126" s="129"/>
      <c r="F126" s="129"/>
      <c r="G126" s="129"/>
      <c r="H126" s="129"/>
      <c r="I126" s="129"/>
      <c r="J126" s="129"/>
    </row>
    <row r="127" spans="3:10">
      <c r="C127" s="129"/>
      <c r="D127" s="129"/>
      <c r="E127" s="129"/>
      <c r="F127" s="129"/>
      <c r="G127" s="129"/>
      <c r="H127" s="129"/>
      <c r="I127" s="129"/>
      <c r="J127" s="129"/>
    </row>
    <row r="128" spans="3:10">
      <c r="C128" s="129"/>
      <c r="D128" s="129"/>
      <c r="E128" s="129"/>
      <c r="F128" s="129"/>
      <c r="G128" s="129"/>
      <c r="H128" s="129"/>
      <c r="I128" s="129"/>
      <c r="J128" s="129"/>
    </row>
    <row r="129" spans="3:10">
      <c r="C129" s="129"/>
      <c r="D129" s="129"/>
      <c r="E129" s="129"/>
      <c r="F129" s="129"/>
      <c r="G129" s="129"/>
      <c r="H129" s="129"/>
      <c r="I129" s="129"/>
      <c r="J129" s="129"/>
    </row>
    <row r="130" spans="3:10">
      <c r="C130" s="129"/>
      <c r="D130" s="129"/>
      <c r="E130" s="129"/>
      <c r="F130" s="129"/>
      <c r="G130" s="129"/>
      <c r="H130" s="129"/>
      <c r="I130" s="129"/>
      <c r="J130" s="129"/>
    </row>
    <row r="131" spans="3:10">
      <c r="C131" s="129"/>
      <c r="D131" s="129"/>
      <c r="E131" s="129"/>
      <c r="F131" s="129"/>
      <c r="G131" s="129"/>
      <c r="H131" s="129"/>
      <c r="I131" s="129"/>
      <c r="J131" s="129"/>
    </row>
    <row r="132" spans="3:10">
      <c r="C132" s="129"/>
      <c r="D132" s="129"/>
      <c r="E132" s="129"/>
      <c r="F132" s="129"/>
      <c r="G132" s="129"/>
      <c r="H132" s="129"/>
      <c r="I132" s="129"/>
      <c r="J132" s="129"/>
    </row>
    <row r="133" spans="3:10">
      <c r="C133" s="129"/>
      <c r="D133" s="129"/>
      <c r="E133" s="129"/>
      <c r="F133" s="129"/>
      <c r="G133" s="129"/>
      <c r="H133" s="129"/>
      <c r="I133" s="129"/>
      <c r="J133" s="129"/>
    </row>
    <row r="134" spans="3:10">
      <c r="C134" s="129"/>
      <c r="D134" s="129"/>
      <c r="E134" s="129"/>
      <c r="F134" s="129"/>
      <c r="G134" s="129"/>
      <c r="H134" s="129"/>
      <c r="I134" s="129"/>
      <c r="J134" s="129"/>
    </row>
    <row r="135" spans="3:10">
      <c r="C135" s="129"/>
      <c r="D135" s="129"/>
      <c r="E135" s="129"/>
      <c r="F135" s="129"/>
      <c r="G135" s="129"/>
      <c r="H135" s="129"/>
      <c r="I135" s="129"/>
      <c r="J135" s="129"/>
    </row>
    <row r="136" spans="3:10">
      <c r="C136" s="129"/>
      <c r="D136" s="129"/>
      <c r="E136" s="129"/>
      <c r="F136" s="129"/>
      <c r="G136" s="129"/>
      <c r="H136" s="129"/>
      <c r="I136" s="129"/>
      <c r="J136" s="129"/>
    </row>
    <row r="137" spans="3:10">
      <c r="C137" s="129"/>
      <c r="D137" s="129"/>
      <c r="E137" s="129"/>
      <c r="F137" s="129"/>
      <c r="G137" s="129"/>
      <c r="H137" s="129"/>
      <c r="I137" s="129"/>
      <c r="J137" s="129"/>
    </row>
    <row r="138" spans="3:10">
      <c r="C138" s="129"/>
      <c r="D138" s="129"/>
      <c r="E138" s="129"/>
      <c r="F138" s="129"/>
      <c r="G138" s="129"/>
      <c r="H138" s="129"/>
      <c r="I138" s="129"/>
      <c r="J138" s="129"/>
    </row>
    <row r="139" spans="3:10">
      <c r="C139" s="129"/>
      <c r="D139" s="129"/>
      <c r="E139" s="129"/>
      <c r="F139" s="129"/>
      <c r="G139" s="129"/>
      <c r="H139" s="129"/>
      <c r="I139" s="129"/>
      <c r="J139" s="129"/>
    </row>
    <row r="140" spans="3:10">
      <c r="C140" s="129"/>
      <c r="D140" s="129"/>
      <c r="E140" s="129"/>
      <c r="F140" s="129"/>
      <c r="G140" s="129"/>
      <c r="H140" s="129"/>
      <c r="I140" s="129"/>
      <c r="J140" s="129"/>
    </row>
    <row r="141" spans="3:10">
      <c r="C141" s="129"/>
      <c r="D141" s="129"/>
      <c r="E141" s="129"/>
      <c r="F141" s="129"/>
      <c r="G141" s="129"/>
      <c r="H141" s="129"/>
      <c r="I141" s="129"/>
      <c r="J141" s="129"/>
    </row>
    <row r="142" spans="3:10">
      <c r="C142" s="129"/>
      <c r="D142" s="129"/>
      <c r="E142" s="129"/>
      <c r="F142" s="129"/>
      <c r="G142" s="129"/>
      <c r="H142" s="129"/>
      <c r="I142" s="129"/>
      <c r="J142" s="129"/>
    </row>
    <row r="143" spans="3:10">
      <c r="C143" s="129"/>
      <c r="D143" s="129"/>
      <c r="E143" s="129"/>
      <c r="F143" s="129"/>
      <c r="G143" s="129"/>
      <c r="H143" s="129"/>
      <c r="I143" s="129"/>
      <c r="J143" s="129"/>
    </row>
    <row r="144" spans="3:10">
      <c r="C144" s="129"/>
      <c r="D144" s="129"/>
      <c r="E144" s="129"/>
      <c r="F144" s="129"/>
      <c r="G144" s="129"/>
      <c r="H144" s="129"/>
      <c r="I144" s="129"/>
      <c r="J144" s="129"/>
    </row>
    <row r="145" spans="3:10">
      <c r="C145" s="129"/>
      <c r="D145" s="129"/>
      <c r="E145" s="129"/>
      <c r="F145" s="129"/>
      <c r="G145" s="129"/>
      <c r="H145" s="129"/>
      <c r="I145" s="129"/>
      <c r="J145" s="129"/>
    </row>
    <row r="146" spans="3:10">
      <c r="C146" s="129"/>
      <c r="D146" s="129"/>
      <c r="E146" s="129"/>
      <c r="F146" s="129"/>
      <c r="G146" s="129"/>
      <c r="H146" s="129"/>
      <c r="I146" s="129"/>
      <c r="J146" s="129"/>
    </row>
    <row r="147" spans="3:10">
      <c r="C147" s="129"/>
      <c r="D147" s="129"/>
      <c r="E147" s="129"/>
      <c r="F147" s="129"/>
      <c r="G147" s="129"/>
      <c r="H147" s="129"/>
      <c r="I147" s="129"/>
      <c r="J147" s="129"/>
    </row>
    <row r="148" spans="3:10">
      <c r="C148" s="129"/>
      <c r="D148" s="129"/>
      <c r="E148" s="129"/>
      <c r="F148" s="129"/>
      <c r="G148" s="129"/>
      <c r="H148" s="129"/>
      <c r="I148" s="129"/>
      <c r="J148" s="129"/>
    </row>
    <row r="149" spans="3:10">
      <c r="C149" s="129"/>
      <c r="D149" s="129"/>
      <c r="E149" s="129"/>
      <c r="F149" s="129"/>
      <c r="G149" s="129"/>
      <c r="H149" s="129"/>
      <c r="I149" s="129"/>
      <c r="J149" s="129"/>
    </row>
    <row r="150" spans="3:10">
      <c r="C150" s="129"/>
      <c r="D150" s="129"/>
      <c r="E150" s="129"/>
      <c r="F150" s="129"/>
      <c r="G150" s="129"/>
      <c r="H150" s="129"/>
      <c r="I150" s="129"/>
      <c r="J150" s="129"/>
    </row>
    <row r="151" spans="3:10">
      <c r="C151" s="129"/>
      <c r="D151" s="129"/>
      <c r="E151" s="129"/>
      <c r="F151" s="129"/>
      <c r="G151" s="129"/>
      <c r="H151" s="129"/>
      <c r="I151" s="129"/>
      <c r="J151" s="129"/>
    </row>
    <row r="152" spans="3:10">
      <c r="C152" s="129"/>
      <c r="D152" s="129"/>
      <c r="E152" s="129"/>
      <c r="F152" s="129"/>
      <c r="G152" s="129"/>
      <c r="H152" s="129"/>
      <c r="I152" s="129"/>
      <c r="J152" s="129"/>
    </row>
    <row r="153" spans="3:10">
      <c r="C153" s="129"/>
      <c r="D153" s="129"/>
      <c r="E153" s="129"/>
      <c r="F153" s="129"/>
      <c r="G153" s="129"/>
      <c r="H153" s="129"/>
      <c r="I153" s="129"/>
      <c r="J153" s="129"/>
    </row>
    <row r="154" spans="3:10">
      <c r="C154" s="129"/>
      <c r="D154" s="129"/>
      <c r="E154" s="129"/>
      <c r="F154" s="129"/>
      <c r="G154" s="129"/>
      <c r="H154" s="129"/>
      <c r="I154" s="129"/>
      <c r="J154" s="129"/>
    </row>
    <row r="155" spans="3:10">
      <c r="C155" s="129"/>
      <c r="D155" s="129"/>
      <c r="E155" s="129"/>
      <c r="F155" s="129"/>
      <c r="G155" s="129"/>
      <c r="H155" s="129"/>
      <c r="I155" s="129"/>
      <c r="J155" s="129"/>
    </row>
    <row r="156" spans="3:10">
      <c r="C156" s="129"/>
      <c r="D156" s="129"/>
      <c r="E156" s="129"/>
      <c r="F156" s="129"/>
      <c r="G156" s="129"/>
      <c r="H156" s="129"/>
      <c r="I156" s="129"/>
      <c r="J156" s="129"/>
    </row>
    <row r="157" spans="3:10">
      <c r="C157" s="129"/>
      <c r="D157" s="129"/>
      <c r="E157" s="129"/>
      <c r="F157" s="129"/>
      <c r="G157" s="129"/>
      <c r="H157" s="129"/>
      <c r="I157" s="129"/>
      <c r="J157" s="129"/>
    </row>
    <row r="158" spans="3:10">
      <c r="C158" s="129"/>
      <c r="D158" s="129"/>
      <c r="E158" s="129"/>
      <c r="F158" s="129"/>
      <c r="G158" s="129"/>
      <c r="H158" s="129"/>
      <c r="I158" s="129"/>
      <c r="J158" s="129"/>
    </row>
    <row r="159" spans="3:10">
      <c r="C159" s="129"/>
      <c r="D159" s="129"/>
      <c r="E159" s="129"/>
      <c r="F159" s="129"/>
      <c r="G159" s="129"/>
      <c r="H159" s="129"/>
      <c r="I159" s="129"/>
      <c r="J159" s="129"/>
    </row>
    <row r="160" spans="3:10">
      <c r="C160" s="129"/>
      <c r="D160" s="129"/>
      <c r="E160" s="129"/>
      <c r="F160" s="129"/>
      <c r="G160" s="129"/>
      <c r="H160" s="129"/>
      <c r="I160" s="129"/>
      <c r="J160" s="129"/>
    </row>
    <row r="161" spans="3:10">
      <c r="C161" s="129"/>
      <c r="D161" s="129"/>
      <c r="E161" s="129"/>
      <c r="F161" s="129"/>
      <c r="G161" s="129"/>
      <c r="H161" s="129"/>
      <c r="I161" s="129"/>
      <c r="J161" s="129"/>
    </row>
    <row r="162" spans="3:10">
      <c r="C162" s="129"/>
      <c r="D162" s="129"/>
      <c r="E162" s="129"/>
      <c r="F162" s="129"/>
      <c r="G162" s="129"/>
      <c r="H162" s="129"/>
      <c r="I162" s="129"/>
      <c r="J162" s="129"/>
    </row>
    <row r="163" spans="3:10">
      <c r="C163" s="129"/>
      <c r="D163" s="129"/>
      <c r="E163" s="129"/>
      <c r="F163" s="129"/>
      <c r="G163" s="129"/>
      <c r="H163" s="129"/>
      <c r="I163" s="129"/>
      <c r="J163" s="129"/>
    </row>
    <row r="164" spans="3:10">
      <c r="C164" s="129"/>
      <c r="D164" s="129"/>
      <c r="E164" s="129"/>
      <c r="F164" s="129"/>
      <c r="G164" s="129"/>
      <c r="H164" s="129"/>
      <c r="I164" s="129"/>
      <c r="J164" s="129"/>
    </row>
    <row r="165" spans="3:10">
      <c r="C165" s="129"/>
      <c r="D165" s="129"/>
      <c r="E165" s="129"/>
      <c r="F165" s="129"/>
      <c r="G165" s="129"/>
      <c r="H165" s="129"/>
      <c r="I165" s="129"/>
      <c r="J165" s="129"/>
    </row>
    <row r="166" spans="3:10">
      <c r="C166" s="129"/>
      <c r="D166" s="129"/>
      <c r="E166" s="129"/>
      <c r="F166" s="129"/>
      <c r="G166" s="129"/>
      <c r="H166" s="129"/>
      <c r="I166" s="129"/>
      <c r="J166" s="129"/>
    </row>
    <row r="167" spans="3:10">
      <c r="C167" s="129"/>
      <c r="D167" s="129"/>
      <c r="E167" s="129"/>
      <c r="F167" s="129"/>
      <c r="G167" s="129"/>
      <c r="H167" s="129"/>
      <c r="I167" s="129"/>
      <c r="J167" s="129"/>
    </row>
    <row r="168" spans="3:10">
      <c r="C168" s="129"/>
      <c r="D168" s="129"/>
      <c r="E168" s="129"/>
      <c r="F168" s="129"/>
      <c r="G168" s="129"/>
      <c r="H168" s="129"/>
      <c r="I168" s="129"/>
      <c r="J168" s="129"/>
    </row>
    <row r="169" spans="3:10">
      <c r="C169" s="129"/>
      <c r="D169" s="129"/>
      <c r="E169" s="129"/>
      <c r="F169" s="129"/>
      <c r="G169" s="129"/>
      <c r="H169" s="129"/>
      <c r="I169" s="129"/>
      <c r="J169" s="129"/>
    </row>
    <row r="170" spans="3:10">
      <c r="C170" s="129"/>
      <c r="D170" s="129"/>
      <c r="E170" s="129"/>
      <c r="F170" s="129"/>
      <c r="G170" s="129"/>
      <c r="H170" s="129"/>
      <c r="I170" s="129"/>
      <c r="J170" s="129"/>
    </row>
    <row r="171" spans="3:10">
      <c r="C171" s="129"/>
      <c r="D171" s="129"/>
      <c r="E171" s="129"/>
      <c r="F171" s="129"/>
      <c r="G171" s="129"/>
      <c r="H171" s="129"/>
      <c r="I171" s="129"/>
      <c r="J171" s="129"/>
    </row>
    <row r="172" spans="3:10">
      <c r="C172" s="129"/>
      <c r="D172" s="129"/>
      <c r="E172" s="129"/>
      <c r="F172" s="129"/>
      <c r="G172" s="129"/>
      <c r="H172" s="129"/>
      <c r="I172" s="129"/>
      <c r="J172" s="129"/>
    </row>
    <row r="173" spans="3:10">
      <c r="C173" s="129"/>
      <c r="D173" s="129"/>
      <c r="E173" s="129"/>
      <c r="F173" s="129"/>
      <c r="G173" s="129"/>
      <c r="H173" s="129"/>
      <c r="I173" s="129"/>
      <c r="J173" s="129"/>
    </row>
    <row r="174" spans="3:10">
      <c r="C174" s="129"/>
      <c r="D174" s="129"/>
      <c r="E174" s="129"/>
      <c r="F174" s="129"/>
      <c r="G174" s="129"/>
      <c r="H174" s="129"/>
      <c r="I174" s="129"/>
      <c r="J174" s="129"/>
    </row>
    <row r="175" spans="3:10">
      <c r="C175" s="129"/>
      <c r="D175" s="129"/>
      <c r="E175" s="129"/>
      <c r="F175" s="129"/>
      <c r="G175" s="129"/>
      <c r="H175" s="129"/>
      <c r="I175" s="129"/>
      <c r="J175" s="129"/>
    </row>
    <row r="176" spans="3:10">
      <c r="C176" s="129"/>
      <c r="D176" s="129"/>
      <c r="E176" s="129"/>
      <c r="F176" s="129"/>
      <c r="G176" s="129"/>
      <c r="H176" s="129"/>
      <c r="I176" s="129"/>
      <c r="J176" s="129"/>
    </row>
    <row r="177" spans="3:10">
      <c r="C177" s="129"/>
      <c r="D177" s="129"/>
      <c r="E177" s="129"/>
      <c r="F177" s="129"/>
      <c r="G177" s="129"/>
      <c r="H177" s="129"/>
      <c r="I177" s="129"/>
      <c r="J177" s="129"/>
    </row>
    <row r="178" spans="3:10">
      <c r="C178" s="129"/>
      <c r="D178" s="129"/>
      <c r="E178" s="129"/>
      <c r="F178" s="129"/>
      <c r="G178" s="129"/>
      <c r="H178" s="129"/>
      <c r="I178" s="129"/>
      <c r="J178" s="129"/>
    </row>
    <row r="179" spans="3:10">
      <c r="C179" s="129"/>
      <c r="D179" s="129"/>
      <c r="E179" s="129"/>
      <c r="F179" s="129"/>
      <c r="G179" s="129"/>
      <c r="H179" s="129"/>
      <c r="I179" s="129"/>
      <c r="J179" s="129"/>
    </row>
    <row r="180" spans="3:10">
      <c r="C180" s="129"/>
      <c r="D180" s="129"/>
      <c r="E180" s="129"/>
      <c r="F180" s="129"/>
      <c r="G180" s="129"/>
      <c r="H180" s="129"/>
      <c r="I180" s="129"/>
      <c r="J180" s="129"/>
    </row>
    <row r="181" spans="3:10">
      <c r="C181" s="129"/>
      <c r="D181" s="129"/>
      <c r="E181" s="129"/>
      <c r="F181" s="129"/>
      <c r="G181" s="129"/>
      <c r="H181" s="129"/>
      <c r="I181" s="129"/>
      <c r="J181" s="129"/>
    </row>
    <row r="182" spans="3:10">
      <c r="C182" s="129"/>
      <c r="D182" s="129"/>
      <c r="E182" s="129"/>
      <c r="F182" s="129"/>
      <c r="G182" s="129"/>
      <c r="H182" s="129"/>
      <c r="I182" s="129"/>
      <c r="J182" s="129"/>
    </row>
    <row r="183" spans="3:10">
      <c r="C183" s="129"/>
      <c r="D183" s="129"/>
      <c r="E183" s="129"/>
      <c r="F183" s="129"/>
      <c r="G183" s="129"/>
      <c r="H183" s="129"/>
      <c r="I183" s="129"/>
      <c r="J183" s="129"/>
    </row>
    <row r="184" spans="3:10">
      <c r="C184" s="129"/>
      <c r="D184" s="129"/>
      <c r="E184" s="129"/>
      <c r="F184" s="129"/>
      <c r="G184" s="129"/>
      <c r="H184" s="129"/>
      <c r="I184" s="129"/>
      <c r="J184" s="129"/>
    </row>
    <row r="185" spans="3:10">
      <c r="C185" s="129"/>
      <c r="D185" s="129"/>
      <c r="E185" s="129"/>
      <c r="F185" s="129"/>
      <c r="G185" s="129"/>
      <c r="H185" s="129"/>
      <c r="I185" s="129"/>
      <c r="J185" s="129"/>
    </row>
    <row r="186" spans="3:10">
      <c r="C186" s="129"/>
      <c r="D186" s="129"/>
      <c r="E186" s="129"/>
      <c r="F186" s="129"/>
      <c r="G186" s="129"/>
      <c r="H186" s="129"/>
      <c r="I186" s="129"/>
      <c r="J186" s="129"/>
    </row>
    <row r="187" spans="3:10">
      <c r="C187" s="129"/>
      <c r="D187" s="129"/>
      <c r="E187" s="129"/>
      <c r="F187" s="129"/>
      <c r="G187" s="129"/>
      <c r="H187" s="129"/>
      <c r="I187" s="129"/>
      <c r="J187" s="129"/>
    </row>
    <row r="188" spans="3:10">
      <c r="C188" s="129"/>
      <c r="D188" s="129"/>
      <c r="E188" s="129"/>
      <c r="F188" s="129"/>
      <c r="G188" s="129"/>
      <c r="H188" s="129"/>
      <c r="I188" s="129"/>
      <c r="J188" s="129"/>
    </row>
    <row r="189" spans="3:10">
      <c r="C189" s="129"/>
      <c r="D189" s="129"/>
      <c r="E189" s="129"/>
      <c r="F189" s="129"/>
      <c r="G189" s="129"/>
      <c r="H189" s="129"/>
      <c r="I189" s="129"/>
      <c r="J189" s="129"/>
    </row>
    <row r="190" spans="3:10">
      <c r="C190" s="129"/>
      <c r="D190" s="129"/>
      <c r="E190" s="129"/>
      <c r="F190" s="129"/>
      <c r="G190" s="129"/>
      <c r="H190" s="129"/>
      <c r="I190" s="129"/>
      <c r="J190" s="129"/>
    </row>
    <row r="191" spans="3:10">
      <c r="C191" s="129"/>
      <c r="D191" s="129"/>
      <c r="E191" s="129"/>
      <c r="F191" s="129"/>
      <c r="G191" s="129"/>
      <c r="H191" s="129"/>
      <c r="I191" s="129"/>
      <c r="J191" s="129"/>
    </row>
    <row r="192" spans="3:10">
      <c r="C192" s="129"/>
      <c r="D192" s="129"/>
      <c r="E192" s="129"/>
      <c r="F192" s="129"/>
      <c r="G192" s="129"/>
      <c r="H192" s="129"/>
      <c r="I192" s="129"/>
      <c r="J192" s="129"/>
    </row>
    <row r="193" spans="3:10">
      <c r="C193" s="129"/>
      <c r="D193" s="129"/>
      <c r="E193" s="129"/>
      <c r="F193" s="129"/>
      <c r="G193" s="129"/>
      <c r="H193" s="129"/>
      <c r="I193" s="129"/>
      <c r="J193" s="129"/>
    </row>
    <row r="194" spans="3:10">
      <c r="C194" s="129"/>
      <c r="D194" s="129"/>
      <c r="E194" s="129"/>
      <c r="F194" s="129"/>
      <c r="G194" s="129"/>
      <c r="H194" s="129"/>
      <c r="I194" s="129"/>
      <c r="J194" s="129"/>
    </row>
    <row r="195" spans="3:10">
      <c r="C195" s="129"/>
      <c r="D195" s="129"/>
      <c r="E195" s="129"/>
      <c r="F195" s="129"/>
      <c r="G195" s="129"/>
      <c r="H195" s="129"/>
      <c r="I195" s="129"/>
      <c r="J195" s="129"/>
    </row>
    <row r="196" spans="3:10">
      <c r="C196" s="129"/>
      <c r="D196" s="129"/>
      <c r="E196" s="129"/>
      <c r="F196" s="129"/>
      <c r="G196" s="129"/>
      <c r="H196" s="129"/>
      <c r="I196" s="129"/>
      <c r="J196" s="129"/>
    </row>
    <row r="197" spans="3:10">
      <c r="C197" s="129"/>
      <c r="D197" s="129"/>
      <c r="E197" s="129"/>
      <c r="F197" s="129"/>
      <c r="G197" s="129"/>
      <c r="H197" s="129"/>
      <c r="I197" s="129"/>
      <c r="J197" s="129"/>
    </row>
    <row r="198" spans="3:10">
      <c r="C198" s="129"/>
      <c r="D198" s="129"/>
      <c r="E198" s="129"/>
      <c r="F198" s="129"/>
      <c r="G198" s="129"/>
      <c r="H198" s="129"/>
      <c r="I198" s="129"/>
      <c r="J198" s="129"/>
    </row>
    <row r="199" spans="3:10">
      <c r="C199" s="129"/>
      <c r="D199" s="129"/>
      <c r="E199" s="129"/>
      <c r="F199" s="129"/>
      <c r="G199" s="129"/>
      <c r="H199" s="129"/>
      <c r="I199" s="129"/>
      <c r="J199" s="129"/>
    </row>
    <row r="200" spans="3:10">
      <c r="C200" s="129"/>
      <c r="D200" s="129"/>
      <c r="E200" s="129"/>
      <c r="F200" s="129"/>
      <c r="G200" s="129"/>
      <c r="H200" s="129"/>
      <c r="I200" s="129"/>
      <c r="J200" s="129"/>
    </row>
    <row r="201" spans="3:10">
      <c r="C201" s="129"/>
      <c r="D201" s="129"/>
      <c r="E201" s="129"/>
      <c r="F201" s="129"/>
      <c r="G201" s="129"/>
      <c r="H201" s="129"/>
      <c r="I201" s="129"/>
      <c r="J201" s="129"/>
    </row>
    <row r="202" spans="3:10">
      <c r="C202" s="129"/>
      <c r="D202" s="129"/>
      <c r="E202" s="129"/>
      <c r="F202" s="129"/>
      <c r="G202" s="129"/>
      <c r="H202" s="129"/>
      <c r="I202" s="129"/>
      <c r="J202" s="129"/>
    </row>
    <row r="203" spans="3:10">
      <c r="C203" s="129"/>
      <c r="D203" s="129"/>
      <c r="E203" s="129"/>
      <c r="F203" s="129"/>
      <c r="G203" s="129"/>
      <c r="H203" s="129"/>
      <c r="I203" s="129"/>
      <c r="J203" s="129"/>
    </row>
    <row r="204" spans="3:10">
      <c r="C204" s="129"/>
      <c r="D204" s="129"/>
      <c r="E204" s="129"/>
      <c r="F204" s="129"/>
      <c r="G204" s="129"/>
      <c r="H204" s="129"/>
      <c r="I204" s="129"/>
      <c r="J204" s="129"/>
    </row>
    <row r="205" spans="3:10">
      <c r="C205" s="129"/>
      <c r="D205" s="129"/>
      <c r="E205" s="129"/>
      <c r="F205" s="129"/>
      <c r="G205" s="129"/>
      <c r="H205" s="129"/>
      <c r="I205" s="129"/>
      <c r="J205" s="129"/>
    </row>
    <row r="206" spans="3:10">
      <c r="C206" s="129"/>
      <c r="D206" s="129"/>
      <c r="E206" s="129"/>
      <c r="F206" s="129"/>
      <c r="G206" s="129"/>
      <c r="H206" s="129"/>
      <c r="I206" s="129"/>
      <c r="J206" s="129"/>
    </row>
    <row r="207" spans="3:10">
      <c r="C207" s="129"/>
      <c r="D207" s="129"/>
      <c r="E207" s="129"/>
      <c r="F207" s="129"/>
      <c r="G207" s="129"/>
      <c r="H207" s="129"/>
      <c r="I207" s="129"/>
      <c r="J207" s="129"/>
    </row>
    <row r="208" spans="3:10">
      <c r="C208" s="129"/>
      <c r="D208" s="129"/>
      <c r="E208" s="129"/>
      <c r="F208" s="129"/>
      <c r="G208" s="129"/>
      <c r="H208" s="129"/>
      <c r="I208" s="129"/>
      <c r="J208" s="129"/>
    </row>
    <row r="209" spans="3:10">
      <c r="C209" s="129"/>
      <c r="D209" s="129"/>
      <c r="E209" s="129"/>
      <c r="F209" s="129"/>
      <c r="G209" s="129"/>
      <c r="H209" s="129"/>
      <c r="I209" s="129"/>
      <c r="J209" s="129"/>
    </row>
    <row r="210" spans="3:10">
      <c r="C210" s="129"/>
      <c r="D210" s="129"/>
      <c r="E210" s="129"/>
      <c r="F210" s="129"/>
      <c r="G210" s="129"/>
      <c r="H210" s="129"/>
      <c r="I210" s="129"/>
      <c r="J210" s="129"/>
    </row>
    <row r="211" spans="3:10">
      <c r="C211" s="129"/>
      <c r="D211" s="129"/>
      <c r="E211" s="129"/>
      <c r="F211" s="129"/>
      <c r="G211" s="129"/>
      <c r="H211" s="129"/>
      <c r="I211" s="129"/>
      <c r="J211" s="129"/>
    </row>
    <row r="212" spans="3:10">
      <c r="C212" s="129"/>
      <c r="D212" s="129"/>
      <c r="E212" s="129"/>
      <c r="F212" s="129"/>
      <c r="G212" s="129"/>
      <c r="H212" s="129"/>
      <c r="I212" s="129"/>
      <c r="J212" s="129"/>
    </row>
    <row r="213" spans="3:10">
      <c r="C213" s="129"/>
      <c r="D213" s="129"/>
      <c r="E213" s="129"/>
      <c r="F213" s="129"/>
      <c r="G213" s="129"/>
      <c r="H213" s="129"/>
      <c r="I213" s="129"/>
      <c r="J213" s="129"/>
    </row>
    <row r="214" spans="3:10">
      <c r="C214" s="129"/>
      <c r="D214" s="129"/>
      <c r="E214" s="129"/>
      <c r="F214" s="129"/>
      <c r="G214" s="129"/>
      <c r="H214" s="129"/>
      <c r="I214" s="129"/>
      <c r="J214" s="129"/>
    </row>
    <row r="215" spans="3:10">
      <c r="C215" s="129"/>
      <c r="D215" s="129"/>
      <c r="E215" s="129"/>
      <c r="F215" s="129"/>
      <c r="G215" s="129"/>
      <c r="H215" s="129"/>
      <c r="I215" s="129"/>
      <c r="J215" s="129"/>
    </row>
    <row r="216" spans="3:10">
      <c r="C216" s="129"/>
      <c r="D216" s="129"/>
      <c r="E216" s="129"/>
      <c r="F216" s="129"/>
      <c r="G216" s="129"/>
      <c r="H216" s="129"/>
      <c r="I216" s="129"/>
      <c r="J216" s="129"/>
    </row>
    <row r="217" spans="3:10">
      <c r="C217" s="129"/>
      <c r="D217" s="129"/>
      <c r="E217" s="129"/>
      <c r="F217" s="129"/>
      <c r="G217" s="129"/>
      <c r="H217" s="129"/>
      <c r="I217" s="129"/>
      <c r="J217" s="129"/>
    </row>
    <row r="218" spans="3:10">
      <c r="C218" s="129"/>
      <c r="D218" s="129"/>
      <c r="E218" s="129"/>
      <c r="F218" s="129"/>
      <c r="G218" s="129"/>
      <c r="H218" s="129"/>
      <c r="I218" s="129"/>
      <c r="J218" s="129"/>
    </row>
    <row r="219" spans="3:10">
      <c r="C219" s="129"/>
      <c r="D219" s="129"/>
      <c r="E219" s="129"/>
      <c r="F219" s="129"/>
      <c r="G219" s="129"/>
      <c r="H219" s="129"/>
      <c r="I219" s="129"/>
      <c r="J219" s="129"/>
    </row>
    <row r="220" spans="3:10">
      <c r="C220" s="129"/>
      <c r="D220" s="129"/>
      <c r="E220" s="129"/>
      <c r="F220" s="129"/>
      <c r="G220" s="129"/>
      <c r="H220" s="129"/>
      <c r="I220" s="129"/>
      <c r="J220" s="129"/>
    </row>
    <row r="221" spans="3:10">
      <c r="C221" s="129"/>
      <c r="D221" s="129"/>
      <c r="E221" s="129"/>
      <c r="F221" s="129"/>
      <c r="G221" s="129"/>
      <c r="H221" s="129"/>
      <c r="I221" s="129"/>
      <c r="J221" s="129"/>
    </row>
    <row r="222" spans="3:10">
      <c r="C222" s="129"/>
      <c r="D222" s="129"/>
      <c r="E222" s="129"/>
      <c r="F222" s="129"/>
      <c r="G222" s="129"/>
      <c r="H222" s="129"/>
      <c r="I222" s="129"/>
      <c r="J222" s="129"/>
    </row>
    <row r="223" spans="3:10">
      <c r="C223" s="129"/>
      <c r="D223" s="129"/>
      <c r="E223" s="129"/>
      <c r="F223" s="129"/>
      <c r="G223" s="129"/>
      <c r="H223" s="129"/>
      <c r="I223" s="129"/>
      <c r="J223" s="129"/>
    </row>
    <row r="224" spans="3:10">
      <c r="C224" s="129"/>
      <c r="D224" s="129"/>
      <c r="E224" s="129"/>
      <c r="F224" s="129"/>
      <c r="G224" s="129"/>
      <c r="H224" s="129"/>
      <c r="I224" s="129"/>
      <c r="J224" s="129"/>
    </row>
    <row r="225" spans="3:10">
      <c r="C225" s="129"/>
      <c r="D225" s="129"/>
      <c r="E225" s="129"/>
      <c r="F225" s="129"/>
      <c r="G225" s="129"/>
      <c r="H225" s="129"/>
      <c r="I225" s="129"/>
      <c r="J225" s="129"/>
    </row>
    <row r="226" spans="3:10">
      <c r="C226" s="129"/>
      <c r="D226" s="129"/>
      <c r="E226" s="129"/>
      <c r="F226" s="129"/>
      <c r="G226" s="129"/>
      <c r="H226" s="129"/>
      <c r="I226" s="129"/>
      <c r="J226" s="129"/>
    </row>
    <row r="227" spans="3:10">
      <c r="C227" s="129"/>
      <c r="D227" s="129"/>
      <c r="E227" s="129"/>
      <c r="F227" s="129"/>
      <c r="G227" s="129"/>
      <c r="H227" s="129"/>
      <c r="I227" s="129"/>
      <c r="J227" s="129"/>
    </row>
    <row r="228" spans="3:10">
      <c r="C228" s="129"/>
      <c r="D228" s="129"/>
      <c r="E228" s="129"/>
      <c r="F228" s="129"/>
      <c r="G228" s="129"/>
      <c r="H228" s="129"/>
      <c r="I228" s="129"/>
      <c r="J228" s="129"/>
    </row>
    <row r="229" spans="3:10">
      <c r="C229" s="129"/>
      <c r="D229" s="129"/>
      <c r="E229" s="129"/>
      <c r="F229" s="129"/>
      <c r="G229" s="129"/>
      <c r="H229" s="129"/>
      <c r="I229" s="129"/>
      <c r="J229" s="129"/>
    </row>
    <row r="230" spans="3:10">
      <c r="C230" s="129"/>
      <c r="D230" s="129"/>
      <c r="E230" s="129"/>
      <c r="F230" s="129"/>
      <c r="G230" s="129"/>
      <c r="H230" s="129"/>
      <c r="I230" s="129"/>
      <c r="J230" s="129"/>
    </row>
    <row r="231" spans="3:10">
      <c r="C231" s="129"/>
      <c r="D231" s="129"/>
      <c r="E231" s="129"/>
      <c r="F231" s="129"/>
      <c r="G231" s="129"/>
      <c r="H231" s="129"/>
      <c r="I231" s="129"/>
      <c r="J231" s="129"/>
    </row>
    <row r="232" spans="3:10">
      <c r="C232" s="129"/>
      <c r="D232" s="129"/>
      <c r="E232" s="129"/>
      <c r="F232" s="129"/>
      <c r="G232" s="129"/>
      <c r="H232" s="129"/>
      <c r="I232" s="129"/>
      <c r="J232" s="129"/>
    </row>
    <row r="233" spans="3:10">
      <c r="C233" s="129"/>
      <c r="D233" s="129"/>
      <c r="E233" s="129"/>
      <c r="F233" s="129"/>
      <c r="G233" s="129"/>
      <c r="H233" s="129"/>
      <c r="I233" s="129"/>
      <c r="J233" s="129"/>
    </row>
    <row r="234" spans="3:10">
      <c r="C234" s="129"/>
      <c r="D234" s="129"/>
      <c r="E234" s="129"/>
      <c r="F234" s="129"/>
      <c r="G234" s="129"/>
      <c r="H234" s="129"/>
      <c r="I234" s="129"/>
      <c r="J234" s="129"/>
    </row>
    <row r="235" spans="3:10">
      <c r="C235" s="129"/>
      <c r="D235" s="129"/>
      <c r="E235" s="129"/>
      <c r="F235" s="129"/>
      <c r="G235" s="129"/>
      <c r="H235" s="129"/>
      <c r="I235" s="129"/>
      <c r="J235" s="129"/>
    </row>
    <row r="236" spans="3:10">
      <c r="C236" s="129"/>
      <c r="D236" s="129"/>
      <c r="E236" s="129"/>
      <c r="F236" s="129"/>
      <c r="G236" s="129"/>
      <c r="H236" s="129"/>
      <c r="I236" s="129"/>
      <c r="J236" s="129"/>
    </row>
    <row r="237" spans="3:10">
      <c r="C237" s="129"/>
      <c r="D237" s="129"/>
      <c r="E237" s="129"/>
      <c r="F237" s="129"/>
      <c r="G237" s="129"/>
      <c r="H237" s="129"/>
      <c r="I237" s="129"/>
      <c r="J237" s="129"/>
    </row>
    <row r="238" spans="3:10">
      <c r="C238" s="129"/>
      <c r="D238" s="129"/>
      <c r="E238" s="129"/>
      <c r="F238" s="129"/>
      <c r="G238" s="129"/>
      <c r="H238" s="129"/>
      <c r="I238" s="129"/>
      <c r="J238" s="129"/>
    </row>
    <row r="239" spans="3:10">
      <c r="C239" s="129"/>
      <c r="D239" s="129"/>
      <c r="E239" s="129"/>
      <c r="F239" s="129"/>
      <c r="G239" s="129"/>
      <c r="H239" s="129"/>
      <c r="I239" s="129"/>
      <c r="J239" s="129"/>
    </row>
    <row r="240" spans="3:10">
      <c r="C240" s="129"/>
      <c r="D240" s="129"/>
      <c r="E240" s="129"/>
      <c r="F240" s="129"/>
      <c r="G240" s="129"/>
      <c r="H240" s="129"/>
      <c r="I240" s="129"/>
      <c r="J240" s="129"/>
    </row>
    <row r="241" spans="3:10">
      <c r="C241" s="129"/>
      <c r="D241" s="129"/>
      <c r="E241" s="129"/>
      <c r="F241" s="129"/>
      <c r="G241" s="129"/>
      <c r="H241" s="129"/>
      <c r="I241" s="129"/>
      <c r="J241" s="129"/>
    </row>
    <row r="242" spans="3:10">
      <c r="C242" s="129"/>
      <c r="D242" s="129"/>
      <c r="E242" s="129"/>
      <c r="F242" s="129"/>
      <c r="G242" s="129"/>
      <c r="H242" s="129"/>
      <c r="I242" s="129"/>
      <c r="J242" s="129"/>
    </row>
    <row r="243" spans="3:10">
      <c r="C243" s="129"/>
      <c r="D243" s="129"/>
      <c r="E243" s="129"/>
      <c r="F243" s="129"/>
      <c r="G243" s="129"/>
      <c r="H243" s="129"/>
      <c r="I243" s="129"/>
      <c r="J243" s="129"/>
    </row>
    <row r="244" spans="3:10">
      <c r="C244" s="129"/>
      <c r="D244" s="129"/>
      <c r="E244" s="129"/>
      <c r="F244" s="129"/>
      <c r="G244" s="129"/>
      <c r="H244" s="129"/>
      <c r="I244" s="129"/>
      <c r="J244" s="129"/>
    </row>
    <row r="245" spans="3:10">
      <c r="C245" s="129"/>
      <c r="D245" s="129"/>
      <c r="E245" s="129"/>
      <c r="F245" s="129"/>
      <c r="G245" s="129"/>
      <c r="H245" s="129"/>
      <c r="I245" s="129"/>
      <c r="J245" s="129"/>
    </row>
    <row r="246" spans="3:10">
      <c r="C246" s="129"/>
      <c r="D246" s="129"/>
      <c r="E246" s="129"/>
      <c r="F246" s="129"/>
      <c r="G246" s="129"/>
      <c r="H246" s="129"/>
      <c r="I246" s="129"/>
      <c r="J246" s="129"/>
    </row>
    <row r="247" spans="3:10">
      <c r="C247" s="129"/>
      <c r="D247" s="129"/>
      <c r="E247" s="129"/>
      <c r="F247" s="129"/>
      <c r="G247" s="129"/>
      <c r="H247" s="129"/>
      <c r="I247" s="129"/>
      <c r="J247" s="129"/>
    </row>
    <row r="248" spans="3:10">
      <c r="C248" s="129"/>
      <c r="D248" s="129"/>
      <c r="E248" s="129"/>
      <c r="F248" s="129"/>
      <c r="G248" s="129"/>
      <c r="H248" s="129"/>
      <c r="I248" s="129"/>
      <c r="J248" s="129"/>
    </row>
    <row r="249" spans="3:10">
      <c r="C249" s="129"/>
      <c r="D249" s="129"/>
      <c r="E249" s="129"/>
      <c r="F249" s="129"/>
      <c r="G249" s="129"/>
      <c r="H249" s="129"/>
      <c r="I249" s="129"/>
      <c r="J249" s="129"/>
    </row>
    <row r="250" spans="3:10">
      <c r="C250" s="129"/>
      <c r="D250" s="129"/>
      <c r="E250" s="129"/>
      <c r="F250" s="129"/>
      <c r="G250" s="129"/>
      <c r="H250" s="129"/>
      <c r="I250" s="129"/>
      <c r="J250" s="129"/>
    </row>
    <row r="251" spans="3:10">
      <c r="C251" s="129"/>
      <c r="D251" s="129"/>
      <c r="E251" s="129"/>
      <c r="F251" s="129"/>
      <c r="G251" s="129"/>
      <c r="H251" s="129"/>
      <c r="I251" s="129"/>
      <c r="J251" s="129"/>
    </row>
    <row r="252" spans="3:10">
      <c r="C252" s="129"/>
      <c r="D252" s="129"/>
      <c r="E252" s="129"/>
      <c r="F252" s="129"/>
      <c r="G252" s="129"/>
      <c r="H252" s="129"/>
      <c r="I252" s="129"/>
      <c r="J252" s="129"/>
    </row>
    <row r="253" spans="3:10">
      <c r="C253" s="129"/>
      <c r="D253" s="129"/>
      <c r="E253" s="129"/>
      <c r="F253" s="129"/>
      <c r="G253" s="129"/>
      <c r="H253" s="129"/>
      <c r="I253" s="129"/>
      <c r="J253" s="129"/>
    </row>
    <row r="254" spans="3:10">
      <c r="C254" s="129"/>
      <c r="D254" s="129"/>
      <c r="E254" s="129"/>
      <c r="F254" s="129"/>
      <c r="G254" s="129"/>
      <c r="H254" s="129"/>
      <c r="I254" s="129"/>
      <c r="J254" s="129"/>
    </row>
    <row r="255" spans="3:10">
      <c r="C255" s="129"/>
      <c r="D255" s="129"/>
      <c r="E255" s="129"/>
      <c r="F255" s="129"/>
      <c r="G255" s="129"/>
      <c r="H255" s="129"/>
      <c r="I255" s="129"/>
      <c r="J255" s="129"/>
    </row>
    <row r="256" spans="3:10">
      <c r="C256" s="129"/>
      <c r="D256" s="129"/>
      <c r="E256" s="129"/>
      <c r="F256" s="129"/>
      <c r="G256" s="129"/>
      <c r="H256" s="129"/>
      <c r="I256" s="129"/>
      <c r="J256" s="129"/>
    </row>
    <row r="257" spans="3:10">
      <c r="C257" s="129"/>
      <c r="D257" s="129"/>
      <c r="E257" s="129"/>
      <c r="F257" s="129"/>
      <c r="G257" s="129"/>
      <c r="H257" s="129"/>
      <c r="I257" s="129"/>
      <c r="J257" s="129"/>
    </row>
    <row r="258" spans="3:10">
      <c r="C258" s="129"/>
      <c r="D258" s="129"/>
      <c r="E258" s="129"/>
      <c r="F258" s="129"/>
      <c r="G258" s="129"/>
      <c r="H258" s="129"/>
      <c r="I258" s="129"/>
      <c r="J258" s="129"/>
    </row>
    <row r="259" spans="3:10">
      <c r="C259" s="129"/>
      <c r="D259" s="129"/>
      <c r="E259" s="129"/>
      <c r="F259" s="129"/>
      <c r="G259" s="129"/>
      <c r="H259" s="129"/>
      <c r="I259" s="129"/>
      <c r="J259" s="129"/>
    </row>
    <row r="260" spans="3:10">
      <c r="C260" s="129"/>
      <c r="D260" s="129"/>
      <c r="E260" s="129"/>
      <c r="F260" s="129"/>
      <c r="G260" s="129"/>
      <c r="H260" s="129"/>
      <c r="I260" s="129"/>
      <c r="J260" s="129"/>
    </row>
    <row r="261" spans="3:10">
      <c r="C261" s="129"/>
      <c r="D261" s="129"/>
      <c r="E261" s="129"/>
      <c r="F261" s="129"/>
      <c r="G261" s="129"/>
      <c r="H261" s="129"/>
      <c r="I261" s="129"/>
      <c r="J261" s="129"/>
    </row>
    <row r="262" spans="3:10">
      <c r="C262" s="129"/>
      <c r="D262" s="129"/>
      <c r="E262" s="129"/>
      <c r="F262" s="129"/>
      <c r="G262" s="129"/>
      <c r="H262" s="129"/>
      <c r="I262" s="129"/>
      <c r="J262" s="129"/>
    </row>
    <row r="263" spans="3:10">
      <c r="C263" s="129"/>
      <c r="D263" s="129"/>
      <c r="E263" s="129"/>
      <c r="F263" s="129"/>
      <c r="G263" s="129"/>
      <c r="H263" s="129"/>
      <c r="I263" s="129"/>
      <c r="J263" s="129"/>
    </row>
    <row r="264" spans="3:10">
      <c r="C264" s="129"/>
      <c r="D264" s="129"/>
      <c r="E264" s="129"/>
      <c r="F264" s="129"/>
      <c r="G264" s="129"/>
      <c r="H264" s="129"/>
      <c r="I264" s="129"/>
      <c r="J264" s="129"/>
    </row>
    <row r="265" spans="3:10">
      <c r="C265" s="129"/>
      <c r="D265" s="129"/>
      <c r="E265" s="129"/>
      <c r="F265" s="129"/>
      <c r="G265" s="129"/>
      <c r="H265" s="129"/>
      <c r="I265" s="129"/>
      <c r="J265" s="129"/>
    </row>
    <row r="266" spans="3:10">
      <c r="C266" s="129"/>
      <c r="D266" s="129"/>
      <c r="E266" s="129"/>
      <c r="F266" s="129"/>
      <c r="G266" s="129"/>
      <c r="H266" s="129"/>
      <c r="I266" s="129"/>
      <c r="J266" s="129"/>
    </row>
    <row r="267" spans="3:10">
      <c r="C267" s="129"/>
      <c r="D267" s="129"/>
      <c r="E267" s="129"/>
      <c r="F267" s="129"/>
      <c r="G267" s="129"/>
      <c r="H267" s="129"/>
      <c r="I267" s="129"/>
      <c r="J267" s="129"/>
    </row>
    <row r="268" spans="3:10">
      <c r="C268" s="129"/>
      <c r="D268" s="129"/>
      <c r="E268" s="129"/>
      <c r="F268" s="129"/>
      <c r="G268" s="129"/>
      <c r="H268" s="129"/>
      <c r="I268" s="129"/>
      <c r="J268" s="129"/>
    </row>
    <row r="269" spans="3:10">
      <c r="C269" s="129"/>
      <c r="D269" s="129"/>
      <c r="E269" s="129"/>
      <c r="F269" s="129"/>
      <c r="G269" s="129"/>
      <c r="H269" s="129"/>
      <c r="I269" s="129"/>
      <c r="J269" s="129"/>
    </row>
    <row r="270" spans="3:10">
      <c r="C270" s="129"/>
      <c r="D270" s="129"/>
      <c r="E270" s="129"/>
      <c r="F270" s="129"/>
      <c r="G270" s="129"/>
      <c r="H270" s="129"/>
      <c r="I270" s="129"/>
      <c r="J270" s="129"/>
    </row>
    <row r="271" spans="3:10">
      <c r="C271" s="129"/>
      <c r="D271" s="129"/>
      <c r="E271" s="129"/>
      <c r="F271" s="129"/>
      <c r="G271" s="129"/>
      <c r="H271" s="129"/>
      <c r="I271" s="129"/>
      <c r="J271" s="129"/>
    </row>
    <row r="272" spans="3:10">
      <c r="C272" s="129"/>
      <c r="D272" s="129"/>
      <c r="E272" s="129"/>
      <c r="F272" s="129"/>
      <c r="G272" s="129"/>
      <c r="H272" s="129"/>
      <c r="I272" s="129"/>
      <c r="J272" s="129"/>
    </row>
    <row r="273" spans="3:10">
      <c r="C273" s="129"/>
      <c r="D273" s="129"/>
      <c r="E273" s="129"/>
      <c r="F273" s="129"/>
      <c r="G273" s="129"/>
      <c r="H273" s="129"/>
      <c r="I273" s="129"/>
      <c r="J273" s="129"/>
    </row>
    <row r="274" spans="3:10">
      <c r="C274" s="129"/>
      <c r="D274" s="129"/>
      <c r="E274" s="129"/>
      <c r="F274" s="129"/>
      <c r="G274" s="129"/>
      <c r="H274" s="129"/>
      <c r="I274" s="129"/>
      <c r="J274" s="129"/>
    </row>
    <row r="275" spans="3:10">
      <c r="C275" s="129"/>
      <c r="D275" s="129"/>
      <c r="E275" s="129"/>
      <c r="F275" s="129"/>
      <c r="G275" s="129"/>
      <c r="H275" s="129"/>
      <c r="I275" s="129"/>
      <c r="J275" s="129"/>
    </row>
    <row r="276" spans="3:10">
      <c r="C276" s="129"/>
      <c r="D276" s="129"/>
      <c r="E276" s="129"/>
      <c r="F276" s="129"/>
      <c r="G276" s="129"/>
      <c r="H276" s="129"/>
      <c r="I276" s="129"/>
      <c r="J276" s="129"/>
    </row>
    <row r="277" spans="3:10">
      <c r="C277" s="129"/>
      <c r="D277" s="129"/>
      <c r="E277" s="129"/>
      <c r="F277" s="129"/>
      <c r="G277" s="129"/>
      <c r="H277" s="129"/>
      <c r="I277" s="129"/>
      <c r="J277" s="129"/>
    </row>
    <row r="278" spans="3:10">
      <c r="C278" s="129"/>
      <c r="D278" s="129"/>
      <c r="E278" s="129"/>
      <c r="F278" s="129"/>
      <c r="G278" s="129"/>
      <c r="H278" s="129"/>
      <c r="I278" s="129"/>
      <c r="J278" s="129"/>
    </row>
    <row r="279" spans="3:10">
      <c r="C279" s="129"/>
      <c r="D279" s="129"/>
      <c r="E279" s="129"/>
      <c r="F279" s="129"/>
      <c r="G279" s="129"/>
      <c r="H279" s="129"/>
      <c r="I279" s="129"/>
      <c r="J279" s="129"/>
    </row>
    <row r="280" spans="3:10">
      <c r="C280" s="129"/>
      <c r="D280" s="129"/>
      <c r="E280" s="129"/>
      <c r="F280" s="129"/>
      <c r="G280" s="129"/>
      <c r="H280" s="129"/>
      <c r="I280" s="129"/>
      <c r="J280" s="129"/>
    </row>
    <row r="281" spans="3:10">
      <c r="C281" s="129"/>
      <c r="D281" s="129"/>
      <c r="E281" s="129"/>
      <c r="F281" s="129"/>
      <c r="G281" s="129"/>
      <c r="H281" s="129"/>
      <c r="I281" s="129"/>
      <c r="J281" s="129"/>
    </row>
    <row r="282" spans="3:10">
      <c r="C282" s="129"/>
      <c r="D282" s="129"/>
      <c r="E282" s="129"/>
      <c r="F282" s="129"/>
      <c r="G282" s="129"/>
      <c r="H282" s="129"/>
      <c r="I282" s="129"/>
      <c r="J282" s="129"/>
    </row>
    <row r="283" spans="3:10">
      <c r="C283" s="129"/>
      <c r="D283" s="129"/>
      <c r="E283" s="129"/>
      <c r="F283" s="129"/>
      <c r="G283" s="129"/>
      <c r="H283" s="129"/>
      <c r="I283" s="129"/>
      <c r="J283" s="129"/>
    </row>
    <row r="284" spans="3:10">
      <c r="C284" s="129"/>
      <c r="D284" s="129"/>
      <c r="E284" s="129"/>
      <c r="F284" s="129"/>
      <c r="G284" s="129"/>
      <c r="H284" s="129"/>
      <c r="I284" s="129"/>
      <c r="J284" s="129"/>
    </row>
    <row r="285" spans="3:10">
      <c r="C285" s="129"/>
      <c r="D285" s="129"/>
      <c r="E285" s="129"/>
      <c r="F285" s="129"/>
      <c r="G285" s="129"/>
      <c r="H285" s="129"/>
      <c r="I285" s="129"/>
      <c r="J285" s="129"/>
    </row>
    <row r="286" spans="3:10">
      <c r="C286" s="129"/>
      <c r="D286" s="129"/>
      <c r="E286" s="129"/>
      <c r="F286" s="129"/>
      <c r="G286" s="129"/>
      <c r="H286" s="129"/>
      <c r="I286" s="129"/>
      <c r="J286" s="129"/>
    </row>
    <row r="287" spans="3:10">
      <c r="C287" s="129"/>
      <c r="D287" s="129"/>
      <c r="E287" s="129"/>
      <c r="F287" s="129"/>
      <c r="G287" s="129"/>
      <c r="H287" s="129"/>
      <c r="I287" s="129"/>
      <c r="J287" s="129"/>
    </row>
    <row r="288" spans="3:10">
      <c r="C288" s="129"/>
      <c r="D288" s="129"/>
      <c r="E288" s="129"/>
      <c r="F288" s="129"/>
      <c r="G288" s="129"/>
      <c r="H288" s="129"/>
      <c r="I288" s="129"/>
      <c r="J288" s="129"/>
    </row>
    <row r="289" spans="3:10">
      <c r="C289" s="129"/>
      <c r="D289" s="129"/>
      <c r="E289" s="129"/>
      <c r="F289" s="129"/>
      <c r="G289" s="129"/>
      <c r="H289" s="129"/>
      <c r="I289" s="129"/>
      <c r="J289" s="129"/>
    </row>
    <row r="290" spans="3:10">
      <c r="C290" s="129"/>
      <c r="D290" s="129"/>
      <c r="E290" s="129"/>
      <c r="F290" s="129"/>
      <c r="G290" s="129"/>
      <c r="H290" s="129"/>
      <c r="I290" s="129"/>
      <c r="J290" s="129"/>
    </row>
    <row r="291" spans="3:10">
      <c r="C291" s="129"/>
      <c r="D291" s="129"/>
      <c r="E291" s="129"/>
      <c r="F291" s="129"/>
      <c r="G291" s="129"/>
      <c r="H291" s="129"/>
      <c r="I291" s="129"/>
      <c r="J291" s="129"/>
    </row>
    <row r="292" spans="3:10">
      <c r="C292" s="129"/>
      <c r="D292" s="129"/>
      <c r="E292" s="129"/>
      <c r="F292" s="129"/>
      <c r="G292" s="129"/>
      <c r="H292" s="129"/>
      <c r="I292" s="129"/>
      <c r="J292" s="129"/>
    </row>
    <row r="293" spans="3:10">
      <c r="C293" s="129"/>
      <c r="D293" s="129"/>
      <c r="E293" s="129"/>
      <c r="F293" s="129"/>
      <c r="G293" s="129"/>
      <c r="H293" s="129"/>
      <c r="I293" s="129"/>
      <c r="J293" s="129"/>
    </row>
    <row r="294" spans="3:10">
      <c r="C294" s="129"/>
      <c r="D294" s="129"/>
      <c r="E294" s="129"/>
      <c r="F294" s="129"/>
      <c r="G294" s="129"/>
      <c r="H294" s="129"/>
      <c r="I294" s="129"/>
      <c r="J294" s="129"/>
    </row>
    <row r="295" spans="3:10">
      <c r="C295" s="129"/>
      <c r="D295" s="129"/>
      <c r="E295" s="129"/>
      <c r="F295" s="129"/>
      <c r="G295" s="129"/>
      <c r="H295" s="129"/>
      <c r="I295" s="129"/>
      <c r="J295" s="129"/>
    </row>
    <row r="296" spans="3:10">
      <c r="C296" s="129"/>
      <c r="D296" s="129"/>
      <c r="E296" s="129"/>
      <c r="F296" s="129"/>
      <c r="G296" s="129"/>
      <c r="H296" s="129"/>
      <c r="I296" s="129"/>
      <c r="J296" s="129"/>
    </row>
    <row r="297" spans="3:10">
      <c r="C297" s="129"/>
      <c r="D297" s="129"/>
      <c r="E297" s="129"/>
      <c r="F297" s="129"/>
      <c r="G297" s="129"/>
      <c r="H297" s="129"/>
      <c r="I297" s="129"/>
      <c r="J297" s="129"/>
    </row>
    <row r="298" spans="3:10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100:X100"/>
    <mergeCell ref="M99:X99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9" orientation="portrait" horizontalDpi="300" verticalDpi="300" r:id="rId1"/>
  <headerFooter alignWithMargins="0"/>
  <rowBreaks count="1" manualBreakCount="1">
    <brk id="48" min="10" max="2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E3CC1-8EE2-4CAE-942C-5813D1159138}">
  <sheetPr codeName="Sheet39">
    <tabColor rgb="FFFF3300"/>
    <pageSetUpPr fitToPage="1"/>
  </sheetPr>
  <dimension ref="A1:AB298"/>
  <sheetViews>
    <sheetView view="pageBreakPreview" topLeftCell="F61" zoomScale="60" zoomScaleNormal="80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52.21875" customWidth="1"/>
    <col min="4" max="4" width="1.109375" customWidth="1"/>
    <col min="5" max="5" width="37.109375" customWidth="1"/>
    <col min="6" max="6" width="1.21875" customWidth="1"/>
    <col min="7" max="7" width="14.109375" customWidth="1"/>
    <col min="8" max="8" width="0.77734375" customWidth="1"/>
    <col min="9" max="9" width="12.77734375" customWidth="1"/>
    <col min="10" max="10" width="3.77734375" customWidth="1"/>
    <col min="11" max="11" width="5.21875" customWidth="1"/>
    <col min="12" max="12" width="1.77734375" customWidth="1"/>
    <col min="13" max="13" width="19.21875" customWidth="1"/>
    <col min="14" max="14" width="8.77734375"/>
    <col min="15" max="15" width="13.77734375" customWidth="1"/>
    <col min="16" max="16" width="13.109375" customWidth="1"/>
    <col min="17" max="17" width="13.77734375" customWidth="1"/>
    <col min="18" max="18" width="12.44140625" customWidth="1"/>
    <col min="19" max="19" width="14.77734375" customWidth="1"/>
    <col min="20" max="20" width="13.21875" customWidth="1"/>
    <col min="21" max="21" width="12.77734375" customWidth="1"/>
    <col min="22" max="22" width="17.44140625" customWidth="1"/>
    <col min="23" max="23" width="12" customWidth="1"/>
    <col min="24" max="24" width="16.21875" customWidth="1"/>
    <col min="25" max="245" width="8.77734375"/>
    <col min="246" max="246" width="6" customWidth="1"/>
    <col min="247" max="247" width="1.44140625" customWidth="1"/>
    <col min="248" max="248" width="39.109375" customWidth="1"/>
    <col min="249" max="249" width="12" customWidth="1"/>
    <col min="250" max="250" width="14.44140625" customWidth="1"/>
    <col min="251" max="251" width="11.77734375" customWidth="1"/>
    <col min="252" max="252" width="14.109375" customWidth="1"/>
    <col min="253" max="253" width="13.77734375" customWidth="1"/>
    <col min="254" max="255" width="12.77734375" customWidth="1"/>
    <col min="256" max="256" width="13.5546875" customWidth="1"/>
    <col min="257" max="257" width="15.21875" customWidth="1"/>
    <col min="258" max="258" width="12.77734375" customWidth="1"/>
    <col min="259" max="259" width="13.77734375" customWidth="1"/>
    <col min="260" max="260" width="1.77734375" customWidth="1"/>
    <col min="261" max="261" width="13" customWidth="1"/>
    <col min="262" max="501" width="8.77734375"/>
    <col min="502" max="502" width="6" customWidth="1"/>
    <col min="503" max="503" width="1.44140625" customWidth="1"/>
    <col min="504" max="504" width="39.109375" customWidth="1"/>
    <col min="505" max="505" width="12" customWidth="1"/>
    <col min="506" max="506" width="14.44140625" customWidth="1"/>
    <col min="507" max="507" width="11.77734375" customWidth="1"/>
    <col min="508" max="508" width="14.109375" customWidth="1"/>
    <col min="509" max="509" width="13.77734375" customWidth="1"/>
    <col min="510" max="511" width="12.77734375" customWidth="1"/>
    <col min="512" max="512" width="13.5546875" customWidth="1"/>
    <col min="513" max="513" width="15.21875" customWidth="1"/>
    <col min="514" max="514" width="12.77734375" customWidth="1"/>
    <col min="515" max="515" width="13.77734375" customWidth="1"/>
    <col min="516" max="516" width="1.77734375" customWidth="1"/>
    <col min="517" max="517" width="13" customWidth="1"/>
    <col min="518" max="757" width="8.77734375"/>
    <col min="758" max="758" width="6" customWidth="1"/>
    <col min="759" max="759" width="1.44140625" customWidth="1"/>
    <col min="760" max="760" width="39.109375" customWidth="1"/>
    <col min="761" max="761" width="12" customWidth="1"/>
    <col min="762" max="762" width="14.44140625" customWidth="1"/>
    <col min="763" max="763" width="11.77734375" customWidth="1"/>
    <col min="764" max="764" width="14.109375" customWidth="1"/>
    <col min="765" max="765" width="13.77734375" customWidth="1"/>
    <col min="766" max="767" width="12.77734375" customWidth="1"/>
    <col min="768" max="768" width="13.5546875" customWidth="1"/>
    <col min="769" max="769" width="15.21875" customWidth="1"/>
    <col min="770" max="770" width="12.77734375" customWidth="1"/>
    <col min="771" max="771" width="13.77734375" customWidth="1"/>
    <col min="772" max="772" width="1.77734375" customWidth="1"/>
    <col min="773" max="773" width="13" customWidth="1"/>
    <col min="774" max="1013" width="8.77734375"/>
    <col min="1014" max="1014" width="6" customWidth="1"/>
    <col min="1015" max="1015" width="1.44140625" customWidth="1"/>
    <col min="1016" max="1016" width="39.109375" customWidth="1"/>
    <col min="1017" max="1017" width="12" customWidth="1"/>
    <col min="1018" max="1018" width="14.44140625" customWidth="1"/>
    <col min="1019" max="1019" width="11.77734375" customWidth="1"/>
    <col min="1020" max="1020" width="14.109375" customWidth="1"/>
    <col min="1021" max="1021" width="13.77734375" customWidth="1"/>
    <col min="1022" max="1023" width="12.77734375" customWidth="1"/>
    <col min="1024" max="1024" width="13.5546875" customWidth="1"/>
    <col min="1025" max="1025" width="15.21875" customWidth="1"/>
    <col min="1026" max="1026" width="12.77734375" customWidth="1"/>
    <col min="1027" max="1027" width="13.77734375" customWidth="1"/>
    <col min="1028" max="1028" width="1.77734375" customWidth="1"/>
    <col min="1029" max="1029" width="13" customWidth="1"/>
    <col min="1030" max="1269" width="8.77734375"/>
    <col min="1270" max="1270" width="6" customWidth="1"/>
    <col min="1271" max="1271" width="1.44140625" customWidth="1"/>
    <col min="1272" max="1272" width="39.109375" customWidth="1"/>
    <col min="1273" max="1273" width="12" customWidth="1"/>
    <col min="1274" max="1274" width="14.44140625" customWidth="1"/>
    <col min="1275" max="1275" width="11.77734375" customWidth="1"/>
    <col min="1276" max="1276" width="14.109375" customWidth="1"/>
    <col min="1277" max="1277" width="13.77734375" customWidth="1"/>
    <col min="1278" max="1279" width="12.77734375" customWidth="1"/>
    <col min="1280" max="1280" width="13.5546875" customWidth="1"/>
    <col min="1281" max="1281" width="15.21875" customWidth="1"/>
    <col min="1282" max="1282" width="12.77734375" customWidth="1"/>
    <col min="1283" max="1283" width="13.77734375" customWidth="1"/>
    <col min="1284" max="1284" width="1.77734375" customWidth="1"/>
    <col min="1285" max="1285" width="13" customWidth="1"/>
    <col min="1286" max="1525" width="8.77734375"/>
    <col min="1526" max="1526" width="6" customWidth="1"/>
    <col min="1527" max="1527" width="1.44140625" customWidth="1"/>
    <col min="1528" max="1528" width="39.109375" customWidth="1"/>
    <col min="1529" max="1529" width="12" customWidth="1"/>
    <col min="1530" max="1530" width="14.44140625" customWidth="1"/>
    <col min="1531" max="1531" width="11.77734375" customWidth="1"/>
    <col min="1532" max="1532" width="14.109375" customWidth="1"/>
    <col min="1533" max="1533" width="13.77734375" customWidth="1"/>
    <col min="1534" max="1535" width="12.77734375" customWidth="1"/>
    <col min="1536" max="1536" width="13.5546875" customWidth="1"/>
    <col min="1537" max="1537" width="15.21875" customWidth="1"/>
    <col min="1538" max="1538" width="12.77734375" customWidth="1"/>
    <col min="1539" max="1539" width="13.77734375" customWidth="1"/>
    <col min="1540" max="1540" width="1.77734375" customWidth="1"/>
    <col min="1541" max="1541" width="13" customWidth="1"/>
    <col min="1542" max="1781" width="8.77734375"/>
    <col min="1782" max="1782" width="6" customWidth="1"/>
    <col min="1783" max="1783" width="1.44140625" customWidth="1"/>
    <col min="1784" max="1784" width="39.109375" customWidth="1"/>
    <col min="1785" max="1785" width="12" customWidth="1"/>
    <col min="1786" max="1786" width="14.44140625" customWidth="1"/>
    <col min="1787" max="1787" width="11.77734375" customWidth="1"/>
    <col min="1788" max="1788" width="14.109375" customWidth="1"/>
    <col min="1789" max="1789" width="13.77734375" customWidth="1"/>
    <col min="1790" max="1791" width="12.77734375" customWidth="1"/>
    <col min="1792" max="1792" width="13.5546875" customWidth="1"/>
    <col min="1793" max="1793" width="15.21875" customWidth="1"/>
    <col min="1794" max="1794" width="12.77734375" customWidth="1"/>
    <col min="1795" max="1795" width="13.77734375" customWidth="1"/>
    <col min="1796" max="1796" width="1.77734375" customWidth="1"/>
    <col min="1797" max="1797" width="13" customWidth="1"/>
    <col min="1798" max="2037" width="8.77734375"/>
    <col min="2038" max="2038" width="6" customWidth="1"/>
    <col min="2039" max="2039" width="1.44140625" customWidth="1"/>
    <col min="2040" max="2040" width="39.109375" customWidth="1"/>
    <col min="2041" max="2041" width="12" customWidth="1"/>
    <col min="2042" max="2042" width="14.44140625" customWidth="1"/>
    <col min="2043" max="2043" width="11.77734375" customWidth="1"/>
    <col min="2044" max="2044" width="14.109375" customWidth="1"/>
    <col min="2045" max="2045" width="13.77734375" customWidth="1"/>
    <col min="2046" max="2047" width="12.77734375" customWidth="1"/>
    <col min="2048" max="2048" width="13.5546875" customWidth="1"/>
    <col min="2049" max="2049" width="15.21875" customWidth="1"/>
    <col min="2050" max="2050" width="12.77734375" customWidth="1"/>
    <col min="2051" max="2051" width="13.77734375" customWidth="1"/>
    <col min="2052" max="2052" width="1.77734375" customWidth="1"/>
    <col min="2053" max="2053" width="13" customWidth="1"/>
    <col min="2054" max="2293" width="8.77734375"/>
    <col min="2294" max="2294" width="6" customWidth="1"/>
    <col min="2295" max="2295" width="1.44140625" customWidth="1"/>
    <col min="2296" max="2296" width="39.109375" customWidth="1"/>
    <col min="2297" max="2297" width="12" customWidth="1"/>
    <col min="2298" max="2298" width="14.44140625" customWidth="1"/>
    <col min="2299" max="2299" width="11.77734375" customWidth="1"/>
    <col min="2300" max="2300" width="14.109375" customWidth="1"/>
    <col min="2301" max="2301" width="13.77734375" customWidth="1"/>
    <col min="2302" max="2303" width="12.77734375" customWidth="1"/>
    <col min="2304" max="2304" width="13.5546875" customWidth="1"/>
    <col min="2305" max="2305" width="15.21875" customWidth="1"/>
    <col min="2306" max="2306" width="12.77734375" customWidth="1"/>
    <col min="2307" max="2307" width="13.77734375" customWidth="1"/>
    <col min="2308" max="2308" width="1.77734375" customWidth="1"/>
    <col min="2309" max="2309" width="13" customWidth="1"/>
    <col min="2310" max="2549" width="8.77734375"/>
    <col min="2550" max="2550" width="6" customWidth="1"/>
    <col min="2551" max="2551" width="1.44140625" customWidth="1"/>
    <col min="2552" max="2552" width="39.109375" customWidth="1"/>
    <col min="2553" max="2553" width="12" customWidth="1"/>
    <col min="2554" max="2554" width="14.44140625" customWidth="1"/>
    <col min="2555" max="2555" width="11.77734375" customWidth="1"/>
    <col min="2556" max="2556" width="14.109375" customWidth="1"/>
    <col min="2557" max="2557" width="13.77734375" customWidth="1"/>
    <col min="2558" max="2559" width="12.77734375" customWidth="1"/>
    <col min="2560" max="2560" width="13.5546875" customWidth="1"/>
    <col min="2561" max="2561" width="15.21875" customWidth="1"/>
    <col min="2562" max="2562" width="12.77734375" customWidth="1"/>
    <col min="2563" max="2563" width="13.77734375" customWidth="1"/>
    <col min="2564" max="2564" width="1.77734375" customWidth="1"/>
    <col min="2565" max="2565" width="13" customWidth="1"/>
    <col min="2566" max="2805" width="8.77734375"/>
    <col min="2806" max="2806" width="6" customWidth="1"/>
    <col min="2807" max="2807" width="1.44140625" customWidth="1"/>
    <col min="2808" max="2808" width="39.109375" customWidth="1"/>
    <col min="2809" max="2809" width="12" customWidth="1"/>
    <col min="2810" max="2810" width="14.44140625" customWidth="1"/>
    <col min="2811" max="2811" width="11.77734375" customWidth="1"/>
    <col min="2812" max="2812" width="14.109375" customWidth="1"/>
    <col min="2813" max="2813" width="13.77734375" customWidth="1"/>
    <col min="2814" max="2815" width="12.77734375" customWidth="1"/>
    <col min="2816" max="2816" width="13.5546875" customWidth="1"/>
    <col min="2817" max="2817" width="15.21875" customWidth="1"/>
    <col min="2818" max="2818" width="12.77734375" customWidth="1"/>
    <col min="2819" max="2819" width="13.77734375" customWidth="1"/>
    <col min="2820" max="2820" width="1.77734375" customWidth="1"/>
    <col min="2821" max="2821" width="13" customWidth="1"/>
    <col min="2822" max="3061" width="8.77734375"/>
    <col min="3062" max="3062" width="6" customWidth="1"/>
    <col min="3063" max="3063" width="1.44140625" customWidth="1"/>
    <col min="3064" max="3064" width="39.109375" customWidth="1"/>
    <col min="3065" max="3065" width="12" customWidth="1"/>
    <col min="3066" max="3066" width="14.44140625" customWidth="1"/>
    <col min="3067" max="3067" width="11.77734375" customWidth="1"/>
    <col min="3068" max="3068" width="14.109375" customWidth="1"/>
    <col min="3069" max="3069" width="13.77734375" customWidth="1"/>
    <col min="3070" max="3071" width="12.77734375" customWidth="1"/>
    <col min="3072" max="3072" width="13.5546875" customWidth="1"/>
    <col min="3073" max="3073" width="15.21875" customWidth="1"/>
    <col min="3074" max="3074" width="12.77734375" customWidth="1"/>
    <col min="3075" max="3075" width="13.77734375" customWidth="1"/>
    <col min="3076" max="3076" width="1.77734375" customWidth="1"/>
    <col min="3077" max="3077" width="13" customWidth="1"/>
    <col min="3078" max="3317" width="8.77734375"/>
    <col min="3318" max="3318" width="6" customWidth="1"/>
    <col min="3319" max="3319" width="1.44140625" customWidth="1"/>
    <col min="3320" max="3320" width="39.109375" customWidth="1"/>
    <col min="3321" max="3321" width="12" customWidth="1"/>
    <col min="3322" max="3322" width="14.44140625" customWidth="1"/>
    <col min="3323" max="3323" width="11.77734375" customWidth="1"/>
    <col min="3324" max="3324" width="14.109375" customWidth="1"/>
    <col min="3325" max="3325" width="13.77734375" customWidth="1"/>
    <col min="3326" max="3327" width="12.77734375" customWidth="1"/>
    <col min="3328" max="3328" width="13.5546875" customWidth="1"/>
    <col min="3329" max="3329" width="15.21875" customWidth="1"/>
    <col min="3330" max="3330" width="12.77734375" customWidth="1"/>
    <col min="3331" max="3331" width="13.77734375" customWidth="1"/>
    <col min="3332" max="3332" width="1.77734375" customWidth="1"/>
    <col min="3333" max="3333" width="13" customWidth="1"/>
    <col min="3334" max="3573" width="8.77734375"/>
    <col min="3574" max="3574" width="6" customWidth="1"/>
    <col min="3575" max="3575" width="1.44140625" customWidth="1"/>
    <col min="3576" max="3576" width="39.109375" customWidth="1"/>
    <col min="3577" max="3577" width="12" customWidth="1"/>
    <col min="3578" max="3578" width="14.44140625" customWidth="1"/>
    <col min="3579" max="3579" width="11.77734375" customWidth="1"/>
    <col min="3580" max="3580" width="14.109375" customWidth="1"/>
    <col min="3581" max="3581" width="13.77734375" customWidth="1"/>
    <col min="3582" max="3583" width="12.77734375" customWidth="1"/>
    <col min="3584" max="3584" width="13.5546875" customWidth="1"/>
    <col min="3585" max="3585" width="15.21875" customWidth="1"/>
    <col min="3586" max="3586" width="12.77734375" customWidth="1"/>
    <col min="3587" max="3587" width="13.77734375" customWidth="1"/>
    <col min="3588" max="3588" width="1.77734375" customWidth="1"/>
    <col min="3589" max="3589" width="13" customWidth="1"/>
    <col min="3590" max="3829" width="8.77734375"/>
    <col min="3830" max="3830" width="6" customWidth="1"/>
    <col min="3831" max="3831" width="1.44140625" customWidth="1"/>
    <col min="3832" max="3832" width="39.109375" customWidth="1"/>
    <col min="3833" max="3833" width="12" customWidth="1"/>
    <col min="3834" max="3834" width="14.44140625" customWidth="1"/>
    <col min="3835" max="3835" width="11.77734375" customWidth="1"/>
    <col min="3836" max="3836" width="14.109375" customWidth="1"/>
    <col min="3837" max="3837" width="13.77734375" customWidth="1"/>
    <col min="3838" max="3839" width="12.77734375" customWidth="1"/>
    <col min="3840" max="3840" width="13.5546875" customWidth="1"/>
    <col min="3841" max="3841" width="15.21875" customWidth="1"/>
    <col min="3842" max="3842" width="12.77734375" customWidth="1"/>
    <col min="3843" max="3843" width="13.77734375" customWidth="1"/>
    <col min="3844" max="3844" width="1.77734375" customWidth="1"/>
    <col min="3845" max="3845" width="13" customWidth="1"/>
    <col min="3846" max="4085" width="8.77734375"/>
    <col min="4086" max="4086" width="6" customWidth="1"/>
    <col min="4087" max="4087" width="1.44140625" customWidth="1"/>
    <col min="4088" max="4088" width="39.109375" customWidth="1"/>
    <col min="4089" max="4089" width="12" customWidth="1"/>
    <col min="4090" max="4090" width="14.44140625" customWidth="1"/>
    <col min="4091" max="4091" width="11.77734375" customWidth="1"/>
    <col min="4092" max="4092" width="14.109375" customWidth="1"/>
    <col min="4093" max="4093" width="13.77734375" customWidth="1"/>
    <col min="4094" max="4095" width="12.77734375" customWidth="1"/>
    <col min="4096" max="4096" width="13.5546875" customWidth="1"/>
    <col min="4097" max="4097" width="15.21875" customWidth="1"/>
    <col min="4098" max="4098" width="12.77734375" customWidth="1"/>
    <col min="4099" max="4099" width="13.77734375" customWidth="1"/>
    <col min="4100" max="4100" width="1.77734375" customWidth="1"/>
    <col min="4101" max="4101" width="13" customWidth="1"/>
    <col min="4102" max="4341" width="8.77734375"/>
    <col min="4342" max="4342" width="6" customWidth="1"/>
    <col min="4343" max="4343" width="1.44140625" customWidth="1"/>
    <col min="4344" max="4344" width="39.109375" customWidth="1"/>
    <col min="4345" max="4345" width="12" customWidth="1"/>
    <col min="4346" max="4346" width="14.44140625" customWidth="1"/>
    <col min="4347" max="4347" width="11.77734375" customWidth="1"/>
    <col min="4348" max="4348" width="14.109375" customWidth="1"/>
    <col min="4349" max="4349" width="13.77734375" customWidth="1"/>
    <col min="4350" max="4351" width="12.77734375" customWidth="1"/>
    <col min="4352" max="4352" width="13.5546875" customWidth="1"/>
    <col min="4353" max="4353" width="15.21875" customWidth="1"/>
    <col min="4354" max="4354" width="12.77734375" customWidth="1"/>
    <col min="4355" max="4355" width="13.77734375" customWidth="1"/>
    <col min="4356" max="4356" width="1.77734375" customWidth="1"/>
    <col min="4357" max="4357" width="13" customWidth="1"/>
    <col min="4358" max="4597" width="8.77734375"/>
    <col min="4598" max="4598" width="6" customWidth="1"/>
    <col min="4599" max="4599" width="1.44140625" customWidth="1"/>
    <col min="4600" max="4600" width="39.109375" customWidth="1"/>
    <col min="4601" max="4601" width="12" customWidth="1"/>
    <col min="4602" max="4602" width="14.44140625" customWidth="1"/>
    <col min="4603" max="4603" width="11.77734375" customWidth="1"/>
    <col min="4604" max="4604" width="14.109375" customWidth="1"/>
    <col min="4605" max="4605" width="13.77734375" customWidth="1"/>
    <col min="4606" max="4607" width="12.77734375" customWidth="1"/>
    <col min="4608" max="4608" width="13.5546875" customWidth="1"/>
    <col min="4609" max="4609" width="15.21875" customWidth="1"/>
    <col min="4610" max="4610" width="12.77734375" customWidth="1"/>
    <col min="4611" max="4611" width="13.77734375" customWidth="1"/>
    <col min="4612" max="4612" width="1.77734375" customWidth="1"/>
    <col min="4613" max="4613" width="13" customWidth="1"/>
    <col min="4614" max="4853" width="8.77734375"/>
    <col min="4854" max="4854" width="6" customWidth="1"/>
    <col min="4855" max="4855" width="1.44140625" customWidth="1"/>
    <col min="4856" max="4856" width="39.109375" customWidth="1"/>
    <col min="4857" max="4857" width="12" customWidth="1"/>
    <col min="4858" max="4858" width="14.44140625" customWidth="1"/>
    <col min="4859" max="4859" width="11.77734375" customWidth="1"/>
    <col min="4860" max="4860" width="14.109375" customWidth="1"/>
    <col min="4861" max="4861" width="13.77734375" customWidth="1"/>
    <col min="4862" max="4863" width="12.77734375" customWidth="1"/>
    <col min="4864" max="4864" width="13.5546875" customWidth="1"/>
    <col min="4865" max="4865" width="15.21875" customWidth="1"/>
    <col min="4866" max="4866" width="12.77734375" customWidth="1"/>
    <col min="4867" max="4867" width="13.77734375" customWidth="1"/>
    <col min="4868" max="4868" width="1.77734375" customWidth="1"/>
    <col min="4869" max="4869" width="13" customWidth="1"/>
    <col min="4870" max="5109" width="8.77734375"/>
    <col min="5110" max="5110" width="6" customWidth="1"/>
    <col min="5111" max="5111" width="1.44140625" customWidth="1"/>
    <col min="5112" max="5112" width="39.109375" customWidth="1"/>
    <col min="5113" max="5113" width="12" customWidth="1"/>
    <col min="5114" max="5114" width="14.44140625" customWidth="1"/>
    <col min="5115" max="5115" width="11.77734375" customWidth="1"/>
    <col min="5116" max="5116" width="14.109375" customWidth="1"/>
    <col min="5117" max="5117" width="13.77734375" customWidth="1"/>
    <col min="5118" max="5119" width="12.77734375" customWidth="1"/>
    <col min="5120" max="5120" width="13.5546875" customWidth="1"/>
    <col min="5121" max="5121" width="15.21875" customWidth="1"/>
    <col min="5122" max="5122" width="12.77734375" customWidth="1"/>
    <col min="5123" max="5123" width="13.77734375" customWidth="1"/>
    <col min="5124" max="5124" width="1.77734375" customWidth="1"/>
    <col min="5125" max="5125" width="13" customWidth="1"/>
    <col min="5126" max="5365" width="8.77734375"/>
    <col min="5366" max="5366" width="6" customWidth="1"/>
    <col min="5367" max="5367" width="1.44140625" customWidth="1"/>
    <col min="5368" max="5368" width="39.109375" customWidth="1"/>
    <col min="5369" max="5369" width="12" customWidth="1"/>
    <col min="5370" max="5370" width="14.44140625" customWidth="1"/>
    <col min="5371" max="5371" width="11.77734375" customWidth="1"/>
    <col min="5372" max="5372" width="14.109375" customWidth="1"/>
    <col min="5373" max="5373" width="13.77734375" customWidth="1"/>
    <col min="5374" max="5375" width="12.77734375" customWidth="1"/>
    <col min="5376" max="5376" width="13.5546875" customWidth="1"/>
    <col min="5377" max="5377" width="15.21875" customWidth="1"/>
    <col min="5378" max="5378" width="12.77734375" customWidth="1"/>
    <col min="5379" max="5379" width="13.77734375" customWidth="1"/>
    <col min="5380" max="5380" width="1.77734375" customWidth="1"/>
    <col min="5381" max="5381" width="13" customWidth="1"/>
    <col min="5382" max="5621" width="8.77734375"/>
    <col min="5622" max="5622" width="6" customWidth="1"/>
    <col min="5623" max="5623" width="1.44140625" customWidth="1"/>
    <col min="5624" max="5624" width="39.109375" customWidth="1"/>
    <col min="5625" max="5625" width="12" customWidth="1"/>
    <col min="5626" max="5626" width="14.44140625" customWidth="1"/>
    <col min="5627" max="5627" width="11.77734375" customWidth="1"/>
    <col min="5628" max="5628" width="14.109375" customWidth="1"/>
    <col min="5629" max="5629" width="13.77734375" customWidth="1"/>
    <col min="5630" max="5631" width="12.77734375" customWidth="1"/>
    <col min="5632" max="5632" width="13.5546875" customWidth="1"/>
    <col min="5633" max="5633" width="15.21875" customWidth="1"/>
    <col min="5634" max="5634" width="12.77734375" customWidth="1"/>
    <col min="5635" max="5635" width="13.77734375" customWidth="1"/>
    <col min="5636" max="5636" width="1.77734375" customWidth="1"/>
    <col min="5637" max="5637" width="13" customWidth="1"/>
    <col min="5638" max="5877" width="8.77734375"/>
    <col min="5878" max="5878" width="6" customWidth="1"/>
    <col min="5879" max="5879" width="1.44140625" customWidth="1"/>
    <col min="5880" max="5880" width="39.109375" customWidth="1"/>
    <col min="5881" max="5881" width="12" customWidth="1"/>
    <col min="5882" max="5882" width="14.44140625" customWidth="1"/>
    <col min="5883" max="5883" width="11.77734375" customWidth="1"/>
    <col min="5884" max="5884" width="14.109375" customWidth="1"/>
    <col min="5885" max="5885" width="13.77734375" customWidth="1"/>
    <col min="5886" max="5887" width="12.77734375" customWidth="1"/>
    <col min="5888" max="5888" width="13.5546875" customWidth="1"/>
    <col min="5889" max="5889" width="15.21875" customWidth="1"/>
    <col min="5890" max="5890" width="12.77734375" customWidth="1"/>
    <col min="5891" max="5891" width="13.77734375" customWidth="1"/>
    <col min="5892" max="5892" width="1.77734375" customWidth="1"/>
    <col min="5893" max="5893" width="13" customWidth="1"/>
    <col min="5894" max="6133" width="8.77734375"/>
    <col min="6134" max="6134" width="6" customWidth="1"/>
    <col min="6135" max="6135" width="1.44140625" customWidth="1"/>
    <col min="6136" max="6136" width="39.109375" customWidth="1"/>
    <col min="6137" max="6137" width="12" customWidth="1"/>
    <col min="6138" max="6138" width="14.44140625" customWidth="1"/>
    <col min="6139" max="6139" width="11.77734375" customWidth="1"/>
    <col min="6140" max="6140" width="14.109375" customWidth="1"/>
    <col min="6141" max="6141" width="13.77734375" customWidth="1"/>
    <col min="6142" max="6143" width="12.77734375" customWidth="1"/>
    <col min="6144" max="6144" width="13.5546875" customWidth="1"/>
    <col min="6145" max="6145" width="15.21875" customWidth="1"/>
    <col min="6146" max="6146" width="12.77734375" customWidth="1"/>
    <col min="6147" max="6147" width="13.77734375" customWidth="1"/>
    <col min="6148" max="6148" width="1.77734375" customWidth="1"/>
    <col min="6149" max="6149" width="13" customWidth="1"/>
    <col min="6150" max="6389" width="8.77734375"/>
    <col min="6390" max="6390" width="6" customWidth="1"/>
    <col min="6391" max="6391" width="1.44140625" customWidth="1"/>
    <col min="6392" max="6392" width="39.109375" customWidth="1"/>
    <col min="6393" max="6393" width="12" customWidth="1"/>
    <col min="6394" max="6394" width="14.44140625" customWidth="1"/>
    <col min="6395" max="6395" width="11.77734375" customWidth="1"/>
    <col min="6396" max="6396" width="14.109375" customWidth="1"/>
    <col min="6397" max="6397" width="13.77734375" customWidth="1"/>
    <col min="6398" max="6399" width="12.77734375" customWidth="1"/>
    <col min="6400" max="6400" width="13.5546875" customWidth="1"/>
    <col min="6401" max="6401" width="15.21875" customWidth="1"/>
    <col min="6402" max="6402" width="12.77734375" customWidth="1"/>
    <col min="6403" max="6403" width="13.77734375" customWidth="1"/>
    <col min="6404" max="6404" width="1.77734375" customWidth="1"/>
    <col min="6405" max="6405" width="13" customWidth="1"/>
    <col min="6406" max="6645" width="8.77734375"/>
    <col min="6646" max="6646" width="6" customWidth="1"/>
    <col min="6647" max="6647" width="1.44140625" customWidth="1"/>
    <col min="6648" max="6648" width="39.109375" customWidth="1"/>
    <col min="6649" max="6649" width="12" customWidth="1"/>
    <col min="6650" max="6650" width="14.44140625" customWidth="1"/>
    <col min="6651" max="6651" width="11.77734375" customWidth="1"/>
    <col min="6652" max="6652" width="14.109375" customWidth="1"/>
    <col min="6653" max="6653" width="13.77734375" customWidth="1"/>
    <col min="6654" max="6655" width="12.77734375" customWidth="1"/>
    <col min="6656" max="6656" width="13.5546875" customWidth="1"/>
    <col min="6657" max="6657" width="15.21875" customWidth="1"/>
    <col min="6658" max="6658" width="12.77734375" customWidth="1"/>
    <col min="6659" max="6659" width="13.77734375" customWidth="1"/>
    <col min="6660" max="6660" width="1.77734375" customWidth="1"/>
    <col min="6661" max="6661" width="13" customWidth="1"/>
    <col min="6662" max="6901" width="8.77734375"/>
    <col min="6902" max="6902" width="6" customWidth="1"/>
    <col min="6903" max="6903" width="1.44140625" customWidth="1"/>
    <col min="6904" max="6904" width="39.109375" customWidth="1"/>
    <col min="6905" max="6905" width="12" customWidth="1"/>
    <col min="6906" max="6906" width="14.44140625" customWidth="1"/>
    <col min="6907" max="6907" width="11.77734375" customWidth="1"/>
    <col min="6908" max="6908" width="14.109375" customWidth="1"/>
    <col min="6909" max="6909" width="13.77734375" customWidth="1"/>
    <col min="6910" max="6911" width="12.77734375" customWidth="1"/>
    <col min="6912" max="6912" width="13.5546875" customWidth="1"/>
    <col min="6913" max="6913" width="15.21875" customWidth="1"/>
    <col min="6914" max="6914" width="12.77734375" customWidth="1"/>
    <col min="6915" max="6915" width="13.77734375" customWidth="1"/>
    <col min="6916" max="6916" width="1.77734375" customWidth="1"/>
    <col min="6917" max="6917" width="13" customWidth="1"/>
    <col min="6918" max="7157" width="8.77734375"/>
    <col min="7158" max="7158" width="6" customWidth="1"/>
    <col min="7159" max="7159" width="1.44140625" customWidth="1"/>
    <col min="7160" max="7160" width="39.109375" customWidth="1"/>
    <col min="7161" max="7161" width="12" customWidth="1"/>
    <col min="7162" max="7162" width="14.44140625" customWidth="1"/>
    <col min="7163" max="7163" width="11.77734375" customWidth="1"/>
    <col min="7164" max="7164" width="14.109375" customWidth="1"/>
    <col min="7165" max="7165" width="13.77734375" customWidth="1"/>
    <col min="7166" max="7167" width="12.77734375" customWidth="1"/>
    <col min="7168" max="7168" width="13.5546875" customWidth="1"/>
    <col min="7169" max="7169" width="15.21875" customWidth="1"/>
    <col min="7170" max="7170" width="12.77734375" customWidth="1"/>
    <col min="7171" max="7171" width="13.77734375" customWidth="1"/>
    <col min="7172" max="7172" width="1.77734375" customWidth="1"/>
    <col min="7173" max="7173" width="13" customWidth="1"/>
    <col min="7174" max="7413" width="8.77734375"/>
    <col min="7414" max="7414" width="6" customWidth="1"/>
    <col min="7415" max="7415" width="1.44140625" customWidth="1"/>
    <col min="7416" max="7416" width="39.109375" customWidth="1"/>
    <col min="7417" max="7417" width="12" customWidth="1"/>
    <col min="7418" max="7418" width="14.44140625" customWidth="1"/>
    <col min="7419" max="7419" width="11.77734375" customWidth="1"/>
    <col min="7420" max="7420" width="14.109375" customWidth="1"/>
    <col min="7421" max="7421" width="13.77734375" customWidth="1"/>
    <col min="7422" max="7423" width="12.77734375" customWidth="1"/>
    <col min="7424" max="7424" width="13.5546875" customWidth="1"/>
    <col min="7425" max="7425" width="15.21875" customWidth="1"/>
    <col min="7426" max="7426" width="12.77734375" customWidth="1"/>
    <col min="7427" max="7427" width="13.77734375" customWidth="1"/>
    <col min="7428" max="7428" width="1.77734375" customWidth="1"/>
    <col min="7429" max="7429" width="13" customWidth="1"/>
    <col min="7430" max="7669" width="8.77734375"/>
    <col min="7670" max="7670" width="6" customWidth="1"/>
    <col min="7671" max="7671" width="1.44140625" customWidth="1"/>
    <col min="7672" max="7672" width="39.109375" customWidth="1"/>
    <col min="7673" max="7673" width="12" customWidth="1"/>
    <col min="7674" max="7674" width="14.44140625" customWidth="1"/>
    <col min="7675" max="7675" width="11.77734375" customWidth="1"/>
    <col min="7676" max="7676" width="14.109375" customWidth="1"/>
    <col min="7677" max="7677" width="13.77734375" customWidth="1"/>
    <col min="7678" max="7679" width="12.77734375" customWidth="1"/>
    <col min="7680" max="7680" width="13.5546875" customWidth="1"/>
    <col min="7681" max="7681" width="15.21875" customWidth="1"/>
    <col min="7682" max="7682" width="12.77734375" customWidth="1"/>
    <col min="7683" max="7683" width="13.77734375" customWidth="1"/>
    <col min="7684" max="7684" width="1.77734375" customWidth="1"/>
    <col min="7685" max="7685" width="13" customWidth="1"/>
    <col min="7686" max="7925" width="8.77734375"/>
    <col min="7926" max="7926" width="6" customWidth="1"/>
    <col min="7927" max="7927" width="1.44140625" customWidth="1"/>
    <col min="7928" max="7928" width="39.109375" customWidth="1"/>
    <col min="7929" max="7929" width="12" customWidth="1"/>
    <col min="7930" max="7930" width="14.44140625" customWidth="1"/>
    <col min="7931" max="7931" width="11.77734375" customWidth="1"/>
    <col min="7932" max="7932" width="14.109375" customWidth="1"/>
    <col min="7933" max="7933" width="13.77734375" customWidth="1"/>
    <col min="7934" max="7935" width="12.77734375" customWidth="1"/>
    <col min="7936" max="7936" width="13.5546875" customWidth="1"/>
    <col min="7937" max="7937" width="15.21875" customWidth="1"/>
    <col min="7938" max="7938" width="12.77734375" customWidth="1"/>
    <col min="7939" max="7939" width="13.77734375" customWidth="1"/>
    <col min="7940" max="7940" width="1.77734375" customWidth="1"/>
    <col min="7941" max="7941" width="13" customWidth="1"/>
    <col min="7942" max="8181" width="8.77734375"/>
    <col min="8182" max="8182" width="6" customWidth="1"/>
    <col min="8183" max="8183" width="1.44140625" customWidth="1"/>
    <col min="8184" max="8184" width="39.109375" customWidth="1"/>
    <col min="8185" max="8185" width="12" customWidth="1"/>
    <col min="8186" max="8186" width="14.44140625" customWidth="1"/>
    <col min="8187" max="8187" width="11.77734375" customWidth="1"/>
    <col min="8188" max="8188" width="14.109375" customWidth="1"/>
    <col min="8189" max="8189" width="13.77734375" customWidth="1"/>
    <col min="8190" max="8191" width="12.77734375" customWidth="1"/>
    <col min="8192" max="8192" width="13.5546875" customWidth="1"/>
    <col min="8193" max="8193" width="15.21875" customWidth="1"/>
    <col min="8194" max="8194" width="12.77734375" customWidth="1"/>
    <col min="8195" max="8195" width="13.77734375" customWidth="1"/>
    <col min="8196" max="8196" width="1.77734375" customWidth="1"/>
    <col min="8197" max="8197" width="13" customWidth="1"/>
    <col min="8198" max="8437" width="8.77734375"/>
    <col min="8438" max="8438" width="6" customWidth="1"/>
    <col min="8439" max="8439" width="1.44140625" customWidth="1"/>
    <col min="8440" max="8440" width="39.109375" customWidth="1"/>
    <col min="8441" max="8441" width="12" customWidth="1"/>
    <col min="8442" max="8442" width="14.44140625" customWidth="1"/>
    <col min="8443" max="8443" width="11.77734375" customWidth="1"/>
    <col min="8444" max="8444" width="14.109375" customWidth="1"/>
    <col min="8445" max="8445" width="13.77734375" customWidth="1"/>
    <col min="8446" max="8447" width="12.77734375" customWidth="1"/>
    <col min="8448" max="8448" width="13.5546875" customWidth="1"/>
    <col min="8449" max="8449" width="15.21875" customWidth="1"/>
    <col min="8450" max="8450" width="12.77734375" customWidth="1"/>
    <col min="8451" max="8451" width="13.77734375" customWidth="1"/>
    <col min="8452" max="8452" width="1.77734375" customWidth="1"/>
    <col min="8453" max="8453" width="13" customWidth="1"/>
    <col min="8454" max="8693" width="8.77734375"/>
    <col min="8694" max="8694" width="6" customWidth="1"/>
    <col min="8695" max="8695" width="1.44140625" customWidth="1"/>
    <col min="8696" max="8696" width="39.109375" customWidth="1"/>
    <col min="8697" max="8697" width="12" customWidth="1"/>
    <col min="8698" max="8698" width="14.44140625" customWidth="1"/>
    <col min="8699" max="8699" width="11.77734375" customWidth="1"/>
    <col min="8700" max="8700" width="14.109375" customWidth="1"/>
    <col min="8701" max="8701" width="13.77734375" customWidth="1"/>
    <col min="8702" max="8703" width="12.77734375" customWidth="1"/>
    <col min="8704" max="8704" width="13.5546875" customWidth="1"/>
    <col min="8705" max="8705" width="15.21875" customWidth="1"/>
    <col min="8706" max="8706" width="12.77734375" customWidth="1"/>
    <col min="8707" max="8707" width="13.77734375" customWidth="1"/>
    <col min="8708" max="8708" width="1.77734375" customWidth="1"/>
    <col min="8709" max="8709" width="13" customWidth="1"/>
    <col min="8710" max="8949" width="8.77734375"/>
    <col min="8950" max="8950" width="6" customWidth="1"/>
    <col min="8951" max="8951" width="1.44140625" customWidth="1"/>
    <col min="8952" max="8952" width="39.109375" customWidth="1"/>
    <col min="8953" max="8953" width="12" customWidth="1"/>
    <col min="8954" max="8954" width="14.44140625" customWidth="1"/>
    <col min="8955" max="8955" width="11.77734375" customWidth="1"/>
    <col min="8956" max="8956" width="14.109375" customWidth="1"/>
    <col min="8957" max="8957" width="13.77734375" customWidth="1"/>
    <col min="8958" max="8959" width="12.77734375" customWidth="1"/>
    <col min="8960" max="8960" width="13.5546875" customWidth="1"/>
    <col min="8961" max="8961" width="15.21875" customWidth="1"/>
    <col min="8962" max="8962" width="12.77734375" customWidth="1"/>
    <col min="8963" max="8963" width="13.77734375" customWidth="1"/>
    <col min="8964" max="8964" width="1.77734375" customWidth="1"/>
    <col min="8965" max="8965" width="13" customWidth="1"/>
    <col min="8966" max="9205" width="8.77734375"/>
    <col min="9206" max="9206" width="6" customWidth="1"/>
    <col min="9207" max="9207" width="1.44140625" customWidth="1"/>
    <col min="9208" max="9208" width="39.109375" customWidth="1"/>
    <col min="9209" max="9209" width="12" customWidth="1"/>
    <col min="9210" max="9210" width="14.44140625" customWidth="1"/>
    <col min="9211" max="9211" width="11.77734375" customWidth="1"/>
    <col min="9212" max="9212" width="14.109375" customWidth="1"/>
    <col min="9213" max="9213" width="13.77734375" customWidth="1"/>
    <col min="9214" max="9215" width="12.77734375" customWidth="1"/>
    <col min="9216" max="9216" width="13.5546875" customWidth="1"/>
    <col min="9217" max="9217" width="15.21875" customWidth="1"/>
    <col min="9218" max="9218" width="12.77734375" customWidth="1"/>
    <col min="9219" max="9219" width="13.77734375" customWidth="1"/>
    <col min="9220" max="9220" width="1.77734375" customWidth="1"/>
    <col min="9221" max="9221" width="13" customWidth="1"/>
    <col min="9222" max="9461" width="8.77734375"/>
    <col min="9462" max="9462" width="6" customWidth="1"/>
    <col min="9463" max="9463" width="1.44140625" customWidth="1"/>
    <col min="9464" max="9464" width="39.109375" customWidth="1"/>
    <col min="9465" max="9465" width="12" customWidth="1"/>
    <col min="9466" max="9466" width="14.44140625" customWidth="1"/>
    <col min="9467" max="9467" width="11.77734375" customWidth="1"/>
    <col min="9468" max="9468" width="14.109375" customWidth="1"/>
    <col min="9469" max="9469" width="13.77734375" customWidth="1"/>
    <col min="9470" max="9471" width="12.77734375" customWidth="1"/>
    <col min="9472" max="9472" width="13.5546875" customWidth="1"/>
    <col min="9473" max="9473" width="15.21875" customWidth="1"/>
    <col min="9474" max="9474" width="12.77734375" customWidth="1"/>
    <col min="9475" max="9475" width="13.77734375" customWidth="1"/>
    <col min="9476" max="9476" width="1.77734375" customWidth="1"/>
    <col min="9477" max="9477" width="13" customWidth="1"/>
    <col min="9478" max="9717" width="8.77734375"/>
    <col min="9718" max="9718" width="6" customWidth="1"/>
    <col min="9719" max="9719" width="1.44140625" customWidth="1"/>
    <col min="9720" max="9720" width="39.109375" customWidth="1"/>
    <col min="9721" max="9721" width="12" customWidth="1"/>
    <col min="9722" max="9722" width="14.44140625" customWidth="1"/>
    <col min="9723" max="9723" width="11.77734375" customWidth="1"/>
    <col min="9724" max="9724" width="14.109375" customWidth="1"/>
    <col min="9725" max="9725" width="13.77734375" customWidth="1"/>
    <col min="9726" max="9727" width="12.77734375" customWidth="1"/>
    <col min="9728" max="9728" width="13.5546875" customWidth="1"/>
    <col min="9729" max="9729" width="15.21875" customWidth="1"/>
    <col min="9730" max="9730" width="12.77734375" customWidth="1"/>
    <col min="9731" max="9731" width="13.77734375" customWidth="1"/>
    <col min="9732" max="9732" width="1.77734375" customWidth="1"/>
    <col min="9733" max="9733" width="13" customWidth="1"/>
    <col min="9734" max="9973" width="8.77734375"/>
    <col min="9974" max="9974" width="6" customWidth="1"/>
    <col min="9975" max="9975" width="1.44140625" customWidth="1"/>
    <col min="9976" max="9976" width="39.109375" customWidth="1"/>
    <col min="9977" max="9977" width="12" customWidth="1"/>
    <col min="9978" max="9978" width="14.44140625" customWidth="1"/>
    <col min="9979" max="9979" width="11.77734375" customWidth="1"/>
    <col min="9980" max="9980" width="14.109375" customWidth="1"/>
    <col min="9981" max="9981" width="13.77734375" customWidth="1"/>
    <col min="9982" max="9983" width="12.77734375" customWidth="1"/>
    <col min="9984" max="9984" width="13.5546875" customWidth="1"/>
    <col min="9985" max="9985" width="15.21875" customWidth="1"/>
    <col min="9986" max="9986" width="12.77734375" customWidth="1"/>
    <col min="9987" max="9987" width="13.77734375" customWidth="1"/>
    <col min="9988" max="9988" width="1.77734375" customWidth="1"/>
    <col min="9989" max="9989" width="13" customWidth="1"/>
    <col min="9990" max="10229" width="8.77734375"/>
    <col min="10230" max="10230" width="6" customWidth="1"/>
    <col min="10231" max="10231" width="1.44140625" customWidth="1"/>
    <col min="10232" max="10232" width="39.109375" customWidth="1"/>
    <col min="10233" max="10233" width="12" customWidth="1"/>
    <col min="10234" max="10234" width="14.44140625" customWidth="1"/>
    <col min="10235" max="10235" width="11.77734375" customWidth="1"/>
    <col min="10236" max="10236" width="14.109375" customWidth="1"/>
    <col min="10237" max="10237" width="13.77734375" customWidth="1"/>
    <col min="10238" max="10239" width="12.77734375" customWidth="1"/>
    <col min="10240" max="10240" width="13.5546875" customWidth="1"/>
    <col min="10241" max="10241" width="15.21875" customWidth="1"/>
    <col min="10242" max="10242" width="12.77734375" customWidth="1"/>
    <col min="10243" max="10243" width="13.77734375" customWidth="1"/>
    <col min="10244" max="10244" width="1.77734375" customWidth="1"/>
    <col min="10245" max="10245" width="13" customWidth="1"/>
    <col min="10246" max="10485" width="8.77734375"/>
    <col min="10486" max="10486" width="6" customWidth="1"/>
    <col min="10487" max="10487" width="1.44140625" customWidth="1"/>
    <col min="10488" max="10488" width="39.109375" customWidth="1"/>
    <col min="10489" max="10489" width="12" customWidth="1"/>
    <col min="10490" max="10490" width="14.44140625" customWidth="1"/>
    <col min="10491" max="10491" width="11.77734375" customWidth="1"/>
    <col min="10492" max="10492" width="14.109375" customWidth="1"/>
    <col min="10493" max="10493" width="13.77734375" customWidth="1"/>
    <col min="10494" max="10495" width="12.77734375" customWidth="1"/>
    <col min="10496" max="10496" width="13.5546875" customWidth="1"/>
    <col min="10497" max="10497" width="15.21875" customWidth="1"/>
    <col min="10498" max="10498" width="12.77734375" customWidth="1"/>
    <col min="10499" max="10499" width="13.77734375" customWidth="1"/>
    <col min="10500" max="10500" width="1.77734375" customWidth="1"/>
    <col min="10501" max="10501" width="13" customWidth="1"/>
    <col min="10502" max="10741" width="8.77734375"/>
    <col min="10742" max="10742" width="6" customWidth="1"/>
    <col min="10743" max="10743" width="1.44140625" customWidth="1"/>
    <col min="10744" max="10744" width="39.109375" customWidth="1"/>
    <col min="10745" max="10745" width="12" customWidth="1"/>
    <col min="10746" max="10746" width="14.44140625" customWidth="1"/>
    <col min="10747" max="10747" width="11.77734375" customWidth="1"/>
    <col min="10748" max="10748" width="14.109375" customWidth="1"/>
    <col min="10749" max="10749" width="13.77734375" customWidth="1"/>
    <col min="10750" max="10751" width="12.77734375" customWidth="1"/>
    <col min="10752" max="10752" width="13.5546875" customWidth="1"/>
    <col min="10753" max="10753" width="15.21875" customWidth="1"/>
    <col min="10754" max="10754" width="12.77734375" customWidth="1"/>
    <col min="10755" max="10755" width="13.77734375" customWidth="1"/>
    <col min="10756" max="10756" width="1.77734375" customWidth="1"/>
    <col min="10757" max="10757" width="13" customWidth="1"/>
    <col min="10758" max="10997" width="8.77734375"/>
    <col min="10998" max="10998" width="6" customWidth="1"/>
    <col min="10999" max="10999" width="1.44140625" customWidth="1"/>
    <col min="11000" max="11000" width="39.109375" customWidth="1"/>
    <col min="11001" max="11001" width="12" customWidth="1"/>
    <col min="11002" max="11002" width="14.44140625" customWidth="1"/>
    <col min="11003" max="11003" width="11.77734375" customWidth="1"/>
    <col min="11004" max="11004" width="14.109375" customWidth="1"/>
    <col min="11005" max="11005" width="13.77734375" customWidth="1"/>
    <col min="11006" max="11007" width="12.77734375" customWidth="1"/>
    <col min="11008" max="11008" width="13.5546875" customWidth="1"/>
    <col min="11009" max="11009" width="15.21875" customWidth="1"/>
    <col min="11010" max="11010" width="12.77734375" customWidth="1"/>
    <col min="11011" max="11011" width="13.77734375" customWidth="1"/>
    <col min="11012" max="11012" width="1.77734375" customWidth="1"/>
    <col min="11013" max="11013" width="13" customWidth="1"/>
    <col min="11014" max="11253" width="8.77734375"/>
    <col min="11254" max="11254" width="6" customWidth="1"/>
    <col min="11255" max="11255" width="1.44140625" customWidth="1"/>
    <col min="11256" max="11256" width="39.109375" customWidth="1"/>
    <col min="11257" max="11257" width="12" customWidth="1"/>
    <col min="11258" max="11258" width="14.44140625" customWidth="1"/>
    <col min="11259" max="11259" width="11.77734375" customWidth="1"/>
    <col min="11260" max="11260" width="14.109375" customWidth="1"/>
    <col min="11261" max="11261" width="13.77734375" customWidth="1"/>
    <col min="11262" max="11263" width="12.77734375" customWidth="1"/>
    <col min="11264" max="11264" width="13.5546875" customWidth="1"/>
    <col min="11265" max="11265" width="15.21875" customWidth="1"/>
    <col min="11266" max="11266" width="12.77734375" customWidth="1"/>
    <col min="11267" max="11267" width="13.77734375" customWidth="1"/>
    <col min="11268" max="11268" width="1.77734375" customWidth="1"/>
    <col min="11269" max="11269" width="13" customWidth="1"/>
    <col min="11270" max="11509" width="8.77734375"/>
    <col min="11510" max="11510" width="6" customWidth="1"/>
    <col min="11511" max="11511" width="1.44140625" customWidth="1"/>
    <col min="11512" max="11512" width="39.109375" customWidth="1"/>
    <col min="11513" max="11513" width="12" customWidth="1"/>
    <col min="11514" max="11514" width="14.44140625" customWidth="1"/>
    <col min="11515" max="11515" width="11.77734375" customWidth="1"/>
    <col min="11516" max="11516" width="14.109375" customWidth="1"/>
    <col min="11517" max="11517" width="13.77734375" customWidth="1"/>
    <col min="11518" max="11519" width="12.77734375" customWidth="1"/>
    <col min="11520" max="11520" width="13.5546875" customWidth="1"/>
    <col min="11521" max="11521" width="15.21875" customWidth="1"/>
    <col min="11522" max="11522" width="12.77734375" customWidth="1"/>
    <col min="11523" max="11523" width="13.77734375" customWidth="1"/>
    <col min="11524" max="11524" width="1.77734375" customWidth="1"/>
    <col min="11525" max="11525" width="13" customWidth="1"/>
    <col min="11526" max="11765" width="8.77734375"/>
    <col min="11766" max="11766" width="6" customWidth="1"/>
    <col min="11767" max="11767" width="1.44140625" customWidth="1"/>
    <col min="11768" max="11768" width="39.109375" customWidth="1"/>
    <col min="11769" max="11769" width="12" customWidth="1"/>
    <col min="11770" max="11770" width="14.44140625" customWidth="1"/>
    <col min="11771" max="11771" width="11.77734375" customWidth="1"/>
    <col min="11772" max="11772" width="14.109375" customWidth="1"/>
    <col min="11773" max="11773" width="13.77734375" customWidth="1"/>
    <col min="11774" max="11775" width="12.77734375" customWidth="1"/>
    <col min="11776" max="11776" width="13.5546875" customWidth="1"/>
    <col min="11777" max="11777" width="15.21875" customWidth="1"/>
    <col min="11778" max="11778" width="12.77734375" customWidth="1"/>
    <col min="11779" max="11779" width="13.77734375" customWidth="1"/>
    <col min="11780" max="11780" width="1.77734375" customWidth="1"/>
    <col min="11781" max="11781" width="13" customWidth="1"/>
    <col min="11782" max="12021" width="8.77734375"/>
    <col min="12022" max="12022" width="6" customWidth="1"/>
    <col min="12023" max="12023" width="1.44140625" customWidth="1"/>
    <col min="12024" max="12024" width="39.109375" customWidth="1"/>
    <col min="12025" max="12025" width="12" customWidth="1"/>
    <col min="12026" max="12026" width="14.44140625" customWidth="1"/>
    <col min="12027" max="12027" width="11.77734375" customWidth="1"/>
    <col min="12028" max="12028" width="14.109375" customWidth="1"/>
    <col min="12029" max="12029" width="13.77734375" customWidth="1"/>
    <col min="12030" max="12031" width="12.77734375" customWidth="1"/>
    <col min="12032" max="12032" width="13.5546875" customWidth="1"/>
    <col min="12033" max="12033" width="15.21875" customWidth="1"/>
    <col min="12034" max="12034" width="12.77734375" customWidth="1"/>
    <col min="12035" max="12035" width="13.77734375" customWidth="1"/>
    <col min="12036" max="12036" width="1.77734375" customWidth="1"/>
    <col min="12037" max="12037" width="13" customWidth="1"/>
    <col min="12038" max="12277" width="8.77734375"/>
    <col min="12278" max="12278" width="6" customWidth="1"/>
    <col min="12279" max="12279" width="1.44140625" customWidth="1"/>
    <col min="12280" max="12280" width="39.109375" customWidth="1"/>
    <col min="12281" max="12281" width="12" customWidth="1"/>
    <col min="12282" max="12282" width="14.44140625" customWidth="1"/>
    <col min="12283" max="12283" width="11.77734375" customWidth="1"/>
    <col min="12284" max="12284" width="14.109375" customWidth="1"/>
    <col min="12285" max="12285" width="13.77734375" customWidth="1"/>
    <col min="12286" max="12287" width="12.77734375" customWidth="1"/>
    <col min="12288" max="12288" width="13.5546875" customWidth="1"/>
    <col min="12289" max="12289" width="15.21875" customWidth="1"/>
    <col min="12290" max="12290" width="12.77734375" customWidth="1"/>
    <col min="12291" max="12291" width="13.77734375" customWidth="1"/>
    <col min="12292" max="12292" width="1.77734375" customWidth="1"/>
    <col min="12293" max="12293" width="13" customWidth="1"/>
    <col min="12294" max="12533" width="8.77734375"/>
    <col min="12534" max="12534" width="6" customWidth="1"/>
    <col min="12535" max="12535" width="1.44140625" customWidth="1"/>
    <col min="12536" max="12536" width="39.109375" customWidth="1"/>
    <col min="12537" max="12537" width="12" customWidth="1"/>
    <col min="12538" max="12538" width="14.44140625" customWidth="1"/>
    <col min="12539" max="12539" width="11.77734375" customWidth="1"/>
    <col min="12540" max="12540" width="14.109375" customWidth="1"/>
    <col min="12541" max="12541" width="13.77734375" customWidth="1"/>
    <col min="12542" max="12543" width="12.77734375" customWidth="1"/>
    <col min="12544" max="12544" width="13.5546875" customWidth="1"/>
    <col min="12545" max="12545" width="15.21875" customWidth="1"/>
    <col min="12546" max="12546" width="12.77734375" customWidth="1"/>
    <col min="12547" max="12547" width="13.77734375" customWidth="1"/>
    <col min="12548" max="12548" width="1.77734375" customWidth="1"/>
    <col min="12549" max="12549" width="13" customWidth="1"/>
    <col min="12550" max="12789" width="8.77734375"/>
    <col min="12790" max="12790" width="6" customWidth="1"/>
    <col min="12791" max="12791" width="1.44140625" customWidth="1"/>
    <col min="12792" max="12792" width="39.109375" customWidth="1"/>
    <col min="12793" max="12793" width="12" customWidth="1"/>
    <col min="12794" max="12794" width="14.44140625" customWidth="1"/>
    <col min="12795" max="12795" width="11.77734375" customWidth="1"/>
    <col min="12796" max="12796" width="14.109375" customWidth="1"/>
    <col min="12797" max="12797" width="13.77734375" customWidth="1"/>
    <col min="12798" max="12799" width="12.77734375" customWidth="1"/>
    <col min="12800" max="12800" width="13.5546875" customWidth="1"/>
    <col min="12801" max="12801" width="15.21875" customWidth="1"/>
    <col min="12802" max="12802" width="12.77734375" customWidth="1"/>
    <col min="12803" max="12803" width="13.77734375" customWidth="1"/>
    <col min="12804" max="12804" width="1.77734375" customWidth="1"/>
    <col min="12805" max="12805" width="13" customWidth="1"/>
    <col min="12806" max="13045" width="8.77734375"/>
    <col min="13046" max="13046" width="6" customWidth="1"/>
    <col min="13047" max="13047" width="1.44140625" customWidth="1"/>
    <col min="13048" max="13048" width="39.109375" customWidth="1"/>
    <col min="13049" max="13049" width="12" customWidth="1"/>
    <col min="13050" max="13050" width="14.44140625" customWidth="1"/>
    <col min="13051" max="13051" width="11.77734375" customWidth="1"/>
    <col min="13052" max="13052" width="14.109375" customWidth="1"/>
    <col min="13053" max="13053" width="13.77734375" customWidth="1"/>
    <col min="13054" max="13055" width="12.77734375" customWidth="1"/>
    <col min="13056" max="13056" width="13.5546875" customWidth="1"/>
    <col min="13057" max="13057" width="15.21875" customWidth="1"/>
    <col min="13058" max="13058" width="12.77734375" customWidth="1"/>
    <col min="13059" max="13059" width="13.77734375" customWidth="1"/>
    <col min="13060" max="13060" width="1.77734375" customWidth="1"/>
    <col min="13061" max="13061" width="13" customWidth="1"/>
    <col min="13062" max="13301" width="8.77734375"/>
    <col min="13302" max="13302" width="6" customWidth="1"/>
    <col min="13303" max="13303" width="1.44140625" customWidth="1"/>
    <col min="13304" max="13304" width="39.109375" customWidth="1"/>
    <col min="13305" max="13305" width="12" customWidth="1"/>
    <col min="13306" max="13306" width="14.44140625" customWidth="1"/>
    <col min="13307" max="13307" width="11.77734375" customWidth="1"/>
    <col min="13308" max="13308" width="14.109375" customWidth="1"/>
    <col min="13309" max="13309" width="13.77734375" customWidth="1"/>
    <col min="13310" max="13311" width="12.77734375" customWidth="1"/>
    <col min="13312" max="13312" width="13.5546875" customWidth="1"/>
    <col min="13313" max="13313" width="15.21875" customWidth="1"/>
    <col min="13314" max="13314" width="12.77734375" customWidth="1"/>
    <col min="13315" max="13315" width="13.77734375" customWidth="1"/>
    <col min="13316" max="13316" width="1.77734375" customWidth="1"/>
    <col min="13317" max="13317" width="13" customWidth="1"/>
    <col min="13318" max="13557" width="8.77734375"/>
    <col min="13558" max="13558" width="6" customWidth="1"/>
    <col min="13559" max="13559" width="1.44140625" customWidth="1"/>
    <col min="13560" max="13560" width="39.109375" customWidth="1"/>
    <col min="13561" max="13561" width="12" customWidth="1"/>
    <col min="13562" max="13562" width="14.44140625" customWidth="1"/>
    <col min="13563" max="13563" width="11.77734375" customWidth="1"/>
    <col min="13564" max="13564" width="14.109375" customWidth="1"/>
    <col min="13565" max="13565" width="13.77734375" customWidth="1"/>
    <col min="13566" max="13567" width="12.77734375" customWidth="1"/>
    <col min="13568" max="13568" width="13.5546875" customWidth="1"/>
    <col min="13569" max="13569" width="15.21875" customWidth="1"/>
    <col min="13570" max="13570" width="12.77734375" customWidth="1"/>
    <col min="13571" max="13571" width="13.77734375" customWidth="1"/>
    <col min="13572" max="13572" width="1.77734375" customWidth="1"/>
    <col min="13573" max="13573" width="13" customWidth="1"/>
    <col min="13574" max="13813" width="8.77734375"/>
    <col min="13814" max="13814" width="6" customWidth="1"/>
    <col min="13815" max="13815" width="1.44140625" customWidth="1"/>
    <col min="13816" max="13816" width="39.109375" customWidth="1"/>
    <col min="13817" max="13817" width="12" customWidth="1"/>
    <col min="13818" max="13818" width="14.44140625" customWidth="1"/>
    <col min="13819" max="13819" width="11.77734375" customWidth="1"/>
    <col min="13820" max="13820" width="14.109375" customWidth="1"/>
    <col min="13821" max="13821" width="13.77734375" customWidth="1"/>
    <col min="13822" max="13823" width="12.77734375" customWidth="1"/>
    <col min="13824" max="13824" width="13.5546875" customWidth="1"/>
    <col min="13825" max="13825" width="15.21875" customWidth="1"/>
    <col min="13826" max="13826" width="12.77734375" customWidth="1"/>
    <col min="13827" max="13827" width="13.77734375" customWidth="1"/>
    <col min="13828" max="13828" width="1.77734375" customWidth="1"/>
    <col min="13829" max="13829" width="13" customWidth="1"/>
    <col min="13830" max="14069" width="8.77734375"/>
    <col min="14070" max="14070" width="6" customWidth="1"/>
    <col min="14071" max="14071" width="1.44140625" customWidth="1"/>
    <col min="14072" max="14072" width="39.109375" customWidth="1"/>
    <col min="14073" max="14073" width="12" customWidth="1"/>
    <col min="14074" max="14074" width="14.44140625" customWidth="1"/>
    <col min="14075" max="14075" width="11.77734375" customWidth="1"/>
    <col min="14076" max="14076" width="14.109375" customWidth="1"/>
    <col min="14077" max="14077" width="13.77734375" customWidth="1"/>
    <col min="14078" max="14079" width="12.77734375" customWidth="1"/>
    <col min="14080" max="14080" width="13.5546875" customWidth="1"/>
    <col min="14081" max="14081" width="15.21875" customWidth="1"/>
    <col min="14082" max="14082" width="12.77734375" customWidth="1"/>
    <col min="14083" max="14083" width="13.77734375" customWidth="1"/>
    <col min="14084" max="14084" width="1.77734375" customWidth="1"/>
    <col min="14085" max="14085" width="13" customWidth="1"/>
    <col min="14086" max="14325" width="8.77734375"/>
    <col min="14326" max="14326" width="6" customWidth="1"/>
    <col min="14327" max="14327" width="1.44140625" customWidth="1"/>
    <col min="14328" max="14328" width="39.109375" customWidth="1"/>
    <col min="14329" max="14329" width="12" customWidth="1"/>
    <col min="14330" max="14330" width="14.44140625" customWidth="1"/>
    <col min="14331" max="14331" width="11.77734375" customWidth="1"/>
    <col min="14332" max="14332" width="14.109375" customWidth="1"/>
    <col min="14333" max="14333" width="13.77734375" customWidth="1"/>
    <col min="14334" max="14335" width="12.77734375" customWidth="1"/>
    <col min="14336" max="14336" width="13.5546875" customWidth="1"/>
    <col min="14337" max="14337" width="15.21875" customWidth="1"/>
    <col min="14338" max="14338" width="12.77734375" customWidth="1"/>
    <col min="14339" max="14339" width="13.77734375" customWidth="1"/>
    <col min="14340" max="14340" width="1.77734375" customWidth="1"/>
    <col min="14341" max="14341" width="13" customWidth="1"/>
    <col min="14342" max="14581" width="8.77734375"/>
    <col min="14582" max="14582" width="6" customWidth="1"/>
    <col min="14583" max="14583" width="1.44140625" customWidth="1"/>
    <col min="14584" max="14584" width="39.109375" customWidth="1"/>
    <col min="14585" max="14585" width="12" customWidth="1"/>
    <col min="14586" max="14586" width="14.44140625" customWidth="1"/>
    <col min="14587" max="14587" width="11.77734375" customWidth="1"/>
    <col min="14588" max="14588" width="14.109375" customWidth="1"/>
    <col min="14589" max="14589" width="13.77734375" customWidth="1"/>
    <col min="14590" max="14591" width="12.77734375" customWidth="1"/>
    <col min="14592" max="14592" width="13.5546875" customWidth="1"/>
    <col min="14593" max="14593" width="15.21875" customWidth="1"/>
    <col min="14594" max="14594" width="12.77734375" customWidth="1"/>
    <col min="14595" max="14595" width="13.77734375" customWidth="1"/>
    <col min="14596" max="14596" width="1.77734375" customWidth="1"/>
    <col min="14597" max="14597" width="13" customWidth="1"/>
    <col min="14598" max="14837" width="8.77734375"/>
    <col min="14838" max="14838" width="6" customWidth="1"/>
    <col min="14839" max="14839" width="1.44140625" customWidth="1"/>
    <col min="14840" max="14840" width="39.109375" customWidth="1"/>
    <col min="14841" max="14841" width="12" customWidth="1"/>
    <col min="14842" max="14842" width="14.44140625" customWidth="1"/>
    <col min="14843" max="14843" width="11.77734375" customWidth="1"/>
    <col min="14844" max="14844" width="14.109375" customWidth="1"/>
    <col min="14845" max="14845" width="13.77734375" customWidth="1"/>
    <col min="14846" max="14847" width="12.77734375" customWidth="1"/>
    <col min="14848" max="14848" width="13.5546875" customWidth="1"/>
    <col min="14849" max="14849" width="15.21875" customWidth="1"/>
    <col min="14850" max="14850" width="12.77734375" customWidth="1"/>
    <col min="14851" max="14851" width="13.77734375" customWidth="1"/>
    <col min="14852" max="14852" width="1.77734375" customWidth="1"/>
    <col min="14853" max="14853" width="13" customWidth="1"/>
    <col min="14854" max="15093" width="8.77734375"/>
    <col min="15094" max="15094" width="6" customWidth="1"/>
    <col min="15095" max="15095" width="1.44140625" customWidth="1"/>
    <col min="15096" max="15096" width="39.109375" customWidth="1"/>
    <col min="15097" max="15097" width="12" customWidth="1"/>
    <col min="15098" max="15098" width="14.44140625" customWidth="1"/>
    <col min="15099" max="15099" width="11.77734375" customWidth="1"/>
    <col min="15100" max="15100" width="14.109375" customWidth="1"/>
    <col min="15101" max="15101" width="13.77734375" customWidth="1"/>
    <col min="15102" max="15103" width="12.77734375" customWidth="1"/>
    <col min="15104" max="15104" width="13.5546875" customWidth="1"/>
    <col min="15105" max="15105" width="15.21875" customWidth="1"/>
    <col min="15106" max="15106" width="12.77734375" customWidth="1"/>
    <col min="15107" max="15107" width="13.77734375" customWidth="1"/>
    <col min="15108" max="15108" width="1.77734375" customWidth="1"/>
    <col min="15109" max="15109" width="13" customWidth="1"/>
    <col min="15110" max="15349" width="8.77734375"/>
    <col min="15350" max="15350" width="6" customWidth="1"/>
    <col min="15351" max="15351" width="1.44140625" customWidth="1"/>
    <col min="15352" max="15352" width="39.109375" customWidth="1"/>
    <col min="15353" max="15353" width="12" customWidth="1"/>
    <col min="15354" max="15354" width="14.44140625" customWidth="1"/>
    <col min="15355" max="15355" width="11.77734375" customWidth="1"/>
    <col min="15356" max="15356" width="14.109375" customWidth="1"/>
    <col min="15357" max="15357" width="13.77734375" customWidth="1"/>
    <col min="15358" max="15359" width="12.77734375" customWidth="1"/>
    <col min="15360" max="15360" width="13.5546875" customWidth="1"/>
    <col min="15361" max="15361" width="15.21875" customWidth="1"/>
    <col min="15362" max="15362" width="12.77734375" customWidth="1"/>
    <col min="15363" max="15363" width="13.77734375" customWidth="1"/>
    <col min="15364" max="15364" width="1.77734375" customWidth="1"/>
    <col min="15365" max="15365" width="13" customWidth="1"/>
    <col min="15366" max="15605" width="8.77734375"/>
    <col min="15606" max="15606" width="6" customWidth="1"/>
    <col min="15607" max="15607" width="1.44140625" customWidth="1"/>
    <col min="15608" max="15608" width="39.109375" customWidth="1"/>
    <col min="15609" max="15609" width="12" customWidth="1"/>
    <col min="15610" max="15610" width="14.44140625" customWidth="1"/>
    <col min="15611" max="15611" width="11.77734375" customWidth="1"/>
    <col min="15612" max="15612" width="14.109375" customWidth="1"/>
    <col min="15613" max="15613" width="13.77734375" customWidth="1"/>
    <col min="15614" max="15615" width="12.77734375" customWidth="1"/>
    <col min="15616" max="15616" width="13.5546875" customWidth="1"/>
    <col min="15617" max="15617" width="15.21875" customWidth="1"/>
    <col min="15618" max="15618" width="12.77734375" customWidth="1"/>
    <col min="15619" max="15619" width="13.77734375" customWidth="1"/>
    <col min="15620" max="15620" width="1.77734375" customWidth="1"/>
    <col min="15621" max="15621" width="13" customWidth="1"/>
    <col min="15622" max="15861" width="8.77734375"/>
    <col min="15862" max="15862" width="6" customWidth="1"/>
    <col min="15863" max="15863" width="1.44140625" customWidth="1"/>
    <col min="15864" max="15864" width="39.109375" customWidth="1"/>
    <col min="15865" max="15865" width="12" customWidth="1"/>
    <col min="15866" max="15866" width="14.44140625" customWidth="1"/>
    <col min="15867" max="15867" width="11.77734375" customWidth="1"/>
    <col min="15868" max="15868" width="14.109375" customWidth="1"/>
    <col min="15869" max="15869" width="13.77734375" customWidth="1"/>
    <col min="15870" max="15871" width="12.77734375" customWidth="1"/>
    <col min="15872" max="15872" width="13.5546875" customWidth="1"/>
    <col min="15873" max="15873" width="15.21875" customWidth="1"/>
    <col min="15874" max="15874" width="12.77734375" customWidth="1"/>
    <col min="15875" max="15875" width="13.77734375" customWidth="1"/>
    <col min="15876" max="15876" width="1.77734375" customWidth="1"/>
    <col min="15877" max="15877" width="13" customWidth="1"/>
    <col min="15878" max="16117" width="8.77734375"/>
    <col min="16118" max="16118" width="6" customWidth="1"/>
    <col min="16119" max="16119" width="1.44140625" customWidth="1"/>
    <col min="16120" max="16120" width="39.109375" customWidth="1"/>
    <col min="16121" max="16121" width="12" customWidth="1"/>
    <col min="16122" max="16122" width="14.44140625" customWidth="1"/>
    <col min="16123" max="16123" width="11.77734375" customWidth="1"/>
    <col min="16124" max="16124" width="14.109375" customWidth="1"/>
    <col min="16125" max="16125" width="13.77734375" customWidth="1"/>
    <col min="16126" max="16127" width="12.77734375" customWidth="1"/>
    <col min="16128" max="16128" width="13.5546875" customWidth="1"/>
    <col min="16129" max="16129" width="15.21875" customWidth="1"/>
    <col min="16130" max="16130" width="12.77734375" customWidth="1"/>
    <col min="16131" max="16131" width="13.77734375" customWidth="1"/>
    <col min="16132" max="16132" width="1.77734375" customWidth="1"/>
    <col min="16133" max="16133" width="13" customWidth="1"/>
    <col min="16134" max="16373" width="8.77734375"/>
    <col min="16374" max="16384" width="8.77734375" customWidth="1"/>
  </cols>
  <sheetData>
    <row r="1" spans="1:14">
      <c r="I1" s="50" t="s">
        <v>299</v>
      </c>
    </row>
    <row r="2" spans="1:14">
      <c r="I2" s="50" t="s">
        <v>297</v>
      </c>
      <c r="M2" s="949"/>
      <c r="N2" s="949"/>
    </row>
    <row r="3" spans="1:14">
      <c r="I3" s="50" t="s">
        <v>193</v>
      </c>
    </row>
    <row r="4" spans="1:14">
      <c r="I4" s="61" t="str">
        <f>"For the 12 months ended: "&amp;TEXT(INPUT!B1,"mm/dd/yyyy")</f>
        <v>For the 12 months ended: 12/31/2020</v>
      </c>
    </row>
    <row r="5" spans="1:14">
      <c r="C5" s="24"/>
    </row>
    <row r="6" spans="1:14">
      <c r="A6" s="144" t="s">
        <v>257</v>
      </c>
      <c r="B6" s="174"/>
      <c r="C6" s="174"/>
      <c r="D6" s="144"/>
      <c r="E6" s="144"/>
      <c r="F6" s="144"/>
      <c r="G6" s="174"/>
      <c r="H6" s="144"/>
      <c r="I6" s="144"/>
    </row>
    <row r="7" spans="1:14">
      <c r="A7" s="145" t="s">
        <v>300</v>
      </c>
      <c r="B7" s="174"/>
      <c r="C7" s="174"/>
      <c r="D7" s="146"/>
      <c r="E7" s="146"/>
      <c r="F7" s="146"/>
      <c r="G7" s="174"/>
      <c r="H7" s="146"/>
      <c r="I7" s="146"/>
    </row>
    <row r="8" spans="1:14">
      <c r="A8" s="146"/>
      <c r="B8" s="174"/>
      <c r="C8" s="174"/>
      <c r="D8" s="146"/>
      <c r="E8" s="146"/>
      <c r="F8" s="146"/>
      <c r="G8" s="174"/>
      <c r="H8" s="146"/>
      <c r="I8" s="146"/>
    </row>
    <row r="9" spans="1:14">
      <c r="A9" s="259" t="str">
        <f>DEO!A11</f>
        <v>DUKE ENERGY OHIO (DEO)</v>
      </c>
      <c r="B9" s="174"/>
      <c r="C9" s="174"/>
      <c r="D9" s="146"/>
      <c r="E9" s="146"/>
      <c r="F9" s="146"/>
      <c r="G9" s="174"/>
      <c r="H9" s="177"/>
      <c r="I9" s="146"/>
    </row>
    <row r="10" spans="1:14">
      <c r="A10" s="176" t="s">
        <v>606</v>
      </c>
      <c r="B10" s="174"/>
      <c r="C10" s="146"/>
      <c r="D10" s="146"/>
      <c r="E10" s="146"/>
      <c r="F10" s="146"/>
      <c r="G10" s="174"/>
      <c r="H10" s="177"/>
      <c r="I10" s="146"/>
    </row>
    <row r="11" spans="1:14">
      <c r="A11" s="251"/>
      <c r="B11" s="174"/>
      <c r="C11" s="146"/>
      <c r="D11" s="146"/>
      <c r="E11" s="146"/>
      <c r="F11" s="146"/>
      <c r="G11" s="177"/>
      <c r="H11" s="146"/>
      <c r="I11" s="146"/>
    </row>
    <row r="12" spans="1:14">
      <c r="A12" s="146" t="s">
        <v>803</v>
      </c>
      <c r="B12" s="174"/>
      <c r="C12" s="174"/>
      <c r="D12" s="146"/>
      <c r="E12" s="146"/>
      <c r="F12" s="146"/>
      <c r="G12" s="177"/>
      <c r="H12" s="146"/>
      <c r="I12" s="146"/>
    </row>
    <row r="13" spans="1:14">
      <c r="A13" s="86"/>
      <c r="C13" s="1"/>
      <c r="D13" s="1"/>
      <c r="E13" s="1"/>
      <c r="F13" s="1"/>
      <c r="G13" s="17"/>
    </row>
    <row r="14" spans="1:14">
      <c r="A14" s="86"/>
      <c r="C14" s="1"/>
      <c r="D14" s="1"/>
      <c r="E14" s="1"/>
      <c r="F14" s="1"/>
      <c r="G14" s="1"/>
    </row>
    <row r="15" spans="1:14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</row>
    <row r="16" spans="1:14">
      <c r="C16" s="1"/>
      <c r="D16" s="1"/>
    </row>
    <row r="17" spans="1:12">
      <c r="A17" s="26" t="s">
        <v>8</v>
      </c>
      <c r="C17" s="1"/>
      <c r="D17" s="1"/>
      <c r="E17" s="4" t="s">
        <v>299</v>
      </c>
      <c r="F17" s="4"/>
      <c r="G17" s="2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</row>
    <row r="19" spans="1:12" ht="15.75">
      <c r="A19" s="90"/>
      <c r="C19" s="1" t="s">
        <v>338</v>
      </c>
      <c r="D19" s="1"/>
      <c r="E19" s="4"/>
      <c r="F19" s="2"/>
      <c r="G19" s="2"/>
      <c r="I19" s="2"/>
    </row>
    <row r="20" spans="1:12">
      <c r="A20" s="91">
        <v>1</v>
      </c>
      <c r="C20" s="1" t="s">
        <v>214</v>
      </c>
      <c r="D20" s="1"/>
      <c r="E20" s="4" t="s">
        <v>657</v>
      </c>
      <c r="F20" s="4"/>
      <c r="G20" s="92">
        <f>DEO!J54</f>
        <v>1174534297</v>
      </c>
    </row>
    <row r="21" spans="1:12">
      <c r="A21" s="91">
        <v>2</v>
      </c>
      <c r="C21" s="1" t="s">
        <v>215</v>
      </c>
      <c r="D21" s="1"/>
      <c r="E21" s="4" t="s">
        <v>658</v>
      </c>
      <c r="F21" s="4"/>
      <c r="G21" s="92">
        <f>DEO!J70</f>
        <v>953301675</v>
      </c>
    </row>
    <row r="22" spans="1:12">
      <c r="A22" s="91"/>
      <c r="E22" s="4"/>
      <c r="F22" s="4"/>
    </row>
    <row r="23" spans="1:12">
      <c r="A23" s="91"/>
      <c r="C23" s="1" t="s">
        <v>194</v>
      </c>
      <c r="D23" s="1"/>
      <c r="E23" s="4"/>
      <c r="F23" s="4"/>
      <c r="G23" s="2"/>
      <c r="I23" s="2"/>
    </row>
    <row r="24" spans="1:12">
      <c r="A24" s="91">
        <v>3</v>
      </c>
      <c r="C24" s="1" t="s">
        <v>216</v>
      </c>
      <c r="D24" s="1"/>
      <c r="E24" s="4" t="s">
        <v>656</v>
      </c>
      <c r="F24" s="4"/>
      <c r="G24" s="92">
        <f>DEO!J127</f>
        <v>23582774</v>
      </c>
    </row>
    <row r="25" spans="1:12">
      <c r="A25" s="91">
        <v>4</v>
      </c>
      <c r="C25" s="1" t="s">
        <v>217</v>
      </c>
      <c r="D25" s="1"/>
      <c r="E25" s="4" t="s">
        <v>663</v>
      </c>
      <c r="F25" s="4"/>
      <c r="G25" s="93">
        <f>ROUND(IF(G24=0,0,G24/G20),4)</f>
        <v>2.01E-2</v>
      </c>
      <c r="I25" s="94">
        <f>G25</f>
        <v>2.01E-2</v>
      </c>
    </row>
    <row r="26" spans="1:12">
      <c r="A26" s="91"/>
      <c r="E26" s="4"/>
      <c r="F26" s="4"/>
    </row>
    <row r="27" spans="1:12" ht="30">
      <c r="A27" s="97"/>
      <c r="C27" s="403" t="s">
        <v>578</v>
      </c>
      <c r="D27" s="1"/>
      <c r="E27" s="67"/>
      <c r="F27" s="4"/>
    </row>
    <row r="28" spans="1:12">
      <c r="A28" s="97" t="s">
        <v>218</v>
      </c>
      <c r="C28" s="1" t="s">
        <v>579</v>
      </c>
      <c r="D28" s="1"/>
      <c r="E28" s="4" t="s">
        <v>544</v>
      </c>
      <c r="F28" s="4"/>
      <c r="G28" s="92">
        <f>DEO!J131+DEO!J132</f>
        <v>6129161</v>
      </c>
    </row>
    <row r="29" spans="1:12" ht="30">
      <c r="A29" s="404" t="s">
        <v>219</v>
      </c>
      <c r="C29" s="403" t="s">
        <v>580</v>
      </c>
      <c r="D29" s="1"/>
      <c r="E29" s="405" t="s">
        <v>660</v>
      </c>
      <c r="F29" s="405"/>
      <c r="G29" s="406">
        <f>ROUND(IF(G28=0,0,G28/G20),4)</f>
        <v>5.1999999999999998E-3</v>
      </c>
      <c r="H29" s="407"/>
      <c r="I29" s="408">
        <f>G29</f>
        <v>5.1999999999999998E-3</v>
      </c>
      <c r="K29" s="87"/>
      <c r="L29" s="84"/>
    </row>
    <row r="30" spans="1:12">
      <c r="A30" s="91"/>
      <c r="E30" s="4"/>
      <c r="F30" s="4"/>
    </row>
    <row r="31" spans="1:12">
      <c r="A31" s="97"/>
      <c r="C31" s="1" t="s">
        <v>197</v>
      </c>
      <c r="D31" s="1"/>
      <c r="E31" s="67"/>
      <c r="F31" s="67"/>
      <c r="G31" s="2"/>
      <c r="I31" s="2"/>
    </row>
    <row r="32" spans="1:12">
      <c r="A32" s="97" t="s">
        <v>221</v>
      </c>
      <c r="C32" s="1" t="s">
        <v>199</v>
      </c>
      <c r="D32" s="1"/>
      <c r="E32" s="4" t="s">
        <v>655</v>
      </c>
      <c r="F32" s="4"/>
      <c r="G32" s="92">
        <f>DEO!J144</f>
        <v>46269737</v>
      </c>
    </row>
    <row r="33" spans="1:10">
      <c r="A33" s="97" t="s">
        <v>223</v>
      </c>
      <c r="C33" s="1" t="s">
        <v>220</v>
      </c>
      <c r="D33" s="1"/>
      <c r="E33" s="4" t="s">
        <v>661</v>
      </c>
      <c r="F33" s="4"/>
      <c r="G33" s="93">
        <f>ROUND(IF(G32=0,0,G32/G20),4)</f>
        <v>3.9399999999999998E-2</v>
      </c>
      <c r="I33" s="94">
        <f>G33</f>
        <v>3.9399999999999998E-2</v>
      </c>
    </row>
    <row r="34" spans="1:10">
      <c r="A34" s="97"/>
      <c r="C34" s="1"/>
      <c r="D34" s="1"/>
      <c r="E34" s="4"/>
      <c r="F34" s="4"/>
      <c r="G34" s="2"/>
      <c r="I34" s="2"/>
    </row>
    <row r="35" spans="1:10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6.4699999999999994E-2</v>
      </c>
    </row>
    <row r="36" spans="1:10">
      <c r="A36" s="229"/>
      <c r="C36" s="1"/>
      <c r="D36" s="1"/>
      <c r="E36" s="4"/>
      <c r="F36" s="4"/>
      <c r="G36" s="2"/>
      <c r="I36" s="2"/>
    </row>
    <row r="37" spans="1:10">
      <c r="A37" s="97"/>
      <c r="B37" s="102"/>
      <c r="C37" s="2" t="s">
        <v>201</v>
      </c>
      <c r="D37" s="2"/>
      <c r="E37" s="4"/>
      <c r="F37" s="4"/>
      <c r="G37" s="2"/>
      <c r="I37" s="2"/>
    </row>
    <row r="38" spans="1:10">
      <c r="A38" s="97" t="s">
        <v>196</v>
      </c>
      <c r="B38" s="102"/>
      <c r="C38" s="2" t="s">
        <v>125</v>
      </c>
      <c r="D38" s="2"/>
      <c r="E38" s="4" t="s">
        <v>820</v>
      </c>
      <c r="F38" s="4"/>
      <c r="G38" s="92">
        <f>DEO!J159</f>
        <v>6840366</v>
      </c>
      <c r="I38" s="2"/>
    </row>
    <row r="39" spans="1:10">
      <c r="A39" s="97" t="s">
        <v>198</v>
      </c>
      <c r="B39" s="102"/>
      <c r="C39" s="2" t="s">
        <v>224</v>
      </c>
      <c r="D39" s="2"/>
      <c r="E39" s="4" t="s">
        <v>662</v>
      </c>
      <c r="F39" s="4"/>
      <c r="G39" s="93">
        <f>ROUND(IF(G38=0,0,G38/G21),4)</f>
        <v>7.1999999999999998E-3</v>
      </c>
      <c r="I39" s="94">
        <f>G39</f>
        <v>7.1999999999999998E-3</v>
      </c>
    </row>
    <row r="40" spans="1:10">
      <c r="A40" s="97"/>
      <c r="C40" s="2"/>
      <c r="D40" s="2"/>
      <c r="E40" s="4"/>
      <c r="F40" s="4"/>
      <c r="G40" s="2"/>
      <c r="I40" s="2"/>
    </row>
    <row r="41" spans="1:10">
      <c r="A41" s="97"/>
      <c r="C41" s="1" t="s">
        <v>59</v>
      </c>
      <c r="D41" s="1"/>
      <c r="E41" s="15"/>
      <c r="F41" s="15"/>
    </row>
    <row r="42" spans="1:10">
      <c r="A42" s="97" t="s">
        <v>200</v>
      </c>
      <c r="C42" s="1" t="s">
        <v>202</v>
      </c>
      <c r="D42" s="1"/>
      <c r="E42" s="4" t="s">
        <v>821</v>
      </c>
      <c r="F42" s="4"/>
      <c r="G42" s="92">
        <f>DEO!J161</f>
        <v>62749670</v>
      </c>
      <c r="I42" s="2"/>
    </row>
    <row r="43" spans="1:10">
      <c r="A43" s="97" t="s">
        <v>263</v>
      </c>
      <c r="B43" s="102"/>
      <c r="C43" s="2" t="s">
        <v>225</v>
      </c>
      <c r="D43" s="2"/>
      <c r="E43" s="4" t="s">
        <v>659</v>
      </c>
      <c r="F43" s="4"/>
      <c r="G43" s="103">
        <f>ROUND(IF(G42=0,0,G42/G21),4)</f>
        <v>6.5799999999999997E-2</v>
      </c>
      <c r="I43" s="94">
        <f>G43</f>
        <v>6.5799999999999997E-2</v>
      </c>
    </row>
    <row r="44" spans="1:10">
      <c r="A44" s="97"/>
      <c r="C44" s="1"/>
      <c r="D44" s="1"/>
      <c r="E44" s="4"/>
      <c r="F44" s="4"/>
      <c r="G44" s="2"/>
      <c r="I44" s="2"/>
    </row>
    <row r="45" spans="1:10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7.2999999999999995E-2</v>
      </c>
    </row>
    <row r="47" spans="1:10">
      <c r="A47" s="106"/>
      <c r="C47" s="97"/>
      <c r="D47" s="97"/>
      <c r="E47" s="67"/>
      <c r="F47" s="67"/>
      <c r="G47" s="2"/>
      <c r="H47" s="9"/>
      <c r="I47" s="9"/>
      <c r="J47" s="93"/>
    </row>
    <row r="48" spans="1:10">
      <c r="A48" s="86"/>
      <c r="C48" s="9"/>
      <c r="D48" s="9"/>
      <c r="E48" s="9"/>
      <c r="F48" s="9"/>
      <c r="G48" s="2"/>
      <c r="H48" s="9"/>
      <c r="I48" s="9"/>
      <c r="J48" s="9"/>
    </row>
    <row r="49" spans="11:28">
      <c r="X49" s="50" t="s">
        <v>299</v>
      </c>
    </row>
    <row r="50" spans="11:28">
      <c r="X50" s="50" t="s">
        <v>297</v>
      </c>
    </row>
    <row r="51" spans="11:28">
      <c r="X51" s="107" t="s">
        <v>203</v>
      </c>
    </row>
    <row r="52" spans="11:28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  <c r="Y52" s="87"/>
      <c r="Z52" s="84"/>
      <c r="AA52" s="87"/>
      <c r="AB52" s="84"/>
    </row>
    <row r="53" spans="11:28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  <c r="Y53" s="87"/>
      <c r="Z53" s="84"/>
      <c r="AA53" s="87"/>
      <c r="AB53" s="84"/>
    </row>
    <row r="54" spans="11:28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  <c r="Y54" s="87"/>
      <c r="Z54" s="84"/>
      <c r="AA54" s="87"/>
      <c r="AB54" s="84"/>
    </row>
    <row r="55" spans="11:28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  <c r="Y55" s="87"/>
      <c r="Z55" s="84"/>
      <c r="AA55" s="87"/>
      <c r="AB55" s="84"/>
    </row>
    <row r="56" spans="11:28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  <c r="Y56" s="87"/>
      <c r="Z56" s="84"/>
      <c r="AA56" s="87"/>
      <c r="AB56" s="84"/>
    </row>
    <row r="57" spans="11:28">
      <c r="K57" s="70" t="str">
        <f>A9</f>
        <v>DUKE ENERGY OHIO (DEO)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  <c r="Y57" s="87"/>
      <c r="Z57" s="84"/>
      <c r="AA57" s="87"/>
      <c r="AB57" s="84"/>
    </row>
    <row r="58" spans="11:28">
      <c r="K58" s="70" t="str">
        <f>A10</f>
        <v>MTEP - Transmission Enhancement Charges</v>
      </c>
      <c r="L58" s="174"/>
      <c r="M58" s="174"/>
      <c r="N58" s="174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87"/>
      <c r="Z58" s="84"/>
      <c r="AA58" s="87"/>
      <c r="AB58" s="84"/>
    </row>
    <row r="59" spans="11:28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  <c r="Y59" s="87"/>
      <c r="Z59" s="84"/>
      <c r="AA59" s="87"/>
      <c r="AB59" s="84"/>
    </row>
    <row r="60" spans="11:28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  <c r="Y60" s="87"/>
      <c r="Z60" s="84"/>
      <c r="AA60" s="87"/>
      <c r="AB60" s="84"/>
    </row>
    <row r="61" spans="11:28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  <c r="Y61" s="87"/>
      <c r="Z61" s="84"/>
      <c r="AA61" s="87"/>
      <c r="AB61" s="84"/>
    </row>
    <row r="62" spans="11:28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  <c r="Y62" s="87"/>
      <c r="Z62" s="84"/>
      <c r="AA62" s="87"/>
      <c r="AB62" s="84"/>
    </row>
    <row r="63" spans="11:28" ht="63">
      <c r="K63" s="109" t="s">
        <v>227</v>
      </c>
      <c r="L63" s="110"/>
      <c r="M63" s="110" t="s">
        <v>207</v>
      </c>
      <c r="N63" s="111" t="s">
        <v>228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  <c r="Y63" s="96"/>
      <c r="Z63" s="84"/>
      <c r="AA63" s="87"/>
      <c r="AB63" s="84"/>
    </row>
    <row r="64" spans="11:28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  <c r="Y64" s="87"/>
      <c r="Z64" s="84"/>
      <c r="AA64" s="87"/>
      <c r="AB64" s="84"/>
    </row>
    <row r="65" spans="11:28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  <c r="Y65" s="87"/>
      <c r="Z65" s="84"/>
      <c r="AA65" s="87"/>
      <c r="AB65" s="84"/>
    </row>
    <row r="66" spans="11:28">
      <c r="K66" s="650" t="s">
        <v>1</v>
      </c>
      <c r="L66" s="256"/>
      <c r="M66" s="256" t="s">
        <v>256</v>
      </c>
      <c r="N66" s="647">
        <v>91</v>
      </c>
      <c r="O66" s="160">
        <v>17543031</v>
      </c>
      <c r="P66" s="94">
        <f>$I$35</f>
        <v>6.4699999999999994E-2</v>
      </c>
      <c r="Q66" s="600">
        <f>ROUND(O66*P66,0)</f>
        <v>1135034</v>
      </c>
      <c r="R66" s="160">
        <v>15253451</v>
      </c>
      <c r="S66" s="94">
        <f>$I$45</f>
        <v>7.2999999999999995E-2</v>
      </c>
      <c r="T66" s="600">
        <f>ROUND(R66*S66,0)</f>
        <v>1113502</v>
      </c>
      <c r="U66" s="652">
        <v>315747</v>
      </c>
      <c r="V66" s="600">
        <f>Q66+T66+U66</f>
        <v>2564283</v>
      </c>
      <c r="W66" s="128">
        <v>0</v>
      </c>
      <c r="X66" s="600">
        <f>V66+W66</f>
        <v>2564283</v>
      </c>
      <c r="Y66" s="129"/>
      <c r="Z66" s="129"/>
      <c r="AA66" s="129"/>
      <c r="AB66" s="129"/>
    </row>
    <row r="67" spans="11:28">
      <c r="K67" s="650" t="s">
        <v>244</v>
      </c>
      <c r="L67" s="256"/>
      <c r="M67" s="256" t="s">
        <v>245</v>
      </c>
      <c r="N67" s="648" t="s">
        <v>246</v>
      </c>
      <c r="O67" s="160">
        <v>0</v>
      </c>
      <c r="P67" s="94">
        <f>$I$35</f>
        <v>6.4699999999999994E-2</v>
      </c>
      <c r="Q67" s="600">
        <f t="shared" ref="Q67:Q68" si="0">ROUND(O67*P67,0)</f>
        <v>0</v>
      </c>
      <c r="R67" s="126">
        <v>0</v>
      </c>
      <c r="S67" s="94">
        <f>$I$45</f>
        <v>7.2999999999999995E-2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  <c r="Y67" s="129"/>
      <c r="Z67" s="129"/>
      <c r="AA67" s="129"/>
      <c r="AB67" s="129"/>
    </row>
    <row r="68" spans="11:28">
      <c r="K68" s="651" t="s">
        <v>247</v>
      </c>
      <c r="L68" s="256"/>
      <c r="M68" s="256" t="s">
        <v>248</v>
      </c>
      <c r="N68" s="648" t="s">
        <v>249</v>
      </c>
      <c r="O68" s="160">
        <v>0</v>
      </c>
      <c r="P68" s="94">
        <f>$I$35</f>
        <v>6.4699999999999994E-2</v>
      </c>
      <c r="Q68" s="600">
        <f t="shared" si="0"/>
        <v>0</v>
      </c>
      <c r="R68" s="126">
        <v>0</v>
      </c>
      <c r="S68" s="94">
        <f>$I$45</f>
        <v>7.2999999999999995E-2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  <c r="Y68" s="129"/>
      <c r="Z68" s="129"/>
      <c r="AA68" s="129"/>
      <c r="AB68" s="129"/>
    </row>
    <row r="69" spans="11:28">
      <c r="K69" s="125"/>
      <c r="Q69" s="127"/>
      <c r="T69" s="127"/>
      <c r="V69" s="127"/>
      <c r="X69" s="127"/>
      <c r="Y69" s="129"/>
      <c r="Z69" s="129"/>
      <c r="AA69" s="129"/>
      <c r="AB69" s="129"/>
    </row>
    <row r="70" spans="11:28">
      <c r="K70" s="125"/>
      <c r="Q70" s="127"/>
      <c r="T70" s="127"/>
      <c r="V70" s="127"/>
      <c r="X70" s="127"/>
      <c r="Y70" s="129"/>
      <c r="Z70" s="129"/>
      <c r="AA70" s="129"/>
      <c r="AB70" s="129"/>
    </row>
    <row r="71" spans="11:28">
      <c r="K71" s="125"/>
      <c r="Q71" s="127"/>
      <c r="T71" s="127"/>
      <c r="V71" s="127"/>
      <c r="X71" s="127"/>
      <c r="Y71" s="129"/>
      <c r="Z71" s="129"/>
      <c r="AA71" s="129"/>
      <c r="AB71" s="129"/>
    </row>
    <row r="72" spans="11:28">
      <c r="K72" s="125"/>
      <c r="Q72" s="127"/>
      <c r="T72" s="127"/>
      <c r="V72" s="127"/>
      <c r="X72" s="127"/>
      <c r="Y72" s="129"/>
      <c r="Z72" s="129"/>
      <c r="AA72" s="129"/>
      <c r="AB72" s="129"/>
    </row>
    <row r="73" spans="11:28">
      <c r="K73" s="125"/>
      <c r="Q73" s="127"/>
      <c r="T73" s="127"/>
      <c r="V73" s="127"/>
      <c r="X73" s="127"/>
      <c r="Y73" s="129"/>
      <c r="Z73" s="129"/>
      <c r="AA73" s="129"/>
      <c r="AB73" s="129"/>
    </row>
    <row r="74" spans="11:28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  <c r="Y74" s="129"/>
      <c r="Z74" s="129"/>
      <c r="AA74" s="129"/>
      <c r="AB74" s="129"/>
    </row>
    <row r="75" spans="11:28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  <c r="Y75" s="129"/>
      <c r="Z75" s="129"/>
      <c r="AA75" s="129"/>
      <c r="AB75" s="129"/>
    </row>
    <row r="76" spans="11:28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  <c r="Y76" s="129"/>
      <c r="Z76" s="129"/>
      <c r="AA76" s="129"/>
      <c r="AB76" s="129"/>
    </row>
    <row r="77" spans="11:28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  <c r="Y77" s="129"/>
      <c r="Z77" s="129"/>
      <c r="AA77" s="129"/>
      <c r="AB77" s="129"/>
    </row>
    <row r="78" spans="11:28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  <c r="Y78" s="129"/>
      <c r="Z78" s="129"/>
      <c r="AA78" s="129"/>
      <c r="AB78" s="129"/>
    </row>
    <row r="79" spans="11:28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  <c r="Y79" s="129"/>
      <c r="Z79" s="129"/>
      <c r="AA79" s="129"/>
      <c r="AB79" s="129"/>
    </row>
    <row r="80" spans="11:28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  <c r="Y80" s="129"/>
      <c r="Z80" s="129"/>
      <c r="AA80" s="129"/>
      <c r="AB80" s="129"/>
    </row>
    <row r="81" spans="11:28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  <c r="Y81" s="129"/>
      <c r="Z81" s="129"/>
      <c r="AA81" s="129"/>
      <c r="AB81" s="129"/>
    </row>
    <row r="82" spans="11:28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  <c r="Y82" s="129"/>
      <c r="Z82" s="129"/>
      <c r="AA82" s="129"/>
      <c r="AB82" s="129"/>
    </row>
    <row r="83" spans="11:28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  <c r="Y83" s="129"/>
      <c r="Z83" s="129"/>
      <c r="AA83" s="129"/>
      <c r="AB83" s="129"/>
    </row>
    <row r="84" spans="11:28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  <c r="Y84" s="129"/>
      <c r="Z84" s="129"/>
      <c r="AA84" s="129"/>
      <c r="AB84" s="129"/>
    </row>
    <row r="85" spans="11:28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  <c r="Y85" s="129"/>
      <c r="Z85" s="129"/>
      <c r="AA85" s="129"/>
      <c r="AB85" s="129"/>
    </row>
    <row r="86" spans="11:28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577">
        <f>SUM(V66:V85)</f>
        <v>2564283</v>
      </c>
      <c r="W86" s="577">
        <f>SUM(W66:W85)</f>
        <v>0</v>
      </c>
      <c r="X86" s="577">
        <f>SUM(X66:X85)</f>
        <v>2564283</v>
      </c>
      <c r="Y86" s="129"/>
      <c r="Z86" s="129"/>
      <c r="AA86" s="129"/>
      <c r="AB86" s="129"/>
    </row>
    <row r="87" spans="11:28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599"/>
      <c r="W87" s="599"/>
      <c r="X87" s="599"/>
      <c r="Y87" s="129"/>
      <c r="Z87" s="129"/>
      <c r="AA87" s="129"/>
      <c r="AB87" s="129"/>
    </row>
    <row r="88" spans="11:28">
      <c r="K88" s="135">
        <v>3</v>
      </c>
      <c r="L88" s="129"/>
      <c r="M88" s="9" t="str">
        <f>'Appx C - DEOK(MTEP)'!D40</f>
        <v>MTEP Transmission Enhancement Charges</v>
      </c>
      <c r="N88" s="129"/>
      <c r="O88" s="129"/>
      <c r="P88" s="129"/>
      <c r="Q88" s="129"/>
      <c r="R88" s="129"/>
      <c r="S88" s="129"/>
      <c r="T88" s="129"/>
      <c r="U88" s="129"/>
      <c r="V88" s="577"/>
      <c r="W88" s="599"/>
      <c r="X88" s="577">
        <f>X86</f>
        <v>2564283</v>
      </c>
      <c r="Y88" s="129"/>
      <c r="Z88" s="129"/>
      <c r="AA88" s="129"/>
      <c r="AB88" s="129"/>
    </row>
    <row r="89" spans="11:28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</row>
    <row r="90" spans="11:28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</row>
    <row r="91" spans="11:28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</row>
    <row r="92" spans="11:28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</row>
    <row r="93" spans="11:28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129"/>
      <c r="Z93" s="129"/>
      <c r="AA93" s="129"/>
      <c r="AB93" s="129"/>
    </row>
    <row r="94" spans="11:28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129"/>
      <c r="Z94" s="129"/>
      <c r="AA94" s="129"/>
      <c r="AB94" s="129"/>
    </row>
    <row r="95" spans="11:28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  <c r="Y95" s="129"/>
      <c r="Z95" s="129"/>
      <c r="AA95" s="129"/>
      <c r="AB95" s="129"/>
    </row>
    <row r="96" spans="11:28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  <c r="Y96" s="129"/>
      <c r="Z96" s="129"/>
      <c r="AA96" s="129"/>
      <c r="AB96" s="129"/>
    </row>
    <row r="97" spans="3:28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129"/>
      <c r="Z97" s="129"/>
      <c r="AA97" s="129"/>
      <c r="AB97" s="129"/>
    </row>
    <row r="98" spans="3:28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129"/>
      <c r="Z98" s="129"/>
      <c r="AA98" s="129"/>
      <c r="AB98" s="129"/>
    </row>
    <row r="99" spans="3:28">
      <c r="K99" s="136" t="s">
        <v>102</v>
      </c>
      <c r="L99" s="66"/>
      <c r="M99" s="984" t="s">
        <v>255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129"/>
      <c r="Z99" s="129"/>
      <c r="AA99" s="129"/>
      <c r="AB99" s="129"/>
    </row>
    <row r="100" spans="3:28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  <c r="Y100" s="129"/>
      <c r="Z100" s="129"/>
      <c r="AA100" s="129"/>
      <c r="AB100" s="129"/>
    </row>
    <row r="101" spans="3:28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  <c r="Y101" s="129"/>
      <c r="Z101" s="129"/>
      <c r="AA101" s="129"/>
      <c r="AB101" s="129"/>
    </row>
    <row r="102" spans="3:28" ht="15.75">
      <c r="K102" s="104"/>
      <c r="L102" s="138"/>
      <c r="M102" s="139"/>
      <c r="N102" s="97"/>
      <c r="O102" s="67"/>
      <c r="P102" s="67"/>
      <c r="Q102" s="2"/>
      <c r="R102" s="9"/>
      <c r="S102" s="9"/>
      <c r="T102" s="93"/>
      <c r="U102" s="9"/>
      <c r="W102" s="2"/>
      <c r="X102" s="95"/>
      <c r="Y102" s="129"/>
      <c r="Z102" s="129"/>
      <c r="AA102" s="129"/>
      <c r="AB102" s="129"/>
    </row>
    <row r="103" spans="3:28"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</row>
    <row r="104" spans="3:28">
      <c r="C104" s="129"/>
      <c r="D104" s="129"/>
      <c r="E104" s="129"/>
      <c r="F104" s="129"/>
      <c r="G104" s="129"/>
      <c r="H104" s="129"/>
      <c r="I104" s="129"/>
      <c r="J104" s="129"/>
    </row>
    <row r="105" spans="3:28">
      <c r="C105" s="129"/>
      <c r="D105" s="129"/>
      <c r="E105" s="129"/>
      <c r="F105" s="129"/>
      <c r="G105" s="129"/>
      <c r="H105" s="129"/>
      <c r="I105" s="129"/>
      <c r="J105" s="129"/>
    </row>
    <row r="106" spans="3:28">
      <c r="C106" s="129"/>
      <c r="D106" s="129"/>
      <c r="E106" s="129"/>
      <c r="F106" s="129"/>
      <c r="G106" s="129"/>
      <c r="H106" s="129"/>
      <c r="I106" s="129"/>
      <c r="J106" s="129"/>
    </row>
    <row r="107" spans="3:28">
      <c r="C107" s="129"/>
      <c r="D107" s="129"/>
      <c r="E107" s="129"/>
      <c r="F107" s="129"/>
      <c r="G107" s="129"/>
      <c r="H107" s="129"/>
      <c r="I107" s="129"/>
      <c r="J107" s="129"/>
    </row>
    <row r="108" spans="3:28">
      <c r="C108" s="129"/>
      <c r="D108" s="129"/>
      <c r="E108" s="129"/>
      <c r="F108" s="129"/>
      <c r="G108" s="129"/>
      <c r="H108" s="129"/>
      <c r="I108" s="129"/>
      <c r="J108" s="129"/>
    </row>
    <row r="109" spans="3:28">
      <c r="C109" s="129"/>
      <c r="D109" s="129"/>
      <c r="E109" s="129"/>
      <c r="F109" s="129"/>
      <c r="G109" s="129"/>
      <c r="H109" s="129"/>
      <c r="I109" s="129"/>
      <c r="J109" s="129"/>
    </row>
    <row r="110" spans="3:28">
      <c r="C110" s="129"/>
      <c r="D110" s="129"/>
      <c r="E110" s="129"/>
      <c r="F110" s="129"/>
      <c r="G110" s="129"/>
      <c r="H110" s="129"/>
      <c r="I110" s="129"/>
      <c r="J110" s="129"/>
    </row>
    <row r="111" spans="3:28">
      <c r="C111" s="129"/>
      <c r="D111" s="129"/>
      <c r="E111" s="129"/>
      <c r="F111" s="129"/>
      <c r="G111" s="129"/>
      <c r="H111" s="129"/>
      <c r="I111" s="129"/>
      <c r="J111" s="129"/>
    </row>
    <row r="112" spans="3:28">
      <c r="C112" s="129"/>
      <c r="D112" s="129"/>
      <c r="E112" s="129"/>
      <c r="F112" s="129"/>
      <c r="G112" s="129"/>
      <c r="H112" s="129"/>
      <c r="I112" s="129"/>
      <c r="J112" s="129"/>
    </row>
    <row r="113" spans="3:10">
      <c r="C113" s="129"/>
      <c r="D113" s="129"/>
      <c r="E113" s="129"/>
      <c r="F113" s="129"/>
      <c r="G113" s="129"/>
      <c r="H113" s="129"/>
      <c r="I113" s="129"/>
      <c r="J113" s="129"/>
    </row>
    <row r="114" spans="3:10">
      <c r="C114" s="129"/>
      <c r="D114" s="129"/>
      <c r="E114" s="129"/>
      <c r="F114" s="129"/>
      <c r="G114" s="129"/>
      <c r="H114" s="129"/>
      <c r="I114" s="129"/>
      <c r="J114" s="129"/>
    </row>
    <row r="115" spans="3:10">
      <c r="C115" s="129"/>
      <c r="D115" s="129"/>
      <c r="E115" s="129"/>
      <c r="F115" s="129"/>
      <c r="G115" s="129"/>
      <c r="H115" s="129"/>
      <c r="I115" s="129"/>
      <c r="J115" s="129"/>
    </row>
    <row r="116" spans="3:10">
      <c r="C116" s="129"/>
      <c r="D116" s="129"/>
      <c r="E116" s="129"/>
      <c r="F116" s="129"/>
      <c r="G116" s="129"/>
      <c r="H116" s="129"/>
      <c r="I116" s="129"/>
      <c r="J116" s="129"/>
    </row>
    <row r="117" spans="3:10">
      <c r="C117" s="129"/>
      <c r="D117" s="129"/>
      <c r="E117" s="129"/>
      <c r="F117" s="129"/>
      <c r="G117" s="129"/>
      <c r="H117" s="129"/>
      <c r="I117" s="129"/>
      <c r="J117" s="129"/>
    </row>
    <row r="118" spans="3:10">
      <c r="C118" s="129"/>
      <c r="D118" s="129"/>
      <c r="E118" s="129"/>
      <c r="F118" s="129"/>
      <c r="G118" s="129"/>
      <c r="H118" s="129"/>
      <c r="I118" s="129"/>
      <c r="J118" s="129"/>
    </row>
    <row r="119" spans="3:10">
      <c r="C119" s="129"/>
      <c r="D119" s="129"/>
      <c r="E119" s="129"/>
      <c r="F119" s="129"/>
      <c r="G119" s="129"/>
      <c r="H119" s="129"/>
      <c r="I119" s="129"/>
      <c r="J119" s="129"/>
    </row>
    <row r="120" spans="3:10">
      <c r="C120" s="129"/>
      <c r="D120" s="129"/>
      <c r="E120" s="129"/>
      <c r="F120" s="129"/>
      <c r="G120" s="129"/>
      <c r="H120" s="129"/>
      <c r="I120" s="129"/>
      <c r="J120" s="129"/>
    </row>
    <row r="121" spans="3:10">
      <c r="C121" s="129"/>
      <c r="D121" s="129"/>
      <c r="E121" s="129"/>
      <c r="F121" s="129"/>
      <c r="G121" s="129"/>
      <c r="H121" s="129"/>
      <c r="I121" s="129"/>
      <c r="J121" s="129"/>
    </row>
    <row r="122" spans="3:10">
      <c r="C122" s="129"/>
      <c r="D122" s="129"/>
      <c r="E122" s="129"/>
      <c r="F122" s="129"/>
      <c r="G122" s="129"/>
      <c r="H122" s="129"/>
      <c r="I122" s="129"/>
      <c r="J122" s="129"/>
    </row>
    <row r="123" spans="3:10">
      <c r="C123" s="129"/>
      <c r="D123" s="129"/>
      <c r="E123" s="129"/>
      <c r="F123" s="129"/>
      <c r="G123" s="129"/>
      <c r="H123" s="129"/>
      <c r="I123" s="129"/>
      <c r="J123" s="129"/>
    </row>
    <row r="124" spans="3:10">
      <c r="C124" s="129"/>
      <c r="D124" s="129"/>
      <c r="E124" s="129"/>
      <c r="F124" s="129"/>
      <c r="G124" s="129"/>
      <c r="H124" s="129"/>
      <c r="I124" s="129"/>
      <c r="J124" s="129"/>
    </row>
    <row r="125" spans="3:10">
      <c r="C125" s="129"/>
      <c r="D125" s="129"/>
      <c r="E125" s="129"/>
      <c r="F125" s="129"/>
      <c r="G125" s="129"/>
      <c r="H125" s="129"/>
      <c r="I125" s="129"/>
      <c r="J125" s="129"/>
    </row>
    <row r="126" spans="3:10">
      <c r="C126" s="129"/>
      <c r="D126" s="129"/>
      <c r="E126" s="129"/>
      <c r="F126" s="129"/>
      <c r="G126" s="129"/>
      <c r="H126" s="129"/>
      <c r="I126" s="129"/>
      <c r="J126" s="129"/>
    </row>
    <row r="127" spans="3:10">
      <c r="C127" s="129"/>
      <c r="D127" s="129"/>
      <c r="E127" s="129"/>
      <c r="F127" s="129"/>
      <c r="G127" s="129"/>
      <c r="H127" s="129"/>
      <c r="I127" s="129"/>
      <c r="J127" s="129"/>
    </row>
    <row r="128" spans="3:10">
      <c r="C128" s="129"/>
      <c r="D128" s="129"/>
      <c r="E128" s="129"/>
      <c r="F128" s="129"/>
      <c r="G128" s="129"/>
      <c r="H128" s="129"/>
      <c r="I128" s="129"/>
      <c r="J128" s="129"/>
    </row>
    <row r="129" spans="3:10">
      <c r="C129" s="129"/>
      <c r="D129" s="129"/>
      <c r="E129" s="129"/>
      <c r="F129" s="129"/>
      <c r="G129" s="129"/>
      <c r="H129" s="129"/>
      <c r="I129" s="129"/>
      <c r="J129" s="129"/>
    </row>
    <row r="130" spans="3:10">
      <c r="C130" s="129"/>
      <c r="D130" s="129"/>
      <c r="E130" s="129"/>
      <c r="F130" s="129"/>
      <c r="G130" s="129"/>
      <c r="H130" s="129"/>
      <c r="I130" s="129"/>
      <c r="J130" s="129"/>
    </row>
    <row r="131" spans="3:10">
      <c r="C131" s="129"/>
      <c r="D131" s="129"/>
      <c r="E131" s="129"/>
      <c r="F131" s="129"/>
      <c r="G131" s="129"/>
      <c r="H131" s="129"/>
      <c r="I131" s="129"/>
      <c r="J131" s="129"/>
    </row>
    <row r="132" spans="3:10">
      <c r="C132" s="129"/>
      <c r="D132" s="129"/>
      <c r="E132" s="129"/>
      <c r="F132" s="129"/>
      <c r="G132" s="129"/>
      <c r="H132" s="129"/>
      <c r="I132" s="129"/>
      <c r="J132" s="129"/>
    </row>
    <row r="133" spans="3:10">
      <c r="C133" s="129"/>
      <c r="D133" s="129"/>
      <c r="E133" s="129"/>
      <c r="F133" s="129"/>
      <c r="G133" s="129"/>
      <c r="H133" s="129"/>
      <c r="I133" s="129"/>
      <c r="J133" s="129"/>
    </row>
    <row r="134" spans="3:10">
      <c r="C134" s="129"/>
      <c r="D134" s="129"/>
      <c r="E134" s="129"/>
      <c r="F134" s="129"/>
      <c r="G134" s="129"/>
      <c r="H134" s="129"/>
      <c r="I134" s="129"/>
      <c r="J134" s="129"/>
    </row>
    <row r="135" spans="3:10">
      <c r="C135" s="129"/>
      <c r="D135" s="129"/>
      <c r="E135" s="129"/>
      <c r="F135" s="129"/>
      <c r="G135" s="129"/>
      <c r="H135" s="129"/>
      <c r="I135" s="129"/>
      <c r="J135" s="129"/>
    </row>
    <row r="136" spans="3:10">
      <c r="C136" s="129"/>
      <c r="D136" s="129"/>
      <c r="E136" s="129"/>
      <c r="F136" s="129"/>
      <c r="G136" s="129"/>
      <c r="H136" s="129"/>
      <c r="I136" s="129"/>
      <c r="J136" s="129"/>
    </row>
    <row r="137" spans="3:10">
      <c r="C137" s="129"/>
      <c r="D137" s="129"/>
      <c r="E137" s="129"/>
      <c r="F137" s="129"/>
      <c r="G137" s="129"/>
      <c r="H137" s="129"/>
      <c r="I137" s="129"/>
      <c r="J137" s="129"/>
    </row>
    <row r="138" spans="3:10">
      <c r="C138" s="129"/>
      <c r="D138" s="129"/>
      <c r="E138" s="129"/>
      <c r="F138" s="129"/>
      <c r="G138" s="129"/>
      <c r="H138" s="129"/>
      <c r="I138" s="129"/>
      <c r="J138" s="129"/>
    </row>
    <row r="139" spans="3:10">
      <c r="C139" s="129"/>
      <c r="D139" s="129"/>
      <c r="E139" s="129"/>
      <c r="F139" s="129"/>
      <c r="G139" s="129"/>
      <c r="H139" s="129"/>
      <c r="I139" s="129"/>
      <c r="J139" s="129"/>
    </row>
    <row r="140" spans="3:10">
      <c r="C140" s="129"/>
      <c r="D140" s="129"/>
      <c r="E140" s="129"/>
      <c r="F140" s="129"/>
      <c r="G140" s="129"/>
      <c r="H140" s="129"/>
      <c r="I140" s="129"/>
      <c r="J140" s="129"/>
    </row>
    <row r="141" spans="3:10">
      <c r="C141" s="129"/>
      <c r="D141" s="129"/>
      <c r="E141" s="129"/>
      <c r="F141" s="129"/>
      <c r="G141" s="129"/>
      <c r="H141" s="129"/>
      <c r="I141" s="129"/>
      <c r="J141" s="129"/>
    </row>
    <row r="142" spans="3:10">
      <c r="C142" s="129"/>
      <c r="D142" s="129"/>
      <c r="E142" s="129"/>
      <c r="F142" s="129"/>
      <c r="G142" s="129"/>
      <c r="H142" s="129"/>
      <c r="I142" s="129"/>
      <c r="J142" s="129"/>
    </row>
    <row r="143" spans="3:10">
      <c r="C143" s="129"/>
      <c r="D143" s="129"/>
      <c r="E143" s="129"/>
      <c r="F143" s="129"/>
      <c r="G143" s="129"/>
      <c r="H143" s="129"/>
      <c r="I143" s="129"/>
      <c r="J143" s="129"/>
    </row>
    <row r="144" spans="3:10">
      <c r="C144" s="129"/>
      <c r="D144" s="129"/>
      <c r="E144" s="129"/>
      <c r="F144" s="129"/>
      <c r="G144" s="129"/>
      <c r="H144" s="129"/>
      <c r="I144" s="129"/>
      <c r="J144" s="129"/>
    </row>
    <row r="145" spans="3:10">
      <c r="C145" s="129"/>
      <c r="D145" s="129"/>
      <c r="E145" s="129"/>
      <c r="F145" s="129"/>
      <c r="G145" s="129"/>
      <c r="H145" s="129"/>
      <c r="I145" s="129"/>
      <c r="J145" s="129"/>
    </row>
    <row r="146" spans="3:10">
      <c r="C146" s="129"/>
      <c r="D146" s="129"/>
      <c r="E146" s="129"/>
      <c r="F146" s="129"/>
      <c r="G146" s="129"/>
      <c r="H146" s="129"/>
      <c r="I146" s="129"/>
      <c r="J146" s="129"/>
    </row>
    <row r="147" spans="3:10">
      <c r="C147" s="129"/>
      <c r="D147" s="129"/>
      <c r="E147" s="129"/>
      <c r="F147" s="129"/>
      <c r="G147" s="129"/>
      <c r="H147" s="129"/>
      <c r="I147" s="129"/>
      <c r="J147" s="129"/>
    </row>
    <row r="148" spans="3:10">
      <c r="C148" s="129"/>
      <c r="D148" s="129"/>
      <c r="E148" s="129"/>
      <c r="F148" s="129"/>
      <c r="G148" s="129"/>
      <c r="H148" s="129"/>
      <c r="I148" s="129"/>
      <c r="J148" s="129"/>
    </row>
    <row r="149" spans="3:10">
      <c r="C149" s="129"/>
      <c r="D149" s="129"/>
      <c r="E149" s="129"/>
      <c r="F149" s="129"/>
      <c r="G149" s="129"/>
      <c r="H149" s="129"/>
      <c r="I149" s="129"/>
      <c r="J149" s="129"/>
    </row>
    <row r="150" spans="3:10">
      <c r="C150" s="129"/>
      <c r="D150" s="129"/>
      <c r="E150" s="129"/>
      <c r="F150" s="129"/>
      <c r="G150" s="129"/>
      <c r="H150" s="129"/>
      <c r="I150" s="129"/>
      <c r="J150" s="129"/>
    </row>
    <row r="151" spans="3:10">
      <c r="C151" s="129"/>
      <c r="D151" s="129"/>
      <c r="E151" s="129"/>
      <c r="F151" s="129"/>
      <c r="G151" s="129"/>
      <c r="H151" s="129"/>
      <c r="I151" s="129"/>
      <c r="J151" s="129"/>
    </row>
    <row r="152" spans="3:10">
      <c r="C152" s="129"/>
      <c r="D152" s="129"/>
      <c r="E152" s="129"/>
      <c r="F152" s="129"/>
      <c r="G152" s="129"/>
      <c r="H152" s="129"/>
      <c r="I152" s="129"/>
      <c r="J152" s="129"/>
    </row>
    <row r="153" spans="3:10">
      <c r="C153" s="129"/>
      <c r="D153" s="129"/>
      <c r="E153" s="129"/>
      <c r="F153" s="129"/>
      <c r="G153" s="129"/>
      <c r="H153" s="129"/>
      <c r="I153" s="129"/>
      <c r="J153" s="129"/>
    </row>
    <row r="154" spans="3:10">
      <c r="C154" s="129"/>
      <c r="D154" s="129"/>
      <c r="E154" s="129"/>
      <c r="F154" s="129"/>
      <c r="G154" s="129"/>
      <c r="H154" s="129"/>
      <c r="I154" s="129"/>
      <c r="J154" s="129"/>
    </row>
    <row r="155" spans="3:10">
      <c r="C155" s="129"/>
      <c r="D155" s="129"/>
      <c r="E155" s="129"/>
      <c r="F155" s="129"/>
      <c r="G155" s="129"/>
      <c r="H155" s="129"/>
      <c r="I155" s="129"/>
      <c r="J155" s="129"/>
    </row>
    <row r="156" spans="3:10">
      <c r="C156" s="129"/>
      <c r="D156" s="129"/>
      <c r="E156" s="129"/>
      <c r="F156" s="129"/>
      <c r="G156" s="129"/>
      <c r="H156" s="129"/>
      <c r="I156" s="129"/>
      <c r="J156" s="129"/>
    </row>
    <row r="157" spans="3:10">
      <c r="C157" s="129"/>
      <c r="D157" s="129"/>
      <c r="E157" s="129"/>
      <c r="F157" s="129"/>
      <c r="G157" s="129"/>
      <c r="H157" s="129"/>
      <c r="I157" s="129"/>
      <c r="J157" s="129"/>
    </row>
    <row r="158" spans="3:10">
      <c r="C158" s="129"/>
      <c r="D158" s="129"/>
      <c r="E158" s="129"/>
      <c r="F158" s="129"/>
      <c r="G158" s="129"/>
      <c r="H158" s="129"/>
      <c r="I158" s="129"/>
      <c r="J158" s="129"/>
    </row>
    <row r="159" spans="3:10">
      <c r="C159" s="129"/>
      <c r="D159" s="129"/>
      <c r="E159" s="129"/>
      <c r="F159" s="129"/>
      <c r="G159" s="129"/>
      <c r="H159" s="129"/>
      <c r="I159" s="129"/>
      <c r="J159" s="129"/>
    </row>
    <row r="160" spans="3:10">
      <c r="C160" s="129"/>
      <c r="D160" s="129"/>
      <c r="E160" s="129"/>
      <c r="F160" s="129"/>
      <c r="G160" s="129"/>
      <c r="H160" s="129"/>
      <c r="I160" s="129"/>
      <c r="J160" s="129"/>
    </row>
    <row r="161" spans="3:10">
      <c r="C161" s="129"/>
      <c r="D161" s="129"/>
      <c r="E161" s="129"/>
      <c r="F161" s="129"/>
      <c r="G161" s="129"/>
      <c r="H161" s="129"/>
      <c r="I161" s="129"/>
      <c r="J161" s="129"/>
    </row>
    <row r="162" spans="3:10">
      <c r="C162" s="129"/>
      <c r="D162" s="129"/>
      <c r="E162" s="129"/>
      <c r="F162" s="129"/>
      <c r="G162" s="129"/>
      <c r="H162" s="129"/>
      <c r="I162" s="129"/>
      <c r="J162" s="129"/>
    </row>
    <row r="163" spans="3:10">
      <c r="C163" s="129"/>
      <c r="D163" s="129"/>
      <c r="E163" s="129"/>
      <c r="F163" s="129"/>
      <c r="G163" s="129"/>
      <c r="H163" s="129"/>
      <c r="I163" s="129"/>
      <c r="J163" s="129"/>
    </row>
    <row r="164" spans="3:10">
      <c r="C164" s="129"/>
      <c r="D164" s="129"/>
      <c r="E164" s="129"/>
      <c r="F164" s="129"/>
      <c r="G164" s="129"/>
      <c r="H164" s="129"/>
      <c r="I164" s="129"/>
      <c r="J164" s="129"/>
    </row>
    <row r="165" spans="3:10">
      <c r="C165" s="129"/>
      <c r="D165" s="129"/>
      <c r="E165" s="129"/>
      <c r="F165" s="129"/>
      <c r="G165" s="129"/>
      <c r="H165" s="129"/>
      <c r="I165" s="129"/>
      <c r="J165" s="129"/>
    </row>
    <row r="166" spans="3:10">
      <c r="C166" s="129"/>
      <c r="D166" s="129"/>
      <c r="E166" s="129"/>
      <c r="F166" s="129"/>
      <c r="G166" s="129"/>
      <c r="H166" s="129"/>
      <c r="I166" s="129"/>
      <c r="J166" s="129"/>
    </row>
    <row r="167" spans="3:10">
      <c r="C167" s="129"/>
      <c r="D167" s="129"/>
      <c r="E167" s="129"/>
      <c r="F167" s="129"/>
      <c r="G167" s="129"/>
      <c r="H167" s="129"/>
      <c r="I167" s="129"/>
      <c r="J167" s="129"/>
    </row>
    <row r="168" spans="3:10">
      <c r="C168" s="129"/>
      <c r="D168" s="129"/>
      <c r="E168" s="129"/>
      <c r="F168" s="129"/>
      <c r="G168" s="129"/>
      <c r="H168" s="129"/>
      <c r="I168" s="129"/>
      <c r="J168" s="129"/>
    </row>
    <row r="169" spans="3:10">
      <c r="C169" s="129"/>
      <c r="D169" s="129"/>
      <c r="E169" s="129"/>
      <c r="F169" s="129"/>
      <c r="G169" s="129"/>
      <c r="H169" s="129"/>
      <c r="I169" s="129"/>
      <c r="J169" s="129"/>
    </row>
    <row r="170" spans="3:10">
      <c r="C170" s="129"/>
      <c r="D170" s="129"/>
      <c r="E170" s="129"/>
      <c r="F170" s="129"/>
      <c r="G170" s="129"/>
      <c r="H170" s="129"/>
      <c r="I170" s="129"/>
      <c r="J170" s="129"/>
    </row>
    <row r="171" spans="3:10">
      <c r="C171" s="129"/>
      <c r="D171" s="129"/>
      <c r="E171" s="129"/>
      <c r="F171" s="129"/>
      <c r="G171" s="129"/>
      <c r="H171" s="129"/>
      <c r="I171" s="129"/>
      <c r="J171" s="129"/>
    </row>
    <row r="172" spans="3:10">
      <c r="C172" s="129"/>
      <c r="D172" s="129"/>
      <c r="E172" s="129"/>
      <c r="F172" s="129"/>
      <c r="G172" s="129"/>
      <c r="H172" s="129"/>
      <c r="I172" s="129"/>
      <c r="J172" s="129"/>
    </row>
    <row r="173" spans="3:10">
      <c r="C173" s="129"/>
      <c r="D173" s="129"/>
      <c r="E173" s="129"/>
      <c r="F173" s="129"/>
      <c r="G173" s="129"/>
      <c r="H173" s="129"/>
      <c r="I173" s="129"/>
      <c r="J173" s="129"/>
    </row>
    <row r="174" spans="3:10">
      <c r="C174" s="129"/>
      <c r="D174" s="129"/>
      <c r="E174" s="129"/>
      <c r="F174" s="129"/>
      <c r="G174" s="129"/>
      <c r="H174" s="129"/>
      <c r="I174" s="129"/>
      <c r="J174" s="129"/>
    </row>
    <row r="175" spans="3:10">
      <c r="C175" s="129"/>
      <c r="D175" s="129"/>
      <c r="E175" s="129"/>
      <c r="F175" s="129"/>
      <c r="G175" s="129"/>
      <c r="H175" s="129"/>
      <c r="I175" s="129"/>
      <c r="J175" s="129"/>
    </row>
    <row r="176" spans="3:10">
      <c r="C176" s="129"/>
      <c r="D176" s="129"/>
      <c r="E176" s="129"/>
      <c r="F176" s="129"/>
      <c r="G176" s="129"/>
      <c r="H176" s="129"/>
      <c r="I176" s="129"/>
      <c r="J176" s="129"/>
    </row>
    <row r="177" spans="3:10">
      <c r="C177" s="129"/>
      <c r="D177" s="129"/>
      <c r="E177" s="129"/>
      <c r="F177" s="129"/>
      <c r="G177" s="129"/>
      <c r="H177" s="129"/>
      <c r="I177" s="129"/>
      <c r="J177" s="129"/>
    </row>
    <row r="178" spans="3:10">
      <c r="C178" s="129"/>
      <c r="D178" s="129"/>
      <c r="E178" s="129"/>
      <c r="F178" s="129"/>
      <c r="G178" s="129"/>
      <c r="H178" s="129"/>
      <c r="I178" s="129"/>
      <c r="J178" s="129"/>
    </row>
    <row r="179" spans="3:10">
      <c r="C179" s="129"/>
      <c r="D179" s="129"/>
      <c r="E179" s="129"/>
      <c r="F179" s="129"/>
      <c r="G179" s="129"/>
      <c r="H179" s="129"/>
      <c r="I179" s="129"/>
      <c r="J179" s="129"/>
    </row>
    <row r="180" spans="3:10">
      <c r="C180" s="129"/>
      <c r="D180" s="129"/>
      <c r="E180" s="129"/>
      <c r="F180" s="129"/>
      <c r="G180" s="129"/>
      <c r="H180" s="129"/>
      <c r="I180" s="129"/>
      <c r="J180" s="129"/>
    </row>
    <row r="181" spans="3:10">
      <c r="C181" s="129"/>
      <c r="D181" s="129"/>
      <c r="E181" s="129"/>
      <c r="F181" s="129"/>
      <c r="G181" s="129"/>
      <c r="H181" s="129"/>
      <c r="I181" s="129"/>
      <c r="J181" s="129"/>
    </row>
    <row r="182" spans="3:10">
      <c r="C182" s="129"/>
      <c r="D182" s="129"/>
      <c r="E182" s="129"/>
      <c r="F182" s="129"/>
      <c r="G182" s="129"/>
      <c r="H182" s="129"/>
      <c r="I182" s="129"/>
      <c r="J182" s="129"/>
    </row>
    <row r="183" spans="3:10">
      <c r="C183" s="129"/>
      <c r="D183" s="129"/>
      <c r="E183" s="129"/>
      <c r="F183" s="129"/>
      <c r="G183" s="129"/>
      <c r="H183" s="129"/>
      <c r="I183" s="129"/>
      <c r="J183" s="129"/>
    </row>
    <row r="184" spans="3:10">
      <c r="C184" s="129"/>
      <c r="D184" s="129"/>
      <c r="E184" s="129"/>
      <c r="F184" s="129"/>
      <c r="G184" s="129"/>
      <c r="H184" s="129"/>
      <c r="I184" s="129"/>
      <c r="J184" s="129"/>
    </row>
    <row r="185" spans="3:10">
      <c r="C185" s="129"/>
      <c r="D185" s="129"/>
      <c r="E185" s="129"/>
      <c r="F185" s="129"/>
      <c r="G185" s="129"/>
      <c r="H185" s="129"/>
      <c r="I185" s="129"/>
      <c r="J185" s="129"/>
    </row>
    <row r="186" spans="3:10">
      <c r="C186" s="129"/>
      <c r="D186" s="129"/>
      <c r="E186" s="129"/>
      <c r="F186" s="129"/>
      <c r="G186" s="129"/>
      <c r="H186" s="129"/>
      <c r="I186" s="129"/>
      <c r="J186" s="129"/>
    </row>
    <row r="187" spans="3:10">
      <c r="C187" s="129"/>
      <c r="D187" s="129"/>
      <c r="E187" s="129"/>
      <c r="F187" s="129"/>
      <c r="G187" s="129"/>
      <c r="H187" s="129"/>
      <c r="I187" s="129"/>
      <c r="J187" s="129"/>
    </row>
    <row r="188" spans="3:10">
      <c r="C188" s="129"/>
      <c r="D188" s="129"/>
      <c r="E188" s="129"/>
      <c r="F188" s="129"/>
      <c r="G188" s="129"/>
      <c r="H188" s="129"/>
      <c r="I188" s="129"/>
      <c r="J188" s="129"/>
    </row>
    <row r="189" spans="3:10">
      <c r="C189" s="129"/>
      <c r="D189" s="129"/>
      <c r="E189" s="129"/>
      <c r="F189" s="129"/>
      <c r="G189" s="129"/>
      <c r="H189" s="129"/>
      <c r="I189" s="129"/>
      <c r="J189" s="129"/>
    </row>
    <row r="190" spans="3:10">
      <c r="C190" s="129"/>
      <c r="D190" s="129"/>
      <c r="E190" s="129"/>
      <c r="F190" s="129"/>
      <c r="G190" s="129"/>
      <c r="H190" s="129"/>
      <c r="I190" s="129"/>
      <c r="J190" s="129"/>
    </row>
    <row r="191" spans="3:10">
      <c r="C191" s="129"/>
      <c r="D191" s="129"/>
      <c r="E191" s="129"/>
      <c r="F191" s="129"/>
      <c r="G191" s="129"/>
      <c r="H191" s="129"/>
      <c r="I191" s="129"/>
      <c r="J191" s="129"/>
    </row>
    <row r="192" spans="3:10">
      <c r="C192" s="129"/>
      <c r="D192" s="129"/>
      <c r="E192" s="129"/>
      <c r="F192" s="129"/>
      <c r="G192" s="129"/>
      <c r="H192" s="129"/>
      <c r="I192" s="129"/>
      <c r="J192" s="129"/>
    </row>
    <row r="193" spans="3:10">
      <c r="C193" s="129"/>
      <c r="D193" s="129"/>
      <c r="E193" s="129"/>
      <c r="F193" s="129"/>
      <c r="G193" s="129"/>
      <c r="H193" s="129"/>
      <c r="I193" s="129"/>
      <c r="J193" s="129"/>
    </row>
    <row r="194" spans="3:10">
      <c r="C194" s="129"/>
      <c r="D194" s="129"/>
      <c r="E194" s="129"/>
      <c r="F194" s="129"/>
      <c r="G194" s="129"/>
      <c r="H194" s="129"/>
      <c r="I194" s="129"/>
      <c r="J194" s="129"/>
    </row>
    <row r="195" spans="3:10">
      <c r="C195" s="129"/>
      <c r="D195" s="129"/>
      <c r="E195" s="129"/>
      <c r="F195" s="129"/>
      <c r="G195" s="129"/>
      <c r="H195" s="129"/>
      <c r="I195" s="129"/>
      <c r="J195" s="129"/>
    </row>
    <row r="196" spans="3:10">
      <c r="C196" s="129"/>
      <c r="D196" s="129"/>
      <c r="E196" s="129"/>
      <c r="F196" s="129"/>
      <c r="G196" s="129"/>
      <c r="H196" s="129"/>
      <c r="I196" s="129"/>
      <c r="J196" s="129"/>
    </row>
    <row r="197" spans="3:10">
      <c r="C197" s="129"/>
      <c r="D197" s="129"/>
      <c r="E197" s="129"/>
      <c r="F197" s="129"/>
      <c r="G197" s="129"/>
      <c r="H197" s="129"/>
      <c r="I197" s="129"/>
      <c r="J197" s="129"/>
    </row>
    <row r="198" spans="3:10">
      <c r="C198" s="129"/>
      <c r="D198" s="129"/>
      <c r="E198" s="129"/>
      <c r="F198" s="129"/>
      <c r="G198" s="129"/>
      <c r="H198" s="129"/>
      <c r="I198" s="129"/>
      <c r="J198" s="129"/>
    </row>
    <row r="199" spans="3:10">
      <c r="C199" s="129"/>
      <c r="D199" s="129"/>
      <c r="E199" s="129"/>
      <c r="F199" s="129"/>
      <c r="G199" s="129"/>
      <c r="H199" s="129"/>
      <c r="I199" s="129"/>
      <c r="J199" s="129"/>
    </row>
    <row r="200" spans="3:10">
      <c r="C200" s="129"/>
      <c r="D200" s="129"/>
      <c r="E200" s="129"/>
      <c r="F200" s="129"/>
      <c r="G200" s="129"/>
      <c r="H200" s="129"/>
      <c r="I200" s="129"/>
      <c r="J200" s="129"/>
    </row>
    <row r="201" spans="3:10">
      <c r="C201" s="129"/>
      <c r="D201" s="129"/>
      <c r="E201" s="129"/>
      <c r="F201" s="129"/>
      <c r="G201" s="129"/>
      <c r="H201" s="129"/>
      <c r="I201" s="129"/>
      <c r="J201" s="129"/>
    </row>
    <row r="202" spans="3:10">
      <c r="C202" s="129"/>
      <c r="D202" s="129"/>
      <c r="E202" s="129"/>
      <c r="F202" s="129"/>
      <c r="G202" s="129"/>
      <c r="H202" s="129"/>
      <c r="I202" s="129"/>
      <c r="J202" s="129"/>
    </row>
    <row r="203" spans="3:10">
      <c r="C203" s="129"/>
      <c r="D203" s="129"/>
      <c r="E203" s="129"/>
      <c r="F203" s="129"/>
      <c r="G203" s="129"/>
      <c r="H203" s="129"/>
      <c r="I203" s="129"/>
      <c r="J203" s="129"/>
    </row>
    <row r="204" spans="3:10">
      <c r="C204" s="129"/>
      <c r="D204" s="129"/>
      <c r="E204" s="129"/>
      <c r="F204" s="129"/>
      <c r="G204" s="129"/>
      <c r="H204" s="129"/>
      <c r="I204" s="129"/>
      <c r="J204" s="129"/>
    </row>
    <row r="205" spans="3:10">
      <c r="C205" s="129"/>
      <c r="D205" s="129"/>
      <c r="E205" s="129"/>
      <c r="F205" s="129"/>
      <c r="G205" s="129"/>
      <c r="H205" s="129"/>
      <c r="I205" s="129"/>
      <c r="J205" s="129"/>
    </row>
    <row r="206" spans="3:10">
      <c r="C206" s="129"/>
      <c r="D206" s="129"/>
      <c r="E206" s="129"/>
      <c r="F206" s="129"/>
      <c r="G206" s="129"/>
      <c r="H206" s="129"/>
      <c r="I206" s="129"/>
      <c r="J206" s="129"/>
    </row>
    <row r="207" spans="3:10">
      <c r="C207" s="129"/>
      <c r="D207" s="129"/>
      <c r="E207" s="129"/>
      <c r="F207" s="129"/>
      <c r="G207" s="129"/>
      <c r="H207" s="129"/>
      <c r="I207" s="129"/>
      <c r="J207" s="129"/>
    </row>
    <row r="208" spans="3:10">
      <c r="C208" s="129"/>
      <c r="D208" s="129"/>
      <c r="E208" s="129"/>
      <c r="F208" s="129"/>
      <c r="G208" s="129"/>
      <c r="H208" s="129"/>
      <c r="I208" s="129"/>
      <c r="J208" s="129"/>
    </row>
    <row r="209" spans="3:10">
      <c r="C209" s="129"/>
      <c r="D209" s="129"/>
      <c r="E209" s="129"/>
      <c r="F209" s="129"/>
      <c r="G209" s="129"/>
      <c r="H209" s="129"/>
      <c r="I209" s="129"/>
      <c r="J209" s="129"/>
    </row>
    <row r="210" spans="3:10">
      <c r="C210" s="129"/>
      <c r="D210" s="129"/>
      <c r="E210" s="129"/>
      <c r="F210" s="129"/>
      <c r="G210" s="129"/>
      <c r="H210" s="129"/>
      <c r="I210" s="129"/>
      <c r="J210" s="129"/>
    </row>
    <row r="211" spans="3:10">
      <c r="C211" s="129"/>
      <c r="D211" s="129"/>
      <c r="E211" s="129"/>
      <c r="F211" s="129"/>
      <c r="G211" s="129"/>
      <c r="H211" s="129"/>
      <c r="I211" s="129"/>
      <c r="J211" s="129"/>
    </row>
    <row r="212" spans="3:10">
      <c r="C212" s="129"/>
      <c r="D212" s="129"/>
      <c r="E212" s="129"/>
      <c r="F212" s="129"/>
      <c r="G212" s="129"/>
      <c r="H212" s="129"/>
      <c r="I212" s="129"/>
      <c r="J212" s="129"/>
    </row>
    <row r="213" spans="3:10">
      <c r="C213" s="129"/>
      <c r="D213" s="129"/>
      <c r="E213" s="129"/>
      <c r="F213" s="129"/>
      <c r="G213" s="129"/>
      <c r="H213" s="129"/>
      <c r="I213" s="129"/>
      <c r="J213" s="129"/>
    </row>
    <row r="214" spans="3:10">
      <c r="C214" s="129"/>
      <c r="D214" s="129"/>
      <c r="E214" s="129"/>
      <c r="F214" s="129"/>
      <c r="G214" s="129"/>
      <c r="H214" s="129"/>
      <c r="I214" s="129"/>
      <c r="J214" s="129"/>
    </row>
    <row r="215" spans="3:10">
      <c r="C215" s="129"/>
      <c r="D215" s="129"/>
      <c r="E215" s="129"/>
      <c r="F215" s="129"/>
      <c r="G215" s="129"/>
      <c r="H215" s="129"/>
      <c r="I215" s="129"/>
      <c r="J215" s="129"/>
    </row>
    <row r="216" spans="3:10">
      <c r="C216" s="129"/>
      <c r="D216" s="129"/>
      <c r="E216" s="129"/>
      <c r="F216" s="129"/>
      <c r="G216" s="129"/>
      <c r="H216" s="129"/>
      <c r="I216" s="129"/>
      <c r="J216" s="129"/>
    </row>
    <row r="217" spans="3:10">
      <c r="C217" s="129"/>
      <c r="D217" s="129"/>
      <c r="E217" s="129"/>
      <c r="F217" s="129"/>
      <c r="G217" s="129"/>
      <c r="H217" s="129"/>
      <c r="I217" s="129"/>
      <c r="J217" s="129"/>
    </row>
    <row r="218" spans="3:10">
      <c r="C218" s="129"/>
      <c r="D218" s="129"/>
      <c r="E218" s="129"/>
      <c r="F218" s="129"/>
      <c r="G218" s="129"/>
      <c r="H218" s="129"/>
      <c r="I218" s="129"/>
      <c r="J218" s="129"/>
    </row>
    <row r="219" spans="3:10">
      <c r="C219" s="129"/>
      <c r="D219" s="129"/>
      <c r="E219" s="129"/>
      <c r="F219" s="129"/>
      <c r="G219" s="129"/>
      <c r="H219" s="129"/>
      <c r="I219" s="129"/>
      <c r="J219" s="129"/>
    </row>
    <row r="220" spans="3:10">
      <c r="C220" s="129"/>
      <c r="D220" s="129"/>
      <c r="E220" s="129"/>
      <c r="F220" s="129"/>
      <c r="G220" s="129"/>
      <c r="H220" s="129"/>
      <c r="I220" s="129"/>
      <c r="J220" s="129"/>
    </row>
    <row r="221" spans="3:10">
      <c r="C221" s="129"/>
      <c r="D221" s="129"/>
      <c r="E221" s="129"/>
      <c r="F221" s="129"/>
      <c r="G221" s="129"/>
      <c r="H221" s="129"/>
      <c r="I221" s="129"/>
      <c r="J221" s="129"/>
    </row>
    <row r="222" spans="3:10">
      <c r="C222" s="129"/>
      <c r="D222" s="129"/>
      <c r="E222" s="129"/>
      <c r="F222" s="129"/>
      <c r="G222" s="129"/>
      <c r="H222" s="129"/>
      <c r="I222" s="129"/>
      <c r="J222" s="129"/>
    </row>
    <row r="223" spans="3:10">
      <c r="C223" s="129"/>
      <c r="D223" s="129"/>
      <c r="E223" s="129"/>
      <c r="F223" s="129"/>
      <c r="G223" s="129"/>
      <c r="H223" s="129"/>
      <c r="I223" s="129"/>
      <c r="J223" s="129"/>
    </row>
    <row r="224" spans="3:10">
      <c r="C224" s="129"/>
      <c r="D224" s="129"/>
      <c r="E224" s="129"/>
      <c r="F224" s="129"/>
      <c r="G224" s="129"/>
      <c r="H224" s="129"/>
      <c r="I224" s="129"/>
      <c r="J224" s="129"/>
    </row>
    <row r="225" spans="3:10">
      <c r="C225" s="129"/>
      <c r="D225" s="129"/>
      <c r="E225" s="129"/>
      <c r="F225" s="129"/>
      <c r="G225" s="129"/>
      <c r="H225" s="129"/>
      <c r="I225" s="129"/>
      <c r="J225" s="129"/>
    </row>
    <row r="226" spans="3:10">
      <c r="C226" s="129"/>
      <c r="D226" s="129"/>
      <c r="E226" s="129"/>
      <c r="F226" s="129"/>
      <c r="G226" s="129"/>
      <c r="H226" s="129"/>
      <c r="I226" s="129"/>
      <c r="J226" s="129"/>
    </row>
    <row r="227" spans="3:10">
      <c r="C227" s="129"/>
      <c r="D227" s="129"/>
      <c r="E227" s="129"/>
      <c r="F227" s="129"/>
      <c r="G227" s="129"/>
      <c r="H227" s="129"/>
      <c r="I227" s="129"/>
      <c r="J227" s="129"/>
    </row>
    <row r="228" spans="3:10">
      <c r="C228" s="129"/>
      <c r="D228" s="129"/>
      <c r="E228" s="129"/>
      <c r="F228" s="129"/>
      <c r="G228" s="129"/>
      <c r="H228" s="129"/>
      <c r="I228" s="129"/>
      <c r="J228" s="129"/>
    </row>
    <row r="229" spans="3:10">
      <c r="C229" s="129"/>
      <c r="D229" s="129"/>
      <c r="E229" s="129"/>
      <c r="F229" s="129"/>
      <c r="G229" s="129"/>
      <c r="H229" s="129"/>
      <c r="I229" s="129"/>
      <c r="J229" s="129"/>
    </row>
    <row r="230" spans="3:10">
      <c r="C230" s="129"/>
      <c r="D230" s="129"/>
      <c r="E230" s="129"/>
      <c r="F230" s="129"/>
      <c r="G230" s="129"/>
      <c r="H230" s="129"/>
      <c r="I230" s="129"/>
      <c r="J230" s="129"/>
    </row>
    <row r="231" spans="3:10">
      <c r="C231" s="129"/>
      <c r="D231" s="129"/>
      <c r="E231" s="129"/>
      <c r="F231" s="129"/>
      <c r="G231" s="129"/>
      <c r="H231" s="129"/>
      <c r="I231" s="129"/>
      <c r="J231" s="129"/>
    </row>
    <row r="232" spans="3:10">
      <c r="C232" s="129"/>
      <c r="D232" s="129"/>
      <c r="E232" s="129"/>
      <c r="F232" s="129"/>
      <c r="G232" s="129"/>
      <c r="H232" s="129"/>
      <c r="I232" s="129"/>
      <c r="J232" s="129"/>
    </row>
    <row r="233" spans="3:10">
      <c r="C233" s="129"/>
      <c r="D233" s="129"/>
      <c r="E233" s="129"/>
      <c r="F233" s="129"/>
      <c r="G233" s="129"/>
      <c r="H233" s="129"/>
      <c r="I233" s="129"/>
      <c r="J233" s="129"/>
    </row>
    <row r="234" spans="3:10">
      <c r="C234" s="129"/>
      <c r="D234" s="129"/>
      <c r="E234" s="129"/>
      <c r="F234" s="129"/>
      <c r="G234" s="129"/>
      <c r="H234" s="129"/>
      <c r="I234" s="129"/>
      <c r="J234" s="129"/>
    </row>
    <row r="235" spans="3:10">
      <c r="C235" s="129"/>
      <c r="D235" s="129"/>
      <c r="E235" s="129"/>
      <c r="F235" s="129"/>
      <c r="G235" s="129"/>
      <c r="H235" s="129"/>
      <c r="I235" s="129"/>
      <c r="J235" s="129"/>
    </row>
    <row r="236" spans="3:10">
      <c r="C236" s="129"/>
      <c r="D236" s="129"/>
      <c r="E236" s="129"/>
      <c r="F236" s="129"/>
      <c r="G236" s="129"/>
      <c r="H236" s="129"/>
      <c r="I236" s="129"/>
      <c r="J236" s="129"/>
    </row>
    <row r="237" spans="3:10">
      <c r="C237" s="129"/>
      <c r="D237" s="129"/>
      <c r="E237" s="129"/>
      <c r="F237" s="129"/>
      <c r="G237" s="129"/>
      <c r="H237" s="129"/>
      <c r="I237" s="129"/>
      <c r="J237" s="129"/>
    </row>
    <row r="238" spans="3:10">
      <c r="C238" s="129"/>
      <c r="D238" s="129"/>
      <c r="E238" s="129"/>
      <c r="F238" s="129"/>
      <c r="G238" s="129"/>
      <c r="H238" s="129"/>
      <c r="I238" s="129"/>
      <c r="J238" s="129"/>
    </row>
    <row r="239" spans="3:10">
      <c r="C239" s="129"/>
      <c r="D239" s="129"/>
      <c r="E239" s="129"/>
      <c r="F239" s="129"/>
      <c r="G239" s="129"/>
      <c r="H239" s="129"/>
      <c r="I239" s="129"/>
      <c r="J239" s="129"/>
    </row>
    <row r="240" spans="3:10">
      <c r="C240" s="129"/>
      <c r="D240" s="129"/>
      <c r="E240" s="129"/>
      <c r="F240" s="129"/>
      <c r="G240" s="129"/>
      <c r="H240" s="129"/>
      <c r="I240" s="129"/>
      <c r="J240" s="129"/>
    </row>
    <row r="241" spans="3:10">
      <c r="C241" s="129"/>
      <c r="D241" s="129"/>
      <c r="E241" s="129"/>
      <c r="F241" s="129"/>
      <c r="G241" s="129"/>
      <c r="H241" s="129"/>
      <c r="I241" s="129"/>
      <c r="J241" s="129"/>
    </row>
    <row r="242" spans="3:10">
      <c r="C242" s="129"/>
      <c r="D242" s="129"/>
      <c r="E242" s="129"/>
      <c r="F242" s="129"/>
      <c r="G242" s="129"/>
      <c r="H242" s="129"/>
      <c r="I242" s="129"/>
      <c r="J242" s="129"/>
    </row>
    <row r="243" spans="3:10">
      <c r="C243" s="129"/>
      <c r="D243" s="129"/>
      <c r="E243" s="129"/>
      <c r="F243" s="129"/>
      <c r="G243" s="129"/>
      <c r="H243" s="129"/>
      <c r="I243" s="129"/>
      <c r="J243" s="129"/>
    </row>
    <row r="244" spans="3:10">
      <c r="C244" s="129"/>
      <c r="D244" s="129"/>
      <c r="E244" s="129"/>
      <c r="F244" s="129"/>
      <c r="G244" s="129"/>
      <c r="H244" s="129"/>
      <c r="I244" s="129"/>
      <c r="J244" s="129"/>
    </row>
    <row r="245" spans="3:10">
      <c r="C245" s="129"/>
      <c r="D245" s="129"/>
      <c r="E245" s="129"/>
      <c r="F245" s="129"/>
      <c r="G245" s="129"/>
      <c r="H245" s="129"/>
      <c r="I245" s="129"/>
      <c r="J245" s="129"/>
    </row>
    <row r="246" spans="3:10">
      <c r="C246" s="129"/>
      <c r="D246" s="129"/>
      <c r="E246" s="129"/>
      <c r="F246" s="129"/>
      <c r="G246" s="129"/>
      <c r="H246" s="129"/>
      <c r="I246" s="129"/>
      <c r="J246" s="129"/>
    </row>
    <row r="247" spans="3:10">
      <c r="C247" s="129"/>
      <c r="D247" s="129"/>
      <c r="E247" s="129"/>
      <c r="F247" s="129"/>
      <c r="G247" s="129"/>
      <c r="H247" s="129"/>
      <c r="I247" s="129"/>
      <c r="J247" s="129"/>
    </row>
    <row r="248" spans="3:10">
      <c r="C248" s="129"/>
      <c r="D248" s="129"/>
      <c r="E248" s="129"/>
      <c r="F248" s="129"/>
      <c r="G248" s="129"/>
      <c r="H248" s="129"/>
      <c r="I248" s="129"/>
      <c r="J248" s="129"/>
    </row>
    <row r="249" spans="3:10">
      <c r="C249" s="129"/>
      <c r="D249" s="129"/>
      <c r="E249" s="129"/>
      <c r="F249" s="129"/>
      <c r="G249" s="129"/>
      <c r="H249" s="129"/>
      <c r="I249" s="129"/>
      <c r="J249" s="129"/>
    </row>
    <row r="250" spans="3:10">
      <c r="C250" s="129"/>
      <c r="D250" s="129"/>
      <c r="E250" s="129"/>
      <c r="F250" s="129"/>
      <c r="G250" s="129"/>
      <c r="H250" s="129"/>
      <c r="I250" s="129"/>
      <c r="J250" s="129"/>
    </row>
    <row r="251" spans="3:10">
      <c r="C251" s="129"/>
      <c r="D251" s="129"/>
      <c r="E251" s="129"/>
      <c r="F251" s="129"/>
      <c r="G251" s="129"/>
      <c r="H251" s="129"/>
      <c r="I251" s="129"/>
      <c r="J251" s="129"/>
    </row>
    <row r="252" spans="3:10">
      <c r="C252" s="129"/>
      <c r="D252" s="129"/>
      <c r="E252" s="129"/>
      <c r="F252" s="129"/>
      <c r="G252" s="129"/>
      <c r="H252" s="129"/>
      <c r="I252" s="129"/>
      <c r="J252" s="129"/>
    </row>
    <row r="253" spans="3:10">
      <c r="C253" s="129"/>
      <c r="D253" s="129"/>
      <c r="E253" s="129"/>
      <c r="F253" s="129"/>
      <c r="G253" s="129"/>
      <c r="H253" s="129"/>
      <c r="I253" s="129"/>
      <c r="J253" s="129"/>
    </row>
    <row r="254" spans="3:10">
      <c r="C254" s="129"/>
      <c r="D254" s="129"/>
      <c r="E254" s="129"/>
      <c r="F254" s="129"/>
      <c r="G254" s="129"/>
      <c r="H254" s="129"/>
      <c r="I254" s="129"/>
      <c r="J254" s="129"/>
    </row>
    <row r="255" spans="3:10">
      <c r="C255" s="129"/>
      <c r="D255" s="129"/>
      <c r="E255" s="129"/>
      <c r="F255" s="129"/>
      <c r="G255" s="129"/>
      <c r="H255" s="129"/>
      <c r="I255" s="129"/>
      <c r="J255" s="129"/>
    </row>
    <row r="256" spans="3:10">
      <c r="C256" s="129"/>
      <c r="D256" s="129"/>
      <c r="E256" s="129"/>
      <c r="F256" s="129"/>
      <c r="G256" s="129"/>
      <c r="H256" s="129"/>
      <c r="I256" s="129"/>
      <c r="J256" s="129"/>
    </row>
    <row r="257" spans="3:10">
      <c r="C257" s="129"/>
      <c r="D257" s="129"/>
      <c r="E257" s="129"/>
      <c r="F257" s="129"/>
      <c r="G257" s="129"/>
      <c r="H257" s="129"/>
      <c r="I257" s="129"/>
      <c r="J257" s="129"/>
    </row>
    <row r="258" spans="3:10">
      <c r="C258" s="129"/>
      <c r="D258" s="129"/>
      <c r="E258" s="129"/>
      <c r="F258" s="129"/>
      <c r="G258" s="129"/>
      <c r="H258" s="129"/>
      <c r="I258" s="129"/>
      <c r="J258" s="129"/>
    </row>
    <row r="259" spans="3:10">
      <c r="C259" s="129"/>
      <c r="D259" s="129"/>
      <c r="E259" s="129"/>
      <c r="F259" s="129"/>
      <c r="G259" s="129"/>
      <c r="H259" s="129"/>
      <c r="I259" s="129"/>
      <c r="J259" s="129"/>
    </row>
    <row r="260" spans="3:10">
      <c r="C260" s="129"/>
      <c r="D260" s="129"/>
      <c r="E260" s="129"/>
      <c r="F260" s="129"/>
      <c r="G260" s="129"/>
      <c r="H260" s="129"/>
      <c r="I260" s="129"/>
      <c r="J260" s="129"/>
    </row>
    <row r="261" spans="3:10">
      <c r="C261" s="129"/>
      <c r="D261" s="129"/>
      <c r="E261" s="129"/>
      <c r="F261" s="129"/>
      <c r="G261" s="129"/>
      <c r="H261" s="129"/>
      <c r="I261" s="129"/>
      <c r="J261" s="129"/>
    </row>
    <row r="262" spans="3:10">
      <c r="C262" s="129"/>
      <c r="D262" s="129"/>
      <c r="E262" s="129"/>
      <c r="F262" s="129"/>
      <c r="G262" s="129"/>
      <c r="H262" s="129"/>
      <c r="I262" s="129"/>
      <c r="J262" s="129"/>
    </row>
    <row r="263" spans="3:10">
      <c r="C263" s="129"/>
      <c r="D263" s="129"/>
      <c r="E263" s="129"/>
      <c r="F263" s="129"/>
      <c r="G263" s="129"/>
      <c r="H263" s="129"/>
      <c r="I263" s="129"/>
      <c r="J263" s="129"/>
    </row>
    <row r="264" spans="3:10">
      <c r="C264" s="129"/>
      <c r="D264" s="129"/>
      <c r="E264" s="129"/>
      <c r="F264" s="129"/>
      <c r="G264" s="129"/>
      <c r="H264" s="129"/>
      <c r="I264" s="129"/>
      <c r="J264" s="129"/>
    </row>
    <row r="265" spans="3:10">
      <c r="C265" s="129"/>
      <c r="D265" s="129"/>
      <c r="E265" s="129"/>
      <c r="F265" s="129"/>
      <c r="G265" s="129"/>
      <c r="H265" s="129"/>
      <c r="I265" s="129"/>
      <c r="J265" s="129"/>
    </row>
    <row r="266" spans="3:10">
      <c r="C266" s="129"/>
      <c r="D266" s="129"/>
      <c r="E266" s="129"/>
      <c r="F266" s="129"/>
      <c r="G266" s="129"/>
      <c r="H266" s="129"/>
      <c r="I266" s="129"/>
      <c r="J266" s="129"/>
    </row>
    <row r="267" spans="3:10">
      <c r="C267" s="129"/>
      <c r="D267" s="129"/>
      <c r="E267" s="129"/>
      <c r="F267" s="129"/>
      <c r="G267" s="129"/>
      <c r="H267" s="129"/>
      <c r="I267" s="129"/>
      <c r="J267" s="129"/>
    </row>
    <row r="268" spans="3:10">
      <c r="C268" s="129"/>
      <c r="D268" s="129"/>
      <c r="E268" s="129"/>
      <c r="F268" s="129"/>
      <c r="G268" s="129"/>
      <c r="H268" s="129"/>
      <c r="I268" s="129"/>
      <c r="J268" s="129"/>
    </row>
    <row r="269" spans="3:10">
      <c r="C269" s="129"/>
      <c r="D269" s="129"/>
      <c r="E269" s="129"/>
      <c r="F269" s="129"/>
      <c r="G269" s="129"/>
      <c r="H269" s="129"/>
      <c r="I269" s="129"/>
      <c r="J269" s="129"/>
    </row>
    <row r="270" spans="3:10">
      <c r="C270" s="129"/>
      <c r="D270" s="129"/>
      <c r="E270" s="129"/>
      <c r="F270" s="129"/>
      <c r="G270" s="129"/>
      <c r="H270" s="129"/>
      <c r="I270" s="129"/>
      <c r="J270" s="129"/>
    </row>
    <row r="271" spans="3:10">
      <c r="C271" s="129"/>
      <c r="D271" s="129"/>
      <c r="E271" s="129"/>
      <c r="F271" s="129"/>
      <c r="G271" s="129"/>
      <c r="H271" s="129"/>
      <c r="I271" s="129"/>
      <c r="J271" s="129"/>
    </row>
    <row r="272" spans="3:10">
      <c r="C272" s="129"/>
      <c r="D272" s="129"/>
      <c r="E272" s="129"/>
      <c r="F272" s="129"/>
      <c r="G272" s="129"/>
      <c r="H272" s="129"/>
      <c r="I272" s="129"/>
      <c r="J272" s="129"/>
    </row>
    <row r="273" spans="3:10">
      <c r="C273" s="129"/>
      <c r="D273" s="129"/>
      <c r="E273" s="129"/>
      <c r="F273" s="129"/>
      <c r="G273" s="129"/>
      <c r="H273" s="129"/>
      <c r="I273" s="129"/>
      <c r="J273" s="129"/>
    </row>
    <row r="274" spans="3:10">
      <c r="C274" s="129"/>
      <c r="D274" s="129"/>
      <c r="E274" s="129"/>
      <c r="F274" s="129"/>
      <c r="G274" s="129"/>
      <c r="H274" s="129"/>
      <c r="I274" s="129"/>
      <c r="J274" s="129"/>
    </row>
    <row r="275" spans="3:10">
      <c r="C275" s="129"/>
      <c r="D275" s="129"/>
      <c r="E275" s="129"/>
      <c r="F275" s="129"/>
      <c r="G275" s="129"/>
      <c r="H275" s="129"/>
      <c r="I275" s="129"/>
      <c r="J275" s="129"/>
    </row>
    <row r="276" spans="3:10">
      <c r="C276" s="129"/>
      <c r="D276" s="129"/>
      <c r="E276" s="129"/>
      <c r="F276" s="129"/>
      <c r="G276" s="129"/>
      <c r="H276" s="129"/>
      <c r="I276" s="129"/>
      <c r="J276" s="129"/>
    </row>
    <row r="277" spans="3:10">
      <c r="C277" s="129"/>
      <c r="D277" s="129"/>
      <c r="E277" s="129"/>
      <c r="F277" s="129"/>
      <c r="G277" s="129"/>
      <c r="H277" s="129"/>
      <c r="I277" s="129"/>
      <c r="J277" s="129"/>
    </row>
    <row r="278" spans="3:10">
      <c r="C278" s="129"/>
      <c r="D278" s="129"/>
      <c r="E278" s="129"/>
      <c r="F278" s="129"/>
      <c r="G278" s="129"/>
      <c r="H278" s="129"/>
      <c r="I278" s="129"/>
      <c r="J278" s="129"/>
    </row>
    <row r="279" spans="3:10">
      <c r="C279" s="129"/>
      <c r="D279" s="129"/>
      <c r="E279" s="129"/>
      <c r="F279" s="129"/>
      <c r="G279" s="129"/>
      <c r="H279" s="129"/>
      <c r="I279" s="129"/>
      <c r="J279" s="129"/>
    </row>
    <row r="280" spans="3:10">
      <c r="C280" s="129"/>
      <c r="D280" s="129"/>
      <c r="E280" s="129"/>
      <c r="F280" s="129"/>
      <c r="G280" s="129"/>
      <c r="H280" s="129"/>
      <c r="I280" s="129"/>
      <c r="J280" s="129"/>
    </row>
    <row r="281" spans="3:10">
      <c r="C281" s="129"/>
      <c r="D281" s="129"/>
      <c r="E281" s="129"/>
      <c r="F281" s="129"/>
      <c r="G281" s="129"/>
      <c r="H281" s="129"/>
      <c r="I281" s="129"/>
      <c r="J281" s="129"/>
    </row>
    <row r="282" spans="3:10">
      <c r="C282" s="129"/>
      <c r="D282" s="129"/>
      <c r="E282" s="129"/>
      <c r="F282" s="129"/>
      <c r="G282" s="129"/>
      <c r="H282" s="129"/>
      <c r="I282" s="129"/>
      <c r="J282" s="129"/>
    </row>
    <row r="283" spans="3:10">
      <c r="C283" s="129"/>
      <c r="D283" s="129"/>
      <c r="E283" s="129"/>
      <c r="F283" s="129"/>
      <c r="G283" s="129"/>
      <c r="H283" s="129"/>
      <c r="I283" s="129"/>
      <c r="J283" s="129"/>
    </row>
    <row r="284" spans="3:10">
      <c r="C284" s="129"/>
      <c r="D284" s="129"/>
      <c r="E284" s="129"/>
      <c r="F284" s="129"/>
      <c r="G284" s="129"/>
      <c r="H284" s="129"/>
      <c r="I284" s="129"/>
      <c r="J284" s="129"/>
    </row>
    <row r="285" spans="3:10">
      <c r="C285" s="129"/>
      <c r="D285" s="129"/>
      <c r="E285" s="129"/>
      <c r="F285" s="129"/>
      <c r="G285" s="129"/>
      <c r="H285" s="129"/>
      <c r="I285" s="129"/>
      <c r="J285" s="129"/>
    </row>
    <row r="286" spans="3:10">
      <c r="C286" s="129"/>
      <c r="D286" s="129"/>
      <c r="E286" s="129"/>
      <c r="F286" s="129"/>
      <c r="G286" s="129"/>
      <c r="H286" s="129"/>
      <c r="I286" s="129"/>
      <c r="J286" s="129"/>
    </row>
    <row r="287" spans="3:10">
      <c r="C287" s="129"/>
      <c r="D287" s="129"/>
      <c r="E287" s="129"/>
      <c r="F287" s="129"/>
      <c r="G287" s="129"/>
      <c r="H287" s="129"/>
      <c r="I287" s="129"/>
      <c r="J287" s="129"/>
    </row>
    <row r="288" spans="3:10">
      <c r="C288" s="129"/>
      <c r="D288" s="129"/>
      <c r="E288" s="129"/>
      <c r="F288" s="129"/>
      <c r="G288" s="129"/>
      <c r="H288" s="129"/>
      <c r="I288" s="129"/>
      <c r="J288" s="129"/>
    </row>
    <row r="289" spans="3:10">
      <c r="C289" s="129"/>
      <c r="D289" s="129"/>
      <c r="E289" s="129"/>
      <c r="F289" s="129"/>
      <c r="G289" s="129"/>
      <c r="H289" s="129"/>
      <c r="I289" s="129"/>
      <c r="J289" s="129"/>
    </row>
    <row r="290" spans="3:10">
      <c r="C290" s="129"/>
      <c r="D290" s="129"/>
      <c r="E290" s="129"/>
      <c r="F290" s="129"/>
      <c r="G290" s="129"/>
      <c r="H290" s="129"/>
      <c r="I290" s="129"/>
      <c r="J290" s="129"/>
    </row>
    <row r="291" spans="3:10">
      <c r="C291" s="129"/>
      <c r="D291" s="129"/>
      <c r="E291" s="129"/>
      <c r="F291" s="129"/>
      <c r="G291" s="129"/>
      <c r="H291" s="129"/>
      <c r="I291" s="129"/>
      <c r="J291" s="129"/>
    </row>
    <row r="292" spans="3:10">
      <c r="C292" s="129"/>
      <c r="D292" s="129"/>
      <c r="E292" s="129"/>
      <c r="F292" s="129"/>
      <c r="G292" s="129"/>
      <c r="H292" s="129"/>
      <c r="I292" s="129"/>
      <c r="J292" s="129"/>
    </row>
    <row r="293" spans="3:10">
      <c r="C293" s="129"/>
      <c r="D293" s="129"/>
      <c r="E293" s="129"/>
      <c r="F293" s="129"/>
      <c r="G293" s="129"/>
      <c r="H293" s="129"/>
      <c r="I293" s="129"/>
      <c r="J293" s="129"/>
    </row>
    <row r="294" spans="3:10">
      <c r="C294" s="129"/>
      <c r="D294" s="129"/>
      <c r="E294" s="129"/>
      <c r="F294" s="129"/>
      <c r="G294" s="129"/>
      <c r="H294" s="129"/>
      <c r="I294" s="129"/>
      <c r="J294" s="129"/>
    </row>
    <row r="295" spans="3:10">
      <c r="C295" s="129"/>
      <c r="D295" s="129"/>
      <c r="E295" s="129"/>
      <c r="F295" s="129"/>
      <c r="G295" s="129"/>
      <c r="H295" s="129"/>
      <c r="I295" s="129"/>
      <c r="J295" s="129"/>
    </row>
    <row r="296" spans="3:10">
      <c r="C296" s="129"/>
      <c r="D296" s="129"/>
      <c r="E296" s="129"/>
      <c r="F296" s="129"/>
      <c r="G296" s="129"/>
      <c r="H296" s="129"/>
      <c r="I296" s="129"/>
      <c r="J296" s="129"/>
    </row>
    <row r="297" spans="3:10">
      <c r="C297" s="129"/>
      <c r="D297" s="129"/>
      <c r="E297" s="129"/>
      <c r="F297" s="129"/>
      <c r="G297" s="129"/>
      <c r="H297" s="129"/>
      <c r="I297" s="129"/>
      <c r="J297" s="129"/>
    </row>
    <row r="298" spans="3:10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99:X99"/>
    <mergeCell ref="M100:X100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4" orientation="landscape" horizontalDpi="300" verticalDpi="300" r:id="rId1"/>
  <headerFooter alignWithMargins="0"/>
  <rowBreaks count="1" manualBreakCount="1">
    <brk id="48" min="10" max="2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rgb="FFFF0000"/>
  </sheetPr>
  <dimension ref="A1:R332"/>
  <sheetViews>
    <sheetView view="pageBreakPreview" zoomScale="75" zoomScaleNormal="75" zoomScaleSheetLayoutView="75" workbookViewId="0"/>
  </sheetViews>
  <sheetFormatPr defaultColWidth="8.77734375" defaultRowHeight="15"/>
  <cols>
    <col min="1" max="1" width="5.77734375" style="439" customWidth="1"/>
    <col min="2" max="2" width="1.44140625" style="9" customWidth="1"/>
    <col min="3" max="3" width="62.21875" style="9" customWidth="1"/>
    <col min="4" max="4" width="24.44140625" style="9" customWidth="1"/>
    <col min="5" max="5" width="15.5546875" style="9" customWidth="1"/>
    <col min="6" max="6" width="8.21875" style="9" customWidth="1"/>
    <col min="7" max="7" width="5.77734375" style="9" customWidth="1"/>
    <col min="8" max="8" width="13.21875" style="9" customWidth="1"/>
    <col min="9" max="9" width="5.77734375" style="9" customWidth="1"/>
    <col min="10" max="10" width="16.21875" style="9" customWidth="1"/>
    <col min="11" max="11" width="3.44140625" style="9" customWidth="1"/>
    <col min="12" max="12" width="14" style="9" customWidth="1"/>
    <col min="13" max="13" width="1.77734375" style="9" customWidth="1"/>
    <col min="14" max="15" width="18" style="9" customWidth="1"/>
    <col min="16" max="18" width="8.77734375" style="9"/>
    <col min="19" max="19" width="12.77734375" style="9" bestFit="1" customWidth="1"/>
    <col min="20" max="16384" width="8.77734375" style="9"/>
  </cols>
  <sheetData>
    <row r="1" spans="1:15" ht="18">
      <c r="A1" s="440"/>
      <c r="C1" s="24"/>
      <c r="D1" s="24"/>
      <c r="E1" s="25"/>
      <c r="F1" s="24"/>
      <c r="G1" s="24"/>
      <c r="H1" s="24"/>
      <c r="I1" s="24"/>
      <c r="J1" s="50" t="s">
        <v>299</v>
      </c>
      <c r="K1" s="60"/>
      <c r="M1" s="60"/>
    </row>
    <row r="2" spans="1:15">
      <c r="C2" s="24"/>
      <c r="D2" s="24"/>
      <c r="E2" s="25"/>
      <c r="F2" s="24"/>
      <c r="G2" s="24"/>
      <c r="H2" s="24"/>
      <c r="I2" s="24"/>
      <c r="J2" s="50" t="s">
        <v>407</v>
      </c>
      <c r="M2" s="50"/>
    </row>
    <row r="3" spans="1:15">
      <c r="C3" s="24"/>
      <c r="D3" s="24"/>
      <c r="E3" s="25"/>
      <c r="F3" s="24"/>
      <c r="G3" s="24"/>
      <c r="H3" s="24"/>
      <c r="I3" s="24"/>
      <c r="K3" s="1"/>
      <c r="M3" s="50"/>
    </row>
    <row r="4" spans="1:15">
      <c r="C4" s="24"/>
      <c r="D4" s="24"/>
      <c r="E4" s="25"/>
      <c r="F4" s="24"/>
      <c r="G4" s="24"/>
      <c r="H4" s="24"/>
      <c r="I4" s="24"/>
      <c r="K4" s="1"/>
      <c r="M4" s="50"/>
    </row>
    <row r="5" spans="1:15">
      <c r="C5" s="24"/>
      <c r="D5" s="24"/>
      <c r="E5" s="25"/>
      <c r="F5" s="24"/>
      <c r="G5" s="24"/>
      <c r="H5" s="24"/>
      <c r="I5" s="24"/>
      <c r="K5" s="1"/>
      <c r="M5" s="50"/>
    </row>
    <row r="6" spans="1:15">
      <c r="C6" s="24"/>
      <c r="D6" s="24"/>
      <c r="E6" s="25"/>
      <c r="F6" s="24"/>
      <c r="G6" s="24"/>
      <c r="H6" s="24"/>
      <c r="I6" s="24"/>
      <c r="J6" s="1"/>
      <c r="K6" s="1"/>
      <c r="M6" s="1"/>
    </row>
    <row r="7" spans="1:15">
      <c r="C7" s="24" t="s">
        <v>6</v>
      </c>
      <c r="D7" s="24"/>
      <c r="E7" s="25"/>
      <c r="F7" s="24"/>
      <c r="G7" s="24"/>
      <c r="H7" s="24"/>
      <c r="I7" s="24"/>
      <c r="J7" s="61" t="str">
        <f>"For the 12 months ended: "&amp;TEXT(INPUT!$B$1,"mm/dd/yyyy")</f>
        <v>For the 12 months ended: 12/31/2020</v>
      </c>
      <c r="K7" s="1"/>
      <c r="M7" s="1"/>
    </row>
    <row r="8" spans="1:15">
      <c r="A8" s="447" t="str">
        <f>DEO!A8</f>
        <v>Rate Formula Template</v>
      </c>
      <c r="B8" s="70"/>
      <c r="C8" s="70"/>
      <c r="D8" s="144"/>
      <c r="E8" s="70"/>
      <c r="F8" s="144"/>
      <c r="G8" s="144"/>
      <c r="H8" s="144"/>
      <c r="I8" s="144"/>
      <c r="J8" s="70"/>
      <c r="K8" s="1"/>
      <c r="L8" s="70"/>
      <c r="M8" s="1"/>
    </row>
    <row r="9" spans="1:15">
      <c r="A9" s="442" t="s">
        <v>270</v>
      </c>
      <c r="B9" s="70"/>
      <c r="C9" s="144"/>
      <c r="D9" s="145"/>
      <c r="E9" s="70"/>
      <c r="F9" s="145"/>
      <c r="G9" s="145"/>
      <c r="H9" s="145"/>
      <c r="I9" s="144"/>
      <c r="J9" s="144"/>
      <c r="K9" s="1"/>
      <c r="L9" s="146"/>
      <c r="M9" s="1"/>
    </row>
    <row r="10" spans="1:15">
      <c r="A10" s="442"/>
      <c r="B10" s="70"/>
      <c r="C10" s="146"/>
      <c r="D10" s="146"/>
      <c r="E10" s="70"/>
      <c r="F10" s="146"/>
      <c r="G10" s="146"/>
      <c r="H10" s="146"/>
      <c r="I10" s="146"/>
      <c r="J10" s="146"/>
      <c r="K10" s="1"/>
      <c r="L10" s="146"/>
      <c r="M10" s="1"/>
    </row>
    <row r="11" spans="1:15" ht="15.75">
      <c r="A11" s="448" t="s">
        <v>700</v>
      </c>
      <c r="B11" s="264"/>
      <c r="C11" s="265"/>
      <c r="D11" s="265"/>
      <c r="E11" s="264"/>
      <c r="F11" s="265"/>
      <c r="G11" s="265"/>
      <c r="H11" s="265"/>
      <c r="I11" s="265"/>
      <c r="J11" s="265"/>
      <c r="K11" s="1"/>
      <c r="L11" s="146"/>
      <c r="M11" s="1"/>
      <c r="N11" s="69"/>
      <c r="O11" s="69"/>
    </row>
    <row r="12" spans="1:15">
      <c r="A12" s="438"/>
      <c r="C12" s="3" t="s">
        <v>18</v>
      </c>
      <c r="D12" s="3" t="s">
        <v>19</v>
      </c>
      <c r="E12" s="3" t="s">
        <v>20</v>
      </c>
      <c r="F12" s="2" t="s">
        <v>7</v>
      </c>
      <c r="G12" s="177" t="s">
        <v>21</v>
      </c>
      <c r="H12" s="70"/>
      <c r="I12" s="2"/>
      <c r="J12" s="5" t="s">
        <v>22</v>
      </c>
      <c r="K12" s="1"/>
      <c r="L12" s="1"/>
      <c r="M12" s="1"/>
      <c r="N12" s="67"/>
    </row>
    <row r="13" spans="1:15">
      <c r="A13" s="438" t="s">
        <v>8</v>
      </c>
      <c r="C13" s="1"/>
      <c r="D13" s="1"/>
      <c r="E13" s="17"/>
      <c r="F13" s="1"/>
      <c r="G13" s="1"/>
      <c r="H13" s="1"/>
      <c r="I13" s="1"/>
      <c r="J13" s="26" t="s">
        <v>9</v>
      </c>
      <c r="K13" s="1"/>
      <c r="L13" s="1"/>
      <c r="M13" s="1"/>
      <c r="N13" s="815"/>
    </row>
    <row r="14" spans="1:15" ht="15.75">
      <c r="A14" s="444" t="s">
        <v>10</v>
      </c>
      <c r="C14" s="1"/>
      <c r="D14" s="1"/>
      <c r="E14" s="1"/>
      <c r="F14" s="1"/>
      <c r="G14" s="1"/>
      <c r="H14" s="1"/>
      <c r="I14" s="1"/>
      <c r="J14" s="180" t="s">
        <v>11</v>
      </c>
      <c r="K14" s="1"/>
      <c r="L14" s="1"/>
      <c r="M14" s="1"/>
      <c r="N14" s="815"/>
      <c r="O14" s="409"/>
    </row>
    <row r="15" spans="1:15">
      <c r="A15" s="438">
        <v>1</v>
      </c>
      <c r="C15" s="1" t="str">
        <f>DEO!C15</f>
        <v>GROSS REVENUE REQUIREMENT</v>
      </c>
      <c r="D15" s="368" t="str">
        <f>DEO!D15</f>
        <v>(page 3, line 31)</v>
      </c>
      <c r="E15" s="2"/>
      <c r="F15" s="1"/>
      <c r="G15" s="1"/>
      <c r="H15" s="1"/>
      <c r="I15" s="1"/>
      <c r="J15" s="30">
        <f>J164</f>
        <v>9347159</v>
      </c>
      <c r="K15" s="1"/>
      <c r="L15" s="1"/>
      <c r="M15" s="1"/>
      <c r="N15" s="816"/>
      <c r="O15" s="30"/>
    </row>
    <row r="16" spans="1:15">
      <c r="A16" s="438"/>
      <c r="C16" s="1"/>
      <c r="D16" s="521"/>
      <c r="E16" s="1"/>
      <c r="F16" s="1"/>
      <c r="G16" s="1"/>
      <c r="H16" s="1"/>
      <c r="I16" s="1"/>
      <c r="J16" s="30"/>
      <c r="K16" s="1"/>
      <c r="L16" s="1"/>
      <c r="M16" s="1"/>
      <c r="N16" s="358"/>
      <c r="O16" s="2"/>
    </row>
    <row r="17" spans="1:15">
      <c r="A17" s="438"/>
      <c r="C17" s="1"/>
      <c r="D17" s="521"/>
      <c r="E17" s="1"/>
      <c r="F17" s="1"/>
      <c r="G17" s="1"/>
      <c r="H17" s="1"/>
      <c r="I17" s="1"/>
      <c r="J17" s="30"/>
      <c r="K17" s="1"/>
      <c r="L17" s="1"/>
      <c r="M17" s="1"/>
      <c r="N17" s="358"/>
      <c r="O17" s="2"/>
    </row>
    <row r="18" spans="1:15" ht="15.75" thickBot="1">
      <c r="A18" s="438" t="s">
        <v>7</v>
      </c>
      <c r="C18" s="1" t="str">
        <f>DEO!C18</f>
        <v>REVENUE CREDITS    (Note T)</v>
      </c>
      <c r="D18" s="522"/>
      <c r="E18" s="32" t="s">
        <v>12</v>
      </c>
      <c r="F18" s="2"/>
      <c r="G18" s="38" t="s">
        <v>13</v>
      </c>
      <c r="H18" s="38"/>
      <c r="I18" s="1"/>
      <c r="J18" s="30"/>
      <c r="K18" s="1"/>
      <c r="L18" s="1"/>
      <c r="M18" s="1"/>
      <c r="N18" s="358"/>
      <c r="O18" s="2"/>
    </row>
    <row r="19" spans="1:15">
      <c r="A19" s="438">
        <v>2</v>
      </c>
      <c r="C19" s="1" t="str">
        <f>DEO!C19</f>
        <v>Account No. 454</v>
      </c>
      <c r="D19" s="368" t="str">
        <f>DEO!D19</f>
        <v>(page 4, line 34)</v>
      </c>
      <c r="E19" s="30">
        <f>J240</f>
        <v>114984</v>
      </c>
      <c r="F19" s="30"/>
      <c r="G19" s="30" t="s">
        <v>14</v>
      </c>
      <c r="H19" s="16">
        <f>DEK_TP_Alloc</f>
        <v>0.82594000000000001</v>
      </c>
      <c r="I19" s="30"/>
      <c r="J19" s="30">
        <f>ROUND(H19*E19,0)</f>
        <v>94970</v>
      </c>
      <c r="K19" s="1"/>
      <c r="L19" s="1"/>
      <c r="M19" s="1"/>
      <c r="N19" s="816"/>
      <c r="O19" s="30"/>
    </row>
    <row r="20" spans="1:15">
      <c r="A20" s="438">
        <v>3</v>
      </c>
      <c r="C20" s="1" t="str">
        <f>DEO!C20</f>
        <v>Account No. 456.1</v>
      </c>
      <c r="D20" s="368" t="str">
        <f>DEO!D20</f>
        <v>(page 4, line 35)</v>
      </c>
      <c r="E20" s="147">
        <f>J242</f>
        <v>69581</v>
      </c>
      <c r="F20" s="30"/>
      <c r="G20" s="30" t="str">
        <f>G$19</f>
        <v>TP</v>
      </c>
      <c r="H20" s="16">
        <f>DEK_TP_Alloc</f>
        <v>0.82594000000000001</v>
      </c>
      <c r="I20" s="30"/>
      <c r="J20" s="147">
        <f>ROUND(H20*E20,0)</f>
        <v>57470</v>
      </c>
      <c r="K20" s="1"/>
      <c r="L20" s="1"/>
      <c r="M20" s="1"/>
      <c r="N20" s="395"/>
      <c r="O20" s="147"/>
    </row>
    <row r="21" spans="1:15">
      <c r="A21" s="438" t="s">
        <v>292</v>
      </c>
      <c r="C21" s="1" t="str">
        <f>DEO!C21</f>
        <v>Revenues from Grandfathered Interzonal Transactions</v>
      </c>
      <c r="D21" s="368"/>
      <c r="E21" s="228">
        <v>0</v>
      </c>
      <c r="F21" s="30"/>
      <c r="G21" s="30" t="str">
        <f>G$19</f>
        <v>TP</v>
      </c>
      <c r="H21" s="16">
        <f>DEK_TP_Alloc</f>
        <v>0.82594000000000001</v>
      </c>
      <c r="I21" s="30"/>
      <c r="J21" s="147">
        <f t="shared" ref="J21:J23" si="0">ROUND(H21*E21,0)</f>
        <v>0</v>
      </c>
      <c r="K21" s="1"/>
      <c r="L21" s="1"/>
      <c r="M21" s="1"/>
      <c r="N21" s="395"/>
      <c r="O21" s="147"/>
    </row>
    <row r="22" spans="1:15">
      <c r="A22" s="438" t="s">
        <v>293</v>
      </c>
      <c r="C22" s="1" t="str">
        <f>DEO!C22</f>
        <v>Revenues from service provided by ISO at a discount</v>
      </c>
      <c r="D22" s="368"/>
      <c r="E22" s="228">
        <v>0</v>
      </c>
      <c r="F22" s="30"/>
      <c r="G22" s="30" t="str">
        <f>G$19</f>
        <v>TP</v>
      </c>
      <c r="H22" s="16">
        <f>DEK_TP_Alloc</f>
        <v>0.82594000000000001</v>
      </c>
      <c r="I22" s="30"/>
      <c r="J22" s="147">
        <f t="shared" si="0"/>
        <v>0</v>
      </c>
      <c r="K22" s="1"/>
      <c r="L22" s="1"/>
      <c r="M22" s="1"/>
      <c r="N22" s="395"/>
      <c r="O22" s="147"/>
    </row>
    <row r="23" spans="1:15">
      <c r="A23" s="438">
        <v>5</v>
      </c>
      <c r="C23" s="1" t="str">
        <f>DEO!C23</f>
        <v>Legacy MTEP Credit (Account 456.1)</v>
      </c>
      <c r="D23" s="368" t="str">
        <f>DEO!D23</f>
        <v>(page 4, line 36)</v>
      </c>
      <c r="E23" s="395">
        <v>0</v>
      </c>
      <c r="F23" s="30"/>
      <c r="G23" s="30"/>
      <c r="H23" s="275">
        <v>1</v>
      </c>
      <c r="I23" s="30"/>
      <c r="J23" s="147">
        <f t="shared" si="0"/>
        <v>0</v>
      </c>
      <c r="K23" s="1"/>
      <c r="L23" s="1"/>
      <c r="M23" s="1"/>
      <c r="N23" s="395"/>
      <c r="O23" s="147"/>
    </row>
    <row r="24" spans="1:15">
      <c r="A24" s="438"/>
      <c r="C24" s="1"/>
      <c r="D24" s="368"/>
      <c r="E24" s="147"/>
      <c r="F24" s="30"/>
      <c r="G24" s="30"/>
      <c r="H24" s="275"/>
      <c r="I24" s="30"/>
      <c r="J24" s="30"/>
      <c r="K24" s="1"/>
      <c r="L24" s="1"/>
      <c r="M24" s="1"/>
      <c r="N24" s="395"/>
      <c r="O24" s="147"/>
    </row>
    <row r="25" spans="1:15">
      <c r="A25" s="438"/>
      <c r="C25" s="1"/>
      <c r="D25" s="368"/>
      <c r="E25" s="147"/>
      <c r="F25" s="30"/>
      <c r="G25" s="30"/>
      <c r="H25" s="275"/>
      <c r="I25" s="30"/>
      <c r="J25" s="30"/>
      <c r="K25" s="1"/>
      <c r="L25" s="1"/>
      <c r="M25" s="1"/>
      <c r="N25" s="395"/>
      <c r="O25" s="147"/>
    </row>
    <row r="26" spans="1:15">
      <c r="A26" s="438"/>
      <c r="C26" s="1"/>
      <c r="D26" s="368"/>
      <c r="E26" s="147"/>
      <c r="F26" s="30"/>
      <c r="G26" s="30"/>
      <c r="H26" s="275"/>
      <c r="I26" s="30"/>
      <c r="J26" s="30"/>
      <c r="K26" s="1"/>
      <c r="L26" s="1"/>
      <c r="M26" s="1"/>
      <c r="N26" s="395"/>
      <c r="O26" s="147"/>
    </row>
    <row r="27" spans="1:15">
      <c r="A27" s="438">
        <v>6</v>
      </c>
      <c r="C27" s="1" t="str">
        <f>DEO!C27</f>
        <v>TOTAL REVENUE CREDITS  (sum lines 2-5)</v>
      </c>
      <c r="D27" s="521"/>
      <c r="E27" s="14" t="s">
        <v>7</v>
      </c>
      <c r="F27" s="2"/>
      <c r="G27" s="2"/>
      <c r="H27" s="16"/>
      <c r="I27" s="2"/>
      <c r="J27" s="431">
        <f>SUM(J19:J23)</f>
        <v>152440</v>
      </c>
      <c r="K27" s="1"/>
      <c r="L27" s="1"/>
      <c r="M27" s="1"/>
      <c r="N27" s="816"/>
      <c r="O27" s="30"/>
    </row>
    <row r="28" spans="1:15">
      <c r="A28" s="438"/>
      <c r="D28" s="521"/>
      <c r="E28" s="2" t="s">
        <v>7</v>
      </c>
      <c r="F28" s="1"/>
      <c r="G28" s="1"/>
      <c r="H28" s="16"/>
      <c r="I28" s="1"/>
      <c r="J28" s="30"/>
      <c r="K28" s="1"/>
      <c r="L28" s="1"/>
      <c r="M28" s="1"/>
      <c r="N28" s="360"/>
    </row>
    <row r="29" spans="1:15">
      <c r="A29" s="438"/>
      <c r="C29" s="1"/>
      <c r="D29" s="521"/>
      <c r="J29" s="30"/>
      <c r="K29" s="1"/>
      <c r="L29" s="1"/>
      <c r="M29" s="1"/>
      <c r="N29" s="358"/>
      <c r="O29" s="2"/>
    </row>
    <row r="30" spans="1:15" ht="15.75" thickBot="1">
      <c r="A30" s="438">
        <v>7</v>
      </c>
      <c r="C30" s="1" t="str">
        <f>DEO!C30</f>
        <v>NET REVENUE REQUIREMENT</v>
      </c>
      <c r="D30" s="368" t="str">
        <f>DEO!D30</f>
        <v>(line 1 minus line 6)</v>
      </c>
      <c r="E30" s="14" t="s">
        <v>7</v>
      </c>
      <c r="F30" s="2"/>
      <c r="G30" s="2"/>
      <c r="H30" s="2"/>
      <c r="I30" s="2"/>
      <c r="J30" s="39">
        <f>J15-J27</f>
        <v>9194719</v>
      </c>
      <c r="K30" s="1"/>
      <c r="L30" s="1"/>
      <c r="M30" s="1"/>
      <c r="N30" s="817"/>
      <c r="O30" s="961"/>
    </row>
    <row r="31" spans="1:15" ht="15.75" thickTop="1">
      <c r="A31" s="438"/>
      <c r="D31" s="521"/>
      <c r="E31" s="14"/>
      <c r="F31" s="2"/>
      <c r="G31" s="2"/>
      <c r="H31" s="2"/>
      <c r="I31" s="2"/>
      <c r="K31" s="1"/>
      <c r="L31" s="1"/>
      <c r="M31" s="1"/>
      <c r="N31" s="360"/>
    </row>
    <row r="32" spans="1:15">
      <c r="A32" s="438"/>
      <c r="D32" s="368"/>
      <c r="J32" s="2"/>
      <c r="K32" s="1"/>
      <c r="L32" s="1"/>
      <c r="M32" s="1"/>
      <c r="N32" s="358"/>
      <c r="O32" s="2"/>
    </row>
    <row r="33" spans="1:15">
      <c r="A33" s="438"/>
      <c r="C33" s="1"/>
      <c r="D33" s="521"/>
      <c r="E33" s="30"/>
      <c r="F33" s="30"/>
      <c r="G33" s="30"/>
      <c r="H33" s="30"/>
      <c r="I33" s="30"/>
      <c r="J33" s="30"/>
      <c r="K33" s="1"/>
      <c r="L33" s="1"/>
      <c r="M33" s="1"/>
      <c r="N33" s="816"/>
      <c r="O33" s="30"/>
    </row>
    <row r="34" spans="1:15">
      <c r="C34" s="24"/>
      <c r="D34" s="24"/>
      <c r="E34" s="25"/>
      <c r="F34" s="24"/>
      <c r="G34" s="24"/>
      <c r="H34" s="24"/>
      <c r="I34" s="24"/>
      <c r="K34" s="26"/>
      <c r="L34" s="61"/>
      <c r="M34" s="26"/>
      <c r="N34" s="360"/>
    </row>
    <row r="35" spans="1:15" ht="18">
      <c r="A35" s="440"/>
      <c r="C35" s="24"/>
      <c r="D35" s="24"/>
      <c r="E35" s="25"/>
      <c r="F35" s="24"/>
      <c r="G35" s="24"/>
      <c r="H35" s="24"/>
      <c r="I35" s="24"/>
      <c r="J35" s="50" t="s">
        <v>299</v>
      </c>
      <c r="K35" s="60"/>
      <c r="M35" s="60"/>
      <c r="N35" s="461"/>
      <c r="O35" s="50"/>
    </row>
    <row r="36" spans="1:15">
      <c r="C36" s="24"/>
      <c r="D36" s="24"/>
      <c r="E36" s="25"/>
      <c r="F36" s="24"/>
      <c r="G36" s="24"/>
      <c r="H36" s="24"/>
      <c r="I36" s="24"/>
      <c r="J36" s="50" t="s">
        <v>408</v>
      </c>
      <c r="M36" s="50"/>
      <c r="N36" s="461"/>
      <c r="O36" s="50"/>
    </row>
    <row r="37" spans="1:15">
      <c r="C37" s="24"/>
      <c r="D37" s="24"/>
      <c r="E37" s="25"/>
      <c r="F37" s="24"/>
      <c r="G37" s="24"/>
      <c r="H37" s="24"/>
      <c r="I37" s="24"/>
      <c r="K37" s="1"/>
      <c r="M37" s="50"/>
      <c r="N37" s="360"/>
    </row>
    <row r="38" spans="1:15">
      <c r="C38" s="24"/>
      <c r="D38" s="24"/>
      <c r="E38" s="25"/>
      <c r="F38" s="24"/>
      <c r="G38" s="24"/>
      <c r="H38" s="24"/>
      <c r="I38" s="24"/>
      <c r="K38" s="1"/>
      <c r="M38" s="50"/>
      <c r="N38" s="360"/>
    </row>
    <row r="39" spans="1:15">
      <c r="C39" s="24"/>
      <c r="D39" s="24"/>
      <c r="E39" s="25"/>
      <c r="F39" s="24"/>
      <c r="G39" s="24"/>
      <c r="H39" s="24"/>
      <c r="I39" s="24"/>
      <c r="K39" s="1"/>
      <c r="M39" s="50"/>
      <c r="N39" s="360"/>
    </row>
    <row r="40" spans="1:15">
      <c r="C40" s="24"/>
      <c r="D40" s="24"/>
      <c r="E40" s="25"/>
      <c r="F40" s="24"/>
      <c r="G40" s="24"/>
      <c r="H40" s="24"/>
      <c r="I40" s="24"/>
      <c r="J40" s="50"/>
      <c r="K40" s="1"/>
      <c r="M40" s="50"/>
      <c r="N40" s="461"/>
      <c r="O40" s="50"/>
    </row>
    <row r="41" spans="1:15">
      <c r="C41" s="24" t="s">
        <v>6</v>
      </c>
      <c r="D41" s="24"/>
      <c r="E41" s="25"/>
      <c r="F41" s="24"/>
      <c r="G41" s="24"/>
      <c r="H41" s="24"/>
      <c r="I41" s="24"/>
      <c r="J41" s="61" t="str">
        <f>J7</f>
        <v>For the 12 months ended: 12/31/2020</v>
      </c>
      <c r="K41" s="2"/>
      <c r="M41" s="50"/>
      <c r="N41" s="462"/>
      <c r="O41" s="61"/>
    </row>
    <row r="42" spans="1:15">
      <c r="A42" s="441" t="str">
        <f>A8</f>
        <v>Rate Formula Template</v>
      </c>
      <c r="B42" s="70"/>
      <c r="C42" s="70"/>
      <c r="D42" s="144"/>
      <c r="E42" s="70"/>
      <c r="F42" s="144"/>
      <c r="G42" s="144"/>
      <c r="H42" s="144"/>
      <c r="I42" s="144"/>
      <c r="J42" s="70"/>
      <c r="K42" s="2"/>
      <c r="L42" s="70"/>
      <c r="M42" s="1"/>
      <c r="N42" s="172"/>
      <c r="O42" s="70"/>
    </row>
    <row r="43" spans="1:15">
      <c r="A43" s="442" t="s">
        <v>270</v>
      </c>
      <c r="B43" s="70"/>
      <c r="C43" s="144"/>
      <c r="D43" s="145"/>
      <c r="E43" s="70"/>
      <c r="F43" s="145"/>
      <c r="G43" s="145"/>
      <c r="H43" s="145"/>
      <c r="I43" s="144"/>
      <c r="J43" s="144"/>
      <c r="K43" s="2"/>
      <c r="L43" s="146"/>
      <c r="M43" s="1"/>
      <c r="N43" s="185"/>
      <c r="O43" s="144"/>
    </row>
    <row r="44" spans="1:15">
      <c r="A44" s="442"/>
      <c r="B44" s="70"/>
      <c r="C44" s="146"/>
      <c r="D44" s="146"/>
      <c r="E44" s="70"/>
      <c r="F44" s="146"/>
      <c r="G44" s="146"/>
      <c r="H44" s="146"/>
      <c r="I44" s="146"/>
      <c r="J44" s="146"/>
      <c r="K44" s="2"/>
      <c r="L44" s="146"/>
      <c r="M44" s="1"/>
      <c r="N44" s="226"/>
      <c r="O44" s="146"/>
    </row>
    <row r="45" spans="1:15" ht="15.75">
      <c r="A45" s="443" t="str">
        <f>$A$11</f>
        <v>DUKE ENERGY KENTUCKY (DEK)</v>
      </c>
      <c r="B45" s="70"/>
      <c r="C45" s="146"/>
      <c r="D45" s="146"/>
      <c r="E45" s="70"/>
      <c r="F45" s="146"/>
      <c r="G45" s="146"/>
      <c r="H45" s="146"/>
      <c r="I45" s="146"/>
      <c r="J45" s="146"/>
      <c r="K45" s="2"/>
      <c r="L45" s="146"/>
      <c r="M45" s="2"/>
      <c r="N45" s="226"/>
      <c r="O45" s="146"/>
    </row>
    <row r="46" spans="1:15" ht="15.75">
      <c r="B46" s="70"/>
      <c r="C46" s="146"/>
      <c r="D46" s="146"/>
      <c r="E46" s="70"/>
      <c r="F46" s="146"/>
      <c r="G46" s="146"/>
      <c r="H46" s="146"/>
      <c r="I46" s="146"/>
      <c r="J46" s="146"/>
      <c r="K46" s="2"/>
      <c r="L46" s="146"/>
      <c r="M46" s="2"/>
      <c r="N46" s="962"/>
      <c r="O46" s="69"/>
    </row>
    <row r="47" spans="1:15">
      <c r="C47" s="3" t="s">
        <v>18</v>
      </c>
      <c r="D47" s="3" t="s">
        <v>19</v>
      </c>
      <c r="E47" s="3" t="s">
        <v>20</v>
      </c>
      <c r="F47" s="2" t="s">
        <v>7</v>
      </c>
      <c r="G47" s="177" t="s">
        <v>21</v>
      </c>
      <c r="H47" s="70"/>
      <c r="I47" s="2"/>
      <c r="J47" s="5" t="s">
        <v>22</v>
      </c>
      <c r="K47" s="2"/>
      <c r="L47" s="3"/>
      <c r="M47" s="2"/>
      <c r="N47" s="67"/>
    </row>
    <row r="48" spans="1:15">
      <c r="A48" s="438" t="s">
        <v>8</v>
      </c>
      <c r="C48" s="1"/>
      <c r="D48" s="4" t="s">
        <v>23</v>
      </c>
      <c r="E48" s="2"/>
      <c r="F48" s="2"/>
      <c r="G48" s="2"/>
      <c r="H48" s="26"/>
      <c r="I48" s="2"/>
      <c r="J48" s="26" t="s">
        <v>24</v>
      </c>
      <c r="K48" s="2"/>
      <c r="L48" s="3"/>
      <c r="M48" s="2"/>
      <c r="N48" s="815"/>
    </row>
    <row r="49" spans="1:15" ht="16.5" thickBot="1">
      <c r="A49" s="444" t="s">
        <v>10</v>
      </c>
      <c r="C49" s="184" t="s">
        <v>274</v>
      </c>
      <c r="D49" s="525" t="s">
        <v>25</v>
      </c>
      <c r="E49" s="32" t="s">
        <v>26</v>
      </c>
      <c r="F49" s="240"/>
      <c r="G49" s="38" t="s">
        <v>13</v>
      </c>
      <c r="H49" s="38"/>
      <c r="I49" s="240"/>
      <c r="J49" s="526" t="s">
        <v>342</v>
      </c>
      <c r="K49" s="2"/>
      <c r="L49" s="3"/>
      <c r="M49" s="1"/>
      <c r="N49" s="815"/>
      <c r="O49" s="409"/>
    </row>
    <row r="50" spans="1:15">
      <c r="D50" s="2"/>
      <c r="E50" s="2"/>
      <c r="F50" s="2"/>
      <c r="G50" s="2"/>
      <c r="H50" s="2"/>
      <c r="I50" s="2"/>
      <c r="J50" s="2"/>
      <c r="K50" s="2"/>
      <c r="L50" s="2"/>
      <c r="M50" s="1"/>
      <c r="N50" s="358"/>
      <c r="O50" s="2"/>
    </row>
    <row r="51" spans="1:15">
      <c r="A51" s="438"/>
      <c r="C51" s="1"/>
      <c r="D51" s="2"/>
      <c r="E51" s="2"/>
      <c r="F51" s="2"/>
      <c r="G51" s="2"/>
      <c r="H51" s="2"/>
      <c r="I51" s="2"/>
      <c r="J51" s="2"/>
      <c r="K51" s="2"/>
      <c r="L51" s="2"/>
      <c r="M51" s="1"/>
      <c r="N51" s="358"/>
      <c r="O51" s="2"/>
    </row>
    <row r="52" spans="1:15">
      <c r="A52" s="438"/>
      <c r="C52" s="1" t="str">
        <f>DEO!C52</f>
        <v>GROSS PLANT IN SERVICE</v>
      </c>
      <c r="D52" s="2"/>
      <c r="E52" s="2"/>
      <c r="F52" s="2"/>
      <c r="G52" s="2"/>
      <c r="H52" s="2"/>
      <c r="I52" s="2"/>
      <c r="J52" s="2"/>
      <c r="K52" s="2"/>
      <c r="L52" s="2"/>
      <c r="M52" s="1"/>
      <c r="N52" s="358"/>
      <c r="O52" s="2"/>
    </row>
    <row r="53" spans="1:15">
      <c r="A53" s="438">
        <v>1</v>
      </c>
      <c r="C53" s="1" t="str">
        <f>DEO!C53</f>
        <v xml:space="preserve">  Production</v>
      </c>
      <c r="D53" s="521" t="str">
        <f>DEO!D53</f>
        <v>205.46.g</v>
      </c>
      <c r="E53" s="268">
        <f>INPUT!D9</f>
        <v>1357909909</v>
      </c>
      <c r="F53" s="2"/>
      <c r="G53" s="2" t="s">
        <v>30</v>
      </c>
      <c r="H53" s="11" t="s">
        <v>7</v>
      </c>
      <c r="I53" s="2"/>
      <c r="J53" s="147"/>
      <c r="K53" s="2"/>
      <c r="L53" s="2"/>
      <c r="M53" s="1"/>
      <c r="N53" s="395"/>
      <c r="O53" s="147"/>
    </row>
    <row r="54" spans="1:15">
      <c r="A54" s="438">
        <v>2</v>
      </c>
      <c r="C54" s="1" t="str">
        <f>DEO!C54</f>
        <v xml:space="preserve">  Transmission</v>
      </c>
      <c r="D54" s="521" t="str">
        <f>DEO!D54</f>
        <v>207.58.g</v>
      </c>
      <c r="E54" s="228">
        <f>INPUT!D10</f>
        <v>94399794</v>
      </c>
      <c r="F54" s="2"/>
      <c r="G54" s="2" t="s">
        <v>14</v>
      </c>
      <c r="H54" s="16">
        <f>DEK_TP_Alloc</f>
        <v>0.82594000000000001</v>
      </c>
      <c r="I54" s="2"/>
      <c r="J54" s="30">
        <f>ROUND(H54*E54,0)</f>
        <v>77968566</v>
      </c>
      <c r="K54" s="2"/>
      <c r="L54" s="2"/>
      <c r="M54" s="1"/>
      <c r="N54" s="816"/>
      <c r="O54" s="30"/>
    </row>
    <row r="55" spans="1:15">
      <c r="A55" s="438">
        <v>3</v>
      </c>
      <c r="C55" s="1" t="str">
        <f>DEO!C55</f>
        <v xml:space="preserve">  Distribution</v>
      </c>
      <c r="D55" s="521" t="str">
        <f>DEO!D55</f>
        <v>207.75.g</v>
      </c>
      <c r="E55" s="228">
        <f>INPUT!D11</f>
        <v>591716376</v>
      </c>
      <c r="F55" s="2"/>
      <c r="G55" s="2" t="s">
        <v>30</v>
      </c>
      <c r="H55" s="11" t="s">
        <v>7</v>
      </c>
      <c r="I55" s="2"/>
      <c r="J55" s="147"/>
      <c r="K55" s="2"/>
      <c r="L55" s="2"/>
      <c r="M55" s="1"/>
      <c r="N55" s="395"/>
      <c r="O55" s="147"/>
    </row>
    <row r="56" spans="1:15">
      <c r="A56" s="438">
        <v>4</v>
      </c>
      <c r="C56" s="1" t="str">
        <f>DEO!C56</f>
        <v xml:space="preserve">  General &amp; Intangible</v>
      </c>
      <c r="D56" s="521" t="str">
        <f>DEO!D56</f>
        <v>205.5.g &amp; 207.99.g</v>
      </c>
      <c r="E56" s="228">
        <f>INPUT!D12</f>
        <v>43625455</v>
      </c>
      <c r="F56" s="2"/>
      <c r="G56" s="2" t="s">
        <v>142</v>
      </c>
      <c r="H56" s="11">
        <f>DEK_WS_Alloc</f>
        <v>3.7969999999999997E-2</v>
      </c>
      <c r="I56" s="2"/>
      <c r="J56" s="147">
        <f>ROUND(H56*E56,0)</f>
        <v>1656459</v>
      </c>
      <c r="K56" s="2"/>
      <c r="L56" s="2"/>
      <c r="M56" s="2"/>
      <c r="N56" s="395"/>
      <c r="O56" s="147"/>
    </row>
    <row r="57" spans="1:15" ht="15.75" thickBot="1">
      <c r="A57" s="438">
        <v>5</v>
      </c>
      <c r="C57" s="1" t="str">
        <f>DEO!C57</f>
        <v xml:space="preserve">  Common</v>
      </c>
      <c r="D57" s="521" t="str">
        <f>DEO!D57</f>
        <v>356</v>
      </c>
      <c r="E57" s="266">
        <f>INPUT!D13</f>
        <v>33213285</v>
      </c>
      <c r="F57" s="2"/>
      <c r="G57" s="2" t="s">
        <v>76</v>
      </c>
      <c r="H57" s="11">
        <f>DEK_CE_Alloc</f>
        <v>2.8469999999999999E-2</v>
      </c>
      <c r="I57" s="2"/>
      <c r="J57" s="148">
        <f>ROUND(H57*E57,0)</f>
        <v>945582</v>
      </c>
      <c r="K57" s="2"/>
      <c r="L57" s="2"/>
      <c r="M57" s="2"/>
      <c r="N57" s="395"/>
      <c r="O57" s="147"/>
    </row>
    <row r="58" spans="1:15">
      <c r="A58" s="438">
        <v>6</v>
      </c>
      <c r="C58" s="1" t="str">
        <f>DEO!C58</f>
        <v>TOTAL GROSS PLANT (sum lines 1-5)</v>
      </c>
      <c r="D58" s="368"/>
      <c r="E58" s="30">
        <f>SUM(E53:E57)</f>
        <v>2120864819</v>
      </c>
      <c r="F58" s="2"/>
      <c r="G58" s="2" t="s">
        <v>36</v>
      </c>
      <c r="H58" s="11">
        <f>IF(J58&gt;0,ROUND(J58/E58,5),0)</f>
        <v>3.7990000000000003E-2</v>
      </c>
      <c r="I58" s="2"/>
      <c r="J58" s="30">
        <f>SUM(J53:J57)</f>
        <v>80570607</v>
      </c>
      <c r="K58" s="2"/>
      <c r="L58" s="15"/>
      <c r="M58" s="1"/>
      <c r="N58" s="816"/>
      <c r="O58" s="30"/>
    </row>
    <row r="59" spans="1:15">
      <c r="C59" s="1"/>
      <c r="D59" s="368"/>
      <c r="E59" s="147"/>
      <c r="F59" s="2"/>
      <c r="G59" s="2"/>
      <c r="H59" s="15"/>
      <c r="I59" s="2"/>
      <c r="J59" s="147"/>
      <c r="K59" s="2"/>
      <c r="L59" s="15"/>
      <c r="M59" s="1"/>
      <c r="N59" s="395"/>
      <c r="O59" s="147"/>
    </row>
    <row r="60" spans="1:15">
      <c r="C60" s="1" t="str">
        <f>DEO!C60</f>
        <v>ACCUMULATED DEPRECIATION AND AMORTIZATION</v>
      </c>
      <c r="D60" s="368"/>
      <c r="E60" s="147"/>
      <c r="F60" s="2"/>
      <c r="G60" s="2"/>
      <c r="H60" s="2"/>
      <c r="I60" s="2"/>
      <c r="J60" s="147"/>
      <c r="K60" s="2"/>
      <c r="L60" s="2"/>
      <c r="M60" s="1"/>
      <c r="N60" s="395"/>
      <c r="O60" s="147"/>
    </row>
    <row r="61" spans="1:15">
      <c r="A61" s="438">
        <v>7</v>
      </c>
      <c r="C61" s="1" t="str">
        <f>DEO!C61</f>
        <v xml:space="preserve">  Production</v>
      </c>
      <c r="D61" s="521" t="str">
        <f>DEO!D61</f>
        <v>219.20.c-219.24.c</v>
      </c>
      <c r="E61" s="268">
        <f>INPUT!D17</f>
        <v>632550319</v>
      </c>
      <c r="F61" s="2"/>
      <c r="G61" s="2" t="str">
        <f t="shared" ref="G61:G65" si="1">G53</f>
        <v>NA</v>
      </c>
      <c r="H61" s="11"/>
      <c r="I61" s="2"/>
      <c r="J61" s="147"/>
      <c r="K61" s="2"/>
      <c r="L61" s="2"/>
      <c r="M61" s="1"/>
      <c r="N61" s="395"/>
      <c r="O61" s="147"/>
    </row>
    <row r="62" spans="1:15">
      <c r="A62" s="438">
        <v>8</v>
      </c>
      <c r="C62" s="1" t="str">
        <f>DEO!C62</f>
        <v xml:space="preserve">  Transmission</v>
      </c>
      <c r="D62" s="521" t="str">
        <f>DEO!D62</f>
        <v>219.25.c</v>
      </c>
      <c r="E62" s="228">
        <f>INPUT!D18</f>
        <v>16571557</v>
      </c>
      <c r="F62" s="2"/>
      <c r="G62" s="2" t="str">
        <f t="shared" si="1"/>
        <v>TP</v>
      </c>
      <c r="H62" s="16">
        <f>DEK_TP_Alloc</f>
        <v>0.82594000000000001</v>
      </c>
      <c r="I62" s="2"/>
      <c r="J62" s="30">
        <f>ROUND(H62*E62,0)</f>
        <v>13687112</v>
      </c>
      <c r="K62" s="2"/>
      <c r="L62" s="2"/>
      <c r="M62" s="1"/>
      <c r="N62" s="816"/>
      <c r="O62" s="30"/>
    </row>
    <row r="63" spans="1:15">
      <c r="A63" s="438">
        <v>9</v>
      </c>
      <c r="C63" s="1" t="str">
        <f>DEO!C63</f>
        <v xml:space="preserve">  Distribution</v>
      </c>
      <c r="D63" s="521" t="str">
        <f>DEO!D63</f>
        <v>219.26.c</v>
      </c>
      <c r="E63" s="228">
        <f>INPUT!D19</f>
        <v>149863967</v>
      </c>
      <c r="F63" s="2"/>
      <c r="G63" s="2" t="str">
        <f t="shared" si="1"/>
        <v>NA</v>
      </c>
      <c r="H63" s="11"/>
      <c r="I63" s="2"/>
      <c r="J63" s="147"/>
      <c r="K63" s="2"/>
      <c r="L63" s="2"/>
      <c r="M63" s="1"/>
      <c r="N63" s="395"/>
      <c r="O63" s="147"/>
    </row>
    <row r="64" spans="1:15">
      <c r="A64" s="438">
        <v>10</v>
      </c>
      <c r="C64" s="1" t="str">
        <f>DEO!C64</f>
        <v xml:space="preserve">  General &amp; Intangible</v>
      </c>
      <c r="D64" s="521" t="str">
        <f>DEO!D64</f>
        <v xml:space="preserve">200.21.c &amp; 219.28.c </v>
      </c>
      <c r="E64" s="228">
        <f>INPUT!D20</f>
        <v>21708373</v>
      </c>
      <c r="F64" s="2"/>
      <c r="G64" s="2" t="str">
        <f t="shared" si="1"/>
        <v>WS</v>
      </c>
      <c r="H64" s="11">
        <f>DEK_WS_Alloc</f>
        <v>3.7969999999999997E-2</v>
      </c>
      <c r="I64" s="2"/>
      <c r="J64" s="147">
        <f>ROUND(H64*E64,0)</f>
        <v>824267</v>
      </c>
      <c r="K64" s="2"/>
      <c r="L64" s="2"/>
      <c r="M64" s="1"/>
      <c r="N64" s="395"/>
      <c r="O64" s="147"/>
    </row>
    <row r="65" spans="1:15" ht="15.75" thickBot="1">
      <c r="A65" s="438">
        <v>11</v>
      </c>
      <c r="C65" s="1" t="str">
        <f>DEO!C65</f>
        <v xml:space="preserve">  Common</v>
      </c>
      <c r="D65" s="521" t="str">
        <f>DEO!D65</f>
        <v>356</v>
      </c>
      <c r="E65" s="266">
        <f>INPUT!D21</f>
        <v>22250331</v>
      </c>
      <c r="F65" s="2"/>
      <c r="G65" s="2" t="str">
        <f t="shared" si="1"/>
        <v>CE</v>
      </c>
      <c r="H65" s="11">
        <f>DEK_CE_Alloc</f>
        <v>2.8469999999999999E-2</v>
      </c>
      <c r="I65" s="2"/>
      <c r="J65" s="148">
        <f>ROUND(H65*E65,0)</f>
        <v>633467</v>
      </c>
      <c r="K65" s="2"/>
      <c r="L65" s="2"/>
      <c r="M65" s="1"/>
      <c r="N65" s="395"/>
      <c r="O65" s="147"/>
    </row>
    <row r="66" spans="1:15">
      <c r="A66" s="438">
        <v>12</v>
      </c>
      <c r="C66" s="1" t="str">
        <f>DEO!C66</f>
        <v>TOTAL ACCUM. DEPRECIATION AND AMORTIZATION (sum lines 7-11)</v>
      </c>
      <c r="D66" s="368"/>
      <c r="E66" s="30">
        <f>SUM(E61:E65)</f>
        <v>842944547</v>
      </c>
      <c r="F66" s="2"/>
      <c r="G66" s="2"/>
      <c r="H66" s="2"/>
      <c r="I66" s="2"/>
      <c r="J66" s="30">
        <f>SUM(J61:J65)</f>
        <v>15144846</v>
      </c>
      <c r="K66" s="2"/>
      <c r="L66" s="2"/>
      <c r="M66" s="1"/>
      <c r="N66" s="816"/>
      <c r="O66" s="30"/>
    </row>
    <row r="67" spans="1:15">
      <c r="A67" s="438"/>
      <c r="C67"/>
      <c r="D67" s="368" t="s">
        <v>7</v>
      </c>
      <c r="E67" s="147"/>
      <c r="F67" s="2"/>
      <c r="G67" s="2"/>
      <c r="H67" s="15"/>
      <c r="I67" s="2"/>
      <c r="J67" s="147"/>
      <c r="K67" s="2"/>
      <c r="L67" s="15"/>
      <c r="M67" s="1"/>
      <c r="N67" s="395"/>
      <c r="O67" s="147"/>
    </row>
    <row r="68" spans="1:15">
      <c r="A68" s="438"/>
      <c r="C68" s="1" t="str">
        <f>DEO!C68</f>
        <v>NET PLANT IN SERVICE</v>
      </c>
      <c r="D68" s="368"/>
      <c r="E68" s="147"/>
      <c r="F68" s="2"/>
      <c r="G68" s="2"/>
      <c r="H68" s="2"/>
      <c r="I68" s="2"/>
      <c r="J68" s="147"/>
      <c r="K68" s="2"/>
      <c r="L68" s="2"/>
      <c r="M68" s="1"/>
      <c r="N68" s="395"/>
      <c r="O68" s="147"/>
    </row>
    <row r="69" spans="1:15">
      <c r="A69" s="438">
        <v>13</v>
      </c>
      <c r="C69" s="1" t="str">
        <f>DEO!C69</f>
        <v xml:space="preserve">  Production</v>
      </c>
      <c r="D69" s="521" t="str">
        <f>DEO!D69</f>
        <v>(line 1 - line 7)</v>
      </c>
      <c r="E69" s="30">
        <f>E53-E61</f>
        <v>725359590</v>
      </c>
      <c r="F69" s="2"/>
      <c r="G69" s="2"/>
      <c r="H69" s="15"/>
      <c r="I69" s="2"/>
      <c r="J69" s="147" t="s">
        <v>7</v>
      </c>
      <c r="K69" s="2"/>
      <c r="L69" s="15"/>
      <c r="M69" s="1"/>
      <c r="N69" s="395"/>
      <c r="O69" s="147"/>
    </row>
    <row r="70" spans="1:15">
      <c r="A70" s="438">
        <v>14</v>
      </c>
      <c r="C70" s="1" t="str">
        <f>DEO!C70</f>
        <v xml:space="preserve">  Transmission</v>
      </c>
      <c r="D70" s="521" t="str">
        <f>DEO!D70</f>
        <v>(line 2 - line 8)</v>
      </c>
      <c r="E70" s="147">
        <f>E54-E62</f>
        <v>77828237</v>
      </c>
      <c r="F70" s="2"/>
      <c r="G70" s="2"/>
      <c r="H70" s="11"/>
      <c r="I70" s="2"/>
      <c r="J70" s="30">
        <f>J54-J62</f>
        <v>64281454</v>
      </c>
      <c r="K70" s="2"/>
      <c r="L70" s="15"/>
      <c r="M70" s="1"/>
      <c r="N70" s="816"/>
      <c r="O70" s="30"/>
    </row>
    <row r="71" spans="1:15">
      <c r="A71" s="438">
        <v>15</v>
      </c>
      <c r="C71" s="1" t="str">
        <f>DEO!C71</f>
        <v xml:space="preserve">  Distribution</v>
      </c>
      <c r="D71" s="521" t="str">
        <f>DEO!D71</f>
        <v>(line 3 - line 9)</v>
      </c>
      <c r="E71" s="147">
        <f>E55-E63</f>
        <v>441852409</v>
      </c>
      <c r="F71" s="2"/>
      <c r="G71" s="2"/>
      <c r="H71" s="15"/>
      <c r="I71" s="2"/>
      <c r="J71" s="147" t="s">
        <v>7</v>
      </c>
      <c r="K71" s="2"/>
      <c r="L71" s="15"/>
      <c r="M71" s="1"/>
      <c r="N71" s="395"/>
      <c r="O71" s="147"/>
    </row>
    <row r="72" spans="1:15">
      <c r="A72" s="438">
        <v>16</v>
      </c>
      <c r="C72" s="1" t="str">
        <f>DEO!C72</f>
        <v xml:space="preserve">  General &amp; Intangible</v>
      </c>
      <c r="D72" s="521" t="str">
        <f>DEO!D72</f>
        <v>(line 4 - line 10)</v>
      </c>
      <c r="E72" s="147">
        <f>E56-E64</f>
        <v>21917082</v>
      </c>
      <c r="F72" s="2"/>
      <c r="G72" s="2"/>
      <c r="H72" s="15"/>
      <c r="I72" s="2"/>
      <c r="J72" s="147">
        <f>J56-J64</f>
        <v>832192</v>
      </c>
      <c r="K72" s="2"/>
      <c r="L72" s="15"/>
      <c r="M72" s="1"/>
      <c r="N72" s="395"/>
      <c r="O72" s="147"/>
    </row>
    <row r="73" spans="1:15" ht="15.75" thickBot="1">
      <c r="A73" s="438">
        <v>17</v>
      </c>
      <c r="C73" s="1" t="str">
        <f>DEO!C73</f>
        <v xml:space="preserve">  Common</v>
      </c>
      <c r="D73" s="521" t="str">
        <f>DEO!D73</f>
        <v>(line 5 - line 11)</v>
      </c>
      <c r="E73" s="148">
        <f>E57-E65</f>
        <v>10962954</v>
      </c>
      <c r="F73" s="2"/>
      <c r="G73" s="2"/>
      <c r="H73" s="15"/>
      <c r="I73" s="2"/>
      <c r="J73" s="148">
        <f>J57-J65</f>
        <v>312115</v>
      </c>
      <c r="K73" s="2"/>
      <c r="L73" s="15"/>
      <c r="M73" s="1"/>
      <c r="N73" s="395"/>
      <c r="O73" s="147"/>
    </row>
    <row r="74" spans="1:15">
      <c r="A74" s="438">
        <v>18</v>
      </c>
      <c r="C74" s="1" t="str">
        <f>DEO!C74</f>
        <v>TOTAL NET PLANT (sum lines 13-17)</v>
      </c>
      <c r="D74" s="368"/>
      <c r="E74" s="30">
        <f>SUM(E69:E73)</f>
        <v>1277920272</v>
      </c>
      <c r="F74" s="2"/>
      <c r="G74" s="2" t="s">
        <v>40</v>
      </c>
      <c r="H74" s="11">
        <f>IF(J74&gt;0,ROUND(J74/E74,5),0)</f>
        <v>5.1200000000000002E-2</v>
      </c>
      <c r="I74" s="2"/>
      <c r="J74" s="30">
        <f>SUM(J69:J73)</f>
        <v>65425761</v>
      </c>
      <c r="K74" s="2"/>
      <c r="L74" s="11"/>
      <c r="M74" s="1"/>
      <c r="N74" s="816"/>
      <c r="O74" s="30"/>
    </row>
    <row r="75" spans="1:15">
      <c r="A75" s="438"/>
      <c r="C75"/>
      <c r="D75" s="368"/>
      <c r="E75" s="147"/>
      <c r="F75" s="2"/>
      <c r="I75" s="2"/>
      <c r="J75" s="147"/>
      <c r="K75" s="2"/>
      <c r="L75" s="15"/>
      <c r="M75" s="1"/>
      <c r="N75" s="395"/>
      <c r="O75" s="147"/>
    </row>
    <row r="76" spans="1:15">
      <c r="A76" s="438"/>
      <c r="C76" s="1" t="str">
        <f>DEO!C76</f>
        <v>ADJUSTMENTS TO RATE BASE   (Note F)</v>
      </c>
      <c r="D76" s="368"/>
      <c r="E76" s="147"/>
      <c r="F76" s="2"/>
      <c r="G76" s="2"/>
      <c r="H76" s="2"/>
      <c r="I76" s="2"/>
      <c r="J76" s="147"/>
      <c r="K76" s="2"/>
      <c r="L76" s="2"/>
      <c r="M76" s="1"/>
      <c r="N76" s="395"/>
      <c r="O76" s="147"/>
    </row>
    <row r="77" spans="1:15">
      <c r="A77" s="438">
        <v>19</v>
      </c>
      <c r="C77" s="1" t="str">
        <f>DEO!C77</f>
        <v xml:space="preserve">  Account No. 281 (enter negative)</v>
      </c>
      <c r="D77" s="521" t="str">
        <f>DEO!D77</f>
        <v>273.8.k</v>
      </c>
      <c r="E77" s="268">
        <f>INPUT!D33</f>
        <v>0</v>
      </c>
      <c r="F77" s="2"/>
      <c r="G77" s="2" t="str">
        <f>G61</f>
        <v>NA</v>
      </c>
      <c r="H77" s="53" t="s">
        <v>148</v>
      </c>
      <c r="I77" s="2"/>
      <c r="J77" s="30">
        <v>0</v>
      </c>
      <c r="K77" s="2"/>
      <c r="L77" s="15"/>
      <c r="M77" s="1"/>
      <c r="N77" s="816"/>
      <c r="O77" s="30"/>
    </row>
    <row r="78" spans="1:15">
      <c r="A78" s="438">
        <v>20</v>
      </c>
      <c r="C78" s="1" t="str">
        <f>DEO!C78</f>
        <v xml:space="preserve">  Account No. 282 (enter negative)</v>
      </c>
      <c r="D78" s="521" t="str">
        <f>DEO!D78</f>
        <v>275.2.k &amp; 275.6.k</v>
      </c>
      <c r="E78" s="228">
        <f>INPUT!D34</f>
        <v>-186604247</v>
      </c>
      <c r="F78" s="2"/>
      <c r="G78" s="2" t="s">
        <v>42</v>
      </c>
      <c r="H78" s="11">
        <f>DEK_NP_Alloc</f>
        <v>5.1200000000000002E-2</v>
      </c>
      <c r="I78" s="2"/>
      <c r="J78" s="147">
        <f>ROUND(H78*E78,0)</f>
        <v>-9554137</v>
      </c>
      <c r="K78" s="2"/>
      <c r="L78" s="15"/>
      <c r="M78" s="1"/>
      <c r="N78" s="395"/>
      <c r="O78" s="147"/>
    </row>
    <row r="79" spans="1:15">
      <c r="A79" s="438">
        <v>21</v>
      </c>
      <c r="C79" s="1" t="str">
        <f>DEO!C79</f>
        <v xml:space="preserve">  Account No. 283 (enter negative)</v>
      </c>
      <c r="D79" s="521" t="str">
        <f>DEO!D79</f>
        <v>277.9.k &amp; 277.18.k</v>
      </c>
      <c r="E79" s="228">
        <f>INPUT!D35</f>
        <v>-25431172</v>
      </c>
      <c r="F79" s="2"/>
      <c r="G79" s="2" t="s">
        <v>42</v>
      </c>
      <c r="H79" s="11">
        <f>DEK_NP_Alloc</f>
        <v>5.1200000000000002E-2</v>
      </c>
      <c r="I79" s="2"/>
      <c r="J79" s="147">
        <f>ROUND(H79*E79,0)</f>
        <v>-1302076</v>
      </c>
      <c r="K79" s="2"/>
      <c r="L79" s="15"/>
      <c r="M79" s="1"/>
      <c r="N79" s="395"/>
      <c r="O79" s="147"/>
    </row>
    <row r="80" spans="1:15">
      <c r="A80" s="438">
        <v>22</v>
      </c>
      <c r="C80" s="1" t="str">
        <f>DEO!C80</f>
        <v xml:space="preserve">  Account No. 190 </v>
      </c>
      <c r="D80" s="521" t="str">
        <f>DEO!D80</f>
        <v>234.8.c &amp; 234.17.c</v>
      </c>
      <c r="E80" s="228">
        <f>INPUT!D36</f>
        <v>32975485</v>
      </c>
      <c r="F80" s="2"/>
      <c r="G80" s="2" t="str">
        <f>G79</f>
        <v>NP</v>
      </c>
      <c r="H80" s="11">
        <f>DEK_NP_Alloc</f>
        <v>5.1200000000000002E-2</v>
      </c>
      <c r="I80" s="2"/>
      <c r="J80" s="147">
        <f>ROUND(H80*E80,0)</f>
        <v>1688345</v>
      </c>
      <c r="K80" s="2"/>
      <c r="L80" s="15"/>
      <c r="M80" s="1"/>
      <c r="N80" s="395"/>
      <c r="O80" s="147"/>
    </row>
    <row r="81" spans="1:15">
      <c r="A81" s="438">
        <v>23</v>
      </c>
      <c r="C81" s="1" t="str">
        <f>DEO!C81</f>
        <v xml:space="preserve">  Account No. 254 (enter negative)</v>
      </c>
      <c r="D81" s="521" t="str">
        <f>DEO!D81</f>
        <v>DIT Worksheet, 11.e</v>
      </c>
      <c r="E81" s="228">
        <f>INPUT!D37</f>
        <v>-63415409.900000006</v>
      </c>
      <c r="F81" s="2"/>
      <c r="G81" s="2" t="str">
        <f>G80</f>
        <v>NP</v>
      </c>
      <c r="H81" s="11">
        <f>DEK_NP_Alloc</f>
        <v>5.1200000000000002E-2</v>
      </c>
      <c r="I81" s="2"/>
      <c r="J81" s="147">
        <f>ROUND(H81*E81,0)</f>
        <v>-3246869</v>
      </c>
      <c r="K81" s="2"/>
      <c r="L81" s="15"/>
      <c r="M81" s="1"/>
      <c r="N81" s="395"/>
      <c r="O81" s="147"/>
    </row>
    <row r="82" spans="1:15" ht="15.75" thickBot="1">
      <c r="A82" s="438">
        <v>24</v>
      </c>
      <c r="C82" s="1" t="str">
        <f>DEO!C82</f>
        <v xml:space="preserve">  Account No. 255 (enter negative)  (Note K)</v>
      </c>
      <c r="D82" s="521" t="str">
        <f>DEO!D82</f>
        <v>267.8.h</v>
      </c>
      <c r="E82" s="228">
        <f>INPUT!D38</f>
        <v>0</v>
      </c>
      <c r="F82" s="2"/>
      <c r="G82" s="2" t="s">
        <v>42</v>
      </c>
      <c r="H82" s="11">
        <f>DEK_NP_Alloc</f>
        <v>5.1200000000000002E-2</v>
      </c>
      <c r="I82" s="2"/>
      <c r="J82" s="147">
        <f>ROUND(H82*E82,0)</f>
        <v>0</v>
      </c>
      <c r="K82" s="2"/>
      <c r="L82" s="15"/>
      <c r="M82" s="1"/>
      <c r="N82" s="395"/>
      <c r="O82" s="147"/>
    </row>
    <row r="83" spans="1:15">
      <c r="A83" s="438">
        <v>25</v>
      </c>
      <c r="C83" s="1" t="str">
        <f>DEO!C83</f>
        <v>TOTAL ADJUSTMENTS  (sum lines 19 - 24)</v>
      </c>
      <c r="D83" s="368"/>
      <c r="E83" s="433">
        <f>SUM(E77:E82)</f>
        <v>-242475343.90000001</v>
      </c>
      <c r="F83" s="2"/>
      <c r="G83" s="2"/>
      <c r="H83" s="2"/>
      <c r="I83" s="2"/>
      <c r="J83" s="433">
        <f>SUM(J77:J82)</f>
        <v>-12414737</v>
      </c>
      <c r="K83" s="2"/>
      <c r="L83" s="2"/>
      <c r="M83" s="1"/>
      <c r="N83" s="816"/>
      <c r="O83" s="30"/>
    </row>
    <row r="84" spans="1:15">
      <c r="A84" s="438"/>
      <c r="C84"/>
      <c r="D84" s="368"/>
      <c r="E84" s="147"/>
      <c r="F84" s="2"/>
      <c r="G84" s="2"/>
      <c r="H84" s="15"/>
      <c r="I84" s="2"/>
      <c r="J84" s="147"/>
      <c r="K84" s="2"/>
      <c r="L84" s="15"/>
      <c r="M84" s="1"/>
      <c r="N84" s="395"/>
      <c r="O84" s="147"/>
    </row>
    <row r="85" spans="1:15">
      <c r="A85" s="438">
        <v>26</v>
      </c>
      <c r="C85" s="1" t="str">
        <f>DEO!C85</f>
        <v>LAND HELD FOR FUTURE USE   (Note G)</v>
      </c>
      <c r="D85" s="521" t="str">
        <f>DEO!D85</f>
        <v xml:space="preserve">214.x.d  </v>
      </c>
      <c r="E85" s="268">
        <f>INPUT!D41</f>
        <v>0</v>
      </c>
      <c r="F85" s="2"/>
      <c r="G85" s="2" t="str">
        <f>DEO!G85</f>
        <v>TP</v>
      </c>
      <c r="H85" s="267">
        <v>1</v>
      </c>
      <c r="I85" s="2"/>
      <c r="J85" s="30">
        <f>ROUND(H85*E85,0)</f>
        <v>0</v>
      </c>
      <c r="K85" s="2"/>
      <c r="L85" s="2"/>
      <c r="M85" s="1"/>
      <c r="N85" s="816"/>
      <c r="O85" s="30"/>
    </row>
    <row r="86" spans="1:15">
      <c r="A86" s="438"/>
      <c r="C86" s="1"/>
      <c r="D86" s="368"/>
      <c r="E86" s="147"/>
      <c r="F86" s="2"/>
      <c r="G86" s="2"/>
      <c r="H86" s="2"/>
      <c r="I86" s="2"/>
      <c r="J86" s="147"/>
      <c r="K86" s="2"/>
      <c r="L86" s="2"/>
      <c r="M86" s="1"/>
      <c r="N86" s="395"/>
      <c r="O86" s="147"/>
    </row>
    <row r="87" spans="1:15">
      <c r="A87" s="438"/>
      <c r="C87" s="1" t="str">
        <f>DEO!C87</f>
        <v>WORKING CAPITAL    (Note H)</v>
      </c>
      <c r="D87" s="368" t="s">
        <v>7</v>
      </c>
      <c r="E87" s="147"/>
      <c r="F87" s="2"/>
      <c r="G87" s="2"/>
      <c r="H87" s="2"/>
      <c r="I87" s="2"/>
      <c r="J87" s="147"/>
      <c r="K87" s="2"/>
      <c r="L87" s="2"/>
      <c r="M87" s="1"/>
      <c r="N87" s="395"/>
      <c r="O87" s="147"/>
    </row>
    <row r="88" spans="1:15">
      <c r="A88" s="438">
        <v>27</v>
      </c>
      <c r="C88" s="1" t="str">
        <f>DEO!C88</f>
        <v xml:space="preserve">  CWC  </v>
      </c>
      <c r="D88" s="521" t="str">
        <f>DEO!D88</f>
        <v>calculated</v>
      </c>
      <c r="E88" s="30">
        <f>ROUND(E127/8,0)</f>
        <v>3190200</v>
      </c>
      <c r="F88" s="2"/>
      <c r="G88" s="2"/>
      <c r="H88" s="15"/>
      <c r="I88" s="2"/>
      <c r="J88" s="30">
        <f>ROUND(J127/8,0)</f>
        <v>333636</v>
      </c>
      <c r="K88" s="1"/>
      <c r="L88" s="15"/>
      <c r="M88" s="1"/>
      <c r="N88" s="395"/>
      <c r="O88" s="147"/>
    </row>
    <row r="89" spans="1:15">
      <c r="A89" s="438">
        <v>28</v>
      </c>
      <c r="C89" s="1" t="str">
        <f>DEO!C89</f>
        <v xml:space="preserve">  Materials &amp; Supplies     (Note G)</v>
      </c>
      <c r="D89" s="521" t="str">
        <f>DEO!D89</f>
        <v>227.5.c &amp; 227.8.c &amp; 227.16.c</v>
      </c>
      <c r="E89" s="228">
        <f>INPUT!D45</f>
        <v>1736</v>
      </c>
      <c r="F89" s="2"/>
      <c r="G89" s="2" t="s">
        <v>43</v>
      </c>
      <c r="H89" s="11">
        <f>DEK_TE_Alloc</f>
        <v>0.80820000000000003</v>
      </c>
      <c r="I89" s="2"/>
      <c r="J89" s="147">
        <f>ROUND(H89*E89,0)</f>
        <v>1403</v>
      </c>
      <c r="K89" s="2" t="s">
        <v>7</v>
      </c>
      <c r="L89" s="15"/>
      <c r="M89" s="1"/>
      <c r="N89" s="395"/>
      <c r="O89" s="147"/>
    </row>
    <row r="90" spans="1:15" ht="15.75" thickBot="1">
      <c r="A90" s="438">
        <v>29</v>
      </c>
      <c r="C90" s="1" t="str">
        <f>DEO!C90</f>
        <v xml:space="preserve">  Prepayments (Account 165)</v>
      </c>
      <c r="D90" s="521" t="str">
        <f>DEO!D90</f>
        <v>111.57.c</v>
      </c>
      <c r="E90" s="266">
        <f>INPUT!D46</f>
        <v>428870</v>
      </c>
      <c r="F90" s="2"/>
      <c r="G90" s="2" t="s">
        <v>44</v>
      </c>
      <c r="H90" s="11">
        <f>DEK_GP_Alloc</f>
        <v>3.7990000000000003E-2</v>
      </c>
      <c r="I90" s="2"/>
      <c r="J90" s="148">
        <f>ROUND(H90*E90,0)</f>
        <v>16293</v>
      </c>
      <c r="K90" s="2"/>
      <c r="L90" s="15"/>
      <c r="M90" s="1"/>
      <c r="N90" s="395"/>
      <c r="O90" s="147"/>
    </row>
    <row r="91" spans="1:15">
      <c r="A91" s="438">
        <v>30</v>
      </c>
      <c r="C91" s="1" t="str">
        <f>DEO!C91</f>
        <v>TOTAL WORKING CAPITAL (sum lines 27 - 29)</v>
      </c>
      <c r="D91" s="521"/>
      <c r="E91" s="30">
        <f>E88+E89+E90</f>
        <v>3620806</v>
      </c>
      <c r="F91" s="1"/>
      <c r="G91" s="1"/>
      <c r="H91" s="1"/>
      <c r="I91" s="1"/>
      <c r="J91" s="30">
        <f>J88+J89+J90</f>
        <v>351332</v>
      </c>
      <c r="K91" s="1"/>
      <c r="L91" s="1"/>
      <c r="M91" s="1"/>
      <c r="N91" s="816"/>
      <c r="O91" s="30"/>
    </row>
    <row r="92" spans="1:15" ht="15.75" thickBot="1">
      <c r="C92"/>
      <c r="D92" s="368"/>
      <c r="E92" s="148"/>
      <c r="F92" s="2"/>
      <c r="G92" s="2"/>
      <c r="H92" s="2"/>
      <c r="I92" s="2"/>
      <c r="J92" s="148"/>
      <c r="K92" s="2"/>
      <c r="L92" s="2"/>
      <c r="M92" s="1"/>
      <c r="N92" s="395"/>
      <c r="O92" s="147"/>
    </row>
    <row r="93" spans="1:15" ht="15.75" thickBot="1">
      <c r="A93" s="438">
        <v>31</v>
      </c>
      <c r="C93" s="1" t="str">
        <f>DEO!C93</f>
        <v>RATE BASE  (sum lines 18, 25, 26, &amp; 30)</v>
      </c>
      <c r="D93" s="368"/>
      <c r="E93" s="227">
        <f>E91+E85+E83+E74</f>
        <v>1039065734.1</v>
      </c>
      <c r="F93" s="2"/>
      <c r="G93" s="2"/>
      <c r="H93" s="15"/>
      <c r="I93" s="2"/>
      <c r="J93" s="227">
        <f>J91+J85+J83+J74</f>
        <v>53362356</v>
      </c>
      <c r="K93" s="2"/>
      <c r="L93" s="15"/>
      <c r="M93" s="2"/>
      <c r="N93" s="816"/>
      <c r="O93" s="30"/>
    </row>
    <row r="94" spans="1:15" ht="15.75" thickTop="1">
      <c r="A94" s="438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358"/>
      <c r="O94" s="2"/>
    </row>
    <row r="95" spans="1:15">
      <c r="A95" s="438"/>
      <c r="C95" s="24"/>
      <c r="D95" s="24"/>
      <c r="E95" s="25"/>
      <c r="F95" s="24"/>
      <c r="G95" s="24"/>
      <c r="H95" s="24"/>
      <c r="I95" s="24"/>
      <c r="K95" s="26"/>
      <c r="L95" s="61"/>
      <c r="M95" s="26"/>
      <c r="N95" s="360"/>
    </row>
    <row r="96" spans="1:15" ht="18">
      <c r="A96" s="440"/>
      <c r="C96" s="24"/>
      <c r="D96" s="24"/>
      <c r="E96" s="25"/>
      <c r="F96" s="24"/>
      <c r="G96" s="24"/>
      <c r="H96" s="24"/>
      <c r="I96" s="24"/>
      <c r="J96" s="50" t="s">
        <v>299</v>
      </c>
      <c r="K96" s="60"/>
      <c r="M96" s="60"/>
      <c r="N96" s="461"/>
      <c r="O96" s="50"/>
    </row>
    <row r="97" spans="1:15">
      <c r="C97" s="24"/>
      <c r="D97" s="24"/>
      <c r="E97" s="25"/>
      <c r="F97" s="24"/>
      <c r="G97" s="24"/>
      <c r="H97" s="24"/>
      <c r="I97" s="24"/>
      <c r="J97" s="50" t="s">
        <v>409</v>
      </c>
      <c r="M97" s="50"/>
      <c r="N97" s="461"/>
      <c r="O97" s="50"/>
    </row>
    <row r="98" spans="1:15">
      <c r="C98" s="24"/>
      <c r="D98" s="24"/>
      <c r="E98" s="25"/>
      <c r="F98" s="24"/>
      <c r="G98" s="24"/>
      <c r="H98" s="24"/>
      <c r="I98" s="24"/>
      <c r="J98" s="50"/>
      <c r="M98" s="50"/>
      <c r="N98" s="461"/>
      <c r="O98" s="50"/>
    </row>
    <row r="99" spans="1:15">
      <c r="C99" s="24"/>
      <c r="D99" s="24"/>
      <c r="E99" s="25"/>
      <c r="F99" s="24"/>
      <c r="G99" s="24"/>
      <c r="H99" s="24"/>
      <c r="I99" s="24"/>
      <c r="M99" s="50"/>
      <c r="N99" s="360"/>
    </row>
    <row r="100" spans="1:15">
      <c r="C100" s="24"/>
      <c r="D100" s="24"/>
      <c r="E100" s="25"/>
      <c r="F100" s="24"/>
      <c r="G100" s="24"/>
      <c r="H100" s="24"/>
      <c r="I100" s="24"/>
      <c r="K100" s="1"/>
      <c r="M100" s="50"/>
      <c r="N100" s="360"/>
    </row>
    <row r="101" spans="1:15">
      <c r="C101" s="24"/>
      <c r="D101" s="24"/>
      <c r="E101" s="25"/>
      <c r="F101" s="24"/>
      <c r="G101" s="24"/>
      <c r="H101" s="24"/>
      <c r="I101" s="24"/>
      <c r="J101" s="50"/>
      <c r="K101" s="1"/>
      <c r="M101" s="50"/>
      <c r="N101" s="461"/>
      <c r="O101" s="50"/>
    </row>
    <row r="102" spans="1:15">
      <c r="C102" s="24" t="s">
        <v>6</v>
      </c>
      <c r="D102" s="24"/>
      <c r="E102" s="25"/>
      <c r="F102" s="24"/>
      <c r="G102" s="24"/>
      <c r="H102" s="24"/>
      <c r="I102" s="24"/>
      <c r="J102" s="61" t="str">
        <f>J7</f>
        <v>For the 12 months ended: 12/31/2020</v>
      </c>
      <c r="K102" s="1"/>
      <c r="M102" s="50"/>
      <c r="N102" s="462"/>
      <c r="O102" s="61"/>
    </row>
    <row r="103" spans="1:15">
      <c r="A103" s="441" t="str">
        <f>A8</f>
        <v>Rate Formula Template</v>
      </c>
      <c r="B103" s="70"/>
      <c r="C103" s="70"/>
      <c r="D103" s="144"/>
      <c r="E103" s="70"/>
      <c r="F103" s="144"/>
      <c r="G103" s="144"/>
      <c r="H103" s="144"/>
      <c r="I103" s="144"/>
      <c r="J103" s="70"/>
      <c r="K103" s="2"/>
      <c r="L103" s="70"/>
      <c r="M103" s="1"/>
      <c r="N103" s="172"/>
      <c r="O103" s="70"/>
    </row>
    <row r="104" spans="1:15">
      <c r="A104" s="442" t="s">
        <v>270</v>
      </c>
      <c r="B104" s="70"/>
      <c r="C104" s="144"/>
      <c r="D104" s="145"/>
      <c r="E104" s="70"/>
      <c r="F104" s="145"/>
      <c r="G104" s="145"/>
      <c r="H104" s="145"/>
      <c r="I104" s="144"/>
      <c r="J104" s="144"/>
      <c r="K104" s="2"/>
      <c r="L104" s="146"/>
      <c r="M104" s="1"/>
      <c r="N104" s="185"/>
      <c r="O104" s="144"/>
    </row>
    <row r="105" spans="1:15">
      <c r="A105" s="442"/>
      <c r="B105" s="70"/>
      <c r="C105" s="146"/>
      <c r="D105" s="146"/>
      <c r="E105" s="70"/>
      <c r="F105" s="146"/>
      <c r="G105" s="146"/>
      <c r="H105" s="146"/>
      <c r="I105" s="146"/>
      <c r="J105" s="146"/>
      <c r="K105" s="2"/>
      <c r="L105" s="146"/>
      <c r="M105" s="1"/>
      <c r="N105" s="226"/>
      <c r="O105" s="146"/>
    </row>
    <row r="106" spans="1:15" ht="15.75">
      <c r="A106" s="443" t="str">
        <f>$A$11</f>
        <v>DUKE ENERGY KENTUCKY (DEK)</v>
      </c>
      <c r="B106" s="70"/>
      <c r="C106" s="146"/>
      <c r="D106" s="146"/>
      <c r="E106" s="70"/>
      <c r="F106" s="146"/>
      <c r="G106" s="146"/>
      <c r="H106" s="146"/>
      <c r="I106" s="146"/>
      <c r="J106" s="146"/>
      <c r="K106" s="2"/>
      <c r="L106" s="146"/>
      <c r="M106" s="2"/>
      <c r="N106" s="226"/>
      <c r="O106" s="146"/>
    </row>
    <row r="107" spans="1:15" ht="15.75">
      <c r="A107" s="438"/>
      <c r="K107" s="2"/>
      <c r="L107" s="2"/>
      <c r="M107" s="2"/>
      <c r="N107" s="962"/>
      <c r="O107" s="69"/>
    </row>
    <row r="108" spans="1:15" ht="15.75">
      <c r="A108" s="438"/>
      <c r="C108" s="3" t="s">
        <v>18</v>
      </c>
      <c r="D108" s="3" t="s">
        <v>19</v>
      </c>
      <c r="E108" s="3" t="s">
        <v>20</v>
      </c>
      <c r="F108" s="2" t="s">
        <v>7</v>
      </c>
      <c r="G108" s="177" t="s">
        <v>21</v>
      </c>
      <c r="H108" s="70"/>
      <c r="I108" s="2"/>
      <c r="J108" s="5" t="s">
        <v>22</v>
      </c>
      <c r="K108" s="2"/>
      <c r="L108" s="27"/>
      <c r="M108" s="24"/>
      <c r="N108" s="67"/>
    </row>
    <row r="109" spans="1:15" ht="15.75">
      <c r="A109" s="438" t="s">
        <v>8</v>
      </c>
      <c r="C109" s="1"/>
      <c r="D109" s="4" t="s">
        <v>23</v>
      </c>
      <c r="E109" s="2"/>
      <c r="F109" s="2"/>
      <c r="G109" s="2"/>
      <c r="H109" s="26"/>
      <c r="I109" s="2"/>
      <c r="J109" s="26" t="s">
        <v>24</v>
      </c>
      <c r="K109" s="2"/>
      <c r="L109" s="27"/>
      <c r="M109" s="2"/>
      <c r="N109" s="815"/>
    </row>
    <row r="110" spans="1:15" ht="15.75">
      <c r="A110" s="444" t="s">
        <v>10</v>
      </c>
      <c r="B110" s="181"/>
      <c r="C110" s="184"/>
      <c r="D110" s="239" t="s">
        <v>25</v>
      </c>
      <c r="E110" s="180" t="s">
        <v>26</v>
      </c>
      <c r="F110" s="240"/>
      <c r="G110" s="241" t="s">
        <v>13</v>
      </c>
      <c r="H110" s="183"/>
      <c r="I110" s="240"/>
      <c r="J110" s="182" t="s">
        <v>342</v>
      </c>
      <c r="K110" s="2"/>
      <c r="L110" s="27"/>
      <c r="M110" s="40"/>
      <c r="N110" s="815"/>
      <c r="O110" s="409"/>
    </row>
    <row r="111" spans="1:15" ht="15.75">
      <c r="C111" s="1"/>
      <c r="D111" s="2"/>
      <c r="E111" s="6"/>
      <c r="F111" s="7"/>
      <c r="G111" s="8"/>
      <c r="I111" s="7"/>
      <c r="J111" s="6"/>
      <c r="K111" s="2"/>
      <c r="L111" s="2"/>
      <c r="M111" s="2"/>
      <c r="N111" s="963"/>
      <c r="O111" s="6"/>
    </row>
    <row r="112" spans="1:15">
      <c r="A112" s="438"/>
      <c r="C112" s="1" t="str">
        <f>DEO!C112</f>
        <v>O&amp;M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58"/>
      <c r="O112" s="2"/>
    </row>
    <row r="113" spans="1:18">
      <c r="A113" s="438">
        <v>1</v>
      </c>
      <c r="C113" s="1" t="str">
        <f>DEO!C113</f>
        <v xml:space="preserve">  Transmission </v>
      </c>
      <c r="D113" s="521" t="str">
        <f>DEO!D113</f>
        <v>321.112.b</v>
      </c>
      <c r="E113" s="30">
        <f>INPUT!D52</f>
        <v>25812503</v>
      </c>
      <c r="F113" s="2"/>
      <c r="G113" s="2" t="s">
        <v>43</v>
      </c>
      <c r="H113" s="11">
        <f>DEK_TE_Alloc</f>
        <v>0.80820000000000003</v>
      </c>
      <c r="I113" s="2"/>
      <c r="J113" s="30">
        <f>ROUND(H113*E113,0)</f>
        <v>20861665</v>
      </c>
      <c r="K113" s="1"/>
      <c r="L113" s="2"/>
      <c r="M113" s="2"/>
      <c r="N113" s="816"/>
      <c r="O113" s="30"/>
    </row>
    <row r="114" spans="1:18">
      <c r="A114" s="438" t="s">
        <v>1</v>
      </c>
      <c r="C114" s="252" t="str">
        <f>DEO!C114</f>
        <v>Less LSE Expenses included in Transmission O&amp;M Accounts  (Note V)</v>
      </c>
      <c r="D114" s="521" t="str">
        <f>DEO!D114</f>
        <v>321.88.b &amp; 321.92.b</v>
      </c>
      <c r="E114" s="228">
        <f>'P17 LSE Expenses'!H21</f>
        <v>3408755</v>
      </c>
      <c r="F114" s="2"/>
      <c r="G114" s="2"/>
      <c r="H114" s="11">
        <v>1</v>
      </c>
      <c r="I114" s="2"/>
      <c r="J114" s="147">
        <f>ROUND(H114*E114,0)</f>
        <v>3408755</v>
      </c>
      <c r="K114" s="1"/>
      <c r="L114" s="2"/>
      <c r="M114" s="2"/>
      <c r="N114" s="395"/>
      <c r="O114" s="147"/>
    </row>
    <row r="115" spans="1:18">
      <c r="A115" s="438" t="s">
        <v>244</v>
      </c>
      <c r="C115" s="361" t="str">
        <f>DEO!C115</f>
        <v>Less Midcontinent ISO Exit Fees included in Transmission O&amp;M</v>
      </c>
      <c r="D115" s="521" t="str">
        <f>DEO!D115</f>
        <v>(Note X)</v>
      </c>
      <c r="E115" s="228">
        <f>INPUT!D54</f>
        <v>0</v>
      </c>
      <c r="F115" s="2"/>
      <c r="G115" s="2" t="s">
        <v>43</v>
      </c>
      <c r="H115" s="11">
        <f>DEK_TE_Alloc</f>
        <v>0.80820000000000003</v>
      </c>
      <c r="I115" s="2"/>
      <c r="J115" s="147">
        <f>ROUND(H115*E115,0)</f>
        <v>0</v>
      </c>
      <c r="K115" s="1"/>
      <c r="L115" s="2"/>
      <c r="M115" s="2"/>
      <c r="N115" s="395"/>
      <c r="O115" s="147"/>
    </row>
    <row r="116" spans="1:18">
      <c r="A116" s="438" t="s">
        <v>247</v>
      </c>
      <c r="C116" s="361" t="str">
        <f>DEO!C116</f>
        <v>Less EPRI Annual Membership Dues</v>
      </c>
      <c r="D116" s="521" t="str">
        <f>DEO!D116</f>
        <v>(Note I)</v>
      </c>
      <c r="E116" s="228">
        <f>INPUT!D55</f>
        <v>64492</v>
      </c>
      <c r="F116" s="2"/>
      <c r="G116" s="2" t="s">
        <v>43</v>
      </c>
      <c r="H116" s="11">
        <f>DEK_TE_Alloc</f>
        <v>0.80820000000000003</v>
      </c>
      <c r="I116" s="2"/>
      <c r="J116" s="147">
        <f>ROUND(H116*E116,0)</f>
        <v>52122</v>
      </c>
      <c r="K116" s="1"/>
      <c r="L116" s="2"/>
      <c r="M116" s="2"/>
      <c r="N116" s="395"/>
      <c r="O116" s="147"/>
    </row>
    <row r="117" spans="1:18">
      <c r="A117" s="438">
        <v>2</v>
      </c>
      <c r="C117" s="361" t="str">
        <f>DEO!C117</f>
        <v>Less Account 565</v>
      </c>
      <c r="D117" s="521" t="str">
        <f>DEO!D117</f>
        <v>321.96.b</v>
      </c>
      <c r="E117" s="228">
        <f>INPUT!D56</f>
        <v>19283242</v>
      </c>
      <c r="F117" s="2"/>
      <c r="G117" s="2" t="s">
        <v>43</v>
      </c>
      <c r="H117" s="11">
        <f>DEK_TE_Alloc</f>
        <v>0.80820000000000003</v>
      </c>
      <c r="I117" s="2"/>
      <c r="J117" s="147">
        <f t="shared" ref="J117:J126" si="2">ROUND(H117*E117,0)</f>
        <v>15584716</v>
      </c>
      <c r="K117" s="1"/>
      <c r="L117" s="2"/>
      <c r="M117" s="2"/>
      <c r="N117" s="395"/>
      <c r="O117" s="147"/>
    </row>
    <row r="118" spans="1:18">
      <c r="A118" s="438">
        <v>3</v>
      </c>
      <c r="C118" s="1" t="str">
        <f>DEO!C118</f>
        <v xml:space="preserve">  A&amp;G</v>
      </c>
      <c r="D118" s="521" t="str">
        <f>DEO!D118</f>
        <v>323.197.b</v>
      </c>
      <c r="E118" s="147">
        <f>'P5 A&amp;G Adjusments'!F21</f>
        <v>23472897</v>
      </c>
      <c r="F118" s="2"/>
      <c r="G118" s="2" t="s">
        <v>142</v>
      </c>
      <c r="H118" s="11">
        <f>DEK_WS_Alloc</f>
        <v>3.7969999999999997E-2</v>
      </c>
      <c r="I118" s="2"/>
      <c r="J118" s="147">
        <f t="shared" si="2"/>
        <v>891266</v>
      </c>
      <c r="K118" s="2"/>
      <c r="L118" s="2" t="s">
        <v>7</v>
      </c>
      <c r="M118" s="2"/>
      <c r="N118" s="395"/>
      <c r="O118" s="147"/>
    </row>
    <row r="119" spans="1:18" ht="30">
      <c r="A119" s="445" t="s">
        <v>371</v>
      </c>
      <c r="C119" s="432" t="str">
        <f>DEO!C119</f>
        <v>PBOP Expense excluding Pension Expense included in line 3 for information only</v>
      </c>
      <c r="D119" s="368" t="str">
        <f>DEO!D119</f>
        <v>(Note E)</v>
      </c>
      <c r="E119" s="401">
        <f>INPUT!D58</f>
        <v>869418</v>
      </c>
      <c r="F119" s="368"/>
      <c r="G119" s="2" t="s">
        <v>142</v>
      </c>
      <c r="H119" s="434"/>
      <c r="I119" s="368"/>
      <c r="J119" s="402"/>
      <c r="K119" s="2"/>
      <c r="L119" s="2"/>
      <c r="M119" s="2"/>
      <c r="N119" s="964"/>
      <c r="O119" s="402"/>
    </row>
    <row r="120" spans="1:18">
      <c r="A120" s="438" t="s">
        <v>372</v>
      </c>
      <c r="C120" s="361" t="str">
        <f>DEO!C120</f>
        <v>Less PJM Integration Costs included in A&amp;G and</v>
      </c>
      <c r="D120" s="521" t="str">
        <f>DEO!D120</f>
        <v>(Note Y)</v>
      </c>
      <c r="E120" s="228">
        <f>INPUT!D59</f>
        <v>0</v>
      </c>
      <c r="F120" s="2"/>
      <c r="G120" s="2" t="s">
        <v>142</v>
      </c>
      <c r="H120" s="11">
        <f>DEK_WS_Alloc</f>
        <v>3.7969999999999997E-2</v>
      </c>
      <c r="I120" s="2"/>
      <c r="J120" s="147">
        <f t="shared" si="2"/>
        <v>0</v>
      </c>
      <c r="K120" s="2"/>
      <c r="L120" s="2"/>
      <c r="M120" s="2"/>
      <c r="N120" s="395"/>
      <c r="O120" s="147"/>
      <c r="R120" s="439"/>
    </row>
    <row r="121" spans="1:18">
      <c r="A121" s="438"/>
      <c r="C121" s="361" t="str">
        <f>DEO!C121</f>
        <v xml:space="preserve">         Internal Integration Costs included in A&amp;G</v>
      </c>
      <c r="D121" s="368"/>
      <c r="E121" s="147"/>
      <c r="F121" s="2"/>
      <c r="G121" s="2"/>
      <c r="H121" s="11"/>
      <c r="I121" s="2"/>
      <c r="J121" s="147"/>
      <c r="K121" s="2"/>
      <c r="L121" s="2"/>
      <c r="M121" s="2"/>
      <c r="N121" s="395"/>
      <c r="O121" s="147"/>
      <c r="R121" s="439"/>
    </row>
    <row r="122" spans="1:18">
      <c r="A122" s="438">
        <v>4</v>
      </c>
      <c r="C122" s="361" t="str">
        <f>DEO!C122</f>
        <v>Less FERC Annual Fees</v>
      </c>
      <c r="D122" s="521" t="str">
        <f>DEO!D122</f>
        <v>350.x.b</v>
      </c>
      <c r="E122" s="228">
        <f>INPUT!D61</f>
        <v>0</v>
      </c>
      <c r="F122" s="2"/>
      <c r="G122" s="2" t="s">
        <v>142</v>
      </c>
      <c r="H122" s="11">
        <f>DEK_WS_Alloc</f>
        <v>3.7969999999999997E-2</v>
      </c>
      <c r="I122" s="2"/>
      <c r="J122" s="147">
        <f t="shared" si="2"/>
        <v>0</v>
      </c>
      <c r="K122" s="2"/>
      <c r="L122" s="2"/>
      <c r="M122" s="2"/>
      <c r="N122" s="395"/>
      <c r="O122" s="147"/>
    </row>
    <row r="123" spans="1:18">
      <c r="A123" s="438">
        <v>5</v>
      </c>
      <c r="C123" s="252" t="str">
        <f>DEO!C123</f>
        <v>Less EPRI &amp; Reg. Comm. Exp. &amp; Non-safety Advertising    (Note I)</v>
      </c>
      <c r="D123" s="368"/>
      <c r="E123" s="228">
        <f>INPUT!D62</f>
        <v>1007315</v>
      </c>
      <c r="F123" s="2"/>
      <c r="G123" s="2" t="s">
        <v>142</v>
      </c>
      <c r="H123" s="11">
        <f>DEK_WS_Alloc</f>
        <v>3.7969999999999997E-2</v>
      </c>
      <c r="I123" s="2"/>
      <c r="J123" s="147">
        <f t="shared" si="2"/>
        <v>38248</v>
      </c>
      <c r="K123" s="2"/>
      <c r="L123" s="2"/>
      <c r="M123" s="2"/>
      <c r="N123" s="395"/>
      <c r="O123" s="147"/>
    </row>
    <row r="124" spans="1:18">
      <c r="A124" s="446" t="s">
        <v>147</v>
      </c>
      <c r="C124" s="252" t="str">
        <f>DEO!C124</f>
        <v>Plus Transmission Related Reg. Comm. Exp.   (Note I)</v>
      </c>
      <c r="D124" s="368"/>
      <c r="E124" s="228">
        <f>INPUT!D63</f>
        <v>0</v>
      </c>
      <c r="F124" s="2"/>
      <c r="G124" s="49" t="str">
        <f>G113</f>
        <v>TE</v>
      </c>
      <c r="H124" s="11">
        <f>DEK_TE_Alloc</f>
        <v>0.80820000000000003</v>
      </c>
      <c r="I124" s="2"/>
      <c r="J124" s="147">
        <f t="shared" si="2"/>
        <v>0</v>
      </c>
      <c r="K124" s="2"/>
      <c r="L124" s="2"/>
      <c r="M124" s="2"/>
      <c r="N124" s="395"/>
      <c r="O124" s="147"/>
    </row>
    <row r="125" spans="1:18">
      <c r="A125" s="438">
        <v>6</v>
      </c>
      <c r="C125" s="1" t="str">
        <f>DEO!C125</f>
        <v xml:space="preserve">  Common</v>
      </c>
      <c r="D125" s="521" t="str">
        <f>DEO!D125</f>
        <v>356</v>
      </c>
      <c r="E125" s="228">
        <f>INPUT!D64</f>
        <v>0</v>
      </c>
      <c r="F125" s="2"/>
      <c r="G125" s="2" t="s">
        <v>76</v>
      </c>
      <c r="H125" s="11">
        <f>DEK_CE_Alloc</f>
        <v>2.8469999999999999E-2</v>
      </c>
      <c r="I125" s="2"/>
      <c r="J125" s="147">
        <f t="shared" si="2"/>
        <v>0</v>
      </c>
      <c r="K125" s="2"/>
      <c r="L125" s="2"/>
      <c r="M125" s="2"/>
      <c r="N125" s="395"/>
      <c r="O125" s="147"/>
    </row>
    <row r="126" spans="1:18" ht="15.75" thickBot="1">
      <c r="A126" s="438">
        <v>7</v>
      </c>
      <c r="C126" s="1" t="str">
        <f>DEO!C126</f>
        <v xml:space="preserve">  Transmission Lease Payments</v>
      </c>
      <c r="D126" s="368"/>
      <c r="E126" s="266">
        <f>INPUT!D65</f>
        <v>0</v>
      </c>
      <c r="F126" s="2"/>
      <c r="G126" s="2" t="s">
        <v>7</v>
      </c>
      <c r="H126" s="267">
        <v>1</v>
      </c>
      <c r="I126" s="2"/>
      <c r="J126" s="148">
        <f t="shared" si="2"/>
        <v>0</v>
      </c>
      <c r="K126" s="2"/>
      <c r="L126" s="2"/>
      <c r="M126" s="2"/>
      <c r="N126" s="395"/>
      <c r="O126" s="147"/>
    </row>
    <row r="127" spans="1:18">
      <c r="A127" s="438">
        <v>8</v>
      </c>
      <c r="C127" s="1" t="str">
        <f>DEO!C127</f>
        <v>TOTAL O&amp;M   (sum lines 1, 3, 5a, 6, 7 less lines 1a, 1b, 1c, 2, 3b, 4, 5)</v>
      </c>
      <c r="D127" s="368"/>
      <c r="E127" s="30">
        <f>E113-E114-E115-E116-E117+E118-E120-E122-E123+E124+E125+E126</f>
        <v>25521596</v>
      </c>
      <c r="F127" s="2"/>
      <c r="G127" s="2"/>
      <c r="H127" s="2"/>
      <c r="I127" s="2"/>
      <c r="J127" s="30">
        <f>J113-J114-J115-J116-J117+J118-J120-J122-J123+J124+J125+J126</f>
        <v>2669090</v>
      </c>
      <c r="K127" s="2"/>
      <c r="L127" s="2"/>
      <c r="M127" s="2"/>
      <c r="N127" s="816"/>
      <c r="O127" s="30"/>
    </row>
    <row r="128" spans="1:18">
      <c r="A128" s="438"/>
      <c r="D128" s="368"/>
      <c r="E128" s="147"/>
      <c r="F128" s="2"/>
      <c r="G128" s="2"/>
      <c r="H128" s="2"/>
      <c r="I128" s="2"/>
      <c r="J128" s="147"/>
      <c r="K128" s="2"/>
      <c r="L128" s="2"/>
      <c r="M128" s="2"/>
      <c r="N128" s="395"/>
      <c r="O128" s="147"/>
    </row>
    <row r="129" spans="1:15">
      <c r="A129" s="438"/>
      <c r="C129" s="1" t="str">
        <f>DEO!C129</f>
        <v>DEPRECIATION AND AMORTIZATION EXPENSE</v>
      </c>
      <c r="D129" s="368"/>
      <c r="E129" s="147"/>
      <c r="F129" s="2"/>
      <c r="G129" s="2"/>
      <c r="H129" s="2"/>
      <c r="I129" s="2"/>
      <c r="J129" s="147"/>
      <c r="K129" s="2"/>
      <c r="L129" s="2"/>
      <c r="M129" s="2"/>
      <c r="N129" s="395"/>
      <c r="O129" s="147"/>
    </row>
    <row r="130" spans="1:15">
      <c r="A130" s="438">
        <v>9</v>
      </c>
      <c r="C130" s="1" t="str">
        <f>DEO!C130</f>
        <v xml:space="preserve">  Transmission </v>
      </c>
      <c r="D130" s="521" t="str">
        <f>DEO!D130</f>
        <v>336.7.f</v>
      </c>
      <c r="E130" s="268">
        <f>INPUT!D69</f>
        <v>1555549</v>
      </c>
      <c r="F130" s="2"/>
      <c r="G130" s="2" t="s">
        <v>14</v>
      </c>
      <c r="H130" s="16">
        <f>DEK_TP_Alloc</f>
        <v>0.82594000000000001</v>
      </c>
      <c r="I130" s="2"/>
      <c r="J130" s="30">
        <f>ROUND(H130*E130,0)</f>
        <v>1284790</v>
      </c>
      <c r="K130" s="2"/>
      <c r="L130" s="15"/>
      <c r="M130" s="2"/>
      <c r="N130" s="816"/>
      <c r="O130" s="30"/>
    </row>
    <row r="131" spans="1:15">
      <c r="A131" s="438">
        <v>10</v>
      </c>
      <c r="C131" s="1" t="str">
        <f>DEO!C131</f>
        <v xml:space="preserve">  General &amp; Intangible</v>
      </c>
      <c r="D131" s="521" t="str">
        <f>DEO!D131</f>
        <v xml:space="preserve">336.1.f &amp; 336.10.f </v>
      </c>
      <c r="E131" s="228">
        <f>INPUT!D70</f>
        <v>4016783</v>
      </c>
      <c r="F131" s="2"/>
      <c r="G131" s="2" t="s">
        <v>142</v>
      </c>
      <c r="H131" s="11">
        <f>DEK_WS_Alloc</f>
        <v>3.7969999999999997E-2</v>
      </c>
      <c r="I131" s="2"/>
      <c r="J131" s="147">
        <f>ROUND(H131*E131,0)</f>
        <v>152517</v>
      </c>
      <c r="K131" s="2"/>
      <c r="L131" s="15"/>
      <c r="M131" s="2"/>
      <c r="N131" s="395"/>
      <c r="O131" s="147"/>
    </row>
    <row r="132" spans="1:15" ht="15.75" thickBot="1">
      <c r="A132" s="438">
        <v>11</v>
      </c>
      <c r="C132" s="1" t="str">
        <f>DEO!C132</f>
        <v xml:space="preserve">  Common</v>
      </c>
      <c r="D132" s="521" t="str">
        <f>DEO!D132</f>
        <v>336.11.f</v>
      </c>
      <c r="E132" s="266">
        <f>INPUT!D71</f>
        <v>69584</v>
      </c>
      <c r="F132" s="2"/>
      <c r="G132" s="2" t="s">
        <v>76</v>
      </c>
      <c r="H132" s="11">
        <f>DEK_CE_Alloc</f>
        <v>2.8469999999999999E-2</v>
      </c>
      <c r="I132" s="2"/>
      <c r="J132" s="148">
        <f>ROUND(H132*E132,0)</f>
        <v>1981</v>
      </c>
      <c r="K132" s="2"/>
      <c r="L132" s="15"/>
      <c r="M132" s="2"/>
      <c r="N132" s="395"/>
      <c r="O132" s="147"/>
    </row>
    <row r="133" spans="1:15">
      <c r="A133" s="438">
        <v>12</v>
      </c>
      <c r="C133" s="1" t="str">
        <f>DEO!C133</f>
        <v>TOTAL DEPRECIATION AND AMORTIZATION (sum lines 9 - 11)</v>
      </c>
      <c r="D133" s="368"/>
      <c r="E133" s="30">
        <f>SUM(E130:E132)</f>
        <v>5641916</v>
      </c>
      <c r="F133" s="2"/>
      <c r="G133" s="2"/>
      <c r="H133" s="2"/>
      <c r="I133" s="2"/>
      <c r="J133" s="30">
        <f>SUM(J130:J132)</f>
        <v>1439288</v>
      </c>
      <c r="K133" s="2"/>
      <c r="L133" s="2"/>
      <c r="M133" s="2"/>
      <c r="N133" s="816"/>
      <c r="O133" s="30"/>
    </row>
    <row r="134" spans="1:15">
      <c r="A134" s="438"/>
      <c r="C134" s="1"/>
      <c r="D134" s="368"/>
      <c r="E134" s="147"/>
      <c r="F134" s="2"/>
      <c r="G134" s="2"/>
      <c r="H134" s="2"/>
      <c r="I134" s="2"/>
      <c r="J134" s="147"/>
      <c r="K134" s="2"/>
      <c r="L134" s="2"/>
      <c r="M134" s="2"/>
      <c r="N134" s="395"/>
      <c r="O134" s="147"/>
    </row>
    <row r="135" spans="1:15">
      <c r="A135" s="438" t="s">
        <v>7</v>
      </c>
      <c r="C135" s="363" t="str">
        <f>DEO!C135</f>
        <v>TAXES OTHER THAN INCOME TAXES    (Note J)</v>
      </c>
      <c r="D135" s="522"/>
      <c r="E135" s="147"/>
      <c r="F135" s="2"/>
      <c r="G135" s="2"/>
      <c r="H135" s="2"/>
      <c r="I135" s="2"/>
      <c r="J135" s="147"/>
      <c r="K135" s="2"/>
      <c r="L135" s="2"/>
      <c r="M135" s="2"/>
      <c r="N135" s="395"/>
      <c r="O135" s="147"/>
    </row>
    <row r="136" spans="1:15">
      <c r="A136" s="438"/>
      <c r="C136" s="1" t="str">
        <f>DEO!C136</f>
        <v xml:space="preserve">  LABOR RELATED</v>
      </c>
      <c r="D136" s="522"/>
      <c r="E136" s="147"/>
      <c r="F136" s="2"/>
      <c r="G136" s="2"/>
      <c r="I136" s="2"/>
      <c r="J136" s="147"/>
      <c r="K136" s="2"/>
      <c r="L136" s="15"/>
      <c r="M136" s="2"/>
      <c r="N136" s="395"/>
      <c r="O136" s="147"/>
    </row>
    <row r="137" spans="1:15">
      <c r="A137" s="438">
        <v>13</v>
      </c>
      <c r="C137" s="362" t="str">
        <f>DEO!C137</f>
        <v>Payroll</v>
      </c>
      <c r="D137" s="521" t="str">
        <f>DEO!D137</f>
        <v>263.i</v>
      </c>
      <c r="E137" s="268">
        <f>INPUT!D76</f>
        <v>1822924</v>
      </c>
      <c r="F137" s="2"/>
      <c r="G137" s="2" t="s">
        <v>142</v>
      </c>
      <c r="H137" s="11">
        <f>DEK_WS_Alloc</f>
        <v>3.7969999999999997E-2</v>
      </c>
      <c r="I137" s="2"/>
      <c r="J137" s="30">
        <f>ROUND(H137*E137,0)</f>
        <v>69216</v>
      </c>
      <c r="K137" s="2"/>
      <c r="L137" s="15"/>
      <c r="M137" s="2"/>
      <c r="N137" s="816"/>
      <c r="O137" s="30"/>
    </row>
    <row r="138" spans="1:15">
      <c r="A138" s="438">
        <v>14</v>
      </c>
      <c r="C138" s="362" t="str">
        <f>DEO!C138</f>
        <v>Highway and vehicle</v>
      </c>
      <c r="D138" s="521" t="str">
        <f>DEO!D138</f>
        <v>263.i</v>
      </c>
      <c r="E138" s="228">
        <f>INPUT!D77</f>
        <v>692</v>
      </c>
      <c r="F138" s="2"/>
      <c r="G138" s="2" t="s">
        <v>142</v>
      </c>
      <c r="H138" s="11">
        <f>DEK_WS_Alloc</f>
        <v>3.7969999999999997E-2</v>
      </c>
      <c r="I138" s="2"/>
      <c r="J138" s="147">
        <f>ROUND(H138*E138,0)</f>
        <v>26</v>
      </c>
      <c r="K138" s="2"/>
      <c r="L138" s="15"/>
      <c r="M138" s="2"/>
      <c r="N138" s="395"/>
      <c r="O138" s="147"/>
    </row>
    <row r="139" spans="1:15">
      <c r="A139" s="438">
        <v>15</v>
      </c>
      <c r="C139" s="1" t="str">
        <f>DEO!C139</f>
        <v xml:space="preserve">  PLANT RELATED</v>
      </c>
      <c r="D139" s="400" t="s">
        <v>7</v>
      </c>
      <c r="E139" s="228"/>
      <c r="F139" s="2"/>
      <c r="G139" s="2"/>
      <c r="I139" s="2"/>
      <c r="J139" s="147"/>
      <c r="K139" s="2"/>
      <c r="L139" s="15"/>
      <c r="M139" s="2"/>
      <c r="N139" s="395"/>
      <c r="O139" s="147"/>
    </row>
    <row r="140" spans="1:15">
      <c r="A140" s="438">
        <v>16</v>
      </c>
      <c r="C140" s="362" t="str">
        <f>DEO!C140</f>
        <v>Property</v>
      </c>
      <c r="D140" s="521" t="str">
        <f>DEO!D140</f>
        <v>263.i</v>
      </c>
      <c r="E140" s="228">
        <f>INPUT!D79</f>
        <v>11377272</v>
      </c>
      <c r="F140" s="2"/>
      <c r="G140" s="2" t="s">
        <v>44</v>
      </c>
      <c r="H140" s="16">
        <f>DEK_GP_Alloc</f>
        <v>3.7990000000000003E-2</v>
      </c>
      <c r="I140" s="2"/>
      <c r="J140" s="147">
        <f>ROUND(H140*E140,0)</f>
        <v>432223</v>
      </c>
      <c r="K140" s="2"/>
      <c r="L140" s="15"/>
      <c r="M140" s="2"/>
      <c r="N140" s="395"/>
      <c r="O140" s="147"/>
    </row>
    <row r="141" spans="1:15">
      <c r="A141" s="438">
        <v>17</v>
      </c>
      <c r="C141" s="362" t="str">
        <f>DEO!C141</f>
        <v>Gross Receipts</v>
      </c>
      <c r="D141" s="521" t="str">
        <f>DEO!D141</f>
        <v>263.i</v>
      </c>
      <c r="E141" s="228">
        <f>INPUT!D80</f>
        <v>0</v>
      </c>
      <c r="F141" s="2"/>
      <c r="G141" s="2" t="str">
        <f>G77</f>
        <v>NA</v>
      </c>
      <c r="H141" s="54" t="s">
        <v>148</v>
      </c>
      <c r="I141" s="2"/>
      <c r="J141" s="149">
        <v>0</v>
      </c>
      <c r="K141" s="2"/>
      <c r="L141" s="15"/>
      <c r="M141" s="2"/>
      <c r="N141" s="395"/>
      <c r="O141" s="149"/>
    </row>
    <row r="142" spans="1:15">
      <c r="A142" s="438">
        <v>18</v>
      </c>
      <c r="C142" s="362" t="str">
        <f>DEO!C142</f>
        <v>Other</v>
      </c>
      <c r="D142" s="521" t="str">
        <f>DEO!D142</f>
        <v>263.i</v>
      </c>
      <c r="E142" s="228">
        <f>INPUT!D81</f>
        <v>0</v>
      </c>
      <c r="F142" s="2"/>
      <c r="G142" s="2" t="str">
        <f>G140</f>
        <v>GP</v>
      </c>
      <c r="H142" s="16">
        <f>DEK_GP_Alloc</f>
        <v>3.7990000000000003E-2</v>
      </c>
      <c r="I142" s="2"/>
      <c r="J142" s="147">
        <f>ROUND(H142*E142,0)</f>
        <v>0</v>
      </c>
      <c r="K142" s="2"/>
      <c r="L142" s="15"/>
      <c r="M142" s="2"/>
      <c r="N142" s="395"/>
      <c r="O142" s="147"/>
    </row>
    <row r="143" spans="1:15" ht="15.75" thickBot="1">
      <c r="A143" s="438">
        <v>19</v>
      </c>
      <c r="C143" s="362" t="str">
        <f>DEO!C143</f>
        <v>Payments in lieu of taxes</v>
      </c>
      <c r="D143" s="368"/>
      <c r="E143" s="266">
        <f>INPUT!D82</f>
        <v>0</v>
      </c>
      <c r="F143" s="2"/>
      <c r="G143" s="2" t="s">
        <v>44</v>
      </c>
      <c r="H143" s="16">
        <f>DEK_GP_Alloc</f>
        <v>3.7990000000000003E-2</v>
      </c>
      <c r="I143" s="2"/>
      <c r="J143" s="148">
        <f>ROUND(H143*E143,0)</f>
        <v>0</v>
      </c>
      <c r="K143" s="2"/>
      <c r="L143" s="15"/>
      <c r="M143" s="2"/>
      <c r="N143" s="395"/>
      <c r="O143" s="147"/>
    </row>
    <row r="144" spans="1:15">
      <c r="A144" s="438">
        <v>20</v>
      </c>
      <c r="C144" s="1" t="str">
        <f>DEO!C144</f>
        <v>TOTAL OTHER TAXES  (sum lines 13 - 19)</v>
      </c>
      <c r="D144" s="368"/>
      <c r="E144" s="30">
        <f>E137+E138+E140+E141+E142+E143</f>
        <v>13200888</v>
      </c>
      <c r="F144" s="2"/>
      <c r="G144" s="2"/>
      <c r="H144" s="16"/>
      <c r="I144" s="2"/>
      <c r="J144" s="30">
        <f>J137+J138+J140+J141+J142+J143</f>
        <v>501465</v>
      </c>
      <c r="K144" s="2"/>
      <c r="L144" s="2"/>
      <c r="M144" s="2"/>
      <c r="N144" s="816"/>
      <c r="O144" s="30"/>
    </row>
    <row r="145" spans="1:15">
      <c r="A145" s="438"/>
      <c r="C145" s="1"/>
      <c r="D145" s="368"/>
      <c r="E145" s="147"/>
      <c r="F145" s="2"/>
      <c r="G145" s="2"/>
      <c r="H145" s="16"/>
      <c r="I145" s="2"/>
      <c r="J145" s="2"/>
      <c r="K145" s="2"/>
      <c r="L145" s="2"/>
      <c r="M145" s="2"/>
      <c r="N145" s="358"/>
      <c r="O145" s="2"/>
    </row>
    <row r="146" spans="1:15">
      <c r="A146" s="438" t="s">
        <v>58</v>
      </c>
      <c r="C146" s="1"/>
      <c r="D146" s="368"/>
      <c r="E146" s="2"/>
      <c r="F146" s="2"/>
      <c r="G146" s="2"/>
      <c r="H146" s="16"/>
      <c r="I146" s="2"/>
      <c r="J146" s="2"/>
      <c r="K146" s="2"/>
      <c r="L146" s="2"/>
      <c r="M146" s="2"/>
      <c r="N146" s="358"/>
      <c r="O146" s="2"/>
    </row>
    <row r="147" spans="1:15">
      <c r="A147" s="438" t="s">
        <v>7</v>
      </c>
      <c r="C147" s="1" t="str">
        <f>DEO!C147</f>
        <v>INCOME TAXES           (Note K)</v>
      </c>
      <c r="D147" s="368"/>
      <c r="E147" s="2"/>
      <c r="F147" s="2"/>
      <c r="H147" s="13"/>
      <c r="I147" s="2"/>
      <c r="K147" s="2"/>
      <c r="M147" s="2"/>
      <c r="N147" s="360"/>
    </row>
    <row r="148" spans="1:15">
      <c r="A148" s="438">
        <v>21</v>
      </c>
      <c r="C148" s="1" t="str">
        <f>DEO!C148</f>
        <v xml:space="preserve">     T=1 - {[(1 - SIT) * (1 - FIT)] / (1 - SIT * FIT * p)} =</v>
      </c>
      <c r="D148" s="368"/>
      <c r="E148" s="303">
        <f>IF(FIT&gt;0,1-(((1-SIT_DEK)*(1-FIT))/(1-SIT_DEK*FIT*E288)),0)</f>
        <v>0.24950000000000006</v>
      </c>
      <c r="F148" s="2"/>
      <c r="H148" s="13"/>
      <c r="I148" s="2"/>
      <c r="K148" s="2"/>
      <c r="M148" s="2"/>
      <c r="N148" s="360"/>
    </row>
    <row r="149" spans="1:15">
      <c r="A149" s="438">
        <v>22</v>
      </c>
      <c r="C149" s="1" t="str">
        <f>DEO!C149</f>
        <v xml:space="preserve">     CIT=(T/1-T) * (1-(WCLTD/R)) =</v>
      </c>
      <c r="D149" s="368"/>
      <c r="E149" s="242">
        <f>IF(J230&gt;0,(E148/(1-E148))*(1-WCLTD_DEK/R_DEK),0)</f>
        <v>0.25235397128697523</v>
      </c>
      <c r="F149" s="2"/>
      <c r="H149" s="13"/>
      <c r="I149" s="2"/>
      <c r="K149" s="2"/>
      <c r="M149" s="2"/>
      <c r="N149" s="360"/>
    </row>
    <row r="150" spans="1:15">
      <c r="A150" s="438"/>
      <c r="C150" s="1" t="str">
        <f>DEO!C150</f>
        <v xml:space="preserve">       where WCLTD=(page 4, line 27) and R= (page 4, line 30)</v>
      </c>
      <c r="D150" s="368"/>
      <c r="E150" s="2"/>
      <c r="F150" s="2"/>
      <c r="H150" s="13"/>
      <c r="I150" s="2"/>
      <c r="K150" s="2"/>
      <c r="M150" s="2"/>
      <c r="N150" s="360"/>
    </row>
    <row r="151" spans="1:15">
      <c r="A151" s="438"/>
      <c r="C151" s="1" t="str">
        <f>DEO!C151</f>
        <v xml:space="preserve">       and FIT, SIT &amp; p are as given in footnote K.</v>
      </c>
      <c r="D151" s="368"/>
      <c r="E151" s="2"/>
      <c r="F151" s="2"/>
      <c r="H151" s="13"/>
      <c r="I151" s="2"/>
      <c r="K151" s="2"/>
      <c r="M151" s="2"/>
      <c r="N151" s="360"/>
    </row>
    <row r="152" spans="1:15">
      <c r="A152" s="438">
        <v>23</v>
      </c>
      <c r="C152" s="1" t="str">
        <f>DEO!C152</f>
        <v xml:space="preserve">      1 / (1 - T)  = (from line 21)</v>
      </c>
      <c r="D152" s="368"/>
      <c r="E152" s="357">
        <f>IF(E148&gt;0,1/(1-E148),0)</f>
        <v>1.3324450366422387</v>
      </c>
      <c r="F152" s="2"/>
      <c r="H152" s="13"/>
      <c r="I152" s="2"/>
      <c r="J152" s="147"/>
      <c r="K152" s="2"/>
      <c r="M152" s="2"/>
      <c r="N152" s="395"/>
      <c r="O152" s="147"/>
    </row>
    <row r="153" spans="1:15">
      <c r="A153" s="438">
        <v>24</v>
      </c>
      <c r="C153" s="1" t="str">
        <f>DEO!C153</f>
        <v>Amortized Investment Tax Credit</v>
      </c>
      <c r="D153" s="521" t="str">
        <f>DEO!D153</f>
        <v>266.8.f (enter negative)</v>
      </c>
      <c r="E153" s="268">
        <f>INPUT!D92</f>
        <v>-428</v>
      </c>
      <c r="F153" s="2"/>
      <c r="H153" s="13"/>
      <c r="I153" s="2"/>
      <c r="J153" s="147"/>
      <c r="K153" s="2"/>
      <c r="M153" s="2"/>
      <c r="N153" s="395"/>
      <c r="O153" s="147"/>
    </row>
    <row r="154" spans="1:15">
      <c r="A154" s="438">
        <v>25</v>
      </c>
      <c r="C154" s="1" t="str">
        <f>DEO!C154</f>
        <v>Amortization of Excess/Deficient Deferred Income Taxes (Note O)</v>
      </c>
      <c r="D154" s="521" t="str">
        <f>DEO!D154</f>
        <v>DIT Worksheet, 11.d</v>
      </c>
      <c r="E154" s="228">
        <f>-'DEK DIT Protected'!F36-'DEK DIT Unprotected'!F36</f>
        <v>-3342313.5999999987</v>
      </c>
      <c r="F154" s="2"/>
      <c r="H154" s="13"/>
      <c r="I154" s="2"/>
      <c r="J154" s="147"/>
      <c r="K154" s="2"/>
      <c r="M154" s="2"/>
      <c r="N154" s="395"/>
      <c r="O154" s="147"/>
    </row>
    <row r="155" spans="1:15">
      <c r="A155" s="438"/>
      <c r="C155" s="1"/>
      <c r="D155" s="368"/>
      <c r="E155" s="147"/>
      <c r="F155" s="2"/>
      <c r="H155" s="13"/>
      <c r="I155" s="2"/>
      <c r="J155" s="147"/>
      <c r="K155" s="2"/>
      <c r="M155" s="2"/>
      <c r="N155" s="395"/>
      <c r="O155" s="147"/>
    </row>
    <row r="156" spans="1:15">
      <c r="A156" s="438">
        <v>26</v>
      </c>
      <c r="C156" s="1" t="str">
        <f>DEO!C156</f>
        <v>Income Tax Calculation (line 22 * line 30)</v>
      </c>
      <c r="D156" s="660"/>
      <c r="E156" s="30">
        <f>ROUND(E149*E161,0)</f>
        <v>19482379</v>
      </c>
      <c r="F156" s="2"/>
      <c r="G156" s="2" t="s">
        <v>30</v>
      </c>
      <c r="H156" s="16"/>
      <c r="I156" s="2"/>
      <c r="J156" s="30">
        <f>ROUND(E149*J161,0)</f>
        <v>1000539</v>
      </c>
      <c r="K156" s="2"/>
      <c r="L156" s="12" t="s">
        <v>7</v>
      </c>
      <c r="M156" s="2"/>
      <c r="N156" s="816"/>
      <c r="O156" s="30"/>
    </row>
    <row r="157" spans="1:15">
      <c r="A157" s="438">
        <v>27</v>
      </c>
      <c r="C157" s="1" t="str">
        <f>DEO!C157</f>
        <v>ITC adjustment (line 23 * line 24)</v>
      </c>
      <c r="D157" s="660"/>
      <c r="E157" s="147">
        <f>ROUND(E152*E153,0)</f>
        <v>-570</v>
      </c>
      <c r="F157" s="2"/>
      <c r="G157" s="9" t="s">
        <v>42</v>
      </c>
      <c r="H157" s="16">
        <f>DEK_NP_Alloc</f>
        <v>5.1200000000000002E-2</v>
      </c>
      <c r="I157" s="2"/>
      <c r="J157" s="147">
        <f>ROUND(H157*E157,0)</f>
        <v>-29</v>
      </c>
      <c r="K157" s="2"/>
      <c r="L157" s="12"/>
      <c r="M157" s="2"/>
      <c r="N157" s="395"/>
      <c r="O157" s="147"/>
    </row>
    <row r="158" spans="1:15" ht="15.75" thickBot="1">
      <c r="A158" s="438">
        <v>28</v>
      </c>
      <c r="C158" s="1" t="str">
        <f>DEO!C158</f>
        <v>Excess/Deficient DIT amortization (line 23 * line 25)</v>
      </c>
      <c r="D158" s="660"/>
      <c r="E158" s="147">
        <f>ROUND(E152*E154,0)</f>
        <v>-4453449</v>
      </c>
      <c r="F158" s="2"/>
      <c r="G158" s="9" t="s">
        <v>42</v>
      </c>
      <c r="H158" s="16">
        <f>DEK_NP_Alloc</f>
        <v>5.1200000000000002E-2</v>
      </c>
      <c r="I158" s="2"/>
      <c r="J158" s="147">
        <f>ROUND(H158*E158,0)</f>
        <v>-228017</v>
      </c>
      <c r="K158" s="2"/>
      <c r="L158" s="12"/>
      <c r="M158" s="2"/>
      <c r="N158" s="395"/>
      <c r="O158" s="147"/>
    </row>
    <row r="159" spans="1:15">
      <c r="A159" s="438">
        <v>29</v>
      </c>
      <c r="C159" s="1" t="str">
        <f>DEO!C159</f>
        <v>Total Income Taxes (sum lines 26 - 28)</v>
      </c>
      <c r="D159" s="521"/>
      <c r="E159" s="628">
        <f>SUM(E156:E158)</f>
        <v>15028360</v>
      </c>
      <c r="F159" s="2"/>
      <c r="G159" s="2" t="s">
        <v>7</v>
      </c>
      <c r="H159" s="16" t="s">
        <v>7</v>
      </c>
      <c r="I159" s="2"/>
      <c r="J159" s="628">
        <f>SUM(J156:J158)</f>
        <v>772493</v>
      </c>
      <c r="K159" s="2"/>
      <c r="L159" s="2"/>
      <c r="M159" s="2"/>
      <c r="N159" s="965"/>
      <c r="O159" s="966"/>
    </row>
    <row r="160" spans="1:15">
      <c r="A160" s="438" t="s">
        <v>7</v>
      </c>
      <c r="C160"/>
      <c r="D160" s="661"/>
      <c r="E160" s="147"/>
      <c r="F160" s="2"/>
      <c r="G160" s="2"/>
      <c r="H160" s="16"/>
      <c r="I160" s="2"/>
      <c r="J160" s="147"/>
      <c r="K160" s="2"/>
      <c r="L160" s="2"/>
      <c r="M160" s="2"/>
      <c r="N160" s="395"/>
      <c r="O160" s="147"/>
    </row>
    <row r="161" spans="1:15">
      <c r="A161" s="438">
        <v>30</v>
      </c>
      <c r="C161" s="1" t="str">
        <f>DEO!C161</f>
        <v xml:space="preserve">RETURN </v>
      </c>
      <c r="D161" s="662"/>
      <c r="E161" s="30">
        <f>ROUND($J230*E93,0)</f>
        <v>77202584</v>
      </c>
      <c r="F161" s="2"/>
      <c r="G161" s="2" t="s">
        <v>30</v>
      </c>
      <c r="H161" s="13"/>
      <c r="I161" s="2"/>
      <c r="J161" s="30">
        <f>ROUND($J230*J93,0)</f>
        <v>3964823</v>
      </c>
      <c r="K161" s="2"/>
      <c r="M161" s="2"/>
      <c r="N161" s="816"/>
      <c r="O161" s="30"/>
    </row>
    <row r="162" spans="1:15">
      <c r="A162" s="438"/>
      <c r="C162" s="657" t="str">
        <f>DEO!C162</f>
        <v xml:space="preserve">  [Rate Base (page 2, line 31) * Rate of Return (page 4, line 30)]</v>
      </c>
      <c r="D162" s="522"/>
      <c r="E162" s="147"/>
      <c r="F162" s="2"/>
      <c r="G162" s="2"/>
      <c r="H162" s="13"/>
      <c r="I162" s="2"/>
      <c r="J162" s="147"/>
      <c r="K162" s="2"/>
      <c r="L162" s="15"/>
      <c r="M162" s="2"/>
      <c r="N162" s="395"/>
      <c r="O162" s="147"/>
    </row>
    <row r="163" spans="1:15">
      <c r="A163" s="438"/>
      <c r="C163" s="1"/>
      <c r="D163" s="522"/>
      <c r="E163" s="147"/>
      <c r="F163" s="2"/>
      <c r="G163" s="2"/>
      <c r="H163" s="13"/>
      <c r="I163" s="2"/>
      <c r="J163" s="147"/>
      <c r="K163" s="2"/>
      <c r="L163" s="15"/>
      <c r="M163" s="2"/>
      <c r="N163" s="395"/>
      <c r="O163" s="147"/>
    </row>
    <row r="164" spans="1:15" ht="15.75" thickBot="1">
      <c r="A164" s="438">
        <v>31</v>
      </c>
      <c r="C164" s="1" t="str">
        <f>DEO!C164</f>
        <v>REV. REQUIREMENT  (sum lines 8, 12, 20, 29, 30)</v>
      </c>
      <c r="D164" s="368"/>
      <c r="E164" s="227">
        <f>E161+E159+E144+E133+E127</f>
        <v>136595344</v>
      </c>
      <c r="F164" s="2"/>
      <c r="G164" s="2"/>
      <c r="H164" s="2"/>
      <c r="I164" s="2"/>
      <c r="J164" s="227">
        <f>J161+J159+J144+J133+J127</f>
        <v>9347159</v>
      </c>
      <c r="K164" s="1"/>
      <c r="L164" s="1"/>
      <c r="M164" s="1"/>
      <c r="N164" s="816"/>
      <c r="O164" s="30"/>
    </row>
    <row r="165" spans="1:15" ht="15.75" thickTop="1">
      <c r="A165" s="438"/>
      <c r="C165" s="1"/>
      <c r="D165" s="2"/>
      <c r="E165" s="2"/>
      <c r="F165" s="2"/>
      <c r="G165" s="2"/>
      <c r="H165" s="2"/>
      <c r="I165" s="2"/>
      <c r="J165" s="2"/>
      <c r="K165" s="1"/>
      <c r="L165" s="1"/>
      <c r="M165" s="1"/>
      <c r="N165" s="358"/>
      <c r="O165" s="2"/>
    </row>
    <row r="166" spans="1:15">
      <c r="A166" s="438"/>
      <c r="C166" s="1"/>
      <c r="D166" s="2"/>
      <c r="E166" s="2"/>
      <c r="F166" s="2"/>
      <c r="G166" s="2"/>
      <c r="H166" s="2"/>
      <c r="I166" s="2"/>
      <c r="J166" s="2"/>
      <c r="K166" s="1"/>
      <c r="L166" s="1"/>
      <c r="M166" s="1"/>
      <c r="N166" s="360"/>
    </row>
    <row r="167" spans="1:15">
      <c r="A167" s="438"/>
      <c r="C167" s="24"/>
      <c r="D167" s="24"/>
      <c r="E167" s="25"/>
      <c r="F167" s="24"/>
      <c r="G167" s="24"/>
      <c r="H167" s="24"/>
      <c r="I167" s="24"/>
      <c r="K167" s="26"/>
      <c r="L167" s="61"/>
      <c r="M167" s="26"/>
      <c r="N167" s="461"/>
      <c r="O167" s="50"/>
    </row>
    <row r="168" spans="1:15" ht="18">
      <c r="A168" s="440"/>
      <c r="C168" s="24"/>
      <c r="D168" s="24"/>
      <c r="E168" s="25"/>
      <c r="F168" s="24"/>
      <c r="G168" s="24"/>
      <c r="H168" s="24"/>
      <c r="I168" s="24"/>
      <c r="J168" s="50" t="s">
        <v>299</v>
      </c>
      <c r="M168" s="60"/>
      <c r="N168" s="461"/>
      <c r="O168" s="50"/>
    </row>
    <row r="169" spans="1:15">
      <c r="C169" s="24"/>
      <c r="D169" s="24"/>
      <c r="E169" s="25"/>
      <c r="F169" s="24"/>
      <c r="G169" s="24"/>
      <c r="H169" s="24"/>
      <c r="I169" s="24"/>
      <c r="J169" s="50" t="s">
        <v>411</v>
      </c>
      <c r="M169" s="50"/>
      <c r="N169" s="360"/>
    </row>
    <row r="170" spans="1:15">
      <c r="C170" s="24"/>
      <c r="D170" s="24"/>
      <c r="E170" s="25"/>
      <c r="F170" s="24"/>
      <c r="G170" s="24"/>
      <c r="H170" s="24"/>
      <c r="I170" s="24"/>
      <c r="M170" s="50"/>
      <c r="N170" s="360"/>
    </row>
    <row r="171" spans="1:15">
      <c r="C171" s="24"/>
      <c r="D171" s="24"/>
      <c r="E171" s="25"/>
      <c r="F171" s="24"/>
      <c r="G171" s="24"/>
      <c r="H171" s="24"/>
      <c r="I171" s="24"/>
      <c r="M171" s="50"/>
      <c r="N171" s="360"/>
    </row>
    <row r="172" spans="1:15">
      <c r="C172" s="24"/>
      <c r="D172" s="24"/>
      <c r="E172" s="25"/>
      <c r="F172" s="24"/>
      <c r="G172" s="24"/>
      <c r="H172" s="24"/>
      <c r="I172" s="24"/>
      <c r="M172" s="50"/>
      <c r="N172" s="461"/>
      <c r="O172" s="50"/>
    </row>
    <row r="173" spans="1:15">
      <c r="C173" s="24"/>
      <c r="D173" s="24"/>
      <c r="E173" s="25"/>
      <c r="F173" s="24"/>
      <c r="G173" s="24"/>
      <c r="H173" s="24"/>
      <c r="I173" s="24"/>
      <c r="J173" s="50"/>
      <c r="M173" s="50"/>
      <c r="N173" s="462"/>
      <c r="O173" s="61"/>
    </row>
    <row r="174" spans="1:15">
      <c r="C174" s="24" t="s">
        <v>6</v>
      </c>
      <c r="D174" s="24"/>
      <c r="E174" s="25"/>
      <c r="F174" s="24"/>
      <c r="G174" s="24"/>
      <c r="H174" s="24"/>
      <c r="I174" s="24"/>
      <c r="J174" s="61" t="str">
        <f>J7</f>
        <v>For the 12 months ended: 12/31/2020</v>
      </c>
      <c r="M174" s="50"/>
      <c r="N174" s="172"/>
      <c r="O174" s="70"/>
    </row>
    <row r="175" spans="1:15">
      <c r="A175" s="441" t="str">
        <f>A8</f>
        <v>Rate Formula Template</v>
      </c>
      <c r="B175" s="70"/>
      <c r="C175" s="70"/>
      <c r="D175" s="144"/>
      <c r="E175" s="70"/>
      <c r="F175" s="144"/>
      <c r="G175" s="144"/>
      <c r="H175" s="144"/>
      <c r="I175" s="144"/>
      <c r="J175" s="70"/>
      <c r="K175" s="146"/>
      <c r="L175" s="70"/>
      <c r="M175" s="1"/>
      <c r="N175" s="185"/>
      <c r="O175" s="144"/>
    </row>
    <row r="176" spans="1:15">
      <c r="A176" s="442" t="s">
        <v>270</v>
      </c>
      <c r="B176" s="70"/>
      <c r="C176" s="144"/>
      <c r="D176" s="145"/>
      <c r="E176" s="70"/>
      <c r="F176" s="145"/>
      <c r="G176" s="145"/>
      <c r="H176" s="145"/>
      <c r="I176" s="144"/>
      <c r="J176" s="144"/>
      <c r="K176" s="146"/>
      <c r="L176" s="146"/>
      <c r="M176" s="1"/>
      <c r="N176" s="226"/>
      <c r="O176" s="146"/>
    </row>
    <row r="177" spans="1:15" ht="15.75">
      <c r="A177" s="442"/>
      <c r="B177" s="70"/>
      <c r="C177" s="146"/>
      <c r="D177" s="146"/>
      <c r="E177" s="70"/>
      <c r="F177" s="146"/>
      <c r="G177" s="146"/>
      <c r="H177" s="146"/>
      <c r="I177" s="146"/>
      <c r="J177" s="146"/>
      <c r="K177" s="146"/>
      <c r="L177" s="146"/>
      <c r="M177" s="2"/>
      <c r="N177" s="962"/>
      <c r="O177" s="69"/>
    </row>
    <row r="178" spans="1:15" ht="15.75">
      <c r="A178" s="443" t="str">
        <f>$A$11</f>
        <v>DUKE ENERGY KENTUCKY (DEK)</v>
      </c>
      <c r="B178" s="70"/>
      <c r="C178" s="146"/>
      <c r="D178" s="146"/>
      <c r="E178" s="70"/>
      <c r="F178" s="146"/>
      <c r="G178" s="146"/>
      <c r="H178" s="146"/>
      <c r="I178" s="146"/>
      <c r="J178" s="146"/>
      <c r="K178" s="146"/>
      <c r="L178" s="146"/>
      <c r="M178" s="2"/>
      <c r="N178" s="67"/>
    </row>
    <row r="179" spans="1:15" ht="15.75">
      <c r="A179" s="443" t="s">
        <v>271</v>
      </c>
      <c r="B179" s="70"/>
      <c r="C179" s="70"/>
      <c r="D179" s="70"/>
      <c r="E179" s="70"/>
      <c r="F179" s="146"/>
      <c r="G179" s="146"/>
      <c r="H179" s="146"/>
      <c r="I179" s="146"/>
      <c r="J179" s="146"/>
      <c r="K179" s="145"/>
      <c r="L179" s="145"/>
      <c r="M179" s="2"/>
      <c r="N179" s="815"/>
    </row>
    <row r="180" spans="1:15" ht="15.75">
      <c r="A180" s="438" t="s">
        <v>8</v>
      </c>
      <c r="C180" s="10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815"/>
      <c r="O180" s="409"/>
    </row>
    <row r="181" spans="1:15" ht="15.75">
      <c r="A181" s="444" t="s">
        <v>10</v>
      </c>
      <c r="B181" s="181"/>
      <c r="C181" s="40" t="str">
        <f>DEO!C181</f>
        <v>TRANSMISSION PLANT INCLUDED IN ISO RATES</v>
      </c>
      <c r="D181" s="1"/>
      <c r="E181" s="1"/>
      <c r="F181" s="1"/>
      <c r="G181" s="1"/>
      <c r="H181" s="1"/>
      <c r="K181" s="2"/>
      <c r="L181" s="2"/>
      <c r="M181" s="2"/>
      <c r="N181" s="359"/>
      <c r="O181" s="1"/>
    </row>
    <row r="182" spans="1:15">
      <c r="A182" s="438"/>
      <c r="C182" s="24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816"/>
      <c r="O182" s="30"/>
    </row>
    <row r="183" spans="1:15">
      <c r="A183" s="438">
        <v>1</v>
      </c>
      <c r="C183" s="24" t="str">
        <f>DEO!C183</f>
        <v>Total transmission plant (page 2, line 2, column 3)</v>
      </c>
      <c r="D183" s="1"/>
      <c r="E183" s="2"/>
      <c r="F183" s="2"/>
      <c r="G183" s="2"/>
      <c r="H183" s="2"/>
      <c r="I183" s="2"/>
      <c r="J183" s="30">
        <f>E54</f>
        <v>94399794</v>
      </c>
      <c r="K183" s="2"/>
      <c r="L183" s="2"/>
      <c r="M183" s="2"/>
      <c r="N183" s="816"/>
      <c r="O183" s="30"/>
    </row>
    <row r="184" spans="1:15">
      <c r="A184" s="438">
        <v>2</v>
      </c>
      <c r="C184" s="253" t="str">
        <f>DEO!C184</f>
        <v>Less transmission plant excluded from ISO rates  (Note M)</v>
      </c>
      <c r="J184" s="150">
        <f>INPUT!D96</f>
        <v>0</v>
      </c>
      <c r="K184" s="2"/>
      <c r="L184" s="2"/>
      <c r="M184" s="2"/>
      <c r="N184" s="395"/>
      <c r="O184" s="395"/>
    </row>
    <row r="185" spans="1:15" ht="15.75" thickBot="1">
      <c r="A185" s="438">
        <v>3</v>
      </c>
      <c r="C185" s="254" t="str">
        <f>DEO!C185</f>
        <v>Less transmission plant included in OATT Ancillary Services  (Note N)</v>
      </c>
      <c r="D185" s="42"/>
      <c r="E185" s="35"/>
      <c r="F185" s="2"/>
      <c r="G185" s="2"/>
      <c r="H185" s="4"/>
      <c r="I185" s="2"/>
      <c r="J185" s="151">
        <f>INPUT!D97</f>
        <v>16430924</v>
      </c>
      <c r="K185" s="2"/>
      <c r="L185" s="2"/>
      <c r="M185" s="2"/>
      <c r="N185" s="395"/>
      <c r="O185" s="147"/>
    </row>
    <row r="186" spans="1:15">
      <c r="A186" s="438">
        <v>4</v>
      </c>
      <c r="C186" s="24" t="str">
        <f>DEO!C186</f>
        <v>Transmission plant included in ISO Rates  (line 1 less lines 2 &amp; 3)</v>
      </c>
      <c r="D186" s="1"/>
      <c r="E186" s="2"/>
      <c r="F186" s="2"/>
      <c r="G186" s="2"/>
      <c r="H186" s="4"/>
      <c r="I186" s="2"/>
      <c r="J186" s="30">
        <f>J183-J184-J185</f>
        <v>77968870</v>
      </c>
      <c r="K186" s="2"/>
      <c r="L186" s="2"/>
      <c r="M186" s="2"/>
      <c r="N186" s="816"/>
      <c r="O186" s="30"/>
    </row>
    <row r="187" spans="1:15">
      <c r="A187" s="438"/>
      <c r="D187" s="1"/>
      <c r="E187" s="2"/>
      <c r="F187" s="2"/>
      <c r="G187" s="2"/>
      <c r="H187" s="4"/>
      <c r="I187" s="2"/>
      <c r="K187" s="2"/>
      <c r="L187" s="2"/>
      <c r="M187" s="2"/>
      <c r="N187" s="360"/>
    </row>
    <row r="188" spans="1:15">
      <c r="A188" s="438">
        <v>5</v>
      </c>
      <c r="C188" s="24" t="str">
        <f>DEO!C188</f>
        <v>Percentage of transmission plant included in ISO Rates (line 4 divided by line 1)</v>
      </c>
      <c r="D188" s="17"/>
      <c r="E188" s="17"/>
      <c r="F188" s="17"/>
      <c r="G188" s="17"/>
      <c r="H188" s="5"/>
      <c r="I188" s="2" t="s">
        <v>63</v>
      </c>
      <c r="J188" s="48">
        <f>IF(J183&gt;0,ROUND(J186/J183,5),0)</f>
        <v>0.82594000000000001</v>
      </c>
      <c r="K188" s="2"/>
      <c r="L188" s="2"/>
      <c r="M188" s="2"/>
      <c r="N188" s="967"/>
      <c r="O188" s="48"/>
    </row>
    <row r="189" spans="1:15">
      <c r="A189" s="438"/>
      <c r="K189" s="2"/>
      <c r="L189" s="2"/>
      <c r="M189" s="2"/>
      <c r="N189" s="360"/>
    </row>
    <row r="190" spans="1:15" ht="15.75">
      <c r="A190" s="438"/>
      <c r="C190" s="10" t="str">
        <f>DEO!C190</f>
        <v xml:space="preserve">TRANSMISSION EXPENSES </v>
      </c>
      <c r="K190" s="2"/>
      <c r="L190" s="2"/>
      <c r="M190" s="2"/>
      <c r="N190" s="360"/>
    </row>
    <row r="191" spans="1:15">
      <c r="A191" s="438"/>
      <c r="K191" s="2"/>
      <c r="L191" s="2"/>
      <c r="M191" s="2"/>
      <c r="N191" s="360"/>
    </row>
    <row r="192" spans="1:15">
      <c r="A192" s="438">
        <v>6</v>
      </c>
      <c r="C192" s="9" t="str">
        <f>DEO!C192</f>
        <v>Total transmission expenses    (page 3, line 1, column 3)</v>
      </c>
      <c r="E192" s="1"/>
      <c r="F192" s="1"/>
      <c r="G192" s="1"/>
      <c r="H192" s="3"/>
      <c r="I192" s="1"/>
      <c r="J192" s="30">
        <f>E113</f>
        <v>25812503</v>
      </c>
      <c r="K192" s="2"/>
      <c r="L192" s="2"/>
      <c r="M192" s="2"/>
      <c r="N192" s="816"/>
      <c r="O192" s="30"/>
    </row>
    <row r="193" spans="1:15" ht="15.75" thickBot="1">
      <c r="A193" s="438">
        <v>7</v>
      </c>
      <c r="C193" s="254" t="str">
        <f>DEO!C193</f>
        <v>Less transmission expenses included in OATT Ancillary Services  (Note L)</v>
      </c>
      <c r="D193" s="42"/>
      <c r="E193" s="35"/>
      <c r="F193" s="35"/>
      <c r="G193" s="2"/>
      <c r="H193" s="2"/>
      <c r="I193" s="2"/>
      <c r="J193" s="151">
        <f>INPUT!D104</f>
        <v>554461</v>
      </c>
      <c r="K193" s="2"/>
      <c r="L193" s="2"/>
      <c r="M193" s="2"/>
      <c r="N193" s="395"/>
      <c r="O193" s="147"/>
    </row>
    <row r="194" spans="1:15">
      <c r="A194" s="438">
        <v>8</v>
      </c>
      <c r="C194" s="24" t="str">
        <f>DEO!C194</f>
        <v>Included transmission expenses (line 6 less line 7)</v>
      </c>
      <c r="D194" s="17"/>
      <c r="E194" s="17"/>
      <c r="F194" s="17"/>
      <c r="G194" s="17"/>
      <c r="H194" s="5"/>
      <c r="I194" s="17"/>
      <c r="J194" s="30">
        <f>J192-J193</f>
        <v>25258042</v>
      </c>
      <c r="M194" s="2"/>
      <c r="N194" s="816"/>
      <c r="O194" s="30"/>
    </row>
    <row r="195" spans="1:15">
      <c r="A195" s="438"/>
      <c r="C195" s="24"/>
      <c r="D195" s="1"/>
      <c r="E195" s="2"/>
      <c r="F195" s="2"/>
      <c r="G195" s="2"/>
      <c r="H195" s="2"/>
      <c r="M195" s="2"/>
      <c r="N195" s="360"/>
    </row>
    <row r="196" spans="1:15">
      <c r="A196" s="438">
        <v>9</v>
      </c>
      <c r="C196" s="24" t="str">
        <f>DEO!C196</f>
        <v>Percentage of transmission expenses after adjustment (line 8 divided by line 6)</v>
      </c>
      <c r="D196" s="1"/>
      <c r="E196" s="2"/>
      <c r="F196" s="2"/>
      <c r="G196" s="2"/>
      <c r="H196" s="2"/>
      <c r="I196" s="2"/>
      <c r="J196" s="11">
        <f>IF(J192&gt;0,ROUND(J194/J192,5),0)</f>
        <v>0.97851999999999995</v>
      </c>
      <c r="M196" s="2"/>
      <c r="N196" s="968"/>
      <c r="O196" s="11"/>
    </row>
    <row r="197" spans="1:15">
      <c r="A197" s="438">
        <v>10</v>
      </c>
      <c r="C197" s="24" t="str">
        <f>DEO!C197</f>
        <v>Percentage of transmission plant included in ISO Rates (line 5)</v>
      </c>
      <c r="D197" s="1"/>
      <c r="E197" s="2"/>
      <c r="F197" s="2"/>
      <c r="G197" s="2"/>
      <c r="H197" s="2"/>
      <c r="I197" s="1" t="s">
        <v>14</v>
      </c>
      <c r="J197" s="16">
        <f>DEK_TP_Alloc</f>
        <v>0.82594000000000001</v>
      </c>
      <c r="M197" s="2"/>
      <c r="N197" s="968"/>
      <c r="O197" s="11"/>
    </row>
    <row r="198" spans="1:15">
      <c r="A198" s="438">
        <v>11</v>
      </c>
      <c r="C198" s="24" t="str">
        <f>DEO!C198</f>
        <v>Percentage of transmission expenses included in ISO Rates (line 9 times line 10)</v>
      </c>
      <c r="D198" s="1"/>
      <c r="E198" s="1"/>
      <c r="F198" s="1"/>
      <c r="G198" s="1"/>
      <c r="H198" s="1"/>
      <c r="I198" s="1" t="s">
        <v>62</v>
      </c>
      <c r="J198" s="16">
        <f>ROUND(J197*J196,5)</f>
        <v>0.80820000000000003</v>
      </c>
      <c r="M198" s="2"/>
      <c r="N198" s="275"/>
      <c r="O198" s="16"/>
    </row>
    <row r="199" spans="1:15">
      <c r="A199" s="438"/>
      <c r="D199" s="1"/>
      <c r="E199" s="2"/>
      <c r="F199" s="2"/>
      <c r="G199" s="2"/>
      <c r="H199" s="4"/>
      <c r="I199" s="2"/>
      <c r="M199" s="2"/>
      <c r="N199" s="358"/>
      <c r="O199" s="2"/>
    </row>
    <row r="200" spans="1:15" ht="15.75">
      <c r="A200" s="438" t="s">
        <v>7</v>
      </c>
      <c r="C200" s="10" t="str">
        <f>DEO!C200</f>
        <v>WAGES &amp; SALARY ALLOCATOR   (WS)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358"/>
      <c r="O200" s="2"/>
    </row>
    <row r="201" spans="1:15" ht="15.75" thickBot="1">
      <c r="A201" s="438" t="s">
        <v>7</v>
      </c>
      <c r="C201" s="1"/>
      <c r="D201" s="35" t="s">
        <v>65</v>
      </c>
      <c r="E201" s="36" t="s">
        <v>66</v>
      </c>
      <c r="F201" s="36" t="s">
        <v>14</v>
      </c>
      <c r="G201" s="2"/>
      <c r="H201" s="36" t="s">
        <v>67</v>
      </c>
      <c r="I201" s="2"/>
      <c r="J201" s="2"/>
      <c r="K201" s="2"/>
      <c r="L201" s="2"/>
      <c r="M201" s="2"/>
      <c r="N201" s="358"/>
      <c r="O201" s="2"/>
    </row>
    <row r="202" spans="1:15">
      <c r="A202" s="438">
        <v>12</v>
      </c>
      <c r="C202" s="1" t="str">
        <f>DEO!C202</f>
        <v xml:space="preserve">  Production</v>
      </c>
      <c r="D202" s="1" t="str">
        <f>DEO!D202</f>
        <v>354.20.b</v>
      </c>
      <c r="E202" s="228">
        <f>INPUT!D109</f>
        <v>13092463</v>
      </c>
      <c r="F202" s="55">
        <v>0</v>
      </c>
      <c r="G202" s="18"/>
      <c r="H202" s="147">
        <f>E202*F202</f>
        <v>0</v>
      </c>
      <c r="I202" s="2"/>
      <c r="J202" s="2"/>
      <c r="K202" s="2"/>
      <c r="L202" s="2"/>
      <c r="M202" s="2"/>
      <c r="N202" s="358"/>
      <c r="O202" s="2"/>
    </row>
    <row r="203" spans="1:15">
      <c r="A203" s="438">
        <v>13</v>
      </c>
      <c r="C203" s="1" t="str">
        <f>DEO!C203</f>
        <v xml:space="preserve">  Transmission</v>
      </c>
      <c r="D203" s="1" t="str">
        <f>DEO!D203</f>
        <v>354.21.b</v>
      </c>
      <c r="E203" s="228">
        <f>INPUT!D110</f>
        <v>900288</v>
      </c>
      <c r="F203" s="11">
        <f>J188</f>
        <v>0.82594000000000001</v>
      </c>
      <c r="G203" s="18"/>
      <c r="H203" s="147">
        <f>E203*F203</f>
        <v>743583.87072000001</v>
      </c>
      <c r="I203" s="2"/>
      <c r="J203" s="2"/>
      <c r="K203" s="2"/>
      <c r="L203" s="2"/>
      <c r="M203" s="1"/>
      <c r="N203" s="969"/>
      <c r="O203" s="4"/>
    </row>
    <row r="204" spans="1:15">
      <c r="A204" s="438">
        <v>14</v>
      </c>
      <c r="C204" s="1" t="str">
        <f>DEO!C204</f>
        <v xml:space="preserve">  Distribution</v>
      </c>
      <c r="D204" s="1" t="str">
        <f>DEO!D204</f>
        <v>354.23.b</v>
      </c>
      <c r="E204" s="228">
        <f>INPUT!D111</f>
        <v>3500886</v>
      </c>
      <c r="F204" s="55">
        <v>0</v>
      </c>
      <c r="G204" s="18"/>
      <c r="H204" s="147">
        <f>E204*F204</f>
        <v>0</v>
      </c>
      <c r="I204" s="2"/>
      <c r="J204" s="4" t="str">
        <f>DEO!J204</f>
        <v>WS Allocator</v>
      </c>
      <c r="K204" s="2"/>
      <c r="L204" s="2"/>
      <c r="M204" s="2"/>
      <c r="N204" s="969"/>
      <c r="O204" s="4"/>
    </row>
    <row r="205" spans="1:15" ht="15.75" thickBot="1">
      <c r="A205" s="438">
        <v>15</v>
      </c>
      <c r="C205" s="1" t="str">
        <f>DEO!C205</f>
        <v xml:space="preserve">  Other</v>
      </c>
      <c r="D205" s="1" t="str">
        <f>DEO!D205</f>
        <v>354.24,25,26.b</v>
      </c>
      <c r="E205" s="151">
        <f>INPUT!D112</f>
        <v>2087533</v>
      </c>
      <c r="F205" s="55">
        <v>0</v>
      </c>
      <c r="G205" s="18"/>
      <c r="H205" s="148">
        <f>E205*F205</f>
        <v>0</v>
      </c>
      <c r="I205" s="2"/>
      <c r="J205" s="32" t="s">
        <v>70</v>
      </c>
      <c r="K205" s="2"/>
      <c r="L205" s="2"/>
      <c r="M205" s="2"/>
      <c r="N205" s="970"/>
      <c r="O205" s="26"/>
    </row>
    <row r="206" spans="1:15">
      <c r="A206" s="438">
        <v>16</v>
      </c>
      <c r="C206" s="1" t="str">
        <f>DEO!C206</f>
        <v xml:space="preserve">  Total Electric (sum lines 12-15)</v>
      </c>
      <c r="D206" s="2"/>
      <c r="E206" s="147">
        <f>SUM(E202:E205)</f>
        <v>19581170</v>
      </c>
      <c r="F206" s="2"/>
      <c r="G206" s="2"/>
      <c r="H206" s="147">
        <f>SUM(H202:H205)</f>
        <v>743583.87072000001</v>
      </c>
      <c r="I206" s="3" t="s">
        <v>71</v>
      </c>
      <c r="J206" s="11">
        <f>IF(H206&gt;0,ROUND(H206/E206,5),0)</f>
        <v>3.7969999999999997E-2</v>
      </c>
      <c r="K206" s="4" t="s">
        <v>71</v>
      </c>
      <c r="L206" s="2" t="s">
        <v>142</v>
      </c>
      <c r="M206" s="2"/>
      <c r="N206" s="968"/>
      <c r="O206" s="11"/>
    </row>
    <row r="207" spans="1:15">
      <c r="A207" s="438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 t="s">
        <v>7</v>
      </c>
      <c r="N207" s="358"/>
      <c r="O207" s="2"/>
    </row>
    <row r="208" spans="1:15" ht="15.75">
      <c r="A208" s="438"/>
      <c r="C208" s="255" t="str">
        <f>DEO!C208</f>
        <v>COMMON PLANT ALLOCATOR  (CE)</v>
      </c>
      <c r="D208" s="2"/>
      <c r="E208" s="2"/>
      <c r="F208" s="2"/>
      <c r="G208" s="2"/>
      <c r="M208" s="2"/>
      <c r="N208" s="360"/>
    </row>
    <row r="209" spans="1:15" ht="15.75" thickBot="1">
      <c r="A209" s="438"/>
      <c r="C209" s="1"/>
      <c r="D209" s="2"/>
      <c r="E209" s="36" t="s">
        <v>66</v>
      </c>
      <c r="F209" s="2"/>
      <c r="G209" s="2"/>
      <c r="H209" s="4" t="str">
        <f>DEO!H209</f>
        <v>% Electric</v>
      </c>
      <c r="I209" s="13" t="s">
        <v>7</v>
      </c>
      <c r="J209" s="4" t="str">
        <f>DEO!J209</f>
        <v>WS Allocator</v>
      </c>
      <c r="M209" s="2"/>
      <c r="N209" s="971"/>
      <c r="O209" s="15"/>
    </row>
    <row r="210" spans="1:15">
      <c r="A210" s="438">
        <v>17</v>
      </c>
      <c r="C210" s="1" t="str">
        <f>DEO!C210</f>
        <v xml:space="preserve">  Electric</v>
      </c>
      <c r="D210" s="1" t="str">
        <f>DEO!D210</f>
        <v>200.3.c</v>
      </c>
      <c r="E210" s="228">
        <f>INPUT!D117</f>
        <v>1779353280</v>
      </c>
      <c r="F210" s="2"/>
      <c r="H210" s="4" t="str">
        <f>DEO!H210</f>
        <v>(line 17 / line 20)</v>
      </c>
      <c r="I210" s="28"/>
      <c r="J210" s="4" t="str">
        <f>DEO!J210</f>
        <v>(line 16)</v>
      </c>
      <c r="K210" s="2"/>
      <c r="L210" s="277" t="s">
        <v>76</v>
      </c>
      <c r="M210" s="2"/>
      <c r="N210" s="972"/>
      <c r="O210" s="26"/>
    </row>
    <row r="211" spans="1:15">
      <c r="A211" s="438">
        <v>18</v>
      </c>
      <c r="C211" s="1" t="str">
        <f>DEO!C211</f>
        <v xml:space="preserve">  Gas</v>
      </c>
      <c r="D211" s="1" t="str">
        <f>DEO!D211</f>
        <v>201.3.d</v>
      </c>
      <c r="E211" s="228">
        <f>INPUT!D118</f>
        <v>593363800</v>
      </c>
      <c r="F211" s="2"/>
      <c r="H211" s="16">
        <f>IF(E213&gt;0,ROUND(E210/E213,5),0)</f>
        <v>0.74992000000000003</v>
      </c>
      <c r="I211" s="4" t="s">
        <v>78</v>
      </c>
      <c r="J211" s="16">
        <f>DEK_WS_Alloc</f>
        <v>3.7969999999999997E-2</v>
      </c>
      <c r="K211" s="13" t="s">
        <v>71</v>
      </c>
      <c r="L211" s="278">
        <f>ROUND(J211*H211,5)</f>
        <v>2.8469999999999999E-2</v>
      </c>
      <c r="M211" s="2"/>
      <c r="N211" s="275"/>
      <c r="O211" s="16"/>
    </row>
    <row r="212" spans="1:15" ht="15.75" thickBot="1">
      <c r="A212" s="438">
        <v>19</v>
      </c>
      <c r="C212" s="42" t="str">
        <f>DEO!C212</f>
        <v xml:space="preserve">  Water</v>
      </c>
      <c r="D212" s="42" t="str">
        <f>DEO!D212</f>
        <v>201.3.e</v>
      </c>
      <c r="E212" s="151">
        <f>INPUT!D119</f>
        <v>0</v>
      </c>
      <c r="F212" s="2"/>
      <c r="G212" s="2"/>
      <c r="H212" s="2" t="s">
        <v>7</v>
      </c>
      <c r="I212" s="2"/>
      <c r="J212" s="2"/>
      <c r="K212" s="2"/>
      <c r="L212" s="2"/>
      <c r="M212" s="2"/>
      <c r="N212" s="358"/>
      <c r="O212" s="2"/>
    </row>
    <row r="213" spans="1:15">
      <c r="A213" s="438">
        <v>20</v>
      </c>
      <c r="C213" s="1" t="str">
        <f>DEO!C213</f>
        <v xml:space="preserve">  Total  (sum lines 17 - 19)</v>
      </c>
      <c r="D213" s="2"/>
      <c r="E213" s="147">
        <f>E210+E211+E212</f>
        <v>2372717080</v>
      </c>
      <c r="F213" s="2"/>
      <c r="G213" s="2"/>
      <c r="H213" s="2"/>
      <c r="I213" s="2"/>
      <c r="J213" s="2"/>
      <c r="K213" s="2"/>
      <c r="L213" s="2"/>
      <c r="M213" s="2"/>
      <c r="N213" s="358"/>
      <c r="O213" s="2"/>
    </row>
    <row r="214" spans="1:15">
      <c r="A214" s="438"/>
      <c r="C214" s="1"/>
      <c r="D214" s="2"/>
      <c r="F214" s="2"/>
      <c r="G214" s="2"/>
      <c r="H214" s="2"/>
      <c r="I214" s="2"/>
      <c r="J214" s="2"/>
      <c r="K214" s="2"/>
      <c r="L214" s="2"/>
      <c r="M214" s="2"/>
      <c r="N214" s="358"/>
      <c r="O214" s="2"/>
    </row>
    <row r="215" spans="1:15" ht="16.5" thickBot="1">
      <c r="A215" s="438"/>
      <c r="B215" s="24"/>
      <c r="C215" s="40" t="str">
        <f>DEO!C215</f>
        <v>RETURN (R)</v>
      </c>
      <c r="D215" s="2"/>
      <c r="E215" s="2"/>
      <c r="F215" s="2"/>
      <c r="G215" s="2"/>
      <c r="H215" s="2"/>
      <c r="I215" s="2"/>
      <c r="J215" s="36" t="s">
        <v>66</v>
      </c>
      <c r="K215" s="2"/>
      <c r="L215" s="2"/>
      <c r="M215" s="2"/>
      <c r="N215" s="969"/>
      <c r="O215" s="4"/>
    </row>
    <row r="216" spans="1:15">
      <c r="A216" s="438">
        <v>21</v>
      </c>
      <c r="B216" s="24"/>
      <c r="C216" s="24"/>
      <c r="D216" s="1" t="str">
        <f>DEO!D216</f>
        <v>Long Term Interest (117, sum of 62.c through 67.c)</v>
      </c>
      <c r="E216" s="2"/>
      <c r="F216" s="2"/>
      <c r="G216" s="2"/>
      <c r="H216" s="2"/>
      <c r="I216" s="2"/>
      <c r="J216" s="302">
        <f>INPUT!D129</f>
        <v>25986192</v>
      </c>
      <c r="K216" s="2"/>
      <c r="L216" s="2"/>
      <c r="M216" s="2"/>
      <c r="N216" s="973"/>
      <c r="O216" s="974"/>
    </row>
    <row r="217" spans="1:15">
      <c r="A217" s="438"/>
      <c r="C217" s="1"/>
      <c r="D217" s="2"/>
      <c r="E217" s="2"/>
      <c r="F217" s="2"/>
      <c r="G217" s="2"/>
      <c r="H217" s="2"/>
      <c r="I217" s="2"/>
      <c r="J217" s="147"/>
      <c r="K217" s="2"/>
      <c r="L217" s="2"/>
      <c r="M217" s="2"/>
      <c r="N217" s="395"/>
      <c r="O217" s="147"/>
    </row>
    <row r="218" spans="1:15">
      <c r="A218" s="438">
        <v>22</v>
      </c>
      <c r="B218" s="24"/>
      <c r="C218" s="24"/>
      <c r="D218" s="1" t="str">
        <f>DEO!D218</f>
        <v>Preferred Dividends (118.29.c) (positive number)</v>
      </c>
      <c r="E218" s="2"/>
      <c r="F218" s="2"/>
      <c r="G218" s="2"/>
      <c r="H218" s="2"/>
      <c r="I218" s="2"/>
      <c r="J218" s="301">
        <f>INPUT!D131</f>
        <v>0</v>
      </c>
      <c r="K218" s="2"/>
      <c r="L218" s="2"/>
      <c r="M218" s="2"/>
      <c r="N218" s="975"/>
      <c r="O218" s="304"/>
    </row>
    <row r="219" spans="1:15">
      <c r="A219" s="438"/>
      <c r="B219" s="24"/>
      <c r="C219" s="24"/>
      <c r="D219" s="2"/>
      <c r="E219" s="2"/>
      <c r="F219" s="2"/>
      <c r="G219" s="2"/>
      <c r="H219" s="2"/>
      <c r="I219" s="2"/>
      <c r="J219" s="147"/>
      <c r="K219" s="2"/>
      <c r="L219" s="2"/>
      <c r="M219" s="2"/>
      <c r="N219" s="395"/>
      <c r="O219" s="147"/>
    </row>
    <row r="220" spans="1:15">
      <c r="A220" s="438"/>
      <c r="B220" s="24"/>
      <c r="C220" s="24" t="str">
        <f>DEO!C220</f>
        <v xml:space="preserve">                                          Development of Common Stock:</v>
      </c>
      <c r="D220" s="2"/>
      <c r="E220" s="2"/>
      <c r="F220" s="2"/>
      <c r="G220" s="2"/>
      <c r="H220" s="2"/>
      <c r="I220" s="2"/>
      <c r="J220" s="147"/>
      <c r="K220" s="2"/>
      <c r="L220" s="2"/>
      <c r="M220" s="2"/>
      <c r="N220" s="395"/>
      <c r="O220" s="147"/>
    </row>
    <row r="221" spans="1:15">
      <c r="A221" s="438">
        <v>23</v>
      </c>
      <c r="B221" s="24"/>
      <c r="C221" s="24"/>
      <c r="D221" s="1" t="str">
        <f>DEO!D221</f>
        <v>Proprietary Capital (112.16.c)</v>
      </c>
      <c r="E221" s="24"/>
      <c r="F221" s="2"/>
      <c r="G221" s="2"/>
      <c r="H221" s="2"/>
      <c r="I221" s="2"/>
      <c r="J221" s="228">
        <f>INPUT!D134</f>
        <v>718236888</v>
      </c>
      <c r="K221" s="2"/>
      <c r="L221" s="2"/>
      <c r="M221" s="2"/>
      <c r="N221" s="395"/>
      <c r="O221" s="147"/>
    </row>
    <row r="222" spans="1:15">
      <c r="A222" s="438">
        <v>24</v>
      </c>
      <c r="B222" s="24"/>
      <c r="C222" s="24"/>
      <c r="D222" s="1" t="str">
        <f>DEO!D222</f>
        <v xml:space="preserve">Less Preferred Stock (line 28) </v>
      </c>
      <c r="E222" s="2"/>
      <c r="F222" s="2"/>
      <c r="G222" s="2"/>
      <c r="H222" s="2"/>
      <c r="I222" s="2"/>
      <c r="J222" s="304">
        <f>INPUT!D135</f>
        <v>0</v>
      </c>
      <c r="K222" s="2"/>
      <c r="L222" s="2"/>
      <c r="M222" s="2"/>
      <c r="N222" s="395"/>
      <c r="O222" s="147"/>
    </row>
    <row r="223" spans="1:15" ht="15.75" thickBot="1">
      <c r="A223" s="438">
        <v>25</v>
      </c>
      <c r="B223" s="24"/>
      <c r="C223" s="24"/>
      <c r="D223" s="1" t="str">
        <f>DEO!D223</f>
        <v>Less Account 216.1 (112.12.c)  (enter negative)</v>
      </c>
      <c r="E223" s="2"/>
      <c r="F223" s="2"/>
      <c r="G223" s="2"/>
      <c r="H223" s="2"/>
      <c r="I223" s="2"/>
      <c r="J223" s="151">
        <f>INPUT!D136</f>
        <v>0</v>
      </c>
      <c r="K223" s="2"/>
      <c r="L223" s="2"/>
      <c r="M223" s="2"/>
      <c r="N223" s="395"/>
      <c r="O223" s="147"/>
    </row>
    <row r="224" spans="1:15">
      <c r="A224" s="438">
        <v>26</v>
      </c>
      <c r="B224" s="24"/>
      <c r="C224" s="24"/>
      <c r="D224" s="1" t="str">
        <f>DEO!D224</f>
        <v>Common Stock (sum lines 23-25)</v>
      </c>
      <c r="E224" s="24"/>
      <c r="F224" s="24"/>
      <c r="G224" s="24"/>
      <c r="H224" s="24"/>
      <c r="I224" s="24"/>
      <c r="J224" s="147">
        <f>J221+J222+J223</f>
        <v>718236888</v>
      </c>
      <c r="K224" s="2"/>
      <c r="L224" s="2"/>
      <c r="M224" s="2"/>
      <c r="N224" s="395"/>
      <c r="O224" s="147"/>
    </row>
    <row r="225" spans="1:15">
      <c r="A225" s="438"/>
      <c r="C225" s="1"/>
      <c r="D225" s="2"/>
      <c r="E225" s="2"/>
      <c r="F225" s="2"/>
      <c r="G225" s="2"/>
      <c r="H225" s="4"/>
      <c r="I225" s="2"/>
      <c r="J225" s="2"/>
      <c r="K225" s="2"/>
      <c r="L225" s="2"/>
      <c r="M225" s="2"/>
      <c r="N225" s="970"/>
      <c r="O225" s="26"/>
    </row>
    <row r="226" spans="1:15" ht="15.75" thickBot="1">
      <c r="A226" s="438"/>
      <c r="C226" s="1"/>
      <c r="D226" s="1" t="str">
        <f>DEO!D226</f>
        <v>(Note P)</v>
      </c>
      <c r="E226" s="32" t="s">
        <v>66</v>
      </c>
      <c r="F226" s="32" t="s">
        <v>84</v>
      </c>
      <c r="G226" s="2"/>
      <c r="H226" s="32" t="s">
        <v>83</v>
      </c>
      <c r="I226" s="2"/>
      <c r="J226" s="32" t="s">
        <v>85</v>
      </c>
      <c r="K226" s="2"/>
      <c r="L226" s="2"/>
      <c r="M226" s="2"/>
      <c r="N226" s="976"/>
      <c r="O226" s="19"/>
    </row>
    <row r="227" spans="1:15">
      <c r="A227" s="438">
        <v>27</v>
      </c>
      <c r="C227" s="24" t="str">
        <f>DEO!C227</f>
        <v xml:space="preserve">  Long Term Debt (112, sum of 18.c through 21.c)</v>
      </c>
      <c r="E227" s="228">
        <f>INPUT!D144</f>
        <v>731720000</v>
      </c>
      <c r="F227" s="43">
        <f>IF($E$230&gt;0,E227/$E$230,0)</f>
        <v>0.50464948720599478</v>
      </c>
      <c r="G227" s="19"/>
      <c r="H227" s="19">
        <f>IF(E227&gt;0,J216/E227,0)</f>
        <v>3.5513846826655003E-2</v>
      </c>
      <c r="J227" s="19">
        <f>ROUND(H227*F227,4)</f>
        <v>1.7899999999999999E-2</v>
      </c>
      <c r="K227" s="20" t="s">
        <v>86</v>
      </c>
      <c r="M227" s="2"/>
      <c r="N227" s="976"/>
      <c r="O227" s="19"/>
    </row>
    <row r="228" spans="1:15">
      <c r="A228" s="438">
        <v>28</v>
      </c>
      <c r="C228" s="24" t="str">
        <f>DEO!C228</f>
        <v xml:space="preserve">  Preferred Stock  (112.3.c)</v>
      </c>
      <c r="E228" s="228">
        <f>INPUT!D145</f>
        <v>0</v>
      </c>
      <c r="F228" s="43">
        <f>IF($E$230&gt;0,E228/$E$230,0)</f>
        <v>0</v>
      </c>
      <c r="G228" s="19"/>
      <c r="H228" s="19">
        <f>IF(E228&gt;0,J218/E228,0)</f>
        <v>0</v>
      </c>
      <c r="J228" s="19">
        <f>ROUND(H228*F228,4)</f>
        <v>0</v>
      </c>
      <c r="K228" s="2"/>
      <c r="M228" s="2"/>
      <c r="N228" s="976"/>
      <c r="O228" s="19"/>
    </row>
    <row r="229" spans="1:15" ht="16.5" thickBot="1">
      <c r="A229" s="438">
        <v>29</v>
      </c>
      <c r="C229" s="24" t="str">
        <f>DEO!C229</f>
        <v xml:space="preserve">  Common Stock  (line 26)</v>
      </c>
      <c r="E229" s="148">
        <f>J224</f>
        <v>718236888</v>
      </c>
      <c r="F229" s="43">
        <f>IF($E$230&gt;0,E229/$E$230,0)</f>
        <v>0.49535051279400522</v>
      </c>
      <c r="G229" s="19"/>
      <c r="H229" s="140">
        <f>INPUT!D161</f>
        <v>0.1138</v>
      </c>
      <c r="J229" s="47">
        <f>ROUND(H229*F229,4)</f>
        <v>5.6399999999999999E-2</v>
      </c>
      <c r="K229" s="2"/>
      <c r="M229" s="2"/>
      <c r="N229" s="976"/>
      <c r="O229" s="19"/>
    </row>
    <row r="230" spans="1:15">
      <c r="A230" s="438">
        <v>30</v>
      </c>
      <c r="C230" s="1" t="str">
        <f>DEO!C230</f>
        <v>Total  (sum lines 27-29)</v>
      </c>
      <c r="E230" s="147">
        <f>E229+E228+E227</f>
        <v>1449956888</v>
      </c>
      <c r="F230" s="2" t="s">
        <v>7</v>
      </c>
      <c r="G230" s="2"/>
      <c r="H230" s="2"/>
      <c r="I230" s="2"/>
      <c r="J230" s="19">
        <f>SUM(J227:J229)</f>
        <v>7.4300000000000005E-2</v>
      </c>
      <c r="K230" s="20" t="s">
        <v>88</v>
      </c>
      <c r="M230" s="2"/>
      <c r="N230" s="976"/>
      <c r="O230" s="19"/>
    </row>
    <row r="231" spans="1:15">
      <c r="F231" s="2"/>
      <c r="G231" s="2"/>
      <c r="H231" s="2"/>
      <c r="I231" s="2"/>
      <c r="M231" s="2"/>
      <c r="N231" s="360"/>
    </row>
    <row r="232" spans="1:15">
      <c r="L232" s="2"/>
      <c r="M232" s="2"/>
      <c r="N232" s="436"/>
      <c r="O232" s="24"/>
    </row>
    <row r="233" spans="1:15" ht="15.75">
      <c r="A233" s="438"/>
      <c r="C233" s="40" t="str">
        <f>DEO!C233</f>
        <v>REVENUE CREDITS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"/>
      <c r="N233" s="970"/>
      <c r="O233" s="26"/>
    </row>
    <row r="234" spans="1:15" ht="15.75" thickBot="1">
      <c r="A234" s="438"/>
      <c r="C234" s="24"/>
      <c r="D234" s="24"/>
      <c r="E234" s="24"/>
      <c r="F234" s="24"/>
      <c r="G234" s="24"/>
      <c r="H234" s="24"/>
      <c r="I234" s="24"/>
      <c r="J234" s="32" t="s">
        <v>127</v>
      </c>
      <c r="K234" s="26"/>
      <c r="N234" s="977"/>
      <c r="O234" s="152"/>
    </row>
    <row r="235" spans="1:15">
      <c r="A235" s="438"/>
      <c r="C235" s="253" t="str">
        <f>DEO!C235</f>
        <v>ACCOUNT 447 (SALES FOR RESALE)  (Note Q)</v>
      </c>
      <c r="D235" s="24"/>
      <c r="E235" s="24" t="str">
        <f>DEO!E235</f>
        <v>(310-311)</v>
      </c>
      <c r="F235" s="24"/>
      <c r="G235" s="24"/>
      <c r="H235" s="29" t="s">
        <v>7</v>
      </c>
      <c r="I235" s="23"/>
      <c r="J235" s="152"/>
      <c r="K235" s="152"/>
      <c r="N235" s="978"/>
      <c r="O235" s="979"/>
    </row>
    <row r="236" spans="1:15">
      <c r="A236" s="438">
        <v>31</v>
      </c>
      <c r="C236" s="9" t="str">
        <f>DEO!C236</f>
        <v xml:space="preserve">  a. Bundled Non-RQ Sales for Resale (311.x.h)</v>
      </c>
      <c r="D236" s="24"/>
      <c r="E236" s="24"/>
      <c r="G236" s="24"/>
      <c r="I236" s="23"/>
      <c r="J236" s="243">
        <v>0</v>
      </c>
      <c r="K236" s="46"/>
      <c r="N236" s="978"/>
      <c r="O236" s="979"/>
    </row>
    <row r="237" spans="1:15" ht="15.75" thickBot="1">
      <c r="A237" s="438">
        <v>32</v>
      </c>
      <c r="C237" s="44" t="str">
        <f>DEO!C237</f>
        <v xml:space="preserve">  b. Bundled Sales for Resale included in Divisor on page 1</v>
      </c>
      <c r="D237" s="42"/>
      <c r="E237" s="44"/>
      <c r="F237" s="41"/>
      <c r="G237" s="41"/>
      <c r="H237" s="41"/>
      <c r="I237" s="24"/>
      <c r="J237" s="244">
        <v>0</v>
      </c>
      <c r="K237" s="153"/>
      <c r="N237" s="980"/>
      <c r="O237" s="46"/>
    </row>
    <row r="238" spans="1:15">
      <c r="A238" s="438">
        <v>33</v>
      </c>
      <c r="C238" s="9" t="str">
        <f>DEO!C238</f>
        <v xml:space="preserve">  Total of (a)-(b)</v>
      </c>
      <c r="D238" s="1"/>
      <c r="F238" s="24"/>
      <c r="G238" s="24"/>
      <c r="H238" s="24"/>
      <c r="I238" s="24"/>
      <c r="J238" s="159">
        <f>J236-J237</f>
        <v>0</v>
      </c>
      <c r="K238" s="46"/>
      <c r="N238" s="395"/>
      <c r="O238" s="159"/>
    </row>
    <row r="239" spans="1:15">
      <c r="A239" s="438"/>
      <c r="C239" s="9" t="s">
        <v>7</v>
      </c>
      <c r="D239" s="1"/>
      <c r="F239" s="24"/>
      <c r="G239" s="24"/>
      <c r="H239" s="37"/>
      <c r="I239" s="24"/>
      <c r="J239" s="33" t="s">
        <v>7</v>
      </c>
      <c r="K239" s="152"/>
      <c r="L239" s="34"/>
      <c r="M239" s="2"/>
      <c r="N239" s="395"/>
      <c r="O239" s="159"/>
    </row>
    <row r="240" spans="1:15">
      <c r="A240" s="438">
        <v>34</v>
      </c>
      <c r="C240" s="253" t="str">
        <f>DEO!C240</f>
        <v>ACCOUNT 454 (RENT FROM ELECTRIC PROPERTY)    (Note R)</v>
      </c>
      <c r="D240" s="1"/>
      <c r="F240" s="24"/>
      <c r="G240" s="24"/>
      <c r="H240" s="45"/>
      <c r="I240" s="24"/>
      <c r="J240" s="68">
        <f>ROUND('P8 Rev Cred Support'!G28,0)</f>
        <v>114984</v>
      </c>
      <c r="K240" s="152"/>
      <c r="L240" s="34"/>
      <c r="M240" s="2"/>
      <c r="N240" s="395"/>
      <c r="O240" s="159"/>
    </row>
    <row r="241" spans="1:15">
      <c r="A241" s="438"/>
      <c r="D241" s="24"/>
      <c r="E241" s="24"/>
      <c r="F241" s="24"/>
      <c r="G241" s="24"/>
      <c r="H241" s="24"/>
      <c r="I241" s="24"/>
      <c r="J241" s="51"/>
      <c r="K241" s="152"/>
      <c r="L241" s="34"/>
      <c r="M241" s="2"/>
      <c r="N241" s="395"/>
      <c r="O241" s="435"/>
    </row>
    <row r="242" spans="1:15">
      <c r="A242" s="438">
        <v>35</v>
      </c>
      <c r="C242" s="253" t="str">
        <f>DEO!C242</f>
        <v>ACCOUNT 456.1 (OTHER ELECTRIC REVENUES)        (Note U)</v>
      </c>
      <c r="D242" s="24"/>
      <c r="E242" s="24" t="str">
        <f>DEO!E242</f>
        <v>(330.x.n)</v>
      </c>
      <c r="F242" s="24"/>
      <c r="G242" s="24"/>
      <c r="H242" s="24"/>
      <c r="I242" s="24"/>
      <c r="J242" s="68">
        <f>'P8 Rev Cred Support'!G47</f>
        <v>69581</v>
      </c>
      <c r="L242" s="34"/>
      <c r="M242" s="2"/>
      <c r="N242" s="395"/>
      <c r="O242" s="159"/>
    </row>
    <row r="243" spans="1:15">
      <c r="A243" s="438">
        <v>36</v>
      </c>
      <c r="C243" s="253" t="str">
        <f>DEO!C243</f>
        <v>ACCOUNT 456.1 (OTHER ELECTRIC REVENUES)        (Note W)</v>
      </c>
      <c r="D243" s="24"/>
      <c r="E243" s="24" t="str">
        <f>DEO!E243</f>
        <v>(330.x.n)</v>
      </c>
      <c r="F243" s="24"/>
      <c r="G243" s="24"/>
      <c r="H243" s="24"/>
      <c r="I243" s="24"/>
      <c r="J243" s="68">
        <f>'P8 Rev Cred Support'!G40</f>
        <v>0</v>
      </c>
      <c r="K243" s="26"/>
      <c r="L243" s="61"/>
      <c r="M243" s="26"/>
      <c r="N243" s="395"/>
      <c r="O243" s="159"/>
    </row>
    <row r="244" spans="1:15">
      <c r="A244" s="438"/>
      <c r="C244" s="24"/>
      <c r="D244" s="24"/>
      <c r="E244" s="25"/>
      <c r="F244" s="24"/>
      <c r="G244" s="24"/>
      <c r="H244" s="24"/>
      <c r="I244" s="24"/>
      <c r="K244" s="26"/>
      <c r="L244" s="61"/>
      <c r="M244" s="26"/>
      <c r="N244" s="360"/>
    </row>
    <row r="245" spans="1:15" ht="18">
      <c r="A245" s="440"/>
      <c r="C245" s="24"/>
      <c r="D245" s="24"/>
      <c r="E245" s="25"/>
      <c r="F245" s="24"/>
      <c r="G245" s="24"/>
      <c r="H245" s="24"/>
      <c r="I245" s="24"/>
      <c r="J245" s="50" t="s">
        <v>299</v>
      </c>
      <c r="K245" s="60"/>
      <c r="M245" s="60"/>
      <c r="N245" s="461"/>
      <c r="O245" s="50"/>
    </row>
    <row r="246" spans="1:15">
      <c r="C246" s="24"/>
      <c r="D246" s="24"/>
      <c r="E246" s="25"/>
      <c r="F246" s="24"/>
      <c r="G246" s="24"/>
      <c r="H246" s="24"/>
      <c r="I246" s="24"/>
      <c r="J246" s="50" t="s">
        <v>410</v>
      </c>
      <c r="M246" s="50"/>
      <c r="N246" s="461"/>
      <c r="O246" s="50"/>
    </row>
    <row r="247" spans="1:15">
      <c r="C247" s="24"/>
      <c r="D247" s="24"/>
      <c r="E247" s="25"/>
      <c r="F247" s="24"/>
      <c r="G247" s="24"/>
      <c r="H247" s="24"/>
      <c r="I247" s="24"/>
      <c r="J247" s="50"/>
      <c r="M247" s="50"/>
      <c r="N247" s="461"/>
      <c r="O247" s="50"/>
    </row>
    <row r="248" spans="1:15">
      <c r="C248" s="24"/>
      <c r="D248" s="24"/>
      <c r="E248" s="25"/>
      <c r="F248" s="24"/>
      <c r="G248" s="24"/>
      <c r="H248" s="24"/>
      <c r="I248" s="24"/>
      <c r="M248" s="50"/>
      <c r="N248" s="360"/>
    </row>
    <row r="249" spans="1:15">
      <c r="C249" s="24"/>
      <c r="D249" s="24"/>
      <c r="E249" s="25"/>
      <c r="F249" s="24"/>
      <c r="G249" s="24"/>
      <c r="H249" s="24"/>
      <c r="I249" s="24"/>
      <c r="K249" s="1"/>
      <c r="M249" s="50"/>
      <c r="N249" s="360"/>
    </row>
    <row r="250" spans="1:15">
      <c r="C250" s="24" t="s">
        <v>6</v>
      </c>
      <c r="D250" s="24"/>
      <c r="E250" s="25"/>
      <c r="F250" s="24"/>
      <c r="G250" s="24"/>
      <c r="H250" s="24"/>
      <c r="I250" s="24"/>
      <c r="J250" s="50"/>
      <c r="K250" s="1"/>
      <c r="M250" s="50"/>
      <c r="N250" s="461"/>
      <c r="O250" s="50"/>
    </row>
    <row r="251" spans="1:15">
      <c r="C251" s="24"/>
      <c r="D251" s="24"/>
      <c r="E251" s="25"/>
      <c r="F251" s="24"/>
      <c r="G251" s="24"/>
      <c r="H251" s="24"/>
      <c r="I251" s="24"/>
      <c r="J251" s="61" t="str">
        <f>$J$7</f>
        <v>For the 12 months ended: 12/31/2020</v>
      </c>
      <c r="K251" s="1"/>
      <c r="M251" s="50"/>
      <c r="N251" s="462"/>
      <c r="O251" s="61"/>
    </row>
    <row r="252" spans="1:15">
      <c r="A252" s="442" t="str">
        <f>$A$8</f>
        <v>Rate Formula Template</v>
      </c>
      <c r="B252" s="70"/>
      <c r="C252" s="70"/>
      <c r="D252" s="144"/>
      <c r="E252" s="70"/>
      <c r="F252" s="144"/>
      <c r="G252" s="144"/>
      <c r="H252" s="144"/>
      <c r="I252" s="144"/>
      <c r="J252" s="70"/>
      <c r="K252" s="24"/>
      <c r="L252" s="70"/>
      <c r="M252" s="1"/>
      <c r="N252" s="185"/>
      <c r="O252" s="144"/>
    </row>
    <row r="253" spans="1:15">
      <c r="A253" s="447" t="s">
        <v>270</v>
      </c>
      <c r="B253" s="70"/>
      <c r="C253" s="144"/>
      <c r="D253" s="145"/>
      <c r="E253" s="70"/>
      <c r="F253" s="145"/>
      <c r="G253" s="145"/>
      <c r="H253" s="145"/>
      <c r="I253" s="144"/>
      <c r="J253" s="144"/>
      <c r="K253" s="24"/>
      <c r="L253" s="146"/>
      <c r="M253" s="1"/>
      <c r="N253" s="226"/>
      <c r="O253" s="146"/>
    </row>
    <row r="254" spans="1:15">
      <c r="A254" s="442"/>
      <c r="B254" s="70"/>
      <c r="C254" s="146"/>
      <c r="D254" s="146"/>
      <c r="E254" s="70"/>
      <c r="F254" s="146"/>
      <c r="G254" s="146"/>
      <c r="H254" s="146"/>
      <c r="I254" s="146"/>
      <c r="J254" s="146"/>
      <c r="K254" s="24"/>
      <c r="L254" s="146"/>
      <c r="M254" s="24"/>
      <c r="N254" s="226"/>
      <c r="O254" s="146"/>
    </row>
    <row r="255" spans="1:15" ht="15.75">
      <c r="A255" s="443" t="str">
        <f>$A$11</f>
        <v>DUKE ENERGY KENTUCKY (DEK)</v>
      </c>
      <c r="B255" s="70"/>
      <c r="C255" s="146"/>
      <c r="D255" s="146"/>
      <c r="E255" s="70"/>
      <c r="F255" s="146"/>
      <c r="G255" s="146"/>
      <c r="H255" s="146"/>
      <c r="I255" s="146"/>
      <c r="J255" s="146"/>
      <c r="K255" s="24"/>
      <c r="L255" s="146"/>
      <c r="M255" s="24"/>
      <c r="N255" s="981"/>
      <c r="O255" s="155"/>
    </row>
    <row r="256" spans="1:15" ht="15.75">
      <c r="A256" s="449"/>
      <c r="B256" s="24"/>
      <c r="C256" s="31"/>
      <c r="D256" s="26"/>
      <c r="E256" s="2"/>
      <c r="F256" s="2"/>
      <c r="G256" s="2"/>
      <c r="H256" s="2"/>
      <c r="I256" s="24"/>
      <c r="J256" s="155"/>
      <c r="K256" s="24"/>
      <c r="L256" s="154"/>
      <c r="M256" s="24"/>
      <c r="N256" s="358"/>
      <c r="O256" s="2"/>
    </row>
    <row r="257" spans="1:16" ht="20.25">
      <c r="A257" s="438"/>
      <c r="B257" s="24"/>
      <c r="C257" s="24" t="s">
        <v>93</v>
      </c>
      <c r="D257" s="26"/>
      <c r="E257" s="2"/>
      <c r="F257" s="2"/>
      <c r="G257" s="2"/>
      <c r="H257" s="2"/>
      <c r="I257" s="24"/>
      <c r="J257" s="2"/>
      <c r="K257" s="24"/>
      <c r="L257" s="2"/>
      <c r="M257" s="156"/>
      <c r="N257" s="358"/>
      <c r="O257" s="2"/>
    </row>
    <row r="258" spans="1:16" ht="20.25">
      <c r="A258" s="438"/>
      <c r="B258" s="24"/>
      <c r="C258" s="24" t="s">
        <v>585</v>
      </c>
      <c r="D258" s="24"/>
      <c r="E258" s="2"/>
      <c r="F258" s="2"/>
      <c r="G258" s="2"/>
      <c r="H258" s="2"/>
      <c r="I258" s="24"/>
      <c r="J258" s="2"/>
      <c r="K258" s="24"/>
      <c r="L258" s="2"/>
      <c r="M258" s="156"/>
      <c r="N258" s="358"/>
      <c r="O258" s="2"/>
    </row>
    <row r="259" spans="1:16" ht="20.25">
      <c r="A259" s="444" t="s">
        <v>584</v>
      </c>
      <c r="B259" s="24"/>
      <c r="C259" s="24"/>
      <c r="D259" s="24"/>
      <c r="E259" s="2"/>
      <c r="F259" s="2"/>
      <c r="G259" s="2"/>
      <c r="H259" s="2"/>
      <c r="I259" s="24"/>
      <c r="J259" s="2"/>
      <c r="K259" s="24"/>
      <c r="L259" s="2"/>
      <c r="M259" s="156"/>
      <c r="N259" s="358"/>
      <c r="O259" s="2"/>
    </row>
    <row r="260" spans="1:16" ht="21">
      <c r="A260" s="438" t="s">
        <v>96</v>
      </c>
      <c r="B260" s="24"/>
      <c r="C260" s="367" t="s">
        <v>988</v>
      </c>
      <c r="D260" s="24"/>
      <c r="E260" s="2"/>
      <c r="F260" s="2"/>
      <c r="G260" s="2"/>
      <c r="H260" s="2"/>
      <c r="I260" s="24"/>
      <c r="J260" s="2"/>
      <c r="K260" s="24"/>
      <c r="L260" s="2"/>
      <c r="M260" s="156"/>
      <c r="N260" s="358"/>
      <c r="O260" s="2"/>
      <c r="P260" s="59"/>
    </row>
    <row r="261" spans="1:16" ht="20.25">
      <c r="A261" s="438" t="s">
        <v>97</v>
      </c>
      <c r="B261" s="24"/>
      <c r="C261" s="367" t="s">
        <v>989</v>
      </c>
      <c r="D261" s="24"/>
      <c r="E261" s="2"/>
      <c r="F261" s="2"/>
      <c r="G261" s="2"/>
      <c r="H261" s="2"/>
      <c r="I261" s="24"/>
      <c r="J261" s="2"/>
      <c r="K261" s="24"/>
      <c r="L261" s="2"/>
      <c r="M261" s="156"/>
      <c r="N261" s="358"/>
      <c r="O261" s="2"/>
    </row>
    <row r="262" spans="1:16" ht="20.25">
      <c r="A262" s="438" t="s">
        <v>98</v>
      </c>
      <c r="B262" s="24"/>
      <c r="C262" s="367" t="str">
        <f>DEO!C262</f>
        <v>Reserved</v>
      </c>
      <c r="D262" s="24"/>
      <c r="E262" s="24"/>
      <c r="F262" s="24"/>
      <c r="G262" s="24"/>
      <c r="H262" s="24"/>
      <c r="I262" s="24"/>
      <c r="J262" s="2"/>
      <c r="K262" s="24"/>
      <c r="L262" s="24"/>
      <c r="M262" s="156"/>
      <c r="N262" s="358"/>
      <c r="O262" s="2"/>
    </row>
    <row r="263" spans="1:16" ht="20.25">
      <c r="A263" s="438" t="s">
        <v>99</v>
      </c>
      <c r="B263" s="24"/>
      <c r="C263" s="367" t="str">
        <f>DEO!C263</f>
        <v>Reserved</v>
      </c>
      <c r="D263" s="24"/>
      <c r="E263" s="24"/>
      <c r="F263" s="24"/>
      <c r="G263" s="24"/>
      <c r="H263" s="24"/>
      <c r="I263" s="24"/>
      <c r="J263" s="2"/>
      <c r="K263" s="24"/>
      <c r="L263" s="24"/>
      <c r="M263" s="156"/>
      <c r="N263" s="358"/>
      <c r="O263" s="2"/>
    </row>
    <row r="264" spans="1:16" ht="20.25">
      <c r="A264" s="438" t="s">
        <v>100</v>
      </c>
      <c r="B264" s="24"/>
      <c r="C264" s="367" t="str">
        <f>DEO!C264</f>
        <v xml:space="preserve">DEOK will provide, in connection with each Annual Update, a copy of the entire annual actuarial valuation report supporting the derivation of the annual Postretirement Benefits </v>
      </c>
      <c r="D264" s="24"/>
      <c r="E264" s="24"/>
      <c r="F264" s="24"/>
      <c r="G264" s="24"/>
      <c r="H264" s="24"/>
      <c r="I264" s="24"/>
      <c r="J264" s="2"/>
      <c r="K264" s="24"/>
      <c r="L264" s="24"/>
      <c r="M264" s="156"/>
      <c r="N264" s="358"/>
      <c r="O264" s="2"/>
    </row>
    <row r="265" spans="1:16" ht="20.25">
      <c r="A265" s="438"/>
      <c r="B265" s="24"/>
      <c r="C265" s="367" t="str">
        <f>DEO!C265</f>
        <v>Other than Pensions (“PBOP”) expense as charged to FERC account 926, and the amount of such expense included in Total Admin and General Expenses provided on</v>
      </c>
      <c r="D265" s="24"/>
      <c r="E265" s="24"/>
      <c r="F265" s="24"/>
      <c r="G265" s="24"/>
      <c r="H265" s="24"/>
      <c r="I265" s="24"/>
      <c r="J265" s="2"/>
      <c r="K265" s="24"/>
      <c r="L265" s="24"/>
      <c r="M265" s="156"/>
      <c r="N265" s="358"/>
      <c r="O265" s="2"/>
    </row>
    <row r="266" spans="1:16" ht="20.25">
      <c r="A266" s="438"/>
      <c r="B266" s="24"/>
      <c r="C266" s="367" t="str">
        <f>DEO!C266</f>
        <v xml:space="preserve">Attachment H-22A, page 3 of 6, line 3 of the Formula Rate.  DEOK will provide, in connection with each Annual Update, a worksheet that shows the actual PBOP expense </v>
      </c>
      <c r="D266" s="24"/>
      <c r="E266" s="24"/>
      <c r="F266" s="24"/>
      <c r="G266" s="24"/>
      <c r="H266" s="24"/>
      <c r="I266" s="24"/>
      <c r="J266" s="2"/>
      <c r="K266" s="24"/>
      <c r="L266" s="24"/>
      <c r="M266" s="156"/>
      <c r="N266" s="358"/>
      <c r="O266" s="2"/>
    </row>
    <row r="267" spans="1:16" ht="20.25">
      <c r="A267" s="438"/>
      <c r="B267" s="24"/>
      <c r="C267" s="367" t="str">
        <f>DEO!C267</f>
        <v xml:space="preserve">components and calculation derivation (including, for each account to which PBOP expense is recorded, the account number, expense amount, description, calculation </v>
      </c>
      <c r="D267" s="24"/>
      <c r="E267" s="24"/>
      <c r="F267" s="24"/>
      <c r="G267" s="24"/>
      <c r="H267" s="24"/>
      <c r="I267" s="24"/>
      <c r="J267" s="2"/>
      <c r="K267" s="24"/>
      <c r="L267" s="24"/>
      <c r="M267" s="156"/>
      <c r="N267" s="358"/>
      <c r="O267" s="2"/>
    </row>
    <row r="268" spans="1:16" ht="20.25">
      <c r="A268" s="438"/>
      <c r="B268" s="24"/>
      <c r="C268" s="367" t="str">
        <f>DEO!C268</f>
        <v>derivation and source).</v>
      </c>
      <c r="D268" s="24"/>
      <c r="E268" s="24"/>
      <c r="F268" s="24"/>
      <c r="G268" s="24"/>
      <c r="H268" s="24"/>
      <c r="I268" s="24"/>
      <c r="J268" s="2"/>
      <c r="K268" s="24"/>
      <c r="L268" s="24"/>
      <c r="M268" s="156"/>
      <c r="N268" s="358"/>
      <c r="O268" s="2"/>
    </row>
    <row r="269" spans="1:16" ht="20.25">
      <c r="A269" s="438" t="s">
        <v>101</v>
      </c>
      <c r="B269" s="24"/>
      <c r="C269" s="367" t="str">
        <f>DEO!C269</f>
        <v>The balances in Accounts 190, 281, 282 and 283, as adjusted by any amounts in contra accounts identified as regulatory assets or liabilities related to FASB 106 or 109.</v>
      </c>
      <c r="D269" s="24"/>
      <c r="E269" s="24"/>
      <c r="F269" s="24"/>
      <c r="G269" s="24"/>
      <c r="H269" s="24"/>
      <c r="I269" s="24"/>
      <c r="J269" s="2"/>
      <c r="K269" s="24"/>
      <c r="L269" s="24"/>
      <c r="M269" s="156"/>
      <c r="N269" s="2"/>
      <c r="O269" s="2"/>
    </row>
    <row r="270" spans="1:16" ht="20.25">
      <c r="A270" s="438"/>
      <c r="B270" s="24"/>
      <c r="C270" s="367" t="str">
        <f>DEO!C270</f>
        <v>Account 254 includes Other Regulated Liabilities related to Excess/Deficient Accumulated Deferred Income Taxes that have been allocated to electric operations. This line item is</v>
      </c>
      <c r="D270" s="24"/>
      <c r="E270" s="24"/>
      <c r="F270" s="24"/>
      <c r="G270" s="24"/>
      <c r="H270" s="24"/>
      <c r="I270" s="24"/>
      <c r="J270" s="2"/>
      <c r="K270" s="24"/>
      <c r="L270" s="24"/>
      <c r="M270" s="156"/>
      <c r="N270" s="24"/>
      <c r="O270" s="24"/>
    </row>
    <row r="271" spans="1:16" ht="20.25">
      <c r="A271" s="438"/>
      <c r="B271" s="24"/>
      <c r="C271" s="367" t="str">
        <f>DEO!C271</f>
        <v>necessary to maintain rate base neutrality in the event of a change in the Federal or State income tax rates.  Balance of Account 255 is reduced by prior flow throughs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156"/>
      <c r="N271" s="24"/>
      <c r="O271" s="24"/>
    </row>
    <row r="272" spans="1:16" ht="20.25">
      <c r="A272" s="438"/>
      <c r="B272" s="24"/>
      <c r="C272" s="367" t="str">
        <f>DEO!C272</f>
        <v>and excluded if the utility chose to utilize amortization of tax credits against taxable income as discussed in Note K.  Account 281 is not allocated.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156"/>
      <c r="N272" s="24"/>
      <c r="O272" s="24"/>
    </row>
    <row r="273" spans="1:15" ht="20.25">
      <c r="A273" s="438" t="s">
        <v>102</v>
      </c>
      <c r="B273" s="24"/>
      <c r="C273" s="367" t="str">
        <f>DEO!C273</f>
        <v>Identified in Form 1 as being only transmission related.  The transmission portion of page 227, line 5 is specified in a footnote to the Form 1.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156"/>
      <c r="N273" s="24"/>
      <c r="O273" s="24"/>
    </row>
    <row r="274" spans="1:15" ht="20.25">
      <c r="A274" s="438" t="s">
        <v>103</v>
      </c>
      <c r="B274" s="24"/>
      <c r="C274" s="367" t="str">
        <f>DEO!C274</f>
        <v>Cash Working Capital assigned to transmission is one-eighth of O&amp;M allocated to transmission at page 3, line 8, column 5.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156"/>
      <c r="N274" s="24"/>
      <c r="O274" s="24"/>
    </row>
    <row r="275" spans="1:15" ht="20.25">
      <c r="A275" s="438"/>
      <c r="B275" s="24"/>
      <c r="C275" s="367" t="str">
        <f>DEO!C275</f>
        <v>Prepayments are the electric related prepayments booked to Account No. 165 and reported on Page 111 line 57 in the Form 1.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156"/>
      <c r="N275" s="24"/>
      <c r="O275" s="24"/>
    </row>
    <row r="276" spans="1:15" ht="20.25">
      <c r="A276" s="438" t="s">
        <v>105</v>
      </c>
      <c r="B276" s="24"/>
      <c r="C276" s="367" t="str">
        <f>DEO!C276</f>
        <v xml:space="preserve">Line 5 - EPRI Annual Membership Dues listed in Form 1 at 353.f, all Regulatory Commission Expenses itemized at 351.h, and non-safety related advertising included 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156"/>
      <c r="N276" s="24"/>
      <c r="O276" s="24"/>
    </row>
    <row r="277" spans="1:15" ht="20.25">
      <c r="A277" s="438"/>
      <c r="B277" s="24"/>
      <c r="C277" s="367" t="str">
        <f>DEO!C277</f>
        <v xml:space="preserve">in Account 930.1.  Line 5a - Regulatory Commission Expenses directly related to transmission service, ISO filings, or transmission siting itemized at 351.h. 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156"/>
      <c r="N277" s="24"/>
      <c r="O277" s="24"/>
    </row>
    <row r="278" spans="1:15" ht="20.25">
      <c r="A278" s="438" t="s">
        <v>106</v>
      </c>
      <c r="B278" s="24"/>
      <c r="C278" s="367" t="str">
        <f>DEO!C278</f>
        <v>Includes only FICA, unemployment, highway, property, gross receipts, and other assessments charged in the current year.  Taxes related to income are excluded.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156"/>
      <c r="N278" s="24"/>
      <c r="O278" s="24"/>
    </row>
    <row r="279" spans="1:15" ht="20.25">
      <c r="A279" s="438"/>
      <c r="B279" s="24"/>
      <c r="C279" s="367" t="str">
        <f>DEO!C279</f>
        <v>Gross receipts taxes are not included in transmission revenue requirement in the Rate Formula Template, since they are recovered elsewhere.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156"/>
      <c r="N279" s="24"/>
      <c r="O279" s="24"/>
    </row>
    <row r="280" spans="1:15" ht="20.25">
      <c r="A280" s="438" t="s">
        <v>107</v>
      </c>
      <c r="B280" s="24"/>
      <c r="C280" s="367" t="str">
        <f>DEO!C280</f>
        <v>The currently effective income tax rate, where FIT is the Federal income tax rate; SIT is the State income tax rate, and p =</v>
      </c>
      <c r="D280" s="24"/>
      <c r="E280" s="24"/>
      <c r="F280" s="24"/>
      <c r="G280" s="24"/>
      <c r="H280" s="24"/>
      <c r="I280" s="24"/>
      <c r="J280" s="24"/>
      <c r="K280" s="24"/>
      <c r="L280" s="24"/>
      <c r="M280" s="156"/>
      <c r="N280" s="24"/>
      <c r="O280" s="24"/>
    </row>
    <row r="281" spans="1:15" ht="20.25">
      <c r="A281" s="438"/>
      <c r="B281" s="24"/>
      <c r="C281" s="367" t="str">
        <f>DEO!C281</f>
        <v xml:space="preserve">"the percentage of federal income tax deductible for state income taxes".  If the utility is taxed in more than one state it must attach a work paper showing the name 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156"/>
      <c r="N281" s="24"/>
      <c r="O281" s="24"/>
    </row>
    <row r="282" spans="1:15" ht="20.25">
      <c r="A282" s="438"/>
      <c r="B282" s="24"/>
      <c r="C282" s="367" t="str">
        <f>DEO!C282</f>
        <v>of each state and how the blended or composite SIT was developed.  Furthermore, a utility that elected to utilize amortization of tax credits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156"/>
      <c r="N282" s="24"/>
      <c r="O282" s="24"/>
    </row>
    <row r="283" spans="1:15" ht="20.25">
      <c r="A283" s="438"/>
      <c r="B283" s="24"/>
      <c r="C283" s="367" t="str">
        <f>DEO!C283</f>
        <v xml:space="preserve">against taxable income, rather than book tax credits to Account No. 255 and reduce rate base, must reduce its income tax expense by 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156"/>
      <c r="N283" s="24"/>
      <c r="O283" s="24"/>
    </row>
    <row r="284" spans="1:15" ht="20.25">
      <c r="A284" s="438"/>
      <c r="B284" s="24"/>
      <c r="C284" s="367" t="str">
        <f>DEO!C284</f>
        <v>the amount of the Amortized Investment Tax Credit (Form 1, 266.8.f) multiplied by (1/1-T) (page 3, line 27).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156"/>
      <c r="N284" s="24"/>
      <c r="O284" s="24"/>
    </row>
    <row r="285" spans="1:15" ht="20.25">
      <c r="A285" s="438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156"/>
      <c r="N285" s="24"/>
      <c r="O285" s="24"/>
    </row>
    <row r="286" spans="1:15" ht="20.25">
      <c r="A286" s="438" t="s">
        <v>7</v>
      </c>
      <c r="B286" s="24"/>
      <c r="C286" s="24" t="s">
        <v>139</v>
      </c>
      <c r="D286" s="24" t="s">
        <v>130</v>
      </c>
      <c r="E286" s="307">
        <f>FIT</f>
        <v>0.21</v>
      </c>
      <c r="F286" s="24"/>
      <c r="H286" s="24"/>
      <c r="I286" s="24"/>
      <c r="J286" s="24"/>
      <c r="K286" s="24"/>
      <c r="L286" s="24"/>
      <c r="M286" s="156"/>
      <c r="N286" s="24"/>
      <c r="O286" s="24"/>
    </row>
    <row r="287" spans="1:15" ht="20.25">
      <c r="A287" s="438"/>
      <c r="B287" s="24"/>
      <c r="C287" s="24"/>
      <c r="D287" s="24" t="s">
        <v>131</v>
      </c>
      <c r="E287" s="246">
        <f>INPUT!D88</f>
        <v>0.05</v>
      </c>
      <c r="F287" s="24" t="s">
        <v>132</v>
      </c>
      <c r="H287" s="24"/>
      <c r="I287" s="24"/>
      <c r="J287" s="24"/>
      <c r="K287" s="24"/>
      <c r="L287" s="24"/>
      <c r="M287" s="156"/>
      <c r="N287" s="24"/>
      <c r="O287" s="24"/>
    </row>
    <row r="288" spans="1:15" ht="20.25">
      <c r="A288" s="438"/>
      <c r="B288" s="24"/>
      <c r="C288" s="24"/>
      <c r="D288" s="24" t="s">
        <v>133</v>
      </c>
      <c r="E288" s="245">
        <v>0</v>
      </c>
      <c r="F288" s="24" t="s">
        <v>134</v>
      </c>
      <c r="H288" s="24"/>
      <c r="I288" s="24"/>
      <c r="J288" s="24"/>
      <c r="K288" s="24"/>
      <c r="L288" s="24"/>
      <c r="M288" s="156"/>
      <c r="N288" s="24"/>
      <c r="O288" s="24"/>
    </row>
    <row r="289" spans="1:15" ht="20.25">
      <c r="A289" s="438" t="s">
        <v>108</v>
      </c>
      <c r="B289" s="24"/>
      <c r="C289" s="367" t="str">
        <f>DEO!C289</f>
        <v>Removes dollar amount of transmission expenses included in the OATT ancillary services rates, including Account Nos. 561.1, 561.2 and 561.3.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156"/>
      <c r="N289" s="24"/>
      <c r="O289" s="24"/>
    </row>
    <row r="290" spans="1:15" ht="20.25">
      <c r="A290" s="438" t="s">
        <v>109</v>
      </c>
      <c r="B290" s="24"/>
      <c r="C290" s="367" t="str">
        <f>DEO!C290</f>
        <v>Removes transmission plant determined by Commission order to be state-jurisdictional according to the seven-factor test (until Form 1</v>
      </c>
      <c r="D290" s="24"/>
      <c r="E290" s="24"/>
      <c r="F290" s="24"/>
      <c r="G290" s="24"/>
      <c r="H290" s="24"/>
      <c r="I290" s="24"/>
      <c r="J290" s="24"/>
      <c r="K290" s="24"/>
      <c r="L290" s="24"/>
      <c r="M290" s="156"/>
      <c r="N290" s="24"/>
      <c r="O290" s="24"/>
    </row>
    <row r="291" spans="1:15" ht="20.25">
      <c r="A291" s="438"/>
      <c r="B291" s="24"/>
      <c r="C291" s="367" t="str">
        <f>DEO!C291</f>
        <v xml:space="preserve">balances are adjusted to reflect application of seven-factor test).  </v>
      </c>
      <c r="D291" s="24"/>
      <c r="E291" s="24"/>
      <c r="F291" s="24"/>
      <c r="G291" s="24"/>
      <c r="H291" s="24"/>
      <c r="I291" s="24"/>
      <c r="J291" s="24"/>
      <c r="K291" s="24"/>
      <c r="L291" s="24"/>
      <c r="M291" s="156"/>
      <c r="N291" s="24"/>
      <c r="O291" s="24"/>
    </row>
    <row r="292" spans="1:15" ht="20.25">
      <c r="A292" s="438" t="s">
        <v>111</v>
      </c>
      <c r="B292" s="24"/>
      <c r="C292" s="367" t="str">
        <f>DEO!C292</f>
        <v>Removes dollar amount of transmission plant included in the development of OATT ancillary services rates and generation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156"/>
      <c r="N292" s="24"/>
      <c r="O292" s="24"/>
    </row>
    <row r="293" spans="1:15" ht="20.25">
      <c r="A293" s="438"/>
      <c r="B293" s="24"/>
      <c r="C293" s="367" t="str">
        <f>DEO!C293</f>
        <v>step-up facilities, which are deemed to be included in OATT ancillary services.  For these purposes, generation step-up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156"/>
      <c r="N293" s="24"/>
      <c r="O293" s="24"/>
    </row>
    <row r="294" spans="1:15" ht="20.25">
      <c r="A294" s="438"/>
      <c r="B294" s="24"/>
      <c r="C294" s="367" t="str">
        <f>DEO!C294</f>
        <v>facilities are those facilities at a generator substation on which there is no through-flow when the generator is shut down.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156"/>
      <c r="N294" s="24"/>
      <c r="O294" s="24"/>
    </row>
    <row r="295" spans="1:15" ht="20.25">
      <c r="A295" s="438" t="s">
        <v>112</v>
      </c>
      <c r="B295" s="24"/>
      <c r="C295" s="367" t="str">
        <f>DEO!C295</f>
        <v xml:space="preserve">Includes the amortization of any excess/deficient deferred income taxes resulting from changes to income tax laws, income tax rates (including changes in </v>
      </c>
      <c r="D295" s="24"/>
      <c r="E295" s="24"/>
      <c r="F295" s="24"/>
      <c r="G295" s="24"/>
      <c r="H295" s="24"/>
      <c r="I295" s="24"/>
      <c r="J295" s="24"/>
      <c r="K295" s="24"/>
      <c r="L295" s="24"/>
      <c r="M295" s="156"/>
      <c r="N295" s="24"/>
      <c r="O295" s="24"/>
    </row>
    <row r="296" spans="1:15" ht="20.25">
      <c r="A296" s="438"/>
      <c r="B296" s="24"/>
      <c r="C296" s="367" t="str">
        <f>DEO!C296</f>
        <v xml:space="preserve">apportionment) and other actions taken by a taxing authority.  Excess and deficient deferred income taxes will reduce or increase tax expense by the amount of </v>
      </c>
      <c r="D296" s="24"/>
      <c r="E296" s="24"/>
      <c r="F296" s="24"/>
      <c r="G296" s="24"/>
      <c r="H296" s="24"/>
      <c r="I296" s="24"/>
      <c r="J296" s="24"/>
      <c r="K296" s="24"/>
      <c r="L296" s="24"/>
      <c r="M296" s="156"/>
      <c r="N296" s="24"/>
      <c r="O296" s="24"/>
    </row>
    <row r="297" spans="1:15" ht="20.25">
      <c r="A297" s="438"/>
      <c r="B297" s="24"/>
      <c r="C297" s="367" t="str">
        <f>DEO!C297</f>
        <v>the excess or deficiency multiplied by (1/(1-T)) (page 3, line 25).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156"/>
      <c r="N297" s="24"/>
      <c r="O297" s="24"/>
    </row>
    <row r="298" spans="1:15" ht="20.25">
      <c r="A298" s="438" t="s">
        <v>113</v>
      </c>
      <c r="B298" s="24"/>
      <c r="C298" s="367" t="str">
        <f>DEO!C298</f>
        <v>Debt cost rate = long-term interest (line 21) / long term debt (line 27).  Preferred cost rate = preferred dividends (line 22) / preferred outstanding (line 28).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156"/>
      <c r="N298" s="24"/>
      <c r="O298" s="24"/>
    </row>
    <row r="299" spans="1:15" ht="20.25">
      <c r="A299" s="438"/>
      <c r="B299" s="24"/>
      <c r="C299" s="367" t="str">
        <f>DEO!C299</f>
        <v>ROE will be supported in the original filing and no change in ROE may be made absent a filing with FERC.  Capitalization adjusted to exclude impacts of purchase accounting.</v>
      </c>
      <c r="D299" s="24"/>
      <c r="E299" s="24"/>
      <c r="F299" s="24"/>
      <c r="G299" s="24"/>
      <c r="H299" s="24"/>
      <c r="I299" s="24"/>
      <c r="J299" s="24"/>
      <c r="K299" s="24"/>
      <c r="L299" s="24"/>
      <c r="M299" s="156"/>
      <c r="N299" s="24"/>
      <c r="O299" s="24"/>
    </row>
    <row r="300" spans="1:15" ht="20.25">
      <c r="A300" s="438" t="s">
        <v>114</v>
      </c>
      <c r="B300" s="24"/>
      <c r="C300" s="367" t="str">
        <f>DEO!C300</f>
        <v>Line 33 must equal zero since all short-term power sales must be unbundled and the transmission component reflected in Account</v>
      </c>
      <c r="D300" s="24"/>
      <c r="E300" s="24"/>
      <c r="F300" s="24"/>
      <c r="G300" s="24"/>
      <c r="H300" s="24"/>
      <c r="I300" s="24"/>
      <c r="J300" s="24"/>
      <c r="K300" s="24"/>
      <c r="L300" s="24"/>
      <c r="M300" s="156"/>
      <c r="N300" s="24"/>
      <c r="O300" s="24"/>
    </row>
    <row r="301" spans="1:15" ht="20.25">
      <c r="A301" s="438"/>
      <c r="B301" s="24"/>
      <c r="C301" s="367" t="str">
        <f>DEO!C301</f>
        <v>No. 456.1 and all other uses are to be included in the divisor.</v>
      </c>
      <c r="D301" s="24"/>
      <c r="E301" s="24"/>
      <c r="F301" s="24"/>
      <c r="G301" s="24"/>
      <c r="H301" s="24"/>
      <c r="I301" s="24"/>
      <c r="J301" s="24"/>
      <c r="K301" s="24"/>
      <c r="L301" s="24"/>
      <c r="M301" s="156"/>
      <c r="N301" s="24"/>
      <c r="O301" s="24"/>
    </row>
    <row r="302" spans="1:15" ht="20.25" customHeight="1">
      <c r="A302" s="438" t="s">
        <v>115</v>
      </c>
      <c r="B302" s="24"/>
      <c r="C302" s="367" t="str">
        <f>DEO!C302</f>
        <v>Includes income related only to transmission facilities, such as pole attachments, rentals and special use.</v>
      </c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1"/>
      <c r="O302" s="1"/>
    </row>
    <row r="303" spans="1:15" ht="20.25" customHeight="1">
      <c r="A303" s="438" t="s">
        <v>149</v>
      </c>
      <c r="C303" s="367" t="str">
        <f>DEO!C303</f>
        <v>Reserved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20.25" customHeight="1">
      <c r="A304" s="450" t="s">
        <v>150</v>
      </c>
      <c r="C304" s="367" t="str">
        <f>DEO!C304</f>
        <v>The revenues credited on page 1 lines 2-5 shall include only the amounts received directly (in the case of grandfathered agreements)</v>
      </c>
      <c r="D304" s="9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20.25" customHeight="1">
      <c r="C305" s="367" t="str">
        <f>DEO!C305</f>
        <v>from the ISO (for service under this tariff) reflecting the Transmission Owner's integrated transmission facilities.  They do not include</v>
      </c>
      <c r="D305" s="1"/>
      <c r="E305" s="1"/>
      <c r="F305" s="1"/>
      <c r="G305" s="1"/>
      <c r="H305" s="1"/>
      <c r="I305" s="1"/>
      <c r="J305" s="1"/>
      <c r="K305" s="1"/>
      <c r="L305" s="1"/>
      <c r="M305" s="158"/>
      <c r="N305" s="1"/>
      <c r="O305" s="1"/>
    </row>
    <row r="306" spans="1:15" ht="20.25" customHeight="1">
      <c r="C306" s="367" t="str">
        <f>DEO!C306</f>
        <v>revenues associated with FERC annual charges, gross receipts taxes, ancillary services, or facilities not included in this template (e.g., direct</v>
      </c>
      <c r="D306" s="1"/>
      <c r="E306" s="93"/>
      <c r="F306" s="1"/>
      <c r="G306" s="1"/>
      <c r="H306" s="1"/>
      <c r="I306" s="1"/>
      <c r="J306" s="1"/>
      <c r="K306" s="1"/>
      <c r="L306" s="1"/>
      <c r="M306" s="158"/>
      <c r="N306" s="1"/>
      <c r="O306" s="1"/>
    </row>
    <row r="307" spans="1:15" ht="20.25" customHeight="1">
      <c r="C307" s="367" t="str">
        <f>DEO!C307</f>
        <v xml:space="preserve">assignment facilities and GSUs) which are not recovered under this Rate Formula Template. </v>
      </c>
      <c r="D307" s="1"/>
      <c r="E307" s="93"/>
      <c r="F307" s="1"/>
      <c r="G307" s="1"/>
      <c r="H307" s="1"/>
      <c r="I307" s="1"/>
      <c r="J307" s="1"/>
      <c r="K307" s="1"/>
      <c r="L307" s="1"/>
      <c r="M307" s="158"/>
      <c r="N307" s="50"/>
      <c r="O307" s="50"/>
    </row>
    <row r="308" spans="1:15" ht="18">
      <c r="A308" s="440"/>
      <c r="C308" s="24"/>
      <c r="D308" s="24"/>
      <c r="E308" s="25"/>
      <c r="F308" s="24"/>
      <c r="G308" s="24"/>
      <c r="H308" s="24"/>
      <c r="I308" s="24"/>
      <c r="J308" s="50" t="s">
        <v>299</v>
      </c>
      <c r="K308" s="60"/>
      <c r="M308" s="60"/>
      <c r="N308" s="50"/>
      <c r="O308" s="50"/>
    </row>
    <row r="309" spans="1:15">
      <c r="C309" s="24"/>
      <c r="D309" s="24"/>
      <c r="E309" s="25"/>
      <c r="F309" s="24"/>
      <c r="G309" s="24"/>
      <c r="H309" s="24"/>
      <c r="I309" s="24"/>
      <c r="J309" s="50" t="s">
        <v>406</v>
      </c>
      <c r="M309" s="50"/>
      <c r="N309" s="50"/>
      <c r="O309" s="50"/>
    </row>
    <row r="310" spans="1:15">
      <c r="C310" s="24"/>
      <c r="D310" s="24"/>
      <c r="E310" s="25"/>
      <c r="F310" s="24"/>
      <c r="G310" s="24"/>
      <c r="H310" s="24"/>
      <c r="I310" s="24"/>
      <c r="J310" s="50"/>
      <c r="M310" s="50"/>
    </row>
    <row r="311" spans="1:15">
      <c r="C311" s="24"/>
      <c r="D311" s="24"/>
      <c r="E311" s="25"/>
      <c r="F311" s="24"/>
      <c r="G311" s="24"/>
      <c r="H311" s="24"/>
      <c r="I311" s="24"/>
      <c r="M311" s="50"/>
    </row>
    <row r="312" spans="1:15">
      <c r="C312" s="24"/>
      <c r="D312" s="24"/>
      <c r="E312" s="25"/>
      <c r="F312" s="24"/>
      <c r="G312" s="24"/>
      <c r="H312" s="24"/>
      <c r="I312" s="24"/>
      <c r="K312" s="1"/>
      <c r="M312" s="50"/>
      <c r="N312" s="50"/>
      <c r="O312" s="50"/>
    </row>
    <row r="313" spans="1:15">
      <c r="C313" s="24" t="s">
        <v>6</v>
      </c>
      <c r="D313" s="24"/>
      <c r="E313" s="25"/>
      <c r="F313" s="24"/>
      <c r="G313" s="24"/>
      <c r="H313" s="24"/>
      <c r="I313" s="24"/>
      <c r="J313" s="50"/>
      <c r="K313" s="1"/>
      <c r="M313" s="50"/>
      <c r="N313" s="61"/>
      <c r="O313" s="61"/>
    </row>
    <row r="314" spans="1:15">
      <c r="C314" s="24"/>
      <c r="D314" s="24"/>
      <c r="E314" s="25"/>
      <c r="F314" s="24"/>
      <c r="G314" s="24"/>
      <c r="H314" s="24"/>
      <c r="I314" s="24"/>
      <c r="J314" s="61" t="str">
        <f>$J$7</f>
        <v>For the 12 months ended: 12/31/2020</v>
      </c>
      <c r="K314" s="1"/>
      <c r="M314" s="50"/>
      <c r="N314" s="70"/>
      <c r="O314" s="70"/>
    </row>
    <row r="315" spans="1:15">
      <c r="A315" s="442" t="str">
        <f>$A$8</f>
        <v>Rate Formula Template</v>
      </c>
      <c r="B315" s="70"/>
      <c r="C315" s="70"/>
      <c r="D315" s="144"/>
      <c r="E315" s="70"/>
      <c r="F315" s="144"/>
      <c r="G315" s="144"/>
      <c r="H315" s="144"/>
      <c r="I315" s="144"/>
      <c r="J315" s="70"/>
      <c r="K315" s="24"/>
      <c r="L315" s="70"/>
      <c r="M315" s="1"/>
      <c r="N315" s="144"/>
      <c r="O315" s="144"/>
    </row>
    <row r="316" spans="1:15">
      <c r="A316" s="447" t="s">
        <v>270</v>
      </c>
      <c r="B316" s="70"/>
      <c r="C316" s="144"/>
      <c r="D316" s="145"/>
      <c r="E316" s="70"/>
      <c r="F316" s="145"/>
      <c r="G316" s="145"/>
      <c r="H316" s="145"/>
      <c r="I316" s="144"/>
      <c r="J316" s="144"/>
      <c r="K316" s="24"/>
      <c r="L316" s="146"/>
      <c r="M316" s="1"/>
      <c r="N316" s="146"/>
      <c r="O316" s="146"/>
    </row>
    <row r="317" spans="1:15">
      <c r="A317" s="442"/>
      <c r="B317" s="70"/>
      <c r="C317" s="146"/>
      <c r="D317" s="146"/>
      <c r="E317" s="70"/>
      <c r="F317" s="146"/>
      <c r="G317" s="146"/>
      <c r="H317" s="146"/>
      <c r="I317" s="146"/>
      <c r="J317" s="146"/>
      <c r="K317" s="24"/>
      <c r="L317" s="146"/>
      <c r="M317" s="24"/>
      <c r="N317" s="146"/>
      <c r="O317" s="146"/>
    </row>
    <row r="318" spans="1:15" ht="15.75">
      <c r="A318" s="443" t="str">
        <f>$A$11</f>
        <v>DUKE ENERGY KENTUCKY (DEK)</v>
      </c>
      <c r="B318" s="70"/>
      <c r="C318" s="146"/>
      <c r="D318" s="146"/>
      <c r="E318" s="70"/>
      <c r="F318" s="146"/>
      <c r="G318" s="146"/>
      <c r="H318" s="146"/>
      <c r="I318" s="146"/>
      <c r="J318" s="146"/>
      <c r="K318" s="24"/>
      <c r="L318" s="146"/>
      <c r="M318" s="24"/>
      <c r="N318" s="155"/>
      <c r="O318" s="155"/>
    </row>
    <row r="319" spans="1:15" ht="15.75">
      <c r="A319" s="449"/>
      <c r="B319" s="24"/>
      <c r="C319" s="31"/>
      <c r="D319" s="26"/>
      <c r="E319" s="2"/>
      <c r="F319" s="2"/>
      <c r="G319" s="2"/>
      <c r="H319" s="2"/>
      <c r="I319" s="24"/>
      <c r="J319" s="155"/>
      <c r="K319" s="24"/>
      <c r="L319" s="154"/>
      <c r="M319" s="24"/>
      <c r="N319" s="2"/>
      <c r="O319" s="2"/>
    </row>
    <row r="320" spans="1:15" ht="20.25">
      <c r="A320" s="438"/>
      <c r="B320" s="24"/>
      <c r="C320" s="24" t="s">
        <v>93</v>
      </c>
      <c r="D320" s="26"/>
      <c r="E320" s="2"/>
      <c r="F320" s="2"/>
      <c r="G320" s="2"/>
      <c r="H320" s="2"/>
      <c r="I320" s="24"/>
      <c r="J320" s="2"/>
      <c r="K320" s="24"/>
      <c r="L320" s="2"/>
      <c r="M320" s="156"/>
      <c r="N320" s="2"/>
      <c r="O320" s="2"/>
    </row>
    <row r="321" spans="1:15" ht="20.25">
      <c r="A321" s="438"/>
      <c r="B321" s="24"/>
      <c r="C321" s="24" t="s">
        <v>585</v>
      </c>
      <c r="D321" s="24"/>
      <c r="E321" s="2"/>
      <c r="F321" s="2"/>
      <c r="G321" s="2"/>
      <c r="H321" s="2"/>
      <c r="I321" s="24"/>
      <c r="J321" s="2"/>
      <c r="K321" s="24"/>
      <c r="L321" s="2"/>
      <c r="M321" s="156"/>
      <c r="N321" s="2"/>
      <c r="O321" s="2"/>
    </row>
    <row r="322" spans="1:15" ht="20.25">
      <c r="A322" s="444" t="s">
        <v>584</v>
      </c>
      <c r="B322" s="24"/>
      <c r="C322" s="24"/>
      <c r="D322" s="24"/>
      <c r="E322" s="2"/>
      <c r="F322" s="2"/>
      <c r="G322" s="2"/>
      <c r="H322" s="2"/>
      <c r="I322" s="24"/>
      <c r="J322" s="2"/>
      <c r="K322" s="24"/>
      <c r="L322" s="2"/>
      <c r="M322" s="156"/>
      <c r="N322" s="1"/>
      <c r="O322" s="1"/>
    </row>
    <row r="323" spans="1:15" ht="20.25" customHeight="1">
      <c r="A323" s="450" t="s">
        <v>170</v>
      </c>
      <c r="C323" s="367" t="str">
        <f>DEO!C323</f>
        <v xml:space="preserve">On Line 35, enter revenues from RTO settlements that are associated with NITS and firm Point-to-Point Service for which the load is not included in the divisor to derive Duke Energy Ohio's </v>
      </c>
      <c r="D323" s="1"/>
      <c r="E323" s="1"/>
      <c r="F323" s="1"/>
      <c r="G323" s="1"/>
      <c r="H323" s="1"/>
      <c r="I323" s="1"/>
      <c r="J323" s="1"/>
      <c r="K323" s="1"/>
      <c r="L323" s="1"/>
      <c r="M323" s="158"/>
      <c r="N323" s="1"/>
      <c r="O323" s="1"/>
    </row>
    <row r="324" spans="1:15" ht="20.25" customHeight="1">
      <c r="A324" s="450"/>
      <c r="C324" s="367" t="str">
        <f>DEO!C324</f>
        <v xml:space="preserve">and Duke Energy Kentucky's zonal rates.  Exclude NITS, non-firm Point-to-Point revenues, revenues related to MTEP and RTEP projects, revenues from grandfathered interzonal </v>
      </c>
      <c r="D324" s="1"/>
      <c r="E324" s="1"/>
      <c r="F324" s="1"/>
      <c r="G324" s="1"/>
      <c r="H324" s="1"/>
      <c r="I324" s="1"/>
      <c r="J324" s="1"/>
      <c r="K324" s="1"/>
      <c r="L324" s="1"/>
      <c r="M324" s="158"/>
      <c r="N324" s="1"/>
      <c r="O324" s="1"/>
    </row>
    <row r="325" spans="1:15" ht="20.25" customHeight="1">
      <c r="A325" s="450"/>
      <c r="C325" s="367" t="str">
        <f>DEO!C325</f>
        <v>transactions and revenues from service provided by ISO at a discount.</v>
      </c>
      <c r="D325" s="1"/>
      <c r="E325" s="1"/>
      <c r="F325" s="1"/>
      <c r="G325" s="1"/>
      <c r="H325" s="1"/>
      <c r="I325" s="1"/>
      <c r="J325" s="1"/>
      <c r="K325" s="1"/>
      <c r="L325" s="1"/>
      <c r="M325" s="158"/>
      <c r="N325" s="1"/>
      <c r="O325" s="1"/>
    </row>
    <row r="326" spans="1:15" ht="20.25" customHeight="1">
      <c r="A326" s="450" t="s">
        <v>3</v>
      </c>
      <c r="C326" s="367" t="str">
        <f>DEO!C326</f>
        <v>Account Nos. 561.4 and 561.8 consist of RTO expenses billed to load-serving entities and are not included in Transmission Owner revenue requirements.</v>
      </c>
      <c r="D326" s="158"/>
      <c r="E326" s="158"/>
      <c r="F326" s="158"/>
      <c r="G326" s="158"/>
      <c r="H326" s="158"/>
      <c r="I326" s="158"/>
      <c r="J326" s="158"/>
      <c r="K326" s="158"/>
      <c r="L326" s="158"/>
      <c r="M326" s="158"/>
      <c r="N326" s="1"/>
      <c r="O326" s="1"/>
    </row>
    <row r="327" spans="1:15" ht="20.25" customHeight="1">
      <c r="A327" s="450" t="s">
        <v>367</v>
      </c>
      <c r="C327" s="367" t="str">
        <f>DEO!C327</f>
        <v xml:space="preserve">On Line 36, enter revenues from RTO settlements that are associated with MTEP projects.  Exclude NITS, firm Point-to-Point, non-firm Point-to-Point revenues, revenues related to </v>
      </c>
      <c r="N327" s="1"/>
      <c r="O327" s="1"/>
    </row>
    <row r="328" spans="1:15" ht="20.25" customHeight="1">
      <c r="A328" s="450"/>
      <c r="C328" s="367" t="str">
        <f>DEO!C328</f>
        <v>RTEP projects, revenues from grandfathered interzonal transactions and revenues from service provided by ISO at a discount.</v>
      </c>
      <c r="N328" s="1"/>
      <c r="O328" s="1"/>
    </row>
    <row r="329" spans="1:15" ht="20.25" customHeight="1">
      <c r="A329" s="450" t="s">
        <v>467</v>
      </c>
      <c r="C329" s="367" t="str">
        <f>DEO!C329</f>
        <v>Midcontinent ISO Exit Fees include (1) the charge that DEOK paid to the Midcontinent ISO pursuant to the Settlement Agreement filed on July 29, 2011 in Docket No. ER11-2059</v>
      </c>
      <c r="N329" s="1"/>
      <c r="O329" s="1"/>
    </row>
    <row r="330" spans="1:15" ht="20.25" customHeight="1">
      <c r="C330" s="367" t="str">
        <f>DEO!C330</f>
        <v>and (2) the exit fees that DEOK paid to the Midcontinent ISO pursuant to the Exit Fee Agreement filed on October 5, 2011 in Docket No. ER12-33.</v>
      </c>
      <c r="N330" s="1"/>
      <c r="O330" s="1"/>
    </row>
    <row r="331" spans="1:15" ht="20.25" customHeight="1">
      <c r="A331" s="450" t="s">
        <v>468</v>
      </c>
      <c r="C331" s="367" t="str">
        <f>DEO!C331</f>
        <v>PJM Integration Costs are the fees that PJM assessed DEOK for the costs that PJM incurred in connection with DEOK's move into PJM.  Internal Integration Costs are the internal</v>
      </c>
    </row>
    <row r="332" spans="1:15" ht="20.25" customHeight="1">
      <c r="A332" s="450"/>
      <c r="C332" s="367" t="str">
        <f>DEO!C332</f>
        <v>administrative costs incurred by Duke Energy Ohio and Duke Energy Kentucky to accomplish their move from the Midcontinent ISO into PJM.</v>
      </c>
    </row>
  </sheetData>
  <phoneticPr fontId="0" type="noConversion"/>
  <printOptions horizontalCentered="1"/>
  <pageMargins left="0.5" right="0.5" top="0.75" bottom="0.5" header="0.25" footer="0.25"/>
  <pageSetup scale="45" orientation="portrait" blackAndWhite="1" r:id="rId1"/>
  <headerFooter alignWithMargins="0"/>
  <rowBreaks count="5" manualBreakCount="5">
    <brk id="34" max="11" man="1"/>
    <brk id="95" max="11" man="1"/>
    <brk id="167" max="11" man="1"/>
    <brk id="244" max="11" man="1"/>
    <brk id="307" max="11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rgb="FF7030A0"/>
    <pageSetUpPr fitToPage="1"/>
  </sheetPr>
  <dimension ref="A1:AE298"/>
  <sheetViews>
    <sheetView view="pageBreakPreview" zoomScale="60" zoomScaleNormal="75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49.77734375" customWidth="1"/>
    <col min="4" max="4" width="1" customWidth="1"/>
    <col min="5" max="5" width="37.109375" customWidth="1"/>
    <col min="6" max="6" width="1.21875" customWidth="1"/>
    <col min="7" max="7" width="14.109375" customWidth="1"/>
    <col min="8" max="8" width="1.5546875" customWidth="1"/>
    <col min="9" max="10" width="12.77734375" customWidth="1"/>
    <col min="11" max="11" width="5.21875" customWidth="1"/>
    <col min="12" max="12" width="1.77734375" customWidth="1"/>
    <col min="13" max="13" width="26.5546875" customWidth="1"/>
    <col min="14" max="14" width="8.77734375" customWidth="1"/>
    <col min="15" max="15" width="11.77734375" customWidth="1"/>
    <col min="16" max="16" width="13" customWidth="1"/>
    <col min="17" max="17" width="12.77734375" customWidth="1"/>
    <col min="18" max="18" width="8.77734375"/>
    <col min="19" max="19" width="15" customWidth="1"/>
    <col min="20" max="20" width="13.77734375" customWidth="1"/>
    <col min="21" max="21" width="12.5546875" customWidth="1"/>
    <col min="22" max="22" width="16.77734375" customWidth="1"/>
    <col min="23" max="23" width="11.77734375" customWidth="1"/>
    <col min="24" max="24" width="16.77734375" customWidth="1"/>
    <col min="25" max="240" width="8.77734375"/>
    <col min="241" max="241" width="6" customWidth="1"/>
    <col min="242" max="242" width="1.44140625" customWidth="1"/>
    <col min="243" max="243" width="39.109375" customWidth="1"/>
    <col min="244" max="244" width="12" customWidth="1"/>
    <col min="245" max="245" width="14.44140625" customWidth="1"/>
    <col min="246" max="246" width="11.77734375" customWidth="1"/>
    <col min="247" max="247" width="14.109375" customWidth="1"/>
    <col min="248" max="248" width="13.77734375" customWidth="1"/>
    <col min="249" max="250" width="12.77734375" customWidth="1"/>
    <col min="251" max="251" width="13.5546875" customWidth="1"/>
    <col min="252" max="252" width="15.21875" customWidth="1"/>
    <col min="253" max="253" width="12.77734375" customWidth="1"/>
    <col min="254" max="254" width="13.77734375" customWidth="1"/>
    <col min="255" max="255" width="1.77734375" customWidth="1"/>
    <col min="256" max="256" width="13" customWidth="1"/>
    <col min="257" max="496" width="8.77734375"/>
    <col min="497" max="497" width="6" customWidth="1"/>
    <col min="498" max="498" width="1.44140625" customWidth="1"/>
    <col min="499" max="499" width="39.109375" customWidth="1"/>
    <col min="500" max="500" width="12" customWidth="1"/>
    <col min="501" max="501" width="14.44140625" customWidth="1"/>
    <col min="502" max="502" width="11.77734375" customWidth="1"/>
    <col min="503" max="503" width="14.109375" customWidth="1"/>
    <col min="504" max="504" width="13.77734375" customWidth="1"/>
    <col min="505" max="506" width="12.77734375" customWidth="1"/>
    <col min="507" max="507" width="13.5546875" customWidth="1"/>
    <col min="508" max="508" width="15.21875" customWidth="1"/>
    <col min="509" max="509" width="12.77734375" customWidth="1"/>
    <col min="510" max="510" width="13.77734375" customWidth="1"/>
    <col min="511" max="511" width="1.77734375" customWidth="1"/>
    <col min="512" max="512" width="13" customWidth="1"/>
    <col min="513" max="752" width="8.77734375"/>
    <col min="753" max="753" width="6" customWidth="1"/>
    <col min="754" max="754" width="1.44140625" customWidth="1"/>
    <col min="755" max="755" width="39.109375" customWidth="1"/>
    <col min="756" max="756" width="12" customWidth="1"/>
    <col min="757" max="757" width="14.44140625" customWidth="1"/>
    <col min="758" max="758" width="11.77734375" customWidth="1"/>
    <col min="759" max="759" width="14.109375" customWidth="1"/>
    <col min="760" max="760" width="13.77734375" customWidth="1"/>
    <col min="761" max="762" width="12.77734375" customWidth="1"/>
    <col min="763" max="763" width="13.5546875" customWidth="1"/>
    <col min="764" max="764" width="15.21875" customWidth="1"/>
    <col min="765" max="765" width="12.77734375" customWidth="1"/>
    <col min="766" max="766" width="13.77734375" customWidth="1"/>
    <col min="767" max="767" width="1.77734375" customWidth="1"/>
    <col min="768" max="768" width="13" customWidth="1"/>
    <col min="769" max="1008" width="8.77734375"/>
    <col min="1009" max="1009" width="6" customWidth="1"/>
    <col min="1010" max="1010" width="1.44140625" customWidth="1"/>
    <col min="1011" max="1011" width="39.109375" customWidth="1"/>
    <col min="1012" max="1012" width="12" customWidth="1"/>
    <col min="1013" max="1013" width="14.44140625" customWidth="1"/>
    <col min="1014" max="1014" width="11.77734375" customWidth="1"/>
    <col min="1015" max="1015" width="14.109375" customWidth="1"/>
    <col min="1016" max="1016" width="13.77734375" customWidth="1"/>
    <col min="1017" max="1018" width="12.77734375" customWidth="1"/>
    <col min="1019" max="1019" width="13.5546875" customWidth="1"/>
    <col min="1020" max="1020" width="15.21875" customWidth="1"/>
    <col min="1021" max="1021" width="12.77734375" customWidth="1"/>
    <col min="1022" max="1022" width="13.77734375" customWidth="1"/>
    <col min="1023" max="1023" width="1.77734375" customWidth="1"/>
    <col min="1024" max="1024" width="13" customWidth="1"/>
    <col min="1025" max="1264" width="8.77734375"/>
    <col min="1265" max="1265" width="6" customWidth="1"/>
    <col min="1266" max="1266" width="1.44140625" customWidth="1"/>
    <col min="1267" max="1267" width="39.109375" customWidth="1"/>
    <col min="1268" max="1268" width="12" customWidth="1"/>
    <col min="1269" max="1269" width="14.44140625" customWidth="1"/>
    <col min="1270" max="1270" width="11.77734375" customWidth="1"/>
    <col min="1271" max="1271" width="14.109375" customWidth="1"/>
    <col min="1272" max="1272" width="13.77734375" customWidth="1"/>
    <col min="1273" max="1274" width="12.77734375" customWidth="1"/>
    <col min="1275" max="1275" width="13.5546875" customWidth="1"/>
    <col min="1276" max="1276" width="15.21875" customWidth="1"/>
    <col min="1277" max="1277" width="12.77734375" customWidth="1"/>
    <col min="1278" max="1278" width="13.77734375" customWidth="1"/>
    <col min="1279" max="1279" width="1.77734375" customWidth="1"/>
    <col min="1280" max="1280" width="13" customWidth="1"/>
    <col min="1281" max="1520" width="8.77734375"/>
    <col min="1521" max="1521" width="6" customWidth="1"/>
    <col min="1522" max="1522" width="1.44140625" customWidth="1"/>
    <col min="1523" max="1523" width="39.109375" customWidth="1"/>
    <col min="1524" max="1524" width="12" customWidth="1"/>
    <col min="1525" max="1525" width="14.44140625" customWidth="1"/>
    <col min="1526" max="1526" width="11.77734375" customWidth="1"/>
    <col min="1527" max="1527" width="14.109375" customWidth="1"/>
    <col min="1528" max="1528" width="13.77734375" customWidth="1"/>
    <col min="1529" max="1530" width="12.77734375" customWidth="1"/>
    <col min="1531" max="1531" width="13.5546875" customWidth="1"/>
    <col min="1532" max="1532" width="15.21875" customWidth="1"/>
    <col min="1533" max="1533" width="12.77734375" customWidth="1"/>
    <col min="1534" max="1534" width="13.77734375" customWidth="1"/>
    <col min="1535" max="1535" width="1.77734375" customWidth="1"/>
    <col min="1536" max="1536" width="13" customWidth="1"/>
    <col min="1537" max="1776" width="8.77734375"/>
    <col min="1777" max="1777" width="6" customWidth="1"/>
    <col min="1778" max="1778" width="1.44140625" customWidth="1"/>
    <col min="1779" max="1779" width="39.109375" customWidth="1"/>
    <col min="1780" max="1780" width="12" customWidth="1"/>
    <col min="1781" max="1781" width="14.44140625" customWidth="1"/>
    <col min="1782" max="1782" width="11.77734375" customWidth="1"/>
    <col min="1783" max="1783" width="14.109375" customWidth="1"/>
    <col min="1784" max="1784" width="13.77734375" customWidth="1"/>
    <col min="1785" max="1786" width="12.77734375" customWidth="1"/>
    <col min="1787" max="1787" width="13.5546875" customWidth="1"/>
    <col min="1788" max="1788" width="15.21875" customWidth="1"/>
    <col min="1789" max="1789" width="12.77734375" customWidth="1"/>
    <col min="1790" max="1790" width="13.77734375" customWidth="1"/>
    <col min="1791" max="1791" width="1.77734375" customWidth="1"/>
    <col min="1792" max="1792" width="13" customWidth="1"/>
    <col min="1793" max="2032" width="8.77734375"/>
    <col min="2033" max="2033" width="6" customWidth="1"/>
    <col min="2034" max="2034" width="1.44140625" customWidth="1"/>
    <col min="2035" max="2035" width="39.109375" customWidth="1"/>
    <col min="2036" max="2036" width="12" customWidth="1"/>
    <col min="2037" max="2037" width="14.44140625" customWidth="1"/>
    <col min="2038" max="2038" width="11.77734375" customWidth="1"/>
    <col min="2039" max="2039" width="14.109375" customWidth="1"/>
    <col min="2040" max="2040" width="13.77734375" customWidth="1"/>
    <col min="2041" max="2042" width="12.77734375" customWidth="1"/>
    <col min="2043" max="2043" width="13.5546875" customWidth="1"/>
    <col min="2044" max="2044" width="15.21875" customWidth="1"/>
    <col min="2045" max="2045" width="12.77734375" customWidth="1"/>
    <col min="2046" max="2046" width="13.77734375" customWidth="1"/>
    <col min="2047" max="2047" width="1.77734375" customWidth="1"/>
    <col min="2048" max="2048" width="13" customWidth="1"/>
    <col min="2049" max="2288" width="8.77734375"/>
    <col min="2289" max="2289" width="6" customWidth="1"/>
    <col min="2290" max="2290" width="1.44140625" customWidth="1"/>
    <col min="2291" max="2291" width="39.109375" customWidth="1"/>
    <col min="2292" max="2292" width="12" customWidth="1"/>
    <col min="2293" max="2293" width="14.44140625" customWidth="1"/>
    <col min="2294" max="2294" width="11.77734375" customWidth="1"/>
    <col min="2295" max="2295" width="14.109375" customWidth="1"/>
    <col min="2296" max="2296" width="13.77734375" customWidth="1"/>
    <col min="2297" max="2298" width="12.77734375" customWidth="1"/>
    <col min="2299" max="2299" width="13.5546875" customWidth="1"/>
    <col min="2300" max="2300" width="15.21875" customWidth="1"/>
    <col min="2301" max="2301" width="12.77734375" customWidth="1"/>
    <col min="2302" max="2302" width="13.77734375" customWidth="1"/>
    <col min="2303" max="2303" width="1.77734375" customWidth="1"/>
    <col min="2304" max="2304" width="13" customWidth="1"/>
    <col min="2305" max="2544" width="8.77734375"/>
    <col min="2545" max="2545" width="6" customWidth="1"/>
    <col min="2546" max="2546" width="1.44140625" customWidth="1"/>
    <col min="2547" max="2547" width="39.109375" customWidth="1"/>
    <col min="2548" max="2548" width="12" customWidth="1"/>
    <col min="2549" max="2549" width="14.44140625" customWidth="1"/>
    <col min="2550" max="2550" width="11.77734375" customWidth="1"/>
    <col min="2551" max="2551" width="14.109375" customWidth="1"/>
    <col min="2552" max="2552" width="13.77734375" customWidth="1"/>
    <col min="2553" max="2554" width="12.77734375" customWidth="1"/>
    <col min="2555" max="2555" width="13.5546875" customWidth="1"/>
    <col min="2556" max="2556" width="15.21875" customWidth="1"/>
    <col min="2557" max="2557" width="12.77734375" customWidth="1"/>
    <col min="2558" max="2558" width="13.77734375" customWidth="1"/>
    <col min="2559" max="2559" width="1.77734375" customWidth="1"/>
    <col min="2560" max="2560" width="13" customWidth="1"/>
    <col min="2561" max="2800" width="8.77734375"/>
    <col min="2801" max="2801" width="6" customWidth="1"/>
    <col min="2802" max="2802" width="1.44140625" customWidth="1"/>
    <col min="2803" max="2803" width="39.109375" customWidth="1"/>
    <col min="2804" max="2804" width="12" customWidth="1"/>
    <col min="2805" max="2805" width="14.44140625" customWidth="1"/>
    <col min="2806" max="2806" width="11.77734375" customWidth="1"/>
    <col min="2807" max="2807" width="14.109375" customWidth="1"/>
    <col min="2808" max="2808" width="13.77734375" customWidth="1"/>
    <col min="2809" max="2810" width="12.77734375" customWidth="1"/>
    <col min="2811" max="2811" width="13.5546875" customWidth="1"/>
    <col min="2812" max="2812" width="15.21875" customWidth="1"/>
    <col min="2813" max="2813" width="12.77734375" customWidth="1"/>
    <col min="2814" max="2814" width="13.77734375" customWidth="1"/>
    <col min="2815" max="2815" width="1.77734375" customWidth="1"/>
    <col min="2816" max="2816" width="13" customWidth="1"/>
    <col min="2817" max="3056" width="8.77734375"/>
    <col min="3057" max="3057" width="6" customWidth="1"/>
    <col min="3058" max="3058" width="1.44140625" customWidth="1"/>
    <col min="3059" max="3059" width="39.109375" customWidth="1"/>
    <col min="3060" max="3060" width="12" customWidth="1"/>
    <col min="3061" max="3061" width="14.44140625" customWidth="1"/>
    <col min="3062" max="3062" width="11.77734375" customWidth="1"/>
    <col min="3063" max="3063" width="14.109375" customWidth="1"/>
    <col min="3064" max="3064" width="13.77734375" customWidth="1"/>
    <col min="3065" max="3066" width="12.77734375" customWidth="1"/>
    <col min="3067" max="3067" width="13.5546875" customWidth="1"/>
    <col min="3068" max="3068" width="15.21875" customWidth="1"/>
    <col min="3069" max="3069" width="12.77734375" customWidth="1"/>
    <col min="3070" max="3070" width="13.77734375" customWidth="1"/>
    <col min="3071" max="3071" width="1.77734375" customWidth="1"/>
    <col min="3072" max="3072" width="13" customWidth="1"/>
    <col min="3073" max="3312" width="8.77734375"/>
    <col min="3313" max="3313" width="6" customWidth="1"/>
    <col min="3314" max="3314" width="1.44140625" customWidth="1"/>
    <col min="3315" max="3315" width="39.109375" customWidth="1"/>
    <col min="3316" max="3316" width="12" customWidth="1"/>
    <col min="3317" max="3317" width="14.44140625" customWidth="1"/>
    <col min="3318" max="3318" width="11.77734375" customWidth="1"/>
    <col min="3319" max="3319" width="14.109375" customWidth="1"/>
    <col min="3320" max="3320" width="13.77734375" customWidth="1"/>
    <col min="3321" max="3322" width="12.77734375" customWidth="1"/>
    <col min="3323" max="3323" width="13.5546875" customWidth="1"/>
    <col min="3324" max="3324" width="15.21875" customWidth="1"/>
    <col min="3325" max="3325" width="12.77734375" customWidth="1"/>
    <col min="3326" max="3326" width="13.77734375" customWidth="1"/>
    <col min="3327" max="3327" width="1.77734375" customWidth="1"/>
    <col min="3328" max="3328" width="13" customWidth="1"/>
    <col min="3329" max="3568" width="8.77734375"/>
    <col min="3569" max="3569" width="6" customWidth="1"/>
    <col min="3570" max="3570" width="1.44140625" customWidth="1"/>
    <col min="3571" max="3571" width="39.109375" customWidth="1"/>
    <col min="3572" max="3572" width="12" customWidth="1"/>
    <col min="3573" max="3573" width="14.44140625" customWidth="1"/>
    <col min="3574" max="3574" width="11.77734375" customWidth="1"/>
    <col min="3575" max="3575" width="14.109375" customWidth="1"/>
    <col min="3576" max="3576" width="13.77734375" customWidth="1"/>
    <col min="3577" max="3578" width="12.77734375" customWidth="1"/>
    <col min="3579" max="3579" width="13.5546875" customWidth="1"/>
    <col min="3580" max="3580" width="15.21875" customWidth="1"/>
    <col min="3581" max="3581" width="12.77734375" customWidth="1"/>
    <col min="3582" max="3582" width="13.77734375" customWidth="1"/>
    <col min="3583" max="3583" width="1.77734375" customWidth="1"/>
    <col min="3584" max="3584" width="13" customWidth="1"/>
    <col min="3585" max="3824" width="8.77734375"/>
    <col min="3825" max="3825" width="6" customWidth="1"/>
    <col min="3826" max="3826" width="1.44140625" customWidth="1"/>
    <col min="3827" max="3827" width="39.109375" customWidth="1"/>
    <col min="3828" max="3828" width="12" customWidth="1"/>
    <col min="3829" max="3829" width="14.44140625" customWidth="1"/>
    <col min="3830" max="3830" width="11.77734375" customWidth="1"/>
    <col min="3831" max="3831" width="14.109375" customWidth="1"/>
    <col min="3832" max="3832" width="13.77734375" customWidth="1"/>
    <col min="3833" max="3834" width="12.77734375" customWidth="1"/>
    <col min="3835" max="3835" width="13.5546875" customWidth="1"/>
    <col min="3836" max="3836" width="15.21875" customWidth="1"/>
    <col min="3837" max="3837" width="12.77734375" customWidth="1"/>
    <col min="3838" max="3838" width="13.77734375" customWidth="1"/>
    <col min="3839" max="3839" width="1.77734375" customWidth="1"/>
    <col min="3840" max="3840" width="13" customWidth="1"/>
    <col min="3841" max="4080" width="8.77734375"/>
    <col min="4081" max="4081" width="6" customWidth="1"/>
    <col min="4082" max="4082" width="1.44140625" customWidth="1"/>
    <col min="4083" max="4083" width="39.109375" customWidth="1"/>
    <col min="4084" max="4084" width="12" customWidth="1"/>
    <col min="4085" max="4085" width="14.44140625" customWidth="1"/>
    <col min="4086" max="4086" width="11.77734375" customWidth="1"/>
    <col min="4087" max="4087" width="14.109375" customWidth="1"/>
    <col min="4088" max="4088" width="13.77734375" customWidth="1"/>
    <col min="4089" max="4090" width="12.77734375" customWidth="1"/>
    <col min="4091" max="4091" width="13.5546875" customWidth="1"/>
    <col min="4092" max="4092" width="15.21875" customWidth="1"/>
    <col min="4093" max="4093" width="12.77734375" customWidth="1"/>
    <col min="4094" max="4094" width="13.77734375" customWidth="1"/>
    <col min="4095" max="4095" width="1.77734375" customWidth="1"/>
    <col min="4096" max="4096" width="13" customWidth="1"/>
    <col min="4097" max="4336" width="8.77734375"/>
    <col min="4337" max="4337" width="6" customWidth="1"/>
    <col min="4338" max="4338" width="1.44140625" customWidth="1"/>
    <col min="4339" max="4339" width="39.109375" customWidth="1"/>
    <col min="4340" max="4340" width="12" customWidth="1"/>
    <col min="4341" max="4341" width="14.44140625" customWidth="1"/>
    <col min="4342" max="4342" width="11.77734375" customWidth="1"/>
    <col min="4343" max="4343" width="14.109375" customWidth="1"/>
    <col min="4344" max="4344" width="13.77734375" customWidth="1"/>
    <col min="4345" max="4346" width="12.77734375" customWidth="1"/>
    <col min="4347" max="4347" width="13.5546875" customWidth="1"/>
    <col min="4348" max="4348" width="15.21875" customWidth="1"/>
    <col min="4349" max="4349" width="12.77734375" customWidth="1"/>
    <col min="4350" max="4350" width="13.77734375" customWidth="1"/>
    <col min="4351" max="4351" width="1.77734375" customWidth="1"/>
    <col min="4352" max="4352" width="13" customWidth="1"/>
    <col min="4353" max="4592" width="8.77734375"/>
    <col min="4593" max="4593" width="6" customWidth="1"/>
    <col min="4594" max="4594" width="1.44140625" customWidth="1"/>
    <col min="4595" max="4595" width="39.109375" customWidth="1"/>
    <col min="4596" max="4596" width="12" customWidth="1"/>
    <col min="4597" max="4597" width="14.44140625" customWidth="1"/>
    <col min="4598" max="4598" width="11.77734375" customWidth="1"/>
    <col min="4599" max="4599" width="14.109375" customWidth="1"/>
    <col min="4600" max="4600" width="13.77734375" customWidth="1"/>
    <col min="4601" max="4602" width="12.77734375" customWidth="1"/>
    <col min="4603" max="4603" width="13.5546875" customWidth="1"/>
    <col min="4604" max="4604" width="15.21875" customWidth="1"/>
    <col min="4605" max="4605" width="12.77734375" customWidth="1"/>
    <col min="4606" max="4606" width="13.77734375" customWidth="1"/>
    <col min="4607" max="4607" width="1.77734375" customWidth="1"/>
    <col min="4608" max="4608" width="13" customWidth="1"/>
    <col min="4609" max="4848" width="8.77734375"/>
    <col min="4849" max="4849" width="6" customWidth="1"/>
    <col min="4850" max="4850" width="1.44140625" customWidth="1"/>
    <col min="4851" max="4851" width="39.109375" customWidth="1"/>
    <col min="4852" max="4852" width="12" customWidth="1"/>
    <col min="4853" max="4853" width="14.44140625" customWidth="1"/>
    <col min="4854" max="4854" width="11.77734375" customWidth="1"/>
    <col min="4855" max="4855" width="14.109375" customWidth="1"/>
    <col min="4856" max="4856" width="13.77734375" customWidth="1"/>
    <col min="4857" max="4858" width="12.77734375" customWidth="1"/>
    <col min="4859" max="4859" width="13.5546875" customWidth="1"/>
    <col min="4860" max="4860" width="15.21875" customWidth="1"/>
    <col min="4861" max="4861" width="12.77734375" customWidth="1"/>
    <col min="4862" max="4862" width="13.77734375" customWidth="1"/>
    <col min="4863" max="4863" width="1.77734375" customWidth="1"/>
    <col min="4864" max="4864" width="13" customWidth="1"/>
    <col min="4865" max="5104" width="8.77734375"/>
    <col min="5105" max="5105" width="6" customWidth="1"/>
    <col min="5106" max="5106" width="1.44140625" customWidth="1"/>
    <col min="5107" max="5107" width="39.109375" customWidth="1"/>
    <col min="5108" max="5108" width="12" customWidth="1"/>
    <col min="5109" max="5109" width="14.44140625" customWidth="1"/>
    <col min="5110" max="5110" width="11.77734375" customWidth="1"/>
    <col min="5111" max="5111" width="14.109375" customWidth="1"/>
    <col min="5112" max="5112" width="13.77734375" customWidth="1"/>
    <col min="5113" max="5114" width="12.77734375" customWidth="1"/>
    <col min="5115" max="5115" width="13.5546875" customWidth="1"/>
    <col min="5116" max="5116" width="15.21875" customWidth="1"/>
    <col min="5117" max="5117" width="12.77734375" customWidth="1"/>
    <col min="5118" max="5118" width="13.77734375" customWidth="1"/>
    <col min="5119" max="5119" width="1.77734375" customWidth="1"/>
    <col min="5120" max="5120" width="13" customWidth="1"/>
    <col min="5121" max="5360" width="8.77734375"/>
    <col min="5361" max="5361" width="6" customWidth="1"/>
    <col min="5362" max="5362" width="1.44140625" customWidth="1"/>
    <col min="5363" max="5363" width="39.109375" customWidth="1"/>
    <col min="5364" max="5364" width="12" customWidth="1"/>
    <col min="5365" max="5365" width="14.44140625" customWidth="1"/>
    <col min="5366" max="5366" width="11.77734375" customWidth="1"/>
    <col min="5367" max="5367" width="14.109375" customWidth="1"/>
    <col min="5368" max="5368" width="13.77734375" customWidth="1"/>
    <col min="5369" max="5370" width="12.77734375" customWidth="1"/>
    <col min="5371" max="5371" width="13.5546875" customWidth="1"/>
    <col min="5372" max="5372" width="15.21875" customWidth="1"/>
    <col min="5373" max="5373" width="12.77734375" customWidth="1"/>
    <col min="5374" max="5374" width="13.77734375" customWidth="1"/>
    <col min="5375" max="5375" width="1.77734375" customWidth="1"/>
    <col min="5376" max="5376" width="13" customWidth="1"/>
    <col min="5377" max="5616" width="8.77734375"/>
    <col min="5617" max="5617" width="6" customWidth="1"/>
    <col min="5618" max="5618" width="1.44140625" customWidth="1"/>
    <col min="5619" max="5619" width="39.109375" customWidth="1"/>
    <col min="5620" max="5620" width="12" customWidth="1"/>
    <col min="5621" max="5621" width="14.44140625" customWidth="1"/>
    <col min="5622" max="5622" width="11.77734375" customWidth="1"/>
    <col min="5623" max="5623" width="14.109375" customWidth="1"/>
    <col min="5624" max="5624" width="13.77734375" customWidth="1"/>
    <col min="5625" max="5626" width="12.77734375" customWidth="1"/>
    <col min="5627" max="5627" width="13.5546875" customWidth="1"/>
    <col min="5628" max="5628" width="15.21875" customWidth="1"/>
    <col min="5629" max="5629" width="12.77734375" customWidth="1"/>
    <col min="5630" max="5630" width="13.77734375" customWidth="1"/>
    <col min="5631" max="5631" width="1.77734375" customWidth="1"/>
    <col min="5632" max="5632" width="13" customWidth="1"/>
    <col min="5633" max="5872" width="8.77734375"/>
    <col min="5873" max="5873" width="6" customWidth="1"/>
    <col min="5874" max="5874" width="1.44140625" customWidth="1"/>
    <col min="5875" max="5875" width="39.109375" customWidth="1"/>
    <col min="5876" max="5876" width="12" customWidth="1"/>
    <col min="5877" max="5877" width="14.44140625" customWidth="1"/>
    <col min="5878" max="5878" width="11.77734375" customWidth="1"/>
    <col min="5879" max="5879" width="14.109375" customWidth="1"/>
    <col min="5880" max="5880" width="13.77734375" customWidth="1"/>
    <col min="5881" max="5882" width="12.77734375" customWidth="1"/>
    <col min="5883" max="5883" width="13.5546875" customWidth="1"/>
    <col min="5884" max="5884" width="15.21875" customWidth="1"/>
    <col min="5885" max="5885" width="12.77734375" customWidth="1"/>
    <col min="5886" max="5886" width="13.77734375" customWidth="1"/>
    <col min="5887" max="5887" width="1.77734375" customWidth="1"/>
    <col min="5888" max="5888" width="13" customWidth="1"/>
    <col min="5889" max="6128" width="8.77734375"/>
    <col min="6129" max="6129" width="6" customWidth="1"/>
    <col min="6130" max="6130" width="1.44140625" customWidth="1"/>
    <col min="6131" max="6131" width="39.109375" customWidth="1"/>
    <col min="6132" max="6132" width="12" customWidth="1"/>
    <col min="6133" max="6133" width="14.44140625" customWidth="1"/>
    <col min="6134" max="6134" width="11.77734375" customWidth="1"/>
    <col min="6135" max="6135" width="14.109375" customWidth="1"/>
    <col min="6136" max="6136" width="13.77734375" customWidth="1"/>
    <col min="6137" max="6138" width="12.77734375" customWidth="1"/>
    <col min="6139" max="6139" width="13.5546875" customWidth="1"/>
    <col min="6140" max="6140" width="15.21875" customWidth="1"/>
    <col min="6141" max="6141" width="12.77734375" customWidth="1"/>
    <col min="6142" max="6142" width="13.77734375" customWidth="1"/>
    <col min="6143" max="6143" width="1.77734375" customWidth="1"/>
    <col min="6144" max="6144" width="13" customWidth="1"/>
    <col min="6145" max="6384" width="8.77734375"/>
    <col min="6385" max="6385" width="6" customWidth="1"/>
    <col min="6386" max="6386" width="1.44140625" customWidth="1"/>
    <col min="6387" max="6387" width="39.109375" customWidth="1"/>
    <col min="6388" max="6388" width="12" customWidth="1"/>
    <col min="6389" max="6389" width="14.44140625" customWidth="1"/>
    <col min="6390" max="6390" width="11.77734375" customWidth="1"/>
    <col min="6391" max="6391" width="14.109375" customWidth="1"/>
    <col min="6392" max="6392" width="13.77734375" customWidth="1"/>
    <col min="6393" max="6394" width="12.77734375" customWidth="1"/>
    <col min="6395" max="6395" width="13.5546875" customWidth="1"/>
    <col min="6396" max="6396" width="15.21875" customWidth="1"/>
    <col min="6397" max="6397" width="12.77734375" customWidth="1"/>
    <col min="6398" max="6398" width="13.77734375" customWidth="1"/>
    <col min="6399" max="6399" width="1.77734375" customWidth="1"/>
    <col min="6400" max="6400" width="13" customWidth="1"/>
    <col min="6401" max="6640" width="8.77734375"/>
    <col min="6641" max="6641" width="6" customWidth="1"/>
    <col min="6642" max="6642" width="1.44140625" customWidth="1"/>
    <col min="6643" max="6643" width="39.109375" customWidth="1"/>
    <col min="6644" max="6644" width="12" customWidth="1"/>
    <col min="6645" max="6645" width="14.44140625" customWidth="1"/>
    <col min="6646" max="6646" width="11.77734375" customWidth="1"/>
    <col min="6647" max="6647" width="14.109375" customWidth="1"/>
    <col min="6648" max="6648" width="13.77734375" customWidth="1"/>
    <col min="6649" max="6650" width="12.77734375" customWidth="1"/>
    <col min="6651" max="6651" width="13.5546875" customWidth="1"/>
    <col min="6652" max="6652" width="15.21875" customWidth="1"/>
    <col min="6653" max="6653" width="12.77734375" customWidth="1"/>
    <col min="6654" max="6654" width="13.77734375" customWidth="1"/>
    <col min="6655" max="6655" width="1.77734375" customWidth="1"/>
    <col min="6656" max="6656" width="13" customWidth="1"/>
    <col min="6657" max="6896" width="8.77734375"/>
    <col min="6897" max="6897" width="6" customWidth="1"/>
    <col min="6898" max="6898" width="1.44140625" customWidth="1"/>
    <col min="6899" max="6899" width="39.109375" customWidth="1"/>
    <col min="6900" max="6900" width="12" customWidth="1"/>
    <col min="6901" max="6901" width="14.44140625" customWidth="1"/>
    <col min="6902" max="6902" width="11.77734375" customWidth="1"/>
    <col min="6903" max="6903" width="14.109375" customWidth="1"/>
    <col min="6904" max="6904" width="13.77734375" customWidth="1"/>
    <col min="6905" max="6906" width="12.77734375" customWidth="1"/>
    <col min="6907" max="6907" width="13.5546875" customWidth="1"/>
    <col min="6908" max="6908" width="15.21875" customWidth="1"/>
    <col min="6909" max="6909" width="12.77734375" customWidth="1"/>
    <col min="6910" max="6910" width="13.77734375" customWidth="1"/>
    <col min="6911" max="6911" width="1.77734375" customWidth="1"/>
    <col min="6912" max="6912" width="13" customWidth="1"/>
    <col min="6913" max="7152" width="8.77734375"/>
    <col min="7153" max="7153" width="6" customWidth="1"/>
    <col min="7154" max="7154" width="1.44140625" customWidth="1"/>
    <col min="7155" max="7155" width="39.109375" customWidth="1"/>
    <col min="7156" max="7156" width="12" customWidth="1"/>
    <col min="7157" max="7157" width="14.44140625" customWidth="1"/>
    <col min="7158" max="7158" width="11.77734375" customWidth="1"/>
    <col min="7159" max="7159" width="14.109375" customWidth="1"/>
    <col min="7160" max="7160" width="13.77734375" customWidth="1"/>
    <col min="7161" max="7162" width="12.77734375" customWidth="1"/>
    <col min="7163" max="7163" width="13.5546875" customWidth="1"/>
    <col min="7164" max="7164" width="15.21875" customWidth="1"/>
    <col min="7165" max="7165" width="12.77734375" customWidth="1"/>
    <col min="7166" max="7166" width="13.77734375" customWidth="1"/>
    <col min="7167" max="7167" width="1.77734375" customWidth="1"/>
    <col min="7168" max="7168" width="13" customWidth="1"/>
    <col min="7169" max="7408" width="8.77734375"/>
    <col min="7409" max="7409" width="6" customWidth="1"/>
    <col min="7410" max="7410" width="1.44140625" customWidth="1"/>
    <col min="7411" max="7411" width="39.109375" customWidth="1"/>
    <col min="7412" max="7412" width="12" customWidth="1"/>
    <col min="7413" max="7413" width="14.44140625" customWidth="1"/>
    <col min="7414" max="7414" width="11.77734375" customWidth="1"/>
    <col min="7415" max="7415" width="14.109375" customWidth="1"/>
    <col min="7416" max="7416" width="13.77734375" customWidth="1"/>
    <col min="7417" max="7418" width="12.77734375" customWidth="1"/>
    <col min="7419" max="7419" width="13.5546875" customWidth="1"/>
    <col min="7420" max="7420" width="15.21875" customWidth="1"/>
    <col min="7421" max="7421" width="12.77734375" customWidth="1"/>
    <col min="7422" max="7422" width="13.77734375" customWidth="1"/>
    <col min="7423" max="7423" width="1.77734375" customWidth="1"/>
    <col min="7424" max="7424" width="13" customWidth="1"/>
    <col min="7425" max="7664" width="8.77734375"/>
    <col min="7665" max="7665" width="6" customWidth="1"/>
    <col min="7666" max="7666" width="1.44140625" customWidth="1"/>
    <col min="7667" max="7667" width="39.109375" customWidth="1"/>
    <col min="7668" max="7668" width="12" customWidth="1"/>
    <col min="7669" max="7669" width="14.44140625" customWidth="1"/>
    <col min="7670" max="7670" width="11.77734375" customWidth="1"/>
    <col min="7671" max="7671" width="14.109375" customWidth="1"/>
    <col min="7672" max="7672" width="13.77734375" customWidth="1"/>
    <col min="7673" max="7674" width="12.77734375" customWidth="1"/>
    <col min="7675" max="7675" width="13.5546875" customWidth="1"/>
    <col min="7676" max="7676" width="15.21875" customWidth="1"/>
    <col min="7677" max="7677" width="12.77734375" customWidth="1"/>
    <col min="7678" max="7678" width="13.77734375" customWidth="1"/>
    <col min="7679" max="7679" width="1.77734375" customWidth="1"/>
    <col min="7680" max="7680" width="13" customWidth="1"/>
    <col min="7681" max="7920" width="8.77734375"/>
    <col min="7921" max="7921" width="6" customWidth="1"/>
    <col min="7922" max="7922" width="1.44140625" customWidth="1"/>
    <col min="7923" max="7923" width="39.109375" customWidth="1"/>
    <col min="7924" max="7924" width="12" customWidth="1"/>
    <col min="7925" max="7925" width="14.44140625" customWidth="1"/>
    <col min="7926" max="7926" width="11.77734375" customWidth="1"/>
    <col min="7927" max="7927" width="14.109375" customWidth="1"/>
    <col min="7928" max="7928" width="13.77734375" customWidth="1"/>
    <col min="7929" max="7930" width="12.77734375" customWidth="1"/>
    <col min="7931" max="7931" width="13.5546875" customWidth="1"/>
    <col min="7932" max="7932" width="15.21875" customWidth="1"/>
    <col min="7933" max="7933" width="12.77734375" customWidth="1"/>
    <col min="7934" max="7934" width="13.77734375" customWidth="1"/>
    <col min="7935" max="7935" width="1.77734375" customWidth="1"/>
    <col min="7936" max="7936" width="13" customWidth="1"/>
    <col min="7937" max="8176" width="8.77734375"/>
    <col min="8177" max="8177" width="6" customWidth="1"/>
    <col min="8178" max="8178" width="1.44140625" customWidth="1"/>
    <col min="8179" max="8179" width="39.109375" customWidth="1"/>
    <col min="8180" max="8180" width="12" customWidth="1"/>
    <col min="8181" max="8181" width="14.44140625" customWidth="1"/>
    <col min="8182" max="8182" width="11.77734375" customWidth="1"/>
    <col min="8183" max="8183" width="14.109375" customWidth="1"/>
    <col min="8184" max="8184" width="13.77734375" customWidth="1"/>
    <col min="8185" max="8186" width="12.77734375" customWidth="1"/>
    <col min="8187" max="8187" width="13.5546875" customWidth="1"/>
    <col min="8188" max="8188" width="15.21875" customWidth="1"/>
    <col min="8189" max="8189" width="12.77734375" customWidth="1"/>
    <col min="8190" max="8190" width="13.77734375" customWidth="1"/>
    <col min="8191" max="8191" width="1.77734375" customWidth="1"/>
    <col min="8192" max="8192" width="13" customWidth="1"/>
    <col min="8193" max="8432" width="8.77734375"/>
    <col min="8433" max="8433" width="6" customWidth="1"/>
    <col min="8434" max="8434" width="1.44140625" customWidth="1"/>
    <col min="8435" max="8435" width="39.109375" customWidth="1"/>
    <col min="8436" max="8436" width="12" customWidth="1"/>
    <col min="8437" max="8437" width="14.44140625" customWidth="1"/>
    <col min="8438" max="8438" width="11.77734375" customWidth="1"/>
    <col min="8439" max="8439" width="14.109375" customWidth="1"/>
    <col min="8440" max="8440" width="13.77734375" customWidth="1"/>
    <col min="8441" max="8442" width="12.77734375" customWidth="1"/>
    <col min="8443" max="8443" width="13.5546875" customWidth="1"/>
    <col min="8444" max="8444" width="15.21875" customWidth="1"/>
    <col min="8445" max="8445" width="12.77734375" customWidth="1"/>
    <col min="8446" max="8446" width="13.77734375" customWidth="1"/>
    <col min="8447" max="8447" width="1.77734375" customWidth="1"/>
    <col min="8448" max="8448" width="13" customWidth="1"/>
    <col min="8449" max="8688" width="8.77734375"/>
    <col min="8689" max="8689" width="6" customWidth="1"/>
    <col min="8690" max="8690" width="1.44140625" customWidth="1"/>
    <col min="8691" max="8691" width="39.109375" customWidth="1"/>
    <col min="8692" max="8692" width="12" customWidth="1"/>
    <col min="8693" max="8693" width="14.44140625" customWidth="1"/>
    <col min="8694" max="8694" width="11.77734375" customWidth="1"/>
    <col min="8695" max="8695" width="14.109375" customWidth="1"/>
    <col min="8696" max="8696" width="13.77734375" customWidth="1"/>
    <col min="8697" max="8698" width="12.77734375" customWidth="1"/>
    <col min="8699" max="8699" width="13.5546875" customWidth="1"/>
    <col min="8700" max="8700" width="15.21875" customWidth="1"/>
    <col min="8701" max="8701" width="12.77734375" customWidth="1"/>
    <col min="8702" max="8702" width="13.77734375" customWidth="1"/>
    <col min="8703" max="8703" width="1.77734375" customWidth="1"/>
    <col min="8704" max="8704" width="13" customWidth="1"/>
    <col min="8705" max="8944" width="8.77734375"/>
    <col min="8945" max="8945" width="6" customWidth="1"/>
    <col min="8946" max="8946" width="1.44140625" customWidth="1"/>
    <col min="8947" max="8947" width="39.109375" customWidth="1"/>
    <col min="8948" max="8948" width="12" customWidth="1"/>
    <col min="8949" max="8949" width="14.44140625" customWidth="1"/>
    <col min="8950" max="8950" width="11.77734375" customWidth="1"/>
    <col min="8951" max="8951" width="14.109375" customWidth="1"/>
    <col min="8952" max="8952" width="13.77734375" customWidth="1"/>
    <col min="8953" max="8954" width="12.77734375" customWidth="1"/>
    <col min="8955" max="8955" width="13.5546875" customWidth="1"/>
    <col min="8956" max="8956" width="15.21875" customWidth="1"/>
    <col min="8957" max="8957" width="12.77734375" customWidth="1"/>
    <col min="8958" max="8958" width="13.77734375" customWidth="1"/>
    <col min="8959" max="8959" width="1.77734375" customWidth="1"/>
    <col min="8960" max="8960" width="13" customWidth="1"/>
    <col min="8961" max="9200" width="8.77734375"/>
    <col min="9201" max="9201" width="6" customWidth="1"/>
    <col min="9202" max="9202" width="1.44140625" customWidth="1"/>
    <col min="9203" max="9203" width="39.109375" customWidth="1"/>
    <col min="9204" max="9204" width="12" customWidth="1"/>
    <col min="9205" max="9205" width="14.44140625" customWidth="1"/>
    <col min="9206" max="9206" width="11.77734375" customWidth="1"/>
    <col min="9207" max="9207" width="14.109375" customWidth="1"/>
    <col min="9208" max="9208" width="13.77734375" customWidth="1"/>
    <col min="9209" max="9210" width="12.77734375" customWidth="1"/>
    <col min="9211" max="9211" width="13.5546875" customWidth="1"/>
    <col min="9212" max="9212" width="15.21875" customWidth="1"/>
    <col min="9213" max="9213" width="12.77734375" customWidth="1"/>
    <col min="9214" max="9214" width="13.77734375" customWidth="1"/>
    <col min="9215" max="9215" width="1.77734375" customWidth="1"/>
    <col min="9216" max="9216" width="13" customWidth="1"/>
    <col min="9217" max="9456" width="8.77734375"/>
    <col min="9457" max="9457" width="6" customWidth="1"/>
    <col min="9458" max="9458" width="1.44140625" customWidth="1"/>
    <col min="9459" max="9459" width="39.109375" customWidth="1"/>
    <col min="9460" max="9460" width="12" customWidth="1"/>
    <col min="9461" max="9461" width="14.44140625" customWidth="1"/>
    <col min="9462" max="9462" width="11.77734375" customWidth="1"/>
    <col min="9463" max="9463" width="14.109375" customWidth="1"/>
    <col min="9464" max="9464" width="13.77734375" customWidth="1"/>
    <col min="9465" max="9466" width="12.77734375" customWidth="1"/>
    <col min="9467" max="9467" width="13.5546875" customWidth="1"/>
    <col min="9468" max="9468" width="15.21875" customWidth="1"/>
    <col min="9469" max="9469" width="12.77734375" customWidth="1"/>
    <col min="9470" max="9470" width="13.77734375" customWidth="1"/>
    <col min="9471" max="9471" width="1.77734375" customWidth="1"/>
    <col min="9472" max="9472" width="13" customWidth="1"/>
    <col min="9473" max="9712" width="8.77734375"/>
    <col min="9713" max="9713" width="6" customWidth="1"/>
    <col min="9714" max="9714" width="1.44140625" customWidth="1"/>
    <col min="9715" max="9715" width="39.109375" customWidth="1"/>
    <col min="9716" max="9716" width="12" customWidth="1"/>
    <col min="9717" max="9717" width="14.44140625" customWidth="1"/>
    <col min="9718" max="9718" width="11.77734375" customWidth="1"/>
    <col min="9719" max="9719" width="14.109375" customWidth="1"/>
    <col min="9720" max="9720" width="13.77734375" customWidth="1"/>
    <col min="9721" max="9722" width="12.77734375" customWidth="1"/>
    <col min="9723" max="9723" width="13.5546875" customWidth="1"/>
    <col min="9724" max="9724" width="15.21875" customWidth="1"/>
    <col min="9725" max="9725" width="12.77734375" customWidth="1"/>
    <col min="9726" max="9726" width="13.77734375" customWidth="1"/>
    <col min="9727" max="9727" width="1.77734375" customWidth="1"/>
    <col min="9728" max="9728" width="13" customWidth="1"/>
    <col min="9729" max="9968" width="8.77734375"/>
    <col min="9969" max="9969" width="6" customWidth="1"/>
    <col min="9970" max="9970" width="1.44140625" customWidth="1"/>
    <col min="9971" max="9971" width="39.109375" customWidth="1"/>
    <col min="9972" max="9972" width="12" customWidth="1"/>
    <col min="9973" max="9973" width="14.44140625" customWidth="1"/>
    <col min="9974" max="9974" width="11.77734375" customWidth="1"/>
    <col min="9975" max="9975" width="14.109375" customWidth="1"/>
    <col min="9976" max="9976" width="13.77734375" customWidth="1"/>
    <col min="9977" max="9978" width="12.77734375" customWidth="1"/>
    <col min="9979" max="9979" width="13.5546875" customWidth="1"/>
    <col min="9980" max="9980" width="15.21875" customWidth="1"/>
    <col min="9981" max="9981" width="12.77734375" customWidth="1"/>
    <col min="9982" max="9982" width="13.77734375" customWidth="1"/>
    <col min="9983" max="9983" width="1.77734375" customWidth="1"/>
    <col min="9984" max="9984" width="13" customWidth="1"/>
    <col min="9985" max="10224" width="8.77734375"/>
    <col min="10225" max="10225" width="6" customWidth="1"/>
    <col min="10226" max="10226" width="1.44140625" customWidth="1"/>
    <col min="10227" max="10227" width="39.109375" customWidth="1"/>
    <col min="10228" max="10228" width="12" customWidth="1"/>
    <col min="10229" max="10229" width="14.44140625" customWidth="1"/>
    <col min="10230" max="10230" width="11.77734375" customWidth="1"/>
    <col min="10231" max="10231" width="14.109375" customWidth="1"/>
    <col min="10232" max="10232" width="13.77734375" customWidth="1"/>
    <col min="10233" max="10234" width="12.77734375" customWidth="1"/>
    <col min="10235" max="10235" width="13.5546875" customWidth="1"/>
    <col min="10236" max="10236" width="15.21875" customWidth="1"/>
    <col min="10237" max="10237" width="12.77734375" customWidth="1"/>
    <col min="10238" max="10238" width="13.77734375" customWidth="1"/>
    <col min="10239" max="10239" width="1.77734375" customWidth="1"/>
    <col min="10240" max="10240" width="13" customWidth="1"/>
    <col min="10241" max="10480" width="8.77734375"/>
    <col min="10481" max="10481" width="6" customWidth="1"/>
    <col min="10482" max="10482" width="1.44140625" customWidth="1"/>
    <col min="10483" max="10483" width="39.109375" customWidth="1"/>
    <col min="10484" max="10484" width="12" customWidth="1"/>
    <col min="10485" max="10485" width="14.44140625" customWidth="1"/>
    <col min="10486" max="10486" width="11.77734375" customWidth="1"/>
    <col min="10487" max="10487" width="14.109375" customWidth="1"/>
    <col min="10488" max="10488" width="13.77734375" customWidth="1"/>
    <col min="10489" max="10490" width="12.77734375" customWidth="1"/>
    <col min="10491" max="10491" width="13.5546875" customWidth="1"/>
    <col min="10492" max="10492" width="15.21875" customWidth="1"/>
    <col min="10493" max="10493" width="12.77734375" customWidth="1"/>
    <col min="10494" max="10494" width="13.77734375" customWidth="1"/>
    <col min="10495" max="10495" width="1.77734375" customWidth="1"/>
    <col min="10496" max="10496" width="13" customWidth="1"/>
    <col min="10497" max="10736" width="8.77734375"/>
    <col min="10737" max="10737" width="6" customWidth="1"/>
    <col min="10738" max="10738" width="1.44140625" customWidth="1"/>
    <col min="10739" max="10739" width="39.109375" customWidth="1"/>
    <col min="10740" max="10740" width="12" customWidth="1"/>
    <col min="10741" max="10741" width="14.44140625" customWidth="1"/>
    <col min="10742" max="10742" width="11.77734375" customWidth="1"/>
    <col min="10743" max="10743" width="14.109375" customWidth="1"/>
    <col min="10744" max="10744" width="13.77734375" customWidth="1"/>
    <col min="10745" max="10746" width="12.77734375" customWidth="1"/>
    <col min="10747" max="10747" width="13.5546875" customWidth="1"/>
    <col min="10748" max="10748" width="15.21875" customWidth="1"/>
    <col min="10749" max="10749" width="12.77734375" customWidth="1"/>
    <col min="10750" max="10750" width="13.77734375" customWidth="1"/>
    <col min="10751" max="10751" width="1.77734375" customWidth="1"/>
    <col min="10752" max="10752" width="13" customWidth="1"/>
    <col min="10753" max="10992" width="8.77734375"/>
    <col min="10993" max="10993" width="6" customWidth="1"/>
    <col min="10994" max="10994" width="1.44140625" customWidth="1"/>
    <col min="10995" max="10995" width="39.109375" customWidth="1"/>
    <col min="10996" max="10996" width="12" customWidth="1"/>
    <col min="10997" max="10997" width="14.44140625" customWidth="1"/>
    <col min="10998" max="10998" width="11.77734375" customWidth="1"/>
    <col min="10999" max="10999" width="14.109375" customWidth="1"/>
    <col min="11000" max="11000" width="13.77734375" customWidth="1"/>
    <col min="11001" max="11002" width="12.77734375" customWidth="1"/>
    <col min="11003" max="11003" width="13.5546875" customWidth="1"/>
    <col min="11004" max="11004" width="15.21875" customWidth="1"/>
    <col min="11005" max="11005" width="12.77734375" customWidth="1"/>
    <col min="11006" max="11006" width="13.77734375" customWidth="1"/>
    <col min="11007" max="11007" width="1.77734375" customWidth="1"/>
    <col min="11008" max="11008" width="13" customWidth="1"/>
    <col min="11009" max="11248" width="8.77734375"/>
    <col min="11249" max="11249" width="6" customWidth="1"/>
    <col min="11250" max="11250" width="1.44140625" customWidth="1"/>
    <col min="11251" max="11251" width="39.109375" customWidth="1"/>
    <col min="11252" max="11252" width="12" customWidth="1"/>
    <col min="11253" max="11253" width="14.44140625" customWidth="1"/>
    <col min="11254" max="11254" width="11.77734375" customWidth="1"/>
    <col min="11255" max="11255" width="14.109375" customWidth="1"/>
    <col min="11256" max="11256" width="13.77734375" customWidth="1"/>
    <col min="11257" max="11258" width="12.77734375" customWidth="1"/>
    <col min="11259" max="11259" width="13.5546875" customWidth="1"/>
    <col min="11260" max="11260" width="15.21875" customWidth="1"/>
    <col min="11261" max="11261" width="12.77734375" customWidth="1"/>
    <col min="11262" max="11262" width="13.77734375" customWidth="1"/>
    <col min="11263" max="11263" width="1.77734375" customWidth="1"/>
    <col min="11264" max="11264" width="13" customWidth="1"/>
    <col min="11265" max="11504" width="8.77734375"/>
    <col min="11505" max="11505" width="6" customWidth="1"/>
    <col min="11506" max="11506" width="1.44140625" customWidth="1"/>
    <col min="11507" max="11507" width="39.109375" customWidth="1"/>
    <col min="11508" max="11508" width="12" customWidth="1"/>
    <col min="11509" max="11509" width="14.44140625" customWidth="1"/>
    <col min="11510" max="11510" width="11.77734375" customWidth="1"/>
    <col min="11511" max="11511" width="14.109375" customWidth="1"/>
    <col min="11512" max="11512" width="13.77734375" customWidth="1"/>
    <col min="11513" max="11514" width="12.77734375" customWidth="1"/>
    <col min="11515" max="11515" width="13.5546875" customWidth="1"/>
    <col min="11516" max="11516" width="15.21875" customWidth="1"/>
    <col min="11517" max="11517" width="12.77734375" customWidth="1"/>
    <col min="11518" max="11518" width="13.77734375" customWidth="1"/>
    <col min="11519" max="11519" width="1.77734375" customWidth="1"/>
    <col min="11520" max="11520" width="13" customWidth="1"/>
    <col min="11521" max="11760" width="8.77734375"/>
    <col min="11761" max="11761" width="6" customWidth="1"/>
    <col min="11762" max="11762" width="1.44140625" customWidth="1"/>
    <col min="11763" max="11763" width="39.109375" customWidth="1"/>
    <col min="11764" max="11764" width="12" customWidth="1"/>
    <col min="11765" max="11765" width="14.44140625" customWidth="1"/>
    <col min="11766" max="11766" width="11.77734375" customWidth="1"/>
    <col min="11767" max="11767" width="14.109375" customWidth="1"/>
    <col min="11768" max="11768" width="13.77734375" customWidth="1"/>
    <col min="11769" max="11770" width="12.77734375" customWidth="1"/>
    <col min="11771" max="11771" width="13.5546875" customWidth="1"/>
    <col min="11772" max="11772" width="15.21875" customWidth="1"/>
    <col min="11773" max="11773" width="12.77734375" customWidth="1"/>
    <col min="11774" max="11774" width="13.77734375" customWidth="1"/>
    <col min="11775" max="11775" width="1.77734375" customWidth="1"/>
    <col min="11776" max="11776" width="13" customWidth="1"/>
    <col min="11777" max="12016" width="8.77734375"/>
    <col min="12017" max="12017" width="6" customWidth="1"/>
    <col min="12018" max="12018" width="1.44140625" customWidth="1"/>
    <col min="12019" max="12019" width="39.109375" customWidth="1"/>
    <col min="12020" max="12020" width="12" customWidth="1"/>
    <col min="12021" max="12021" width="14.44140625" customWidth="1"/>
    <col min="12022" max="12022" width="11.77734375" customWidth="1"/>
    <col min="12023" max="12023" width="14.109375" customWidth="1"/>
    <col min="12024" max="12024" width="13.77734375" customWidth="1"/>
    <col min="12025" max="12026" width="12.77734375" customWidth="1"/>
    <col min="12027" max="12027" width="13.5546875" customWidth="1"/>
    <col min="12028" max="12028" width="15.21875" customWidth="1"/>
    <col min="12029" max="12029" width="12.77734375" customWidth="1"/>
    <col min="12030" max="12030" width="13.77734375" customWidth="1"/>
    <col min="12031" max="12031" width="1.77734375" customWidth="1"/>
    <col min="12032" max="12032" width="13" customWidth="1"/>
    <col min="12033" max="12272" width="8.77734375"/>
    <col min="12273" max="12273" width="6" customWidth="1"/>
    <col min="12274" max="12274" width="1.44140625" customWidth="1"/>
    <col min="12275" max="12275" width="39.109375" customWidth="1"/>
    <col min="12276" max="12276" width="12" customWidth="1"/>
    <col min="12277" max="12277" width="14.44140625" customWidth="1"/>
    <col min="12278" max="12278" width="11.77734375" customWidth="1"/>
    <col min="12279" max="12279" width="14.109375" customWidth="1"/>
    <col min="12280" max="12280" width="13.77734375" customWidth="1"/>
    <col min="12281" max="12282" width="12.77734375" customWidth="1"/>
    <col min="12283" max="12283" width="13.5546875" customWidth="1"/>
    <col min="12284" max="12284" width="15.21875" customWidth="1"/>
    <col min="12285" max="12285" width="12.77734375" customWidth="1"/>
    <col min="12286" max="12286" width="13.77734375" customWidth="1"/>
    <col min="12287" max="12287" width="1.77734375" customWidth="1"/>
    <col min="12288" max="12288" width="13" customWidth="1"/>
    <col min="12289" max="12528" width="8.77734375"/>
    <col min="12529" max="12529" width="6" customWidth="1"/>
    <col min="12530" max="12530" width="1.44140625" customWidth="1"/>
    <col min="12531" max="12531" width="39.109375" customWidth="1"/>
    <col min="12532" max="12532" width="12" customWidth="1"/>
    <col min="12533" max="12533" width="14.44140625" customWidth="1"/>
    <col min="12534" max="12534" width="11.77734375" customWidth="1"/>
    <col min="12535" max="12535" width="14.109375" customWidth="1"/>
    <col min="12536" max="12536" width="13.77734375" customWidth="1"/>
    <col min="12537" max="12538" width="12.77734375" customWidth="1"/>
    <col min="12539" max="12539" width="13.5546875" customWidth="1"/>
    <col min="12540" max="12540" width="15.21875" customWidth="1"/>
    <col min="12541" max="12541" width="12.77734375" customWidth="1"/>
    <col min="12542" max="12542" width="13.77734375" customWidth="1"/>
    <col min="12543" max="12543" width="1.77734375" customWidth="1"/>
    <col min="12544" max="12544" width="13" customWidth="1"/>
    <col min="12545" max="12784" width="8.77734375"/>
    <col min="12785" max="12785" width="6" customWidth="1"/>
    <col min="12786" max="12786" width="1.44140625" customWidth="1"/>
    <col min="12787" max="12787" width="39.109375" customWidth="1"/>
    <col min="12788" max="12788" width="12" customWidth="1"/>
    <col min="12789" max="12789" width="14.44140625" customWidth="1"/>
    <col min="12790" max="12790" width="11.77734375" customWidth="1"/>
    <col min="12791" max="12791" width="14.109375" customWidth="1"/>
    <col min="12792" max="12792" width="13.77734375" customWidth="1"/>
    <col min="12793" max="12794" width="12.77734375" customWidth="1"/>
    <col min="12795" max="12795" width="13.5546875" customWidth="1"/>
    <col min="12796" max="12796" width="15.21875" customWidth="1"/>
    <col min="12797" max="12797" width="12.77734375" customWidth="1"/>
    <col min="12798" max="12798" width="13.77734375" customWidth="1"/>
    <col min="12799" max="12799" width="1.77734375" customWidth="1"/>
    <col min="12800" max="12800" width="13" customWidth="1"/>
    <col min="12801" max="13040" width="8.77734375"/>
    <col min="13041" max="13041" width="6" customWidth="1"/>
    <col min="13042" max="13042" width="1.44140625" customWidth="1"/>
    <col min="13043" max="13043" width="39.109375" customWidth="1"/>
    <col min="13044" max="13044" width="12" customWidth="1"/>
    <col min="13045" max="13045" width="14.44140625" customWidth="1"/>
    <col min="13046" max="13046" width="11.77734375" customWidth="1"/>
    <col min="13047" max="13047" width="14.109375" customWidth="1"/>
    <col min="13048" max="13048" width="13.77734375" customWidth="1"/>
    <col min="13049" max="13050" width="12.77734375" customWidth="1"/>
    <col min="13051" max="13051" width="13.5546875" customWidth="1"/>
    <col min="13052" max="13052" width="15.21875" customWidth="1"/>
    <col min="13053" max="13053" width="12.77734375" customWidth="1"/>
    <col min="13054" max="13054" width="13.77734375" customWidth="1"/>
    <col min="13055" max="13055" width="1.77734375" customWidth="1"/>
    <col min="13056" max="13056" width="13" customWidth="1"/>
    <col min="13057" max="13296" width="8.77734375"/>
    <col min="13297" max="13297" width="6" customWidth="1"/>
    <col min="13298" max="13298" width="1.44140625" customWidth="1"/>
    <col min="13299" max="13299" width="39.109375" customWidth="1"/>
    <col min="13300" max="13300" width="12" customWidth="1"/>
    <col min="13301" max="13301" width="14.44140625" customWidth="1"/>
    <col min="13302" max="13302" width="11.77734375" customWidth="1"/>
    <col min="13303" max="13303" width="14.109375" customWidth="1"/>
    <col min="13304" max="13304" width="13.77734375" customWidth="1"/>
    <col min="13305" max="13306" width="12.77734375" customWidth="1"/>
    <col min="13307" max="13307" width="13.5546875" customWidth="1"/>
    <col min="13308" max="13308" width="15.21875" customWidth="1"/>
    <col min="13309" max="13309" width="12.77734375" customWidth="1"/>
    <col min="13310" max="13310" width="13.77734375" customWidth="1"/>
    <col min="13311" max="13311" width="1.77734375" customWidth="1"/>
    <col min="13312" max="13312" width="13" customWidth="1"/>
    <col min="13313" max="13552" width="8.77734375"/>
    <col min="13553" max="13553" width="6" customWidth="1"/>
    <col min="13554" max="13554" width="1.44140625" customWidth="1"/>
    <col min="13555" max="13555" width="39.109375" customWidth="1"/>
    <col min="13556" max="13556" width="12" customWidth="1"/>
    <col min="13557" max="13557" width="14.44140625" customWidth="1"/>
    <col min="13558" max="13558" width="11.77734375" customWidth="1"/>
    <col min="13559" max="13559" width="14.109375" customWidth="1"/>
    <col min="13560" max="13560" width="13.77734375" customWidth="1"/>
    <col min="13561" max="13562" width="12.77734375" customWidth="1"/>
    <col min="13563" max="13563" width="13.5546875" customWidth="1"/>
    <col min="13564" max="13564" width="15.21875" customWidth="1"/>
    <col min="13565" max="13565" width="12.77734375" customWidth="1"/>
    <col min="13566" max="13566" width="13.77734375" customWidth="1"/>
    <col min="13567" max="13567" width="1.77734375" customWidth="1"/>
    <col min="13568" max="13568" width="13" customWidth="1"/>
    <col min="13569" max="13808" width="8.77734375"/>
    <col min="13809" max="13809" width="6" customWidth="1"/>
    <col min="13810" max="13810" width="1.44140625" customWidth="1"/>
    <col min="13811" max="13811" width="39.109375" customWidth="1"/>
    <col min="13812" max="13812" width="12" customWidth="1"/>
    <col min="13813" max="13813" width="14.44140625" customWidth="1"/>
    <col min="13814" max="13814" width="11.77734375" customWidth="1"/>
    <col min="13815" max="13815" width="14.109375" customWidth="1"/>
    <col min="13816" max="13816" width="13.77734375" customWidth="1"/>
    <col min="13817" max="13818" width="12.77734375" customWidth="1"/>
    <col min="13819" max="13819" width="13.5546875" customWidth="1"/>
    <col min="13820" max="13820" width="15.21875" customWidth="1"/>
    <col min="13821" max="13821" width="12.77734375" customWidth="1"/>
    <col min="13822" max="13822" width="13.77734375" customWidth="1"/>
    <col min="13823" max="13823" width="1.77734375" customWidth="1"/>
    <col min="13824" max="13824" width="13" customWidth="1"/>
    <col min="13825" max="14064" width="8.77734375"/>
    <col min="14065" max="14065" width="6" customWidth="1"/>
    <col min="14066" max="14066" width="1.44140625" customWidth="1"/>
    <col min="14067" max="14067" width="39.109375" customWidth="1"/>
    <col min="14068" max="14068" width="12" customWidth="1"/>
    <col min="14069" max="14069" width="14.44140625" customWidth="1"/>
    <col min="14070" max="14070" width="11.77734375" customWidth="1"/>
    <col min="14071" max="14071" width="14.109375" customWidth="1"/>
    <col min="14072" max="14072" width="13.77734375" customWidth="1"/>
    <col min="14073" max="14074" width="12.77734375" customWidth="1"/>
    <col min="14075" max="14075" width="13.5546875" customWidth="1"/>
    <col min="14076" max="14076" width="15.21875" customWidth="1"/>
    <col min="14077" max="14077" width="12.77734375" customWidth="1"/>
    <col min="14078" max="14078" width="13.77734375" customWidth="1"/>
    <col min="14079" max="14079" width="1.77734375" customWidth="1"/>
    <col min="14080" max="14080" width="13" customWidth="1"/>
    <col min="14081" max="14320" width="8.77734375"/>
    <col min="14321" max="14321" width="6" customWidth="1"/>
    <col min="14322" max="14322" width="1.44140625" customWidth="1"/>
    <col min="14323" max="14323" width="39.109375" customWidth="1"/>
    <col min="14324" max="14324" width="12" customWidth="1"/>
    <col min="14325" max="14325" width="14.44140625" customWidth="1"/>
    <col min="14326" max="14326" width="11.77734375" customWidth="1"/>
    <col min="14327" max="14327" width="14.109375" customWidth="1"/>
    <col min="14328" max="14328" width="13.77734375" customWidth="1"/>
    <col min="14329" max="14330" width="12.77734375" customWidth="1"/>
    <col min="14331" max="14331" width="13.5546875" customWidth="1"/>
    <col min="14332" max="14332" width="15.21875" customWidth="1"/>
    <col min="14333" max="14333" width="12.77734375" customWidth="1"/>
    <col min="14334" max="14334" width="13.77734375" customWidth="1"/>
    <col min="14335" max="14335" width="1.77734375" customWidth="1"/>
    <col min="14336" max="14336" width="13" customWidth="1"/>
    <col min="14337" max="14576" width="8.77734375"/>
    <col min="14577" max="14577" width="6" customWidth="1"/>
    <col min="14578" max="14578" width="1.44140625" customWidth="1"/>
    <col min="14579" max="14579" width="39.109375" customWidth="1"/>
    <col min="14580" max="14580" width="12" customWidth="1"/>
    <col min="14581" max="14581" width="14.44140625" customWidth="1"/>
    <col min="14582" max="14582" width="11.77734375" customWidth="1"/>
    <col min="14583" max="14583" width="14.109375" customWidth="1"/>
    <col min="14584" max="14584" width="13.77734375" customWidth="1"/>
    <col min="14585" max="14586" width="12.77734375" customWidth="1"/>
    <col min="14587" max="14587" width="13.5546875" customWidth="1"/>
    <col min="14588" max="14588" width="15.21875" customWidth="1"/>
    <col min="14589" max="14589" width="12.77734375" customWidth="1"/>
    <col min="14590" max="14590" width="13.77734375" customWidth="1"/>
    <col min="14591" max="14591" width="1.77734375" customWidth="1"/>
    <col min="14592" max="14592" width="13" customWidth="1"/>
    <col min="14593" max="14832" width="8.77734375"/>
    <col min="14833" max="14833" width="6" customWidth="1"/>
    <col min="14834" max="14834" width="1.44140625" customWidth="1"/>
    <col min="14835" max="14835" width="39.109375" customWidth="1"/>
    <col min="14836" max="14836" width="12" customWidth="1"/>
    <col min="14837" max="14837" width="14.44140625" customWidth="1"/>
    <col min="14838" max="14838" width="11.77734375" customWidth="1"/>
    <col min="14839" max="14839" width="14.109375" customWidth="1"/>
    <col min="14840" max="14840" width="13.77734375" customWidth="1"/>
    <col min="14841" max="14842" width="12.77734375" customWidth="1"/>
    <col min="14843" max="14843" width="13.5546875" customWidth="1"/>
    <col min="14844" max="14844" width="15.21875" customWidth="1"/>
    <col min="14845" max="14845" width="12.77734375" customWidth="1"/>
    <col min="14846" max="14846" width="13.77734375" customWidth="1"/>
    <col min="14847" max="14847" width="1.77734375" customWidth="1"/>
    <col min="14848" max="14848" width="13" customWidth="1"/>
    <col min="14849" max="15088" width="8.77734375"/>
    <col min="15089" max="15089" width="6" customWidth="1"/>
    <col min="15090" max="15090" width="1.44140625" customWidth="1"/>
    <col min="15091" max="15091" width="39.109375" customWidth="1"/>
    <col min="15092" max="15092" width="12" customWidth="1"/>
    <col min="15093" max="15093" width="14.44140625" customWidth="1"/>
    <col min="15094" max="15094" width="11.77734375" customWidth="1"/>
    <col min="15095" max="15095" width="14.109375" customWidth="1"/>
    <col min="15096" max="15096" width="13.77734375" customWidth="1"/>
    <col min="15097" max="15098" width="12.77734375" customWidth="1"/>
    <col min="15099" max="15099" width="13.5546875" customWidth="1"/>
    <col min="15100" max="15100" width="15.21875" customWidth="1"/>
    <col min="15101" max="15101" width="12.77734375" customWidth="1"/>
    <col min="15102" max="15102" width="13.77734375" customWidth="1"/>
    <col min="15103" max="15103" width="1.77734375" customWidth="1"/>
    <col min="15104" max="15104" width="13" customWidth="1"/>
    <col min="15105" max="15344" width="8.77734375"/>
    <col min="15345" max="15345" width="6" customWidth="1"/>
    <col min="15346" max="15346" width="1.44140625" customWidth="1"/>
    <col min="15347" max="15347" width="39.109375" customWidth="1"/>
    <col min="15348" max="15348" width="12" customWidth="1"/>
    <col min="15349" max="15349" width="14.44140625" customWidth="1"/>
    <col min="15350" max="15350" width="11.77734375" customWidth="1"/>
    <col min="15351" max="15351" width="14.109375" customWidth="1"/>
    <col min="15352" max="15352" width="13.77734375" customWidth="1"/>
    <col min="15353" max="15354" width="12.77734375" customWidth="1"/>
    <col min="15355" max="15355" width="13.5546875" customWidth="1"/>
    <col min="15356" max="15356" width="15.21875" customWidth="1"/>
    <col min="15357" max="15357" width="12.77734375" customWidth="1"/>
    <col min="15358" max="15358" width="13.77734375" customWidth="1"/>
    <col min="15359" max="15359" width="1.77734375" customWidth="1"/>
    <col min="15360" max="15360" width="13" customWidth="1"/>
    <col min="15361" max="15600" width="8.77734375"/>
    <col min="15601" max="15601" width="6" customWidth="1"/>
    <col min="15602" max="15602" width="1.44140625" customWidth="1"/>
    <col min="15603" max="15603" width="39.109375" customWidth="1"/>
    <col min="15604" max="15604" width="12" customWidth="1"/>
    <col min="15605" max="15605" width="14.44140625" customWidth="1"/>
    <col min="15606" max="15606" width="11.77734375" customWidth="1"/>
    <col min="15607" max="15607" width="14.109375" customWidth="1"/>
    <col min="15608" max="15608" width="13.77734375" customWidth="1"/>
    <col min="15609" max="15610" width="12.77734375" customWidth="1"/>
    <col min="15611" max="15611" width="13.5546875" customWidth="1"/>
    <col min="15612" max="15612" width="15.21875" customWidth="1"/>
    <col min="15613" max="15613" width="12.77734375" customWidth="1"/>
    <col min="15614" max="15614" width="13.77734375" customWidth="1"/>
    <col min="15615" max="15615" width="1.77734375" customWidth="1"/>
    <col min="15616" max="15616" width="13" customWidth="1"/>
    <col min="15617" max="15856" width="8.77734375"/>
    <col min="15857" max="15857" width="6" customWidth="1"/>
    <col min="15858" max="15858" width="1.44140625" customWidth="1"/>
    <col min="15859" max="15859" width="39.109375" customWidth="1"/>
    <col min="15860" max="15860" width="12" customWidth="1"/>
    <col min="15861" max="15861" width="14.44140625" customWidth="1"/>
    <col min="15862" max="15862" width="11.77734375" customWidth="1"/>
    <col min="15863" max="15863" width="14.109375" customWidth="1"/>
    <col min="15864" max="15864" width="13.77734375" customWidth="1"/>
    <col min="15865" max="15866" width="12.77734375" customWidth="1"/>
    <col min="15867" max="15867" width="13.5546875" customWidth="1"/>
    <col min="15868" max="15868" width="15.21875" customWidth="1"/>
    <col min="15869" max="15869" width="12.77734375" customWidth="1"/>
    <col min="15870" max="15870" width="13.77734375" customWidth="1"/>
    <col min="15871" max="15871" width="1.77734375" customWidth="1"/>
    <col min="15872" max="15872" width="13" customWidth="1"/>
    <col min="15873" max="16112" width="8.77734375"/>
    <col min="16113" max="16113" width="6" customWidth="1"/>
    <col min="16114" max="16114" width="1.44140625" customWidth="1"/>
    <col min="16115" max="16115" width="39.109375" customWidth="1"/>
    <col min="16116" max="16116" width="12" customWidth="1"/>
    <col min="16117" max="16117" width="14.44140625" customWidth="1"/>
    <col min="16118" max="16118" width="11.77734375" customWidth="1"/>
    <col min="16119" max="16119" width="14.109375" customWidth="1"/>
    <col min="16120" max="16120" width="13.77734375" customWidth="1"/>
    <col min="16121" max="16122" width="12.77734375" customWidth="1"/>
    <col min="16123" max="16123" width="13.5546875" customWidth="1"/>
    <col min="16124" max="16124" width="15.21875" customWidth="1"/>
    <col min="16125" max="16125" width="12.77734375" customWidth="1"/>
    <col min="16126" max="16126" width="13.77734375" customWidth="1"/>
    <col min="16127" max="16127" width="1.77734375" customWidth="1"/>
    <col min="16128" max="16128" width="13" customWidth="1"/>
    <col min="16129" max="16368" width="8.77734375"/>
    <col min="16369" max="16384" width="8.77734375" customWidth="1"/>
  </cols>
  <sheetData>
    <row r="1" spans="1:14">
      <c r="I1" s="50" t="s">
        <v>299</v>
      </c>
    </row>
    <row r="2" spans="1:14">
      <c r="I2" s="50" t="s">
        <v>341</v>
      </c>
      <c r="M2" s="949"/>
      <c r="N2" s="949"/>
    </row>
    <row r="3" spans="1:14">
      <c r="I3" s="50" t="s">
        <v>193</v>
      </c>
    </row>
    <row r="4" spans="1:14">
      <c r="I4" s="61" t="str">
        <f>"For the 12 months ended: "&amp;TEXT(INPUT!B1,"mm/dd/yyyy")</f>
        <v>For the 12 months ended: 12/31/2020</v>
      </c>
    </row>
    <row r="5" spans="1:14">
      <c r="C5" s="24"/>
    </row>
    <row r="6" spans="1:14">
      <c r="A6" s="144" t="s">
        <v>257</v>
      </c>
      <c r="B6" s="174"/>
      <c r="C6" s="174"/>
      <c r="D6" s="144"/>
      <c r="E6" s="144"/>
      <c r="F6" s="144"/>
      <c r="G6" s="174"/>
      <c r="H6" s="144"/>
      <c r="I6" s="144"/>
    </row>
    <row r="7" spans="1:14">
      <c r="A7" s="145" t="s">
        <v>300</v>
      </c>
      <c r="B7" s="174"/>
      <c r="C7" s="174"/>
      <c r="D7" s="144"/>
      <c r="E7" s="144"/>
      <c r="F7" s="144"/>
      <c r="G7" s="174"/>
      <c r="H7" s="144"/>
      <c r="I7" s="144"/>
    </row>
    <row r="8" spans="1:14">
      <c r="A8" s="146"/>
      <c r="B8" s="174"/>
      <c r="C8" s="174"/>
      <c r="D8" s="146"/>
      <c r="E8" s="146"/>
      <c r="F8" s="146"/>
      <c r="G8" s="174"/>
      <c r="H8" s="146"/>
      <c r="I8" s="146"/>
    </row>
    <row r="9" spans="1:14">
      <c r="A9" s="259" t="str">
        <f>DEK!A11</f>
        <v>DUKE ENERGY KENTUCKY (DEK)</v>
      </c>
      <c r="B9" s="174"/>
      <c r="C9" s="174"/>
      <c r="D9" s="146"/>
      <c r="E9" s="146"/>
      <c r="F9" s="146"/>
      <c r="G9" s="174"/>
      <c r="H9" s="177"/>
      <c r="I9" s="146"/>
    </row>
    <row r="10" spans="1:14">
      <c r="A10" s="226" t="s">
        <v>298</v>
      </c>
      <c r="B10" s="174"/>
      <c r="C10" s="174"/>
      <c r="D10" s="146"/>
      <c r="E10" s="146"/>
      <c r="F10" s="146"/>
      <c r="G10" s="174"/>
      <c r="H10" s="177"/>
      <c r="I10" s="146"/>
    </row>
    <row r="11" spans="1:14">
      <c r="A11" s="251"/>
      <c r="B11" s="174"/>
      <c r="C11" s="146"/>
      <c r="D11" s="146"/>
      <c r="E11" s="146"/>
      <c r="F11" s="146"/>
      <c r="G11" s="177"/>
      <c r="H11" s="146"/>
      <c r="I11" s="146"/>
    </row>
    <row r="12" spans="1:14">
      <c r="A12" s="146" t="s">
        <v>501</v>
      </c>
      <c r="B12" s="174"/>
      <c r="C12" s="174"/>
      <c r="D12" s="146"/>
      <c r="E12" s="146"/>
      <c r="F12" s="146"/>
      <c r="G12" s="177"/>
      <c r="H12" s="146"/>
      <c r="I12" s="146"/>
    </row>
    <row r="13" spans="1:14">
      <c r="A13" s="86"/>
      <c r="C13" s="1"/>
      <c r="D13" s="1"/>
      <c r="E13" s="1"/>
      <c r="F13" s="1"/>
      <c r="G13" s="17"/>
    </row>
    <row r="14" spans="1:14">
      <c r="A14" s="86"/>
      <c r="C14" s="1"/>
      <c r="D14" s="1"/>
      <c r="E14" s="1"/>
      <c r="F14" s="1"/>
      <c r="G14" s="1"/>
    </row>
    <row r="15" spans="1:14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</row>
    <row r="16" spans="1:14">
      <c r="C16" s="1"/>
      <c r="D16" s="1"/>
    </row>
    <row r="17" spans="1:12">
      <c r="A17" s="26" t="s">
        <v>8</v>
      </c>
      <c r="C17" s="1"/>
      <c r="D17" s="1"/>
      <c r="E17" s="4" t="s">
        <v>299</v>
      </c>
      <c r="F17" s="4"/>
      <c r="G17" s="2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</row>
    <row r="19" spans="1:12" ht="15.75">
      <c r="A19" s="90"/>
      <c r="C19" s="1" t="s">
        <v>338</v>
      </c>
      <c r="D19" s="1"/>
      <c r="E19" s="2"/>
      <c r="F19" s="2"/>
      <c r="G19" s="2"/>
      <c r="I19" s="2"/>
    </row>
    <row r="20" spans="1:12">
      <c r="A20" s="91">
        <v>1</v>
      </c>
      <c r="C20" s="1" t="s">
        <v>214</v>
      </c>
      <c r="D20" s="1"/>
      <c r="E20" s="4" t="str">
        <f>'Appx B - DEO(RTEP)'!E20</f>
        <v>Att. H-22A, p 2, line 2, col 5 (Note A)</v>
      </c>
      <c r="F20" s="4"/>
      <c r="G20" s="92">
        <f>DEK!J54</f>
        <v>77968566</v>
      </c>
    </row>
    <row r="21" spans="1:12">
      <c r="A21" s="91">
        <v>2</v>
      </c>
      <c r="C21" s="1" t="s">
        <v>215</v>
      </c>
      <c r="D21" s="1"/>
      <c r="E21" s="4" t="str">
        <f>'Appx B - DEO(RTEP)'!E21</f>
        <v>Att. H-22A, p 2, line 14, col 5 (Note B)</v>
      </c>
      <c r="F21" s="4"/>
      <c r="G21" s="92">
        <f>DEK!J70</f>
        <v>64281454</v>
      </c>
    </row>
    <row r="22" spans="1:12">
      <c r="A22" s="91"/>
      <c r="E22" s="4"/>
      <c r="F22" s="4"/>
    </row>
    <row r="23" spans="1:12">
      <c r="A23" s="91"/>
      <c r="C23" s="1" t="s">
        <v>194</v>
      </c>
      <c r="D23" s="1"/>
      <c r="E23" s="4"/>
      <c r="F23" s="4"/>
      <c r="G23" s="2"/>
      <c r="I23" s="2"/>
    </row>
    <row r="24" spans="1:12">
      <c r="A24" s="91">
        <v>3</v>
      </c>
      <c r="C24" s="1" t="s">
        <v>216</v>
      </c>
      <c r="D24" s="1"/>
      <c r="E24" s="4" t="str">
        <f>'Appx B - DEO(RTEP)'!E24</f>
        <v>Att. H-22A, p 3, line 8, col 5</v>
      </c>
      <c r="F24" s="4"/>
      <c r="G24" s="92">
        <f>DEK!J127</f>
        <v>2669090</v>
      </c>
    </row>
    <row r="25" spans="1:12">
      <c r="A25" s="91">
        <v>4</v>
      </c>
      <c r="C25" s="1" t="s">
        <v>217</v>
      </c>
      <c r="D25" s="1"/>
      <c r="E25" s="4" t="str">
        <f>'Appx B - DEO(RTEP)'!E25</f>
        <v>(line 3 divided by line 1, col 3)</v>
      </c>
      <c r="F25" s="4"/>
      <c r="G25" s="93">
        <f>IF(G24=0,0,G24/G20)</f>
        <v>3.4232898422166695E-2</v>
      </c>
      <c r="I25" s="94">
        <f>G25</f>
        <v>3.4232898422166695E-2</v>
      </c>
    </row>
    <row r="26" spans="1:12">
      <c r="A26" s="91"/>
      <c r="E26" s="4"/>
      <c r="F26" s="4"/>
    </row>
    <row r="27" spans="1:12" ht="30">
      <c r="A27" s="91"/>
      <c r="C27" s="403" t="s">
        <v>578</v>
      </c>
      <c r="D27" s="1"/>
      <c r="E27" s="67"/>
      <c r="F27" s="4"/>
    </row>
    <row r="28" spans="1:12">
      <c r="A28" s="97" t="s">
        <v>218</v>
      </c>
      <c r="C28" s="1" t="s">
        <v>579</v>
      </c>
      <c r="D28" s="1"/>
      <c r="E28" s="4" t="str">
        <f>'Appx B - DEO(RTEP)'!E28</f>
        <v>Att. H-22A, p 3, lines 10 &amp; 11, col 5 (Note H)</v>
      </c>
      <c r="F28" s="4"/>
      <c r="G28" s="92">
        <f>DEK!J131+DEK!J132</f>
        <v>154498</v>
      </c>
    </row>
    <row r="29" spans="1:12" ht="30">
      <c r="A29" s="404" t="s">
        <v>219</v>
      </c>
      <c r="C29" s="403" t="s">
        <v>580</v>
      </c>
      <c r="D29" s="1"/>
      <c r="E29" s="405" t="str">
        <f>'Appx B - DEO(RTEP)'!E29</f>
        <v>(line 5 divided by line 1, col 3)</v>
      </c>
      <c r="F29" s="405"/>
      <c r="G29" s="406">
        <f>IF(G28=0,0,G28/G20)</f>
        <v>1.9815421512305357E-3</v>
      </c>
      <c r="H29" s="407"/>
      <c r="I29" s="408">
        <f>G29</f>
        <v>1.9815421512305357E-3</v>
      </c>
      <c r="K29" s="87"/>
      <c r="L29" s="84"/>
    </row>
    <row r="30" spans="1:12">
      <c r="A30" s="91"/>
      <c r="E30" s="4"/>
      <c r="F30" s="4"/>
    </row>
    <row r="31" spans="1:12">
      <c r="A31" s="97"/>
      <c r="C31" s="1" t="s">
        <v>197</v>
      </c>
      <c r="D31" s="1"/>
      <c r="E31" s="67"/>
      <c r="F31" s="67"/>
      <c r="G31" s="2"/>
      <c r="I31" s="2"/>
    </row>
    <row r="32" spans="1:12">
      <c r="A32" s="97" t="s">
        <v>221</v>
      </c>
      <c r="C32" s="1" t="s">
        <v>199</v>
      </c>
      <c r="D32" s="1"/>
      <c r="E32" s="4" t="str">
        <f>'Appx B - DEO(RTEP)'!E32</f>
        <v>Att. H-22A, p 3, line 20, col 5</v>
      </c>
      <c r="F32" s="4"/>
      <c r="G32" s="92">
        <f>DEK!J144</f>
        <v>501465</v>
      </c>
    </row>
    <row r="33" spans="1:10">
      <c r="A33" s="97" t="s">
        <v>223</v>
      </c>
      <c r="C33" s="1" t="s">
        <v>220</v>
      </c>
      <c r="D33" s="1"/>
      <c r="E33" s="4" t="str">
        <f>'Appx B - DEO(RTEP)'!E33</f>
        <v>(line 7 divided by line 1, col 3)</v>
      </c>
      <c r="F33" s="4"/>
      <c r="G33" s="93">
        <f>IF(G32=0,0,G32/G20)</f>
        <v>6.4316304085931244E-3</v>
      </c>
      <c r="I33" s="94">
        <f>G33</f>
        <v>6.4316304085931244E-3</v>
      </c>
    </row>
    <row r="34" spans="1:10">
      <c r="A34" s="97"/>
      <c r="C34" s="1"/>
      <c r="D34" s="1"/>
      <c r="E34" s="4"/>
      <c r="F34" s="4"/>
      <c r="G34" s="2"/>
      <c r="I34" s="2"/>
    </row>
    <row r="35" spans="1:10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4.2646070981990358E-2</v>
      </c>
    </row>
    <row r="36" spans="1:10">
      <c r="A36" s="229"/>
      <c r="C36" s="1"/>
      <c r="D36" s="1"/>
      <c r="E36" s="4"/>
      <c r="F36" s="4"/>
      <c r="G36" s="2"/>
      <c r="I36" s="2"/>
    </row>
    <row r="37" spans="1:10">
      <c r="A37" s="97"/>
      <c r="B37" s="102"/>
      <c r="C37" s="2" t="s">
        <v>201</v>
      </c>
      <c r="D37" s="2"/>
      <c r="E37" s="4"/>
      <c r="F37" s="4"/>
      <c r="G37" s="2"/>
      <c r="I37" s="2"/>
    </row>
    <row r="38" spans="1:10">
      <c r="A38" s="97" t="s">
        <v>196</v>
      </c>
      <c r="B38" s="102"/>
      <c r="C38" s="2" t="s">
        <v>125</v>
      </c>
      <c r="D38" s="2"/>
      <c r="E38" s="4" t="str">
        <f>'Appx B - DEO(RTEP)'!E38</f>
        <v>Att. H-22A, p 3, line 29, col 5</v>
      </c>
      <c r="F38" s="4"/>
      <c r="G38" s="92">
        <f>DEK!J159</f>
        <v>772493</v>
      </c>
      <c r="I38" s="2"/>
    </row>
    <row r="39" spans="1:10">
      <c r="A39" s="97" t="s">
        <v>198</v>
      </c>
      <c r="B39" s="102"/>
      <c r="C39" s="2" t="s">
        <v>224</v>
      </c>
      <c r="D39" s="2"/>
      <c r="E39" s="4" t="str">
        <f>'Appx B - DEO(RTEP)'!E39</f>
        <v>(line 10 divided by line 2, col 3)</v>
      </c>
      <c r="F39" s="4"/>
      <c r="G39" s="93">
        <f>IF(G38=0,0,G38/G21)</f>
        <v>1.2017354181191981E-2</v>
      </c>
      <c r="I39" s="94">
        <f>G39</f>
        <v>1.2017354181191981E-2</v>
      </c>
    </row>
    <row r="40" spans="1:10">
      <c r="A40" s="97"/>
      <c r="C40" s="2"/>
      <c r="D40" s="2"/>
      <c r="E40" s="4"/>
      <c r="F40" s="4"/>
      <c r="G40" s="2"/>
      <c r="I40" s="2"/>
    </row>
    <row r="41" spans="1:10">
      <c r="A41" s="97"/>
      <c r="C41" s="1" t="s">
        <v>59</v>
      </c>
      <c r="D41" s="1"/>
      <c r="E41" s="15"/>
      <c r="F41" s="15"/>
    </row>
    <row r="42" spans="1:10">
      <c r="A42" s="97" t="s">
        <v>200</v>
      </c>
      <c r="C42" s="1" t="s">
        <v>202</v>
      </c>
      <c r="D42" s="1"/>
      <c r="E42" s="4" t="str">
        <f>'Appx B - DEO(RTEP)'!E42</f>
        <v>Att. H-22A, p 3, line 30, col 5</v>
      </c>
      <c r="F42" s="4"/>
      <c r="G42" s="92">
        <f>DEK!J161</f>
        <v>3964823</v>
      </c>
      <c r="I42" s="2"/>
    </row>
    <row r="43" spans="1:10">
      <c r="A43" s="97" t="s">
        <v>263</v>
      </c>
      <c r="B43" s="102"/>
      <c r="C43" s="2" t="s">
        <v>225</v>
      </c>
      <c r="D43" s="2"/>
      <c r="E43" s="4" t="str">
        <f>'Appx B - DEO(RTEP)'!E43</f>
        <v>(line 12 divided by line 2, col 3)</v>
      </c>
      <c r="F43" s="4"/>
      <c r="G43" s="103">
        <f>IF(G42=0,0,G42/G21)</f>
        <v>6.167911198772822E-2</v>
      </c>
      <c r="I43" s="94">
        <f>G43</f>
        <v>6.167911198772822E-2</v>
      </c>
    </row>
    <row r="44" spans="1:10">
      <c r="A44" s="97"/>
      <c r="C44" s="1"/>
      <c r="D44" s="1"/>
      <c r="E44" s="4"/>
      <c r="F44" s="4"/>
      <c r="G44" s="2"/>
      <c r="I44" s="2"/>
    </row>
    <row r="45" spans="1:10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7.3696466168920199E-2</v>
      </c>
    </row>
    <row r="47" spans="1:10">
      <c r="A47" s="106"/>
      <c r="C47" s="97"/>
      <c r="D47" s="97"/>
      <c r="E47" s="67"/>
      <c r="F47" s="67"/>
      <c r="G47" s="2"/>
      <c r="H47" s="9"/>
      <c r="I47" s="9"/>
      <c r="J47" s="93"/>
    </row>
    <row r="48" spans="1:10">
      <c r="A48" s="86"/>
      <c r="C48" s="9"/>
      <c r="D48" s="9"/>
      <c r="E48" s="9"/>
      <c r="F48" s="9"/>
      <c r="G48" s="2"/>
      <c r="H48" s="9"/>
      <c r="I48" s="9"/>
      <c r="J48" s="9"/>
    </row>
    <row r="49" spans="11:28">
      <c r="X49" s="50" t="s">
        <v>299</v>
      </c>
    </row>
    <row r="50" spans="11:28">
      <c r="X50" s="50" t="s">
        <v>341</v>
      </c>
    </row>
    <row r="51" spans="11:28">
      <c r="X51" s="107" t="s">
        <v>203</v>
      </c>
    </row>
    <row r="52" spans="11:28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  <c r="Y52" s="87"/>
      <c r="Z52" s="84"/>
      <c r="AA52" s="87"/>
      <c r="AB52" s="84"/>
    </row>
    <row r="53" spans="11:28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  <c r="Y53" s="87"/>
      <c r="Z53" s="84"/>
      <c r="AA53" s="87"/>
      <c r="AB53" s="84"/>
    </row>
    <row r="54" spans="11:28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  <c r="Y54" s="87"/>
      <c r="Z54" s="84"/>
      <c r="AA54" s="87"/>
      <c r="AB54" s="84"/>
    </row>
    <row r="55" spans="11:28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  <c r="Y55" s="87"/>
      <c r="Z55" s="84"/>
      <c r="AA55" s="87"/>
      <c r="AB55" s="84"/>
    </row>
    <row r="56" spans="11:28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  <c r="Y56" s="87"/>
      <c r="Z56" s="84"/>
      <c r="AA56" s="87"/>
      <c r="AB56" s="84"/>
    </row>
    <row r="57" spans="11:28">
      <c r="K57" s="70" t="str">
        <f>A9</f>
        <v>DUKE ENERGY KENTUCKY (DEK)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  <c r="Y57" s="87"/>
      <c r="Z57" s="84"/>
      <c r="AA57" s="87"/>
      <c r="AB57" s="84"/>
    </row>
    <row r="58" spans="11:28">
      <c r="K58" s="70" t="str">
        <f>A10</f>
        <v>RTEP - Transmission Enhancement Charges</v>
      </c>
      <c r="L58" s="174"/>
      <c r="M58" s="174"/>
      <c r="N58" s="174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87"/>
      <c r="Z58" s="84"/>
      <c r="AA58" s="87"/>
      <c r="AB58" s="84"/>
    </row>
    <row r="59" spans="11:28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  <c r="Y59" s="87"/>
      <c r="Z59" s="84"/>
      <c r="AA59" s="87"/>
      <c r="AB59" s="84"/>
    </row>
    <row r="60" spans="11:28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  <c r="Y60" s="87"/>
      <c r="Z60" s="84"/>
      <c r="AA60" s="87"/>
      <c r="AB60" s="84"/>
    </row>
    <row r="61" spans="11:28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  <c r="Y61" s="87"/>
      <c r="Z61" s="84"/>
      <c r="AA61" s="87"/>
      <c r="AB61" s="84"/>
    </row>
    <row r="62" spans="11:28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  <c r="Y62" s="87"/>
      <c r="Z62" s="84"/>
      <c r="AA62" s="87"/>
      <c r="AB62" s="84"/>
    </row>
    <row r="63" spans="11:28" ht="63">
      <c r="K63" s="109" t="s">
        <v>227</v>
      </c>
      <c r="L63" s="110"/>
      <c r="M63" s="110" t="s">
        <v>207</v>
      </c>
      <c r="N63" s="111" t="s">
        <v>339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  <c r="Y63" s="96"/>
      <c r="Z63" s="84"/>
      <c r="AA63" s="87"/>
      <c r="AB63" s="84"/>
    </row>
    <row r="64" spans="11:28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  <c r="Y64" s="87"/>
      <c r="Z64" s="84"/>
      <c r="AA64" s="87"/>
      <c r="AB64" s="84"/>
    </row>
    <row r="65" spans="11:31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  <c r="Y65" s="87"/>
      <c r="Z65" s="84"/>
      <c r="AA65" s="87"/>
      <c r="AB65" s="84"/>
    </row>
    <row r="66" spans="11:31">
      <c r="K66" s="651" t="s">
        <v>1</v>
      </c>
      <c r="L66" s="256"/>
      <c r="M66" s="256"/>
      <c r="N66" s="256"/>
      <c r="O66" s="160">
        <v>0</v>
      </c>
      <c r="P66" s="94">
        <f>$I$35</f>
        <v>4.2646070981990358E-2</v>
      </c>
      <c r="Q66" s="600">
        <f>ROUND(O66*P66,0)</f>
        <v>0</v>
      </c>
      <c r="R66" s="126">
        <v>0</v>
      </c>
      <c r="S66" s="94">
        <f>$I$45</f>
        <v>7.3696466168920199E-2</v>
      </c>
      <c r="T66" s="600">
        <f>ROUND(R66*S66,0)</f>
        <v>0</v>
      </c>
      <c r="U66" s="601">
        <v>0</v>
      </c>
      <c r="V66" s="600">
        <f>Q66+T66+U66</f>
        <v>0</v>
      </c>
      <c r="W66" s="128">
        <v>0</v>
      </c>
      <c r="X66" s="600">
        <f>V66+W66</f>
        <v>0</v>
      </c>
      <c r="Y66" s="129"/>
      <c r="Z66" s="129"/>
      <c r="AA66" s="129"/>
      <c r="AB66" s="129"/>
      <c r="AC66" s="129"/>
      <c r="AD66" s="129"/>
      <c r="AE66" s="129"/>
    </row>
    <row r="67" spans="11:31">
      <c r="K67" s="651" t="s">
        <v>244</v>
      </c>
      <c r="L67" s="256"/>
      <c r="M67" s="256"/>
      <c r="N67" s="256"/>
      <c r="O67" s="160">
        <v>0</v>
      </c>
      <c r="P67" s="94">
        <f>$I$35</f>
        <v>4.2646070981990358E-2</v>
      </c>
      <c r="Q67" s="600">
        <f t="shared" ref="Q67:Q68" si="0">ROUND(O67*P67,0)</f>
        <v>0</v>
      </c>
      <c r="R67" s="126">
        <v>0</v>
      </c>
      <c r="S67" s="94">
        <f>$I$45</f>
        <v>7.3696466168920199E-2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  <c r="Y67" s="129"/>
      <c r="Z67" s="129"/>
      <c r="AA67" s="129"/>
      <c r="AB67" s="129"/>
      <c r="AC67" s="129"/>
      <c r="AD67" s="129"/>
      <c r="AE67" s="129"/>
    </row>
    <row r="68" spans="11:31">
      <c r="K68" s="651" t="s">
        <v>247</v>
      </c>
      <c r="L68" s="256"/>
      <c r="M68" s="256"/>
      <c r="N68" s="256"/>
      <c r="O68" s="160">
        <v>0</v>
      </c>
      <c r="P68" s="94">
        <f>$I$35</f>
        <v>4.2646070981990358E-2</v>
      </c>
      <c r="Q68" s="600">
        <f t="shared" si="0"/>
        <v>0</v>
      </c>
      <c r="R68" s="126">
        <v>0</v>
      </c>
      <c r="S68" s="94">
        <f>$I$45</f>
        <v>7.3696466168920199E-2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  <c r="Y68" s="129"/>
      <c r="Z68" s="129"/>
      <c r="AA68" s="129"/>
      <c r="AB68" s="129"/>
      <c r="AC68" s="129"/>
      <c r="AD68" s="129"/>
      <c r="AE68" s="129"/>
    </row>
    <row r="69" spans="11:31">
      <c r="K69" s="125"/>
      <c r="Q69" s="127"/>
      <c r="T69" s="127"/>
      <c r="V69" s="127"/>
      <c r="X69" s="127"/>
      <c r="Y69" s="129"/>
      <c r="Z69" s="129"/>
      <c r="AA69" s="129"/>
      <c r="AB69" s="129"/>
      <c r="AC69" s="129"/>
      <c r="AD69" s="129"/>
      <c r="AE69" s="129"/>
    </row>
    <row r="70" spans="11:31">
      <c r="K70" s="125"/>
      <c r="Q70" s="127"/>
      <c r="T70" s="127"/>
      <c r="V70" s="127"/>
      <c r="X70" s="127"/>
      <c r="Y70" s="129"/>
      <c r="Z70" s="129"/>
      <c r="AA70" s="129"/>
      <c r="AB70" s="129"/>
      <c r="AC70" s="129"/>
      <c r="AD70" s="129"/>
      <c r="AE70" s="129"/>
    </row>
    <row r="71" spans="11:31">
      <c r="K71" s="125"/>
      <c r="Q71" s="127"/>
      <c r="T71" s="127"/>
      <c r="V71" s="127"/>
      <c r="X71" s="127"/>
      <c r="Y71" s="129"/>
      <c r="Z71" s="129"/>
      <c r="AA71" s="129"/>
      <c r="AB71" s="129"/>
      <c r="AC71" s="129"/>
      <c r="AD71" s="129"/>
      <c r="AE71" s="129"/>
    </row>
    <row r="72" spans="11:31">
      <c r="K72" s="125"/>
      <c r="Q72" s="127"/>
      <c r="T72" s="127"/>
      <c r="V72" s="127"/>
      <c r="X72" s="127"/>
      <c r="Y72" s="129"/>
      <c r="Z72" s="129"/>
      <c r="AA72" s="129"/>
      <c r="AB72" s="129"/>
      <c r="AC72" s="129"/>
      <c r="AD72" s="129"/>
      <c r="AE72" s="129"/>
    </row>
    <row r="73" spans="11:31">
      <c r="K73" s="125"/>
      <c r="Q73" s="127"/>
      <c r="T73" s="127"/>
      <c r="V73" s="127"/>
      <c r="X73" s="127"/>
      <c r="Y73" s="129"/>
      <c r="Z73" s="129"/>
      <c r="AA73" s="129"/>
      <c r="AB73" s="129"/>
      <c r="AC73" s="129"/>
      <c r="AD73" s="129"/>
      <c r="AE73" s="129"/>
    </row>
    <row r="74" spans="11:31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  <c r="Y74" s="129"/>
      <c r="Z74" s="129"/>
      <c r="AA74" s="129"/>
      <c r="AB74" s="129"/>
      <c r="AC74" s="129"/>
      <c r="AD74" s="129"/>
      <c r="AE74" s="129"/>
    </row>
    <row r="75" spans="11:31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  <c r="Y75" s="129"/>
      <c r="Z75" s="129"/>
      <c r="AA75" s="129"/>
      <c r="AB75" s="129"/>
      <c r="AC75" s="129"/>
      <c r="AD75" s="129"/>
      <c r="AE75" s="129"/>
    </row>
    <row r="76" spans="11:31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  <c r="Y76" s="129"/>
      <c r="Z76" s="129"/>
      <c r="AA76" s="129"/>
      <c r="AB76" s="129"/>
      <c r="AC76" s="129"/>
      <c r="AD76" s="129"/>
      <c r="AE76" s="129"/>
    </row>
    <row r="77" spans="11:31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  <c r="Y77" s="129"/>
      <c r="Z77" s="129"/>
      <c r="AA77" s="129"/>
      <c r="AB77" s="129"/>
      <c r="AC77" s="129"/>
      <c r="AD77" s="129"/>
      <c r="AE77" s="129"/>
    </row>
    <row r="78" spans="11:31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  <c r="Y78" s="129"/>
      <c r="Z78" s="129"/>
      <c r="AA78" s="129"/>
      <c r="AB78" s="129"/>
      <c r="AC78" s="129"/>
      <c r="AD78" s="129"/>
      <c r="AE78" s="129"/>
    </row>
    <row r="79" spans="11:31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  <c r="Y79" s="129"/>
      <c r="Z79" s="129"/>
      <c r="AA79" s="129"/>
      <c r="AB79" s="129"/>
      <c r="AC79" s="129"/>
      <c r="AD79" s="129"/>
      <c r="AE79" s="129"/>
    </row>
    <row r="80" spans="11:31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  <c r="Y80" s="129"/>
      <c r="Z80" s="129"/>
      <c r="AA80" s="129"/>
      <c r="AB80" s="129"/>
      <c r="AC80" s="129"/>
      <c r="AD80" s="129"/>
      <c r="AE80" s="129"/>
    </row>
    <row r="81" spans="11:31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  <c r="Y81" s="129"/>
      <c r="Z81" s="129"/>
      <c r="AA81" s="129"/>
      <c r="AB81" s="129"/>
      <c r="AC81" s="129"/>
      <c r="AD81" s="129"/>
      <c r="AE81" s="129"/>
    </row>
    <row r="82" spans="11:31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  <c r="Y82" s="129"/>
      <c r="Z82" s="129"/>
      <c r="AA82" s="129"/>
      <c r="AB82" s="129"/>
      <c r="AC82" s="129"/>
      <c r="AD82" s="129"/>
      <c r="AE82" s="129"/>
    </row>
    <row r="83" spans="11:31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  <c r="Y83" s="129"/>
      <c r="Z83" s="129"/>
      <c r="AA83" s="129"/>
      <c r="AB83" s="129"/>
      <c r="AC83" s="129"/>
      <c r="AD83" s="129"/>
      <c r="AE83" s="129"/>
    </row>
    <row r="84" spans="11:31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  <c r="Y84" s="129"/>
      <c r="Z84" s="129"/>
      <c r="AA84" s="129"/>
      <c r="AB84" s="129"/>
      <c r="AC84" s="129"/>
      <c r="AD84" s="129"/>
      <c r="AE84" s="129"/>
    </row>
    <row r="85" spans="11:31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  <c r="Y85" s="129"/>
      <c r="Z85" s="129"/>
      <c r="AA85" s="129"/>
      <c r="AB85" s="129"/>
      <c r="AC85" s="129"/>
      <c r="AD85" s="129"/>
      <c r="AE85" s="129"/>
    </row>
    <row r="86" spans="11:31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9">
        <f>SUM(V66:V85)</f>
        <v>0</v>
      </c>
      <c r="W86" s="9">
        <f>SUM(W66:W85)</f>
        <v>0</v>
      </c>
      <c r="X86" s="9">
        <f>SUM(X66:X85)</f>
        <v>0</v>
      </c>
      <c r="Y86" s="129"/>
      <c r="Z86" s="129"/>
      <c r="AA86" s="129"/>
      <c r="AB86" s="129"/>
      <c r="AC86" s="129"/>
      <c r="AD86" s="129"/>
      <c r="AE86" s="129"/>
    </row>
    <row r="87" spans="11:31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</row>
    <row r="88" spans="11:31">
      <c r="K88" s="135">
        <v>3</v>
      </c>
      <c r="L88" s="129"/>
      <c r="M88" s="9" t="s">
        <v>543</v>
      </c>
      <c r="N88" s="129"/>
      <c r="O88" s="129"/>
      <c r="P88" s="129"/>
      <c r="Q88" s="129"/>
      <c r="R88" s="129"/>
      <c r="S88" s="129"/>
      <c r="T88" s="129"/>
      <c r="U88" s="129"/>
      <c r="V88" s="9"/>
      <c r="W88" s="129"/>
      <c r="X88" s="9">
        <f>X86</f>
        <v>0</v>
      </c>
      <c r="Y88" s="129"/>
      <c r="Z88" s="129"/>
      <c r="AA88" s="129"/>
      <c r="AB88" s="129"/>
      <c r="AC88" s="129"/>
      <c r="AD88" s="129"/>
      <c r="AE88" s="129"/>
    </row>
    <row r="89" spans="11:31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</row>
    <row r="90" spans="11:31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</row>
    <row r="91" spans="11:31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</row>
    <row r="92" spans="11:31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</row>
    <row r="93" spans="11:31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129"/>
      <c r="Z93" s="129"/>
      <c r="AA93" s="129"/>
      <c r="AB93" s="129"/>
      <c r="AC93" s="129"/>
      <c r="AD93" s="129"/>
      <c r="AE93" s="129"/>
    </row>
    <row r="94" spans="11:31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129"/>
      <c r="Z94" s="129"/>
      <c r="AA94" s="129"/>
      <c r="AB94" s="129"/>
      <c r="AC94" s="129"/>
      <c r="AD94" s="129"/>
      <c r="AE94" s="129"/>
    </row>
    <row r="95" spans="11:31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  <c r="Y95" s="129"/>
      <c r="Z95" s="129"/>
      <c r="AA95" s="129"/>
      <c r="AB95" s="129"/>
      <c r="AC95" s="129"/>
      <c r="AD95" s="129"/>
      <c r="AE95" s="129"/>
    </row>
    <row r="96" spans="11:31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  <c r="Y96" s="129"/>
      <c r="Z96" s="129"/>
      <c r="AA96" s="129"/>
      <c r="AB96" s="129"/>
      <c r="AC96" s="129"/>
      <c r="AD96" s="129"/>
      <c r="AE96" s="129"/>
    </row>
    <row r="97" spans="3:31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129"/>
      <c r="Z97" s="129"/>
      <c r="AA97" s="129"/>
      <c r="AB97" s="129"/>
      <c r="AC97" s="129"/>
      <c r="AD97" s="129"/>
      <c r="AE97" s="129"/>
    </row>
    <row r="98" spans="3:31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129"/>
      <c r="Z98" s="129"/>
      <c r="AA98" s="129"/>
      <c r="AB98" s="129"/>
      <c r="AC98" s="129"/>
      <c r="AD98" s="129"/>
      <c r="AE98" s="129"/>
    </row>
    <row r="99" spans="3:31">
      <c r="K99" s="136" t="s">
        <v>102</v>
      </c>
      <c r="L99" s="66"/>
      <c r="M99" s="983" t="s">
        <v>542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129"/>
      <c r="Z99" s="129"/>
      <c r="AA99" s="129"/>
      <c r="AB99" s="129"/>
      <c r="AC99" s="129"/>
      <c r="AD99" s="129"/>
      <c r="AE99" s="129"/>
    </row>
    <row r="100" spans="3:31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  <c r="Y100" s="129"/>
      <c r="Z100" s="129"/>
      <c r="AA100" s="129"/>
      <c r="AB100" s="129"/>
      <c r="AC100" s="129"/>
      <c r="AD100" s="129"/>
      <c r="AE100" s="129"/>
    </row>
    <row r="101" spans="3:31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  <c r="Y101" s="129"/>
      <c r="Z101" s="129"/>
      <c r="AA101" s="129"/>
      <c r="AB101" s="129"/>
      <c r="AC101" s="129"/>
      <c r="AD101" s="129"/>
      <c r="AE101" s="129"/>
    </row>
    <row r="102" spans="3:31" ht="15.75">
      <c r="K102" s="104"/>
      <c r="L102" s="138"/>
      <c r="M102" s="139"/>
      <c r="N102" s="97"/>
      <c r="O102" s="67"/>
      <c r="P102" s="67"/>
      <c r="Q102" s="2"/>
      <c r="R102" s="9"/>
      <c r="S102" s="9"/>
      <c r="T102" s="93"/>
      <c r="U102" s="9"/>
      <c r="W102" s="2"/>
      <c r="X102" s="95"/>
      <c r="Y102" s="129"/>
      <c r="Z102" s="129"/>
      <c r="AA102" s="129"/>
      <c r="AB102" s="129"/>
      <c r="AC102" s="129"/>
      <c r="AD102" s="129"/>
      <c r="AE102" s="129"/>
    </row>
    <row r="103" spans="3:31"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</row>
    <row r="104" spans="3:31"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</row>
    <row r="105" spans="3:31"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</row>
    <row r="106" spans="3:31"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</row>
    <row r="107" spans="3:31"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</row>
    <row r="108" spans="3:31">
      <c r="C108" s="129"/>
      <c r="D108" s="129"/>
      <c r="E108" s="129"/>
      <c r="F108" s="129"/>
      <c r="G108" s="129"/>
      <c r="H108" s="129"/>
      <c r="I108" s="129"/>
      <c r="J108" s="129"/>
    </row>
    <row r="109" spans="3:31">
      <c r="C109" s="129"/>
      <c r="D109" s="129"/>
      <c r="E109" s="129"/>
      <c r="F109" s="129"/>
      <c r="G109" s="129"/>
      <c r="H109" s="129"/>
      <c r="I109" s="129"/>
      <c r="J109" s="129"/>
    </row>
    <row r="110" spans="3:31">
      <c r="C110" s="129"/>
      <c r="D110" s="129"/>
      <c r="E110" s="129"/>
      <c r="F110" s="129"/>
      <c r="G110" s="129"/>
      <c r="H110" s="129"/>
      <c r="I110" s="129"/>
      <c r="J110" s="129"/>
    </row>
    <row r="111" spans="3:31">
      <c r="C111" s="129"/>
      <c r="D111" s="129"/>
      <c r="E111" s="129"/>
      <c r="F111" s="129"/>
      <c r="G111" s="129"/>
      <c r="H111" s="129"/>
      <c r="I111" s="129"/>
      <c r="J111" s="129"/>
    </row>
    <row r="112" spans="3:31">
      <c r="C112" s="129"/>
      <c r="D112" s="129"/>
      <c r="E112" s="129"/>
      <c r="F112" s="129"/>
      <c r="G112" s="129"/>
      <c r="H112" s="129"/>
      <c r="I112" s="129"/>
      <c r="J112" s="129"/>
    </row>
    <row r="113" spans="3:10">
      <c r="C113" s="129"/>
      <c r="D113" s="129"/>
      <c r="E113" s="129"/>
      <c r="F113" s="129"/>
      <c r="G113" s="129"/>
      <c r="H113" s="129"/>
      <c r="I113" s="129"/>
      <c r="J113" s="129"/>
    </row>
    <row r="114" spans="3:10">
      <c r="C114" s="129"/>
      <c r="D114" s="129"/>
      <c r="E114" s="129"/>
      <c r="F114" s="129"/>
      <c r="G114" s="129"/>
      <c r="H114" s="129"/>
      <c r="I114" s="129"/>
      <c r="J114" s="129"/>
    </row>
    <row r="115" spans="3:10">
      <c r="C115" s="129"/>
      <c r="D115" s="129"/>
      <c r="E115" s="129"/>
      <c r="F115" s="129"/>
      <c r="G115" s="129"/>
      <c r="H115" s="129"/>
      <c r="I115" s="129"/>
      <c r="J115" s="129"/>
    </row>
    <row r="116" spans="3:10">
      <c r="C116" s="129"/>
      <c r="D116" s="129"/>
      <c r="E116" s="129"/>
      <c r="F116" s="129"/>
      <c r="G116" s="129"/>
      <c r="H116" s="129"/>
      <c r="I116" s="129"/>
      <c r="J116" s="129"/>
    </row>
    <row r="117" spans="3:10">
      <c r="C117" s="129"/>
      <c r="D117" s="129"/>
      <c r="E117" s="129"/>
      <c r="F117" s="129"/>
      <c r="G117" s="129"/>
      <c r="H117" s="129"/>
      <c r="I117" s="129"/>
      <c r="J117" s="129"/>
    </row>
    <row r="118" spans="3:10">
      <c r="C118" s="129"/>
      <c r="D118" s="129"/>
      <c r="E118" s="129"/>
      <c r="F118" s="129"/>
      <c r="G118" s="129"/>
      <c r="H118" s="129"/>
      <c r="I118" s="129"/>
      <c r="J118" s="129"/>
    </row>
    <row r="119" spans="3:10">
      <c r="C119" s="129"/>
      <c r="D119" s="129"/>
      <c r="E119" s="129"/>
      <c r="F119" s="129"/>
      <c r="G119" s="129"/>
      <c r="H119" s="129"/>
      <c r="I119" s="129"/>
      <c r="J119" s="129"/>
    </row>
    <row r="120" spans="3:10">
      <c r="C120" s="129"/>
      <c r="D120" s="129"/>
      <c r="E120" s="129"/>
      <c r="F120" s="129"/>
      <c r="G120" s="129"/>
      <c r="H120" s="129"/>
      <c r="I120" s="129"/>
      <c r="J120" s="129"/>
    </row>
    <row r="121" spans="3:10">
      <c r="C121" s="129"/>
      <c r="D121" s="129"/>
      <c r="E121" s="129"/>
      <c r="F121" s="129"/>
      <c r="G121" s="129"/>
      <c r="H121" s="129"/>
      <c r="I121" s="129"/>
      <c r="J121" s="129"/>
    </row>
    <row r="122" spans="3:10">
      <c r="C122" s="129"/>
      <c r="D122" s="129"/>
      <c r="E122" s="129"/>
      <c r="F122" s="129"/>
      <c r="G122" s="129"/>
      <c r="H122" s="129"/>
      <c r="I122" s="129"/>
      <c r="J122" s="129"/>
    </row>
    <row r="123" spans="3:10">
      <c r="C123" s="129"/>
      <c r="D123" s="129"/>
      <c r="E123" s="129"/>
      <c r="F123" s="129"/>
      <c r="G123" s="129"/>
      <c r="H123" s="129"/>
      <c r="I123" s="129"/>
      <c r="J123" s="129"/>
    </row>
    <row r="124" spans="3:10">
      <c r="C124" s="129"/>
      <c r="D124" s="129"/>
      <c r="E124" s="129"/>
      <c r="F124" s="129"/>
      <c r="G124" s="129"/>
      <c r="H124" s="129"/>
      <c r="I124" s="129"/>
      <c r="J124" s="129"/>
    </row>
    <row r="125" spans="3:10">
      <c r="C125" s="129"/>
      <c r="D125" s="129"/>
      <c r="E125" s="129"/>
      <c r="F125" s="129"/>
      <c r="G125" s="129"/>
      <c r="H125" s="129"/>
      <c r="I125" s="129"/>
      <c r="J125" s="129"/>
    </row>
    <row r="126" spans="3:10">
      <c r="C126" s="129"/>
      <c r="D126" s="129"/>
      <c r="E126" s="129"/>
      <c r="F126" s="129"/>
      <c r="G126" s="129"/>
      <c r="H126" s="129"/>
      <c r="I126" s="129"/>
      <c r="J126" s="129"/>
    </row>
    <row r="127" spans="3:10">
      <c r="C127" s="129"/>
      <c r="D127" s="129"/>
      <c r="E127" s="129"/>
      <c r="F127" s="129"/>
      <c r="G127" s="129"/>
      <c r="H127" s="129"/>
      <c r="I127" s="129"/>
      <c r="J127" s="129"/>
    </row>
    <row r="128" spans="3:10">
      <c r="C128" s="129"/>
      <c r="D128" s="129"/>
      <c r="E128" s="129"/>
      <c r="F128" s="129"/>
      <c r="G128" s="129"/>
      <c r="H128" s="129"/>
      <c r="I128" s="129"/>
      <c r="J128" s="129"/>
    </row>
    <row r="129" spans="3:10">
      <c r="C129" s="129"/>
      <c r="D129" s="129"/>
      <c r="E129" s="129"/>
      <c r="F129" s="129"/>
      <c r="G129" s="129"/>
      <c r="H129" s="129"/>
      <c r="I129" s="129"/>
      <c r="J129" s="129"/>
    </row>
    <row r="130" spans="3:10">
      <c r="C130" s="129"/>
      <c r="D130" s="129"/>
      <c r="E130" s="129"/>
      <c r="F130" s="129"/>
      <c r="G130" s="129"/>
      <c r="H130" s="129"/>
      <c r="I130" s="129"/>
      <c r="J130" s="129"/>
    </row>
    <row r="131" spans="3:10">
      <c r="C131" s="129"/>
      <c r="D131" s="129"/>
      <c r="E131" s="129"/>
      <c r="F131" s="129"/>
      <c r="G131" s="129"/>
      <c r="H131" s="129"/>
      <c r="I131" s="129"/>
      <c r="J131" s="129"/>
    </row>
    <row r="132" spans="3:10">
      <c r="C132" s="129"/>
      <c r="D132" s="129"/>
      <c r="E132" s="129"/>
      <c r="F132" s="129"/>
      <c r="G132" s="129"/>
      <c r="H132" s="129"/>
      <c r="I132" s="129"/>
      <c r="J132" s="129"/>
    </row>
    <row r="133" spans="3:10">
      <c r="C133" s="129"/>
      <c r="D133" s="129"/>
      <c r="E133" s="129"/>
      <c r="F133" s="129"/>
      <c r="G133" s="129"/>
      <c r="H133" s="129"/>
      <c r="I133" s="129"/>
      <c r="J133" s="129"/>
    </row>
    <row r="134" spans="3:10">
      <c r="C134" s="129"/>
      <c r="D134" s="129"/>
      <c r="E134" s="129"/>
      <c r="F134" s="129"/>
      <c r="G134" s="129"/>
      <c r="H134" s="129"/>
      <c r="I134" s="129"/>
      <c r="J134" s="129"/>
    </row>
    <row r="135" spans="3:10">
      <c r="C135" s="129"/>
      <c r="D135" s="129"/>
      <c r="E135" s="129"/>
      <c r="F135" s="129"/>
      <c r="G135" s="129"/>
      <c r="H135" s="129"/>
      <c r="I135" s="129"/>
      <c r="J135" s="129"/>
    </row>
    <row r="136" spans="3:10">
      <c r="C136" s="129"/>
      <c r="D136" s="129"/>
      <c r="E136" s="129"/>
      <c r="F136" s="129"/>
      <c r="G136" s="129"/>
      <c r="H136" s="129"/>
      <c r="I136" s="129"/>
      <c r="J136" s="129"/>
    </row>
    <row r="137" spans="3:10">
      <c r="C137" s="129"/>
      <c r="D137" s="129"/>
      <c r="E137" s="129"/>
      <c r="F137" s="129"/>
      <c r="G137" s="129"/>
      <c r="H137" s="129"/>
      <c r="I137" s="129"/>
      <c r="J137" s="129"/>
    </row>
    <row r="138" spans="3:10">
      <c r="C138" s="129"/>
      <c r="D138" s="129"/>
      <c r="E138" s="129"/>
      <c r="F138" s="129"/>
      <c r="G138" s="129"/>
      <c r="H138" s="129"/>
      <c r="I138" s="129"/>
      <c r="J138" s="129"/>
    </row>
    <row r="139" spans="3:10">
      <c r="C139" s="129"/>
      <c r="D139" s="129"/>
      <c r="E139" s="129"/>
      <c r="F139" s="129"/>
      <c r="G139" s="129"/>
      <c r="H139" s="129"/>
      <c r="I139" s="129"/>
      <c r="J139" s="129"/>
    </row>
    <row r="140" spans="3:10">
      <c r="C140" s="129"/>
      <c r="D140" s="129"/>
      <c r="E140" s="129"/>
      <c r="F140" s="129"/>
      <c r="G140" s="129"/>
      <c r="H140" s="129"/>
      <c r="I140" s="129"/>
      <c r="J140" s="129"/>
    </row>
    <row r="141" spans="3:10">
      <c r="C141" s="129"/>
      <c r="D141" s="129"/>
      <c r="E141" s="129"/>
      <c r="F141" s="129"/>
      <c r="G141" s="129"/>
      <c r="H141" s="129"/>
      <c r="I141" s="129"/>
      <c r="J141" s="129"/>
    </row>
    <row r="142" spans="3:10">
      <c r="C142" s="129"/>
      <c r="D142" s="129"/>
      <c r="E142" s="129"/>
      <c r="F142" s="129"/>
      <c r="G142" s="129"/>
      <c r="H142" s="129"/>
      <c r="I142" s="129"/>
      <c r="J142" s="129"/>
    </row>
    <row r="143" spans="3:10">
      <c r="C143" s="129"/>
      <c r="D143" s="129"/>
      <c r="E143" s="129"/>
      <c r="F143" s="129"/>
      <c r="G143" s="129"/>
      <c r="H143" s="129"/>
      <c r="I143" s="129"/>
      <c r="J143" s="129"/>
    </row>
    <row r="144" spans="3:10">
      <c r="C144" s="129"/>
      <c r="D144" s="129"/>
      <c r="E144" s="129"/>
      <c r="F144" s="129"/>
      <c r="G144" s="129"/>
      <c r="H144" s="129"/>
      <c r="I144" s="129"/>
      <c r="J144" s="129"/>
    </row>
    <row r="145" spans="3:10">
      <c r="C145" s="129"/>
      <c r="D145" s="129"/>
      <c r="E145" s="129"/>
      <c r="F145" s="129"/>
      <c r="G145" s="129"/>
      <c r="H145" s="129"/>
      <c r="I145" s="129"/>
      <c r="J145" s="129"/>
    </row>
    <row r="146" spans="3:10">
      <c r="C146" s="129"/>
      <c r="D146" s="129"/>
      <c r="E146" s="129"/>
      <c r="F146" s="129"/>
      <c r="G146" s="129"/>
      <c r="H146" s="129"/>
      <c r="I146" s="129"/>
      <c r="J146" s="129"/>
    </row>
    <row r="147" spans="3:10">
      <c r="C147" s="129"/>
      <c r="D147" s="129"/>
      <c r="E147" s="129"/>
      <c r="F147" s="129"/>
      <c r="G147" s="129"/>
      <c r="H147" s="129"/>
      <c r="I147" s="129"/>
      <c r="J147" s="129"/>
    </row>
    <row r="148" spans="3:10">
      <c r="C148" s="129"/>
      <c r="D148" s="129"/>
      <c r="E148" s="129"/>
      <c r="F148" s="129"/>
      <c r="G148" s="129"/>
      <c r="H148" s="129"/>
      <c r="I148" s="129"/>
      <c r="J148" s="129"/>
    </row>
    <row r="149" spans="3:10">
      <c r="C149" s="129"/>
      <c r="D149" s="129"/>
      <c r="E149" s="129"/>
      <c r="F149" s="129"/>
      <c r="G149" s="129"/>
      <c r="H149" s="129"/>
      <c r="I149" s="129"/>
      <c r="J149" s="129"/>
    </row>
    <row r="150" spans="3:10">
      <c r="C150" s="129"/>
      <c r="D150" s="129"/>
      <c r="E150" s="129"/>
      <c r="F150" s="129"/>
      <c r="G150" s="129"/>
      <c r="H150" s="129"/>
      <c r="I150" s="129"/>
      <c r="J150" s="129"/>
    </row>
    <row r="151" spans="3:10">
      <c r="C151" s="129"/>
      <c r="D151" s="129"/>
      <c r="E151" s="129"/>
      <c r="F151" s="129"/>
      <c r="G151" s="129"/>
      <c r="H151" s="129"/>
      <c r="I151" s="129"/>
      <c r="J151" s="129"/>
    </row>
    <row r="152" spans="3:10">
      <c r="C152" s="129"/>
      <c r="D152" s="129"/>
      <c r="E152" s="129"/>
      <c r="F152" s="129"/>
      <c r="G152" s="129"/>
      <c r="H152" s="129"/>
      <c r="I152" s="129"/>
      <c r="J152" s="129"/>
    </row>
    <row r="153" spans="3:10">
      <c r="C153" s="129"/>
      <c r="D153" s="129"/>
      <c r="E153" s="129"/>
      <c r="F153" s="129"/>
      <c r="G153" s="129"/>
      <c r="H153" s="129"/>
      <c r="I153" s="129"/>
      <c r="J153" s="129"/>
    </row>
    <row r="154" spans="3:10">
      <c r="C154" s="129"/>
      <c r="D154" s="129"/>
      <c r="E154" s="129"/>
      <c r="F154" s="129"/>
      <c r="G154" s="129"/>
      <c r="H154" s="129"/>
      <c r="I154" s="129"/>
      <c r="J154" s="129"/>
    </row>
    <row r="155" spans="3:10">
      <c r="C155" s="129"/>
      <c r="D155" s="129"/>
      <c r="E155" s="129"/>
      <c r="F155" s="129"/>
      <c r="G155" s="129"/>
      <c r="H155" s="129"/>
      <c r="I155" s="129"/>
      <c r="J155" s="129"/>
    </row>
    <row r="156" spans="3:10">
      <c r="C156" s="129"/>
      <c r="D156" s="129"/>
      <c r="E156" s="129"/>
      <c r="F156" s="129"/>
      <c r="G156" s="129"/>
      <c r="H156" s="129"/>
      <c r="I156" s="129"/>
      <c r="J156" s="129"/>
    </row>
    <row r="157" spans="3:10">
      <c r="C157" s="129"/>
      <c r="D157" s="129"/>
      <c r="E157" s="129"/>
      <c r="F157" s="129"/>
      <c r="G157" s="129"/>
      <c r="H157" s="129"/>
      <c r="I157" s="129"/>
      <c r="J157" s="129"/>
    </row>
    <row r="158" spans="3:10">
      <c r="C158" s="129"/>
      <c r="D158" s="129"/>
      <c r="E158" s="129"/>
      <c r="F158" s="129"/>
      <c r="G158" s="129"/>
      <c r="H158" s="129"/>
      <c r="I158" s="129"/>
      <c r="J158" s="129"/>
    </row>
    <row r="159" spans="3:10">
      <c r="C159" s="129"/>
      <c r="D159" s="129"/>
      <c r="E159" s="129"/>
      <c r="F159" s="129"/>
      <c r="G159" s="129"/>
      <c r="H159" s="129"/>
      <c r="I159" s="129"/>
      <c r="J159" s="129"/>
    </row>
    <row r="160" spans="3:10">
      <c r="C160" s="129"/>
      <c r="D160" s="129"/>
      <c r="E160" s="129"/>
      <c r="F160" s="129"/>
      <c r="G160" s="129"/>
      <c r="H160" s="129"/>
      <c r="I160" s="129"/>
      <c r="J160" s="129"/>
    </row>
    <row r="161" spans="3:10">
      <c r="C161" s="129"/>
      <c r="D161" s="129"/>
      <c r="E161" s="129"/>
      <c r="F161" s="129"/>
      <c r="G161" s="129"/>
      <c r="H161" s="129"/>
      <c r="I161" s="129"/>
      <c r="J161" s="129"/>
    </row>
    <row r="162" spans="3:10">
      <c r="C162" s="129"/>
      <c r="D162" s="129"/>
      <c r="E162" s="129"/>
      <c r="F162" s="129"/>
      <c r="G162" s="129"/>
      <c r="H162" s="129"/>
      <c r="I162" s="129"/>
      <c r="J162" s="129"/>
    </row>
    <row r="163" spans="3:10">
      <c r="C163" s="129"/>
      <c r="D163" s="129"/>
      <c r="E163" s="129"/>
      <c r="F163" s="129"/>
      <c r="G163" s="129"/>
      <c r="H163" s="129"/>
      <c r="I163" s="129"/>
      <c r="J163" s="129"/>
    </row>
    <row r="164" spans="3:10">
      <c r="C164" s="129"/>
      <c r="D164" s="129"/>
      <c r="E164" s="129"/>
      <c r="F164" s="129"/>
      <c r="G164" s="129"/>
      <c r="H164" s="129"/>
      <c r="I164" s="129"/>
      <c r="J164" s="129"/>
    </row>
    <row r="165" spans="3:10">
      <c r="C165" s="129"/>
      <c r="D165" s="129"/>
      <c r="E165" s="129"/>
      <c r="F165" s="129"/>
      <c r="G165" s="129"/>
      <c r="H165" s="129"/>
      <c r="I165" s="129"/>
      <c r="J165" s="129"/>
    </row>
    <row r="166" spans="3:10">
      <c r="C166" s="129"/>
      <c r="D166" s="129"/>
      <c r="E166" s="129"/>
      <c r="F166" s="129"/>
      <c r="G166" s="129"/>
      <c r="H166" s="129"/>
      <c r="I166" s="129"/>
      <c r="J166" s="129"/>
    </row>
    <row r="167" spans="3:10">
      <c r="C167" s="129"/>
      <c r="D167" s="129"/>
      <c r="E167" s="129"/>
      <c r="F167" s="129"/>
      <c r="G167" s="129"/>
      <c r="H167" s="129"/>
      <c r="I167" s="129"/>
      <c r="J167" s="129"/>
    </row>
    <row r="168" spans="3:10">
      <c r="C168" s="129"/>
      <c r="D168" s="129"/>
      <c r="E168" s="129"/>
      <c r="F168" s="129"/>
      <c r="G168" s="129"/>
      <c r="H168" s="129"/>
      <c r="I168" s="129"/>
      <c r="J168" s="129"/>
    </row>
    <row r="169" spans="3:10">
      <c r="C169" s="129"/>
      <c r="D169" s="129"/>
      <c r="E169" s="129"/>
      <c r="F169" s="129"/>
      <c r="G169" s="129"/>
      <c r="H169" s="129"/>
      <c r="I169" s="129"/>
      <c r="J169" s="129"/>
    </row>
    <row r="170" spans="3:10">
      <c r="C170" s="129"/>
      <c r="D170" s="129"/>
      <c r="E170" s="129"/>
      <c r="F170" s="129"/>
      <c r="G170" s="129"/>
      <c r="H170" s="129"/>
      <c r="I170" s="129"/>
      <c r="J170" s="129"/>
    </row>
    <row r="171" spans="3:10">
      <c r="C171" s="129"/>
      <c r="D171" s="129"/>
      <c r="E171" s="129"/>
      <c r="F171" s="129"/>
      <c r="G171" s="129"/>
      <c r="H171" s="129"/>
      <c r="I171" s="129"/>
      <c r="J171" s="129"/>
    </row>
    <row r="172" spans="3:10">
      <c r="C172" s="129"/>
      <c r="D172" s="129"/>
      <c r="E172" s="129"/>
      <c r="F172" s="129"/>
      <c r="G172" s="129"/>
      <c r="H172" s="129"/>
      <c r="I172" s="129"/>
      <c r="J172" s="129"/>
    </row>
    <row r="173" spans="3:10">
      <c r="C173" s="129"/>
      <c r="D173" s="129"/>
      <c r="E173" s="129"/>
      <c r="F173" s="129"/>
      <c r="G173" s="129"/>
      <c r="H173" s="129"/>
      <c r="I173" s="129"/>
      <c r="J173" s="129"/>
    </row>
    <row r="174" spans="3:10">
      <c r="C174" s="129"/>
      <c r="D174" s="129"/>
      <c r="E174" s="129"/>
      <c r="F174" s="129"/>
      <c r="G174" s="129"/>
      <c r="H174" s="129"/>
      <c r="I174" s="129"/>
      <c r="J174" s="129"/>
    </row>
    <row r="175" spans="3:10">
      <c r="C175" s="129"/>
      <c r="D175" s="129"/>
      <c r="E175" s="129"/>
      <c r="F175" s="129"/>
      <c r="G175" s="129"/>
      <c r="H175" s="129"/>
      <c r="I175" s="129"/>
      <c r="J175" s="129"/>
    </row>
    <row r="176" spans="3:10">
      <c r="C176" s="129"/>
      <c r="D176" s="129"/>
      <c r="E176" s="129"/>
      <c r="F176" s="129"/>
      <c r="G176" s="129"/>
      <c r="H176" s="129"/>
      <c r="I176" s="129"/>
      <c r="J176" s="129"/>
    </row>
    <row r="177" spans="3:10">
      <c r="C177" s="129"/>
      <c r="D177" s="129"/>
      <c r="E177" s="129"/>
      <c r="F177" s="129"/>
      <c r="G177" s="129"/>
      <c r="H177" s="129"/>
      <c r="I177" s="129"/>
      <c r="J177" s="129"/>
    </row>
    <row r="178" spans="3:10">
      <c r="C178" s="129"/>
      <c r="D178" s="129"/>
      <c r="E178" s="129"/>
      <c r="F178" s="129"/>
      <c r="G178" s="129"/>
      <c r="H178" s="129"/>
      <c r="I178" s="129"/>
      <c r="J178" s="129"/>
    </row>
    <row r="179" spans="3:10">
      <c r="C179" s="129"/>
      <c r="D179" s="129"/>
      <c r="E179" s="129"/>
      <c r="F179" s="129"/>
      <c r="G179" s="129"/>
      <c r="H179" s="129"/>
      <c r="I179" s="129"/>
      <c r="J179" s="129"/>
    </row>
    <row r="180" spans="3:10">
      <c r="C180" s="129"/>
      <c r="D180" s="129"/>
      <c r="E180" s="129"/>
      <c r="F180" s="129"/>
      <c r="G180" s="129"/>
      <c r="H180" s="129"/>
      <c r="I180" s="129"/>
      <c r="J180" s="129"/>
    </row>
    <row r="181" spans="3:10">
      <c r="C181" s="129"/>
      <c r="D181" s="129"/>
      <c r="E181" s="129"/>
      <c r="F181" s="129"/>
      <c r="G181" s="129"/>
      <c r="H181" s="129"/>
      <c r="I181" s="129"/>
      <c r="J181" s="129"/>
    </row>
    <row r="182" spans="3:10">
      <c r="C182" s="129"/>
      <c r="D182" s="129"/>
      <c r="E182" s="129"/>
      <c r="F182" s="129"/>
      <c r="G182" s="129"/>
      <c r="H182" s="129"/>
      <c r="I182" s="129"/>
      <c r="J182" s="129"/>
    </row>
    <row r="183" spans="3:10">
      <c r="C183" s="129"/>
      <c r="D183" s="129"/>
      <c r="E183" s="129"/>
      <c r="F183" s="129"/>
      <c r="G183" s="129"/>
      <c r="H183" s="129"/>
      <c r="I183" s="129"/>
      <c r="J183" s="129"/>
    </row>
    <row r="184" spans="3:10">
      <c r="C184" s="129"/>
      <c r="D184" s="129"/>
      <c r="E184" s="129"/>
      <c r="F184" s="129"/>
      <c r="G184" s="129"/>
      <c r="H184" s="129"/>
      <c r="I184" s="129"/>
      <c r="J184" s="129"/>
    </row>
    <row r="185" spans="3:10">
      <c r="C185" s="129"/>
      <c r="D185" s="129"/>
      <c r="E185" s="129"/>
      <c r="F185" s="129"/>
      <c r="G185" s="129"/>
      <c r="H185" s="129"/>
      <c r="I185" s="129"/>
      <c r="J185" s="129"/>
    </row>
    <row r="186" spans="3:10">
      <c r="C186" s="129"/>
      <c r="D186" s="129"/>
      <c r="E186" s="129"/>
      <c r="F186" s="129"/>
      <c r="G186" s="129"/>
      <c r="H186" s="129"/>
      <c r="I186" s="129"/>
      <c r="J186" s="129"/>
    </row>
    <row r="187" spans="3:10">
      <c r="C187" s="129"/>
      <c r="D187" s="129"/>
      <c r="E187" s="129"/>
      <c r="F187" s="129"/>
      <c r="G187" s="129"/>
      <c r="H187" s="129"/>
      <c r="I187" s="129"/>
      <c r="J187" s="129"/>
    </row>
    <row r="188" spans="3:10">
      <c r="C188" s="129"/>
      <c r="D188" s="129"/>
      <c r="E188" s="129"/>
      <c r="F188" s="129"/>
      <c r="G188" s="129"/>
      <c r="H188" s="129"/>
      <c r="I188" s="129"/>
      <c r="J188" s="129"/>
    </row>
    <row r="189" spans="3:10">
      <c r="C189" s="129"/>
      <c r="D189" s="129"/>
      <c r="E189" s="129"/>
      <c r="F189" s="129"/>
      <c r="G189" s="129"/>
      <c r="H189" s="129"/>
      <c r="I189" s="129"/>
      <c r="J189" s="129"/>
    </row>
    <row r="190" spans="3:10">
      <c r="C190" s="129"/>
      <c r="D190" s="129"/>
      <c r="E190" s="129"/>
      <c r="F190" s="129"/>
      <c r="G190" s="129"/>
      <c r="H190" s="129"/>
      <c r="I190" s="129"/>
      <c r="J190" s="129"/>
    </row>
    <row r="191" spans="3:10">
      <c r="C191" s="129"/>
      <c r="D191" s="129"/>
      <c r="E191" s="129"/>
      <c r="F191" s="129"/>
      <c r="G191" s="129"/>
      <c r="H191" s="129"/>
      <c r="I191" s="129"/>
      <c r="J191" s="129"/>
    </row>
    <row r="192" spans="3:10">
      <c r="C192" s="129"/>
      <c r="D192" s="129"/>
      <c r="E192" s="129"/>
      <c r="F192" s="129"/>
      <c r="G192" s="129"/>
      <c r="H192" s="129"/>
      <c r="I192" s="129"/>
      <c r="J192" s="129"/>
    </row>
    <row r="193" spans="3:10">
      <c r="C193" s="129"/>
      <c r="D193" s="129"/>
      <c r="E193" s="129"/>
      <c r="F193" s="129"/>
      <c r="G193" s="129"/>
      <c r="H193" s="129"/>
      <c r="I193" s="129"/>
      <c r="J193" s="129"/>
    </row>
    <row r="194" spans="3:10">
      <c r="C194" s="129"/>
      <c r="D194" s="129"/>
      <c r="E194" s="129"/>
      <c r="F194" s="129"/>
      <c r="G194" s="129"/>
      <c r="H194" s="129"/>
      <c r="I194" s="129"/>
      <c r="J194" s="129"/>
    </row>
    <row r="195" spans="3:10">
      <c r="C195" s="129"/>
      <c r="D195" s="129"/>
      <c r="E195" s="129"/>
      <c r="F195" s="129"/>
      <c r="G195" s="129"/>
      <c r="H195" s="129"/>
      <c r="I195" s="129"/>
      <c r="J195" s="129"/>
    </row>
    <row r="196" spans="3:10">
      <c r="C196" s="129"/>
      <c r="D196" s="129"/>
      <c r="E196" s="129"/>
      <c r="F196" s="129"/>
      <c r="G196" s="129"/>
      <c r="H196" s="129"/>
      <c r="I196" s="129"/>
      <c r="J196" s="129"/>
    </row>
    <row r="197" spans="3:10">
      <c r="C197" s="129"/>
      <c r="D197" s="129"/>
      <c r="E197" s="129"/>
      <c r="F197" s="129"/>
      <c r="G197" s="129"/>
      <c r="H197" s="129"/>
      <c r="I197" s="129"/>
      <c r="J197" s="129"/>
    </row>
    <row r="198" spans="3:10">
      <c r="C198" s="129"/>
      <c r="D198" s="129"/>
      <c r="E198" s="129"/>
      <c r="F198" s="129"/>
      <c r="G198" s="129"/>
      <c r="H198" s="129"/>
      <c r="I198" s="129"/>
      <c r="J198" s="129"/>
    </row>
    <row r="199" spans="3:10">
      <c r="C199" s="129"/>
      <c r="D199" s="129"/>
      <c r="E199" s="129"/>
      <c r="F199" s="129"/>
      <c r="G199" s="129"/>
      <c r="H199" s="129"/>
      <c r="I199" s="129"/>
      <c r="J199" s="129"/>
    </row>
    <row r="200" spans="3:10">
      <c r="C200" s="129"/>
      <c r="D200" s="129"/>
      <c r="E200" s="129"/>
      <c r="F200" s="129"/>
      <c r="G200" s="129"/>
      <c r="H200" s="129"/>
      <c r="I200" s="129"/>
      <c r="J200" s="129"/>
    </row>
    <row r="201" spans="3:10">
      <c r="C201" s="129"/>
      <c r="D201" s="129"/>
      <c r="E201" s="129"/>
      <c r="F201" s="129"/>
      <c r="G201" s="129"/>
      <c r="H201" s="129"/>
      <c r="I201" s="129"/>
      <c r="J201" s="129"/>
    </row>
    <row r="202" spans="3:10">
      <c r="C202" s="129"/>
      <c r="D202" s="129"/>
      <c r="E202" s="129"/>
      <c r="F202" s="129"/>
      <c r="G202" s="129"/>
      <c r="H202" s="129"/>
      <c r="I202" s="129"/>
      <c r="J202" s="129"/>
    </row>
    <row r="203" spans="3:10">
      <c r="C203" s="129"/>
      <c r="D203" s="129"/>
      <c r="E203" s="129"/>
      <c r="F203" s="129"/>
      <c r="G203" s="129"/>
      <c r="H203" s="129"/>
      <c r="I203" s="129"/>
      <c r="J203" s="129"/>
    </row>
    <row r="204" spans="3:10">
      <c r="C204" s="129"/>
      <c r="D204" s="129"/>
      <c r="E204" s="129"/>
      <c r="F204" s="129"/>
      <c r="G204" s="129"/>
      <c r="H204" s="129"/>
      <c r="I204" s="129"/>
      <c r="J204" s="129"/>
    </row>
    <row r="205" spans="3:10">
      <c r="C205" s="129"/>
      <c r="D205" s="129"/>
      <c r="E205" s="129"/>
      <c r="F205" s="129"/>
      <c r="G205" s="129"/>
      <c r="H205" s="129"/>
      <c r="I205" s="129"/>
      <c r="J205" s="129"/>
    </row>
    <row r="206" spans="3:10">
      <c r="C206" s="129"/>
      <c r="D206" s="129"/>
      <c r="E206" s="129"/>
      <c r="F206" s="129"/>
      <c r="G206" s="129"/>
      <c r="H206" s="129"/>
      <c r="I206" s="129"/>
      <c r="J206" s="129"/>
    </row>
    <row r="207" spans="3:10">
      <c r="C207" s="129"/>
      <c r="D207" s="129"/>
      <c r="E207" s="129"/>
      <c r="F207" s="129"/>
      <c r="G207" s="129"/>
      <c r="H207" s="129"/>
      <c r="I207" s="129"/>
      <c r="J207" s="129"/>
    </row>
    <row r="208" spans="3:10">
      <c r="C208" s="129"/>
      <c r="D208" s="129"/>
      <c r="E208" s="129"/>
      <c r="F208" s="129"/>
      <c r="G208" s="129"/>
      <c r="H208" s="129"/>
      <c r="I208" s="129"/>
      <c r="J208" s="129"/>
    </row>
    <row r="209" spans="3:10">
      <c r="C209" s="129"/>
      <c r="D209" s="129"/>
      <c r="E209" s="129"/>
      <c r="F209" s="129"/>
      <c r="G209" s="129"/>
      <c r="H209" s="129"/>
      <c r="I209" s="129"/>
      <c r="J209" s="129"/>
    </row>
    <row r="210" spans="3:10">
      <c r="C210" s="129"/>
      <c r="D210" s="129"/>
      <c r="E210" s="129"/>
      <c r="F210" s="129"/>
      <c r="G210" s="129"/>
      <c r="H210" s="129"/>
      <c r="I210" s="129"/>
      <c r="J210" s="129"/>
    </row>
    <row r="211" spans="3:10">
      <c r="C211" s="129"/>
      <c r="D211" s="129"/>
      <c r="E211" s="129"/>
      <c r="F211" s="129"/>
      <c r="G211" s="129"/>
      <c r="H211" s="129"/>
      <c r="I211" s="129"/>
      <c r="J211" s="129"/>
    </row>
    <row r="212" spans="3:10">
      <c r="C212" s="129"/>
      <c r="D212" s="129"/>
      <c r="E212" s="129"/>
      <c r="F212" s="129"/>
      <c r="G212" s="129"/>
      <c r="H212" s="129"/>
      <c r="I212" s="129"/>
      <c r="J212" s="129"/>
    </row>
    <row r="213" spans="3:10">
      <c r="C213" s="129"/>
      <c r="D213" s="129"/>
      <c r="E213" s="129"/>
      <c r="F213" s="129"/>
      <c r="G213" s="129"/>
      <c r="H213" s="129"/>
      <c r="I213" s="129"/>
      <c r="J213" s="129"/>
    </row>
    <row r="214" spans="3:10">
      <c r="C214" s="129"/>
      <c r="D214" s="129"/>
      <c r="E214" s="129"/>
      <c r="F214" s="129"/>
      <c r="G214" s="129"/>
      <c r="H214" s="129"/>
      <c r="I214" s="129"/>
      <c r="J214" s="129"/>
    </row>
    <row r="215" spans="3:10">
      <c r="C215" s="129"/>
      <c r="D215" s="129"/>
      <c r="E215" s="129"/>
      <c r="F215" s="129"/>
      <c r="G215" s="129"/>
      <c r="H215" s="129"/>
      <c r="I215" s="129"/>
      <c r="J215" s="129"/>
    </row>
    <row r="216" spans="3:10">
      <c r="C216" s="129"/>
      <c r="D216" s="129"/>
      <c r="E216" s="129"/>
      <c r="F216" s="129"/>
      <c r="G216" s="129"/>
      <c r="H216" s="129"/>
      <c r="I216" s="129"/>
      <c r="J216" s="129"/>
    </row>
    <row r="217" spans="3:10">
      <c r="C217" s="129"/>
      <c r="D217" s="129"/>
      <c r="E217" s="129"/>
      <c r="F217" s="129"/>
      <c r="G217" s="129"/>
      <c r="H217" s="129"/>
      <c r="I217" s="129"/>
      <c r="J217" s="129"/>
    </row>
    <row r="218" spans="3:10">
      <c r="C218" s="129"/>
      <c r="D218" s="129"/>
      <c r="E218" s="129"/>
      <c r="F218" s="129"/>
      <c r="G218" s="129"/>
      <c r="H218" s="129"/>
      <c r="I218" s="129"/>
      <c r="J218" s="129"/>
    </row>
    <row r="219" spans="3:10">
      <c r="C219" s="129"/>
      <c r="D219" s="129"/>
      <c r="E219" s="129"/>
      <c r="F219" s="129"/>
      <c r="G219" s="129"/>
      <c r="H219" s="129"/>
      <c r="I219" s="129"/>
      <c r="J219" s="129"/>
    </row>
    <row r="220" spans="3:10">
      <c r="C220" s="129"/>
      <c r="D220" s="129"/>
      <c r="E220" s="129"/>
      <c r="F220" s="129"/>
      <c r="G220" s="129"/>
      <c r="H220" s="129"/>
      <c r="I220" s="129"/>
      <c r="J220" s="129"/>
    </row>
    <row r="221" spans="3:10">
      <c r="C221" s="129"/>
      <c r="D221" s="129"/>
      <c r="E221" s="129"/>
      <c r="F221" s="129"/>
      <c r="G221" s="129"/>
      <c r="H221" s="129"/>
      <c r="I221" s="129"/>
      <c r="J221" s="129"/>
    </row>
    <row r="222" spans="3:10">
      <c r="C222" s="129"/>
      <c r="D222" s="129"/>
      <c r="E222" s="129"/>
      <c r="F222" s="129"/>
      <c r="G222" s="129"/>
      <c r="H222" s="129"/>
      <c r="I222" s="129"/>
      <c r="J222" s="129"/>
    </row>
    <row r="223" spans="3:10">
      <c r="C223" s="129"/>
      <c r="D223" s="129"/>
      <c r="E223" s="129"/>
      <c r="F223" s="129"/>
      <c r="G223" s="129"/>
      <c r="H223" s="129"/>
      <c r="I223" s="129"/>
      <c r="J223" s="129"/>
    </row>
    <row r="224" spans="3:10">
      <c r="C224" s="129"/>
      <c r="D224" s="129"/>
      <c r="E224" s="129"/>
      <c r="F224" s="129"/>
      <c r="G224" s="129"/>
      <c r="H224" s="129"/>
      <c r="I224" s="129"/>
      <c r="J224" s="129"/>
    </row>
    <row r="225" spans="3:10">
      <c r="C225" s="129"/>
      <c r="D225" s="129"/>
      <c r="E225" s="129"/>
      <c r="F225" s="129"/>
      <c r="G225" s="129"/>
      <c r="H225" s="129"/>
      <c r="I225" s="129"/>
      <c r="J225" s="129"/>
    </row>
    <row r="226" spans="3:10">
      <c r="C226" s="129"/>
      <c r="D226" s="129"/>
      <c r="E226" s="129"/>
      <c r="F226" s="129"/>
      <c r="G226" s="129"/>
      <c r="H226" s="129"/>
      <c r="I226" s="129"/>
      <c r="J226" s="129"/>
    </row>
    <row r="227" spans="3:10">
      <c r="C227" s="129"/>
      <c r="D227" s="129"/>
      <c r="E227" s="129"/>
      <c r="F227" s="129"/>
      <c r="G227" s="129"/>
      <c r="H227" s="129"/>
      <c r="I227" s="129"/>
      <c r="J227" s="129"/>
    </row>
    <row r="228" spans="3:10">
      <c r="C228" s="129"/>
      <c r="D228" s="129"/>
      <c r="E228" s="129"/>
      <c r="F228" s="129"/>
      <c r="G228" s="129"/>
      <c r="H228" s="129"/>
      <c r="I228" s="129"/>
      <c r="J228" s="129"/>
    </row>
    <row r="229" spans="3:10">
      <c r="C229" s="129"/>
      <c r="D229" s="129"/>
      <c r="E229" s="129"/>
      <c r="F229" s="129"/>
      <c r="G229" s="129"/>
      <c r="H229" s="129"/>
      <c r="I229" s="129"/>
      <c r="J229" s="129"/>
    </row>
    <row r="230" spans="3:10">
      <c r="C230" s="129"/>
      <c r="D230" s="129"/>
      <c r="E230" s="129"/>
      <c r="F230" s="129"/>
      <c r="G230" s="129"/>
      <c r="H230" s="129"/>
      <c r="I230" s="129"/>
      <c r="J230" s="129"/>
    </row>
    <row r="231" spans="3:10">
      <c r="C231" s="129"/>
      <c r="D231" s="129"/>
      <c r="E231" s="129"/>
      <c r="F231" s="129"/>
      <c r="G231" s="129"/>
      <c r="H231" s="129"/>
      <c r="I231" s="129"/>
      <c r="J231" s="129"/>
    </row>
    <row r="232" spans="3:10">
      <c r="C232" s="129"/>
      <c r="D232" s="129"/>
      <c r="E232" s="129"/>
      <c r="F232" s="129"/>
      <c r="G232" s="129"/>
      <c r="H232" s="129"/>
      <c r="I232" s="129"/>
      <c r="J232" s="129"/>
    </row>
    <row r="233" spans="3:10">
      <c r="C233" s="129"/>
      <c r="D233" s="129"/>
      <c r="E233" s="129"/>
      <c r="F233" s="129"/>
      <c r="G233" s="129"/>
      <c r="H233" s="129"/>
      <c r="I233" s="129"/>
      <c r="J233" s="129"/>
    </row>
    <row r="234" spans="3:10">
      <c r="C234" s="129"/>
      <c r="D234" s="129"/>
      <c r="E234" s="129"/>
      <c r="F234" s="129"/>
      <c r="G234" s="129"/>
      <c r="H234" s="129"/>
      <c r="I234" s="129"/>
      <c r="J234" s="129"/>
    </row>
    <row r="235" spans="3:10">
      <c r="C235" s="129"/>
      <c r="D235" s="129"/>
      <c r="E235" s="129"/>
      <c r="F235" s="129"/>
      <c r="G235" s="129"/>
      <c r="H235" s="129"/>
      <c r="I235" s="129"/>
      <c r="J235" s="129"/>
    </row>
    <row r="236" spans="3:10">
      <c r="C236" s="129"/>
      <c r="D236" s="129"/>
      <c r="E236" s="129"/>
      <c r="F236" s="129"/>
      <c r="G236" s="129"/>
      <c r="H236" s="129"/>
      <c r="I236" s="129"/>
      <c r="J236" s="129"/>
    </row>
    <row r="237" spans="3:10">
      <c r="C237" s="129"/>
      <c r="D237" s="129"/>
      <c r="E237" s="129"/>
      <c r="F237" s="129"/>
      <c r="G237" s="129"/>
      <c r="H237" s="129"/>
      <c r="I237" s="129"/>
      <c r="J237" s="129"/>
    </row>
    <row r="238" spans="3:10">
      <c r="C238" s="129"/>
      <c r="D238" s="129"/>
      <c r="E238" s="129"/>
      <c r="F238" s="129"/>
      <c r="G238" s="129"/>
      <c r="H238" s="129"/>
      <c r="I238" s="129"/>
      <c r="J238" s="129"/>
    </row>
    <row r="239" spans="3:10">
      <c r="C239" s="129"/>
      <c r="D239" s="129"/>
      <c r="E239" s="129"/>
      <c r="F239" s="129"/>
      <c r="G239" s="129"/>
      <c r="H239" s="129"/>
      <c r="I239" s="129"/>
      <c r="J239" s="129"/>
    </row>
    <row r="240" spans="3:10">
      <c r="C240" s="129"/>
      <c r="D240" s="129"/>
      <c r="E240" s="129"/>
      <c r="F240" s="129"/>
      <c r="G240" s="129"/>
      <c r="H240" s="129"/>
      <c r="I240" s="129"/>
      <c r="J240" s="129"/>
    </row>
    <row r="241" spans="3:10">
      <c r="C241" s="129"/>
      <c r="D241" s="129"/>
      <c r="E241" s="129"/>
      <c r="F241" s="129"/>
      <c r="G241" s="129"/>
      <c r="H241" s="129"/>
      <c r="I241" s="129"/>
      <c r="J241" s="129"/>
    </row>
    <row r="242" spans="3:10">
      <c r="C242" s="129"/>
      <c r="D242" s="129"/>
      <c r="E242" s="129"/>
      <c r="F242" s="129"/>
      <c r="G242" s="129"/>
      <c r="H242" s="129"/>
      <c r="I242" s="129"/>
      <c r="J242" s="129"/>
    </row>
    <row r="243" spans="3:10">
      <c r="C243" s="129"/>
      <c r="D243" s="129"/>
      <c r="E243" s="129"/>
      <c r="F243" s="129"/>
      <c r="G243" s="129"/>
      <c r="H243" s="129"/>
      <c r="I243" s="129"/>
      <c r="J243" s="129"/>
    </row>
    <row r="244" spans="3:10">
      <c r="C244" s="129"/>
      <c r="D244" s="129"/>
      <c r="E244" s="129"/>
      <c r="F244" s="129"/>
      <c r="G244" s="129"/>
      <c r="H244" s="129"/>
      <c r="I244" s="129"/>
      <c r="J244" s="129"/>
    </row>
    <row r="245" spans="3:10">
      <c r="C245" s="129"/>
      <c r="D245" s="129"/>
      <c r="E245" s="129"/>
      <c r="F245" s="129"/>
      <c r="G245" s="129"/>
      <c r="H245" s="129"/>
      <c r="I245" s="129"/>
      <c r="J245" s="129"/>
    </row>
    <row r="246" spans="3:10">
      <c r="C246" s="129"/>
      <c r="D246" s="129"/>
      <c r="E246" s="129"/>
      <c r="F246" s="129"/>
      <c r="G246" s="129"/>
      <c r="H246" s="129"/>
      <c r="I246" s="129"/>
      <c r="J246" s="129"/>
    </row>
    <row r="247" spans="3:10">
      <c r="C247" s="129"/>
      <c r="D247" s="129"/>
      <c r="E247" s="129"/>
      <c r="F247" s="129"/>
      <c r="G247" s="129"/>
      <c r="H247" s="129"/>
      <c r="I247" s="129"/>
      <c r="J247" s="129"/>
    </row>
    <row r="248" spans="3:10">
      <c r="C248" s="129"/>
      <c r="D248" s="129"/>
      <c r="E248" s="129"/>
      <c r="F248" s="129"/>
      <c r="G248" s="129"/>
      <c r="H248" s="129"/>
      <c r="I248" s="129"/>
      <c r="J248" s="129"/>
    </row>
    <row r="249" spans="3:10">
      <c r="C249" s="129"/>
      <c r="D249" s="129"/>
      <c r="E249" s="129"/>
      <c r="F249" s="129"/>
      <c r="G249" s="129"/>
      <c r="H249" s="129"/>
      <c r="I249" s="129"/>
      <c r="J249" s="129"/>
    </row>
    <row r="250" spans="3:10">
      <c r="C250" s="129"/>
      <c r="D250" s="129"/>
      <c r="E250" s="129"/>
      <c r="F250" s="129"/>
      <c r="G250" s="129"/>
      <c r="H250" s="129"/>
      <c r="I250" s="129"/>
      <c r="J250" s="129"/>
    </row>
    <row r="251" spans="3:10">
      <c r="C251" s="129"/>
      <c r="D251" s="129"/>
      <c r="E251" s="129"/>
      <c r="F251" s="129"/>
      <c r="G251" s="129"/>
      <c r="H251" s="129"/>
      <c r="I251" s="129"/>
      <c r="J251" s="129"/>
    </row>
    <row r="252" spans="3:10">
      <c r="C252" s="129"/>
      <c r="D252" s="129"/>
      <c r="E252" s="129"/>
      <c r="F252" s="129"/>
      <c r="G252" s="129"/>
      <c r="H252" s="129"/>
      <c r="I252" s="129"/>
      <c r="J252" s="129"/>
    </row>
    <row r="253" spans="3:10">
      <c r="C253" s="129"/>
      <c r="D253" s="129"/>
      <c r="E253" s="129"/>
      <c r="F253" s="129"/>
      <c r="G253" s="129"/>
      <c r="H253" s="129"/>
      <c r="I253" s="129"/>
      <c r="J253" s="129"/>
    </row>
    <row r="254" spans="3:10">
      <c r="C254" s="129"/>
      <c r="D254" s="129"/>
      <c r="E254" s="129"/>
      <c r="F254" s="129"/>
      <c r="G254" s="129"/>
      <c r="H254" s="129"/>
      <c r="I254" s="129"/>
      <c r="J254" s="129"/>
    </row>
    <row r="255" spans="3:10">
      <c r="C255" s="129"/>
      <c r="D255" s="129"/>
      <c r="E255" s="129"/>
      <c r="F255" s="129"/>
      <c r="G255" s="129"/>
      <c r="H255" s="129"/>
      <c r="I255" s="129"/>
      <c r="J255" s="129"/>
    </row>
    <row r="256" spans="3:10">
      <c r="C256" s="129"/>
      <c r="D256" s="129"/>
      <c r="E256" s="129"/>
      <c r="F256" s="129"/>
      <c r="G256" s="129"/>
      <c r="H256" s="129"/>
      <c r="I256" s="129"/>
      <c r="J256" s="129"/>
    </row>
    <row r="257" spans="3:10">
      <c r="C257" s="129"/>
      <c r="D257" s="129"/>
      <c r="E257" s="129"/>
      <c r="F257" s="129"/>
      <c r="G257" s="129"/>
      <c r="H257" s="129"/>
      <c r="I257" s="129"/>
      <c r="J257" s="129"/>
    </row>
    <row r="258" spans="3:10">
      <c r="C258" s="129"/>
      <c r="D258" s="129"/>
      <c r="E258" s="129"/>
      <c r="F258" s="129"/>
      <c r="G258" s="129"/>
      <c r="H258" s="129"/>
      <c r="I258" s="129"/>
      <c r="J258" s="129"/>
    </row>
    <row r="259" spans="3:10">
      <c r="C259" s="129"/>
      <c r="D259" s="129"/>
      <c r="E259" s="129"/>
      <c r="F259" s="129"/>
      <c r="G259" s="129"/>
      <c r="H259" s="129"/>
      <c r="I259" s="129"/>
      <c r="J259" s="129"/>
    </row>
    <row r="260" spans="3:10">
      <c r="C260" s="129"/>
      <c r="D260" s="129"/>
      <c r="E260" s="129"/>
      <c r="F260" s="129"/>
      <c r="G260" s="129"/>
      <c r="H260" s="129"/>
      <c r="I260" s="129"/>
      <c r="J260" s="129"/>
    </row>
    <row r="261" spans="3:10">
      <c r="C261" s="129"/>
      <c r="D261" s="129"/>
      <c r="E261" s="129"/>
      <c r="F261" s="129"/>
      <c r="G261" s="129"/>
      <c r="H261" s="129"/>
      <c r="I261" s="129"/>
      <c r="J261" s="129"/>
    </row>
    <row r="262" spans="3:10">
      <c r="C262" s="129"/>
      <c r="D262" s="129"/>
      <c r="E262" s="129"/>
      <c r="F262" s="129"/>
      <c r="G262" s="129"/>
      <c r="H262" s="129"/>
      <c r="I262" s="129"/>
      <c r="J262" s="129"/>
    </row>
    <row r="263" spans="3:10">
      <c r="C263" s="129"/>
      <c r="D263" s="129"/>
      <c r="E263" s="129"/>
      <c r="F263" s="129"/>
      <c r="G263" s="129"/>
      <c r="H263" s="129"/>
      <c r="I263" s="129"/>
      <c r="J263" s="129"/>
    </row>
    <row r="264" spans="3:10">
      <c r="C264" s="129"/>
      <c r="D264" s="129"/>
      <c r="E264" s="129"/>
      <c r="F264" s="129"/>
      <c r="G264" s="129"/>
      <c r="H264" s="129"/>
      <c r="I264" s="129"/>
      <c r="J264" s="129"/>
    </row>
    <row r="265" spans="3:10">
      <c r="C265" s="129"/>
      <c r="D265" s="129"/>
      <c r="E265" s="129"/>
      <c r="F265" s="129"/>
      <c r="G265" s="129"/>
      <c r="H265" s="129"/>
      <c r="I265" s="129"/>
      <c r="J265" s="129"/>
    </row>
    <row r="266" spans="3:10">
      <c r="C266" s="129"/>
      <c r="D266" s="129"/>
      <c r="E266" s="129"/>
      <c r="F266" s="129"/>
      <c r="G266" s="129"/>
      <c r="H266" s="129"/>
      <c r="I266" s="129"/>
      <c r="J266" s="129"/>
    </row>
    <row r="267" spans="3:10">
      <c r="C267" s="129"/>
      <c r="D267" s="129"/>
      <c r="E267" s="129"/>
      <c r="F267" s="129"/>
      <c r="G267" s="129"/>
      <c r="H267" s="129"/>
      <c r="I267" s="129"/>
      <c r="J267" s="129"/>
    </row>
    <row r="268" spans="3:10">
      <c r="C268" s="129"/>
      <c r="D268" s="129"/>
      <c r="E268" s="129"/>
      <c r="F268" s="129"/>
      <c r="G268" s="129"/>
      <c r="H268" s="129"/>
      <c r="I268" s="129"/>
      <c r="J268" s="129"/>
    </row>
    <row r="269" spans="3:10">
      <c r="C269" s="129"/>
      <c r="D269" s="129"/>
      <c r="E269" s="129"/>
      <c r="F269" s="129"/>
      <c r="G269" s="129"/>
      <c r="H269" s="129"/>
      <c r="I269" s="129"/>
      <c r="J269" s="129"/>
    </row>
    <row r="270" spans="3:10">
      <c r="C270" s="129"/>
      <c r="D270" s="129"/>
      <c r="E270" s="129"/>
      <c r="F270" s="129"/>
      <c r="G270" s="129"/>
      <c r="H270" s="129"/>
      <c r="I270" s="129"/>
      <c r="J270" s="129"/>
    </row>
    <row r="271" spans="3:10">
      <c r="C271" s="129"/>
      <c r="D271" s="129"/>
      <c r="E271" s="129"/>
      <c r="F271" s="129"/>
      <c r="G271" s="129"/>
      <c r="H271" s="129"/>
      <c r="I271" s="129"/>
      <c r="J271" s="129"/>
    </row>
    <row r="272" spans="3:10">
      <c r="C272" s="129"/>
      <c r="D272" s="129"/>
      <c r="E272" s="129"/>
      <c r="F272" s="129"/>
      <c r="G272" s="129"/>
      <c r="H272" s="129"/>
      <c r="I272" s="129"/>
      <c r="J272" s="129"/>
    </row>
    <row r="273" spans="3:10">
      <c r="C273" s="129"/>
      <c r="D273" s="129"/>
      <c r="E273" s="129"/>
      <c r="F273" s="129"/>
      <c r="G273" s="129"/>
      <c r="H273" s="129"/>
      <c r="I273" s="129"/>
      <c r="J273" s="129"/>
    </row>
    <row r="274" spans="3:10">
      <c r="C274" s="129"/>
      <c r="D274" s="129"/>
      <c r="E274" s="129"/>
      <c r="F274" s="129"/>
      <c r="G274" s="129"/>
      <c r="H274" s="129"/>
      <c r="I274" s="129"/>
      <c r="J274" s="129"/>
    </row>
    <row r="275" spans="3:10">
      <c r="C275" s="129"/>
      <c r="D275" s="129"/>
      <c r="E275" s="129"/>
      <c r="F275" s="129"/>
      <c r="G275" s="129"/>
      <c r="H275" s="129"/>
      <c r="I275" s="129"/>
      <c r="J275" s="129"/>
    </row>
    <row r="276" spans="3:10">
      <c r="C276" s="129"/>
      <c r="D276" s="129"/>
      <c r="E276" s="129"/>
      <c r="F276" s="129"/>
      <c r="G276" s="129"/>
      <c r="H276" s="129"/>
      <c r="I276" s="129"/>
      <c r="J276" s="129"/>
    </row>
    <row r="277" spans="3:10">
      <c r="C277" s="129"/>
      <c r="D277" s="129"/>
      <c r="E277" s="129"/>
      <c r="F277" s="129"/>
      <c r="G277" s="129"/>
      <c r="H277" s="129"/>
      <c r="I277" s="129"/>
      <c r="J277" s="129"/>
    </row>
    <row r="278" spans="3:10">
      <c r="C278" s="129"/>
      <c r="D278" s="129"/>
      <c r="E278" s="129"/>
      <c r="F278" s="129"/>
      <c r="G278" s="129"/>
      <c r="H278" s="129"/>
      <c r="I278" s="129"/>
      <c r="J278" s="129"/>
    </row>
    <row r="279" spans="3:10">
      <c r="C279" s="129"/>
      <c r="D279" s="129"/>
      <c r="E279" s="129"/>
      <c r="F279" s="129"/>
      <c r="G279" s="129"/>
      <c r="H279" s="129"/>
      <c r="I279" s="129"/>
      <c r="J279" s="129"/>
    </row>
    <row r="280" spans="3:10">
      <c r="C280" s="129"/>
      <c r="D280" s="129"/>
      <c r="E280" s="129"/>
      <c r="F280" s="129"/>
      <c r="G280" s="129"/>
      <c r="H280" s="129"/>
      <c r="I280" s="129"/>
      <c r="J280" s="129"/>
    </row>
    <row r="281" spans="3:10">
      <c r="C281" s="129"/>
      <c r="D281" s="129"/>
      <c r="E281" s="129"/>
      <c r="F281" s="129"/>
      <c r="G281" s="129"/>
      <c r="H281" s="129"/>
      <c r="I281" s="129"/>
      <c r="J281" s="129"/>
    </row>
    <row r="282" spans="3:10">
      <c r="C282" s="129"/>
      <c r="D282" s="129"/>
      <c r="E282" s="129"/>
      <c r="F282" s="129"/>
      <c r="G282" s="129"/>
      <c r="H282" s="129"/>
      <c r="I282" s="129"/>
      <c r="J282" s="129"/>
    </row>
    <row r="283" spans="3:10">
      <c r="C283" s="129"/>
      <c r="D283" s="129"/>
      <c r="E283" s="129"/>
      <c r="F283" s="129"/>
      <c r="G283" s="129"/>
      <c r="H283" s="129"/>
      <c r="I283" s="129"/>
      <c r="J283" s="129"/>
    </row>
    <row r="284" spans="3:10">
      <c r="C284" s="129"/>
      <c r="D284" s="129"/>
      <c r="E284" s="129"/>
      <c r="F284" s="129"/>
      <c r="G284" s="129"/>
      <c r="H284" s="129"/>
      <c r="I284" s="129"/>
      <c r="J284" s="129"/>
    </row>
    <row r="285" spans="3:10">
      <c r="C285" s="129"/>
      <c r="D285" s="129"/>
      <c r="E285" s="129"/>
      <c r="F285" s="129"/>
      <c r="G285" s="129"/>
      <c r="H285" s="129"/>
      <c r="I285" s="129"/>
      <c r="J285" s="129"/>
    </row>
    <row r="286" spans="3:10">
      <c r="C286" s="129"/>
      <c r="D286" s="129"/>
      <c r="E286" s="129"/>
      <c r="F286" s="129"/>
      <c r="G286" s="129"/>
      <c r="H286" s="129"/>
      <c r="I286" s="129"/>
      <c r="J286" s="129"/>
    </row>
    <row r="287" spans="3:10">
      <c r="C287" s="129"/>
      <c r="D287" s="129"/>
      <c r="E287" s="129"/>
      <c r="F287" s="129"/>
      <c r="G287" s="129"/>
      <c r="H287" s="129"/>
      <c r="I287" s="129"/>
      <c r="J287" s="129"/>
    </row>
    <row r="288" spans="3:10">
      <c r="C288" s="129"/>
      <c r="D288" s="129"/>
      <c r="E288" s="129"/>
      <c r="F288" s="129"/>
      <c r="G288" s="129"/>
      <c r="H288" s="129"/>
      <c r="I288" s="129"/>
      <c r="J288" s="129"/>
    </row>
    <row r="289" spans="3:10">
      <c r="C289" s="129"/>
      <c r="D289" s="129"/>
      <c r="E289" s="129"/>
      <c r="F289" s="129"/>
      <c r="G289" s="129"/>
      <c r="H289" s="129"/>
      <c r="I289" s="129"/>
      <c r="J289" s="129"/>
    </row>
    <row r="290" spans="3:10">
      <c r="C290" s="129"/>
      <c r="D290" s="129"/>
      <c r="E290" s="129"/>
      <c r="F290" s="129"/>
      <c r="G290" s="129"/>
      <c r="H290" s="129"/>
      <c r="I290" s="129"/>
      <c r="J290" s="129"/>
    </row>
    <row r="291" spans="3:10">
      <c r="C291" s="129"/>
      <c r="D291" s="129"/>
      <c r="E291" s="129"/>
      <c r="F291" s="129"/>
      <c r="G291" s="129"/>
      <c r="H291" s="129"/>
      <c r="I291" s="129"/>
      <c r="J291" s="129"/>
    </row>
    <row r="292" spans="3:10">
      <c r="C292" s="129"/>
      <c r="D292" s="129"/>
      <c r="E292" s="129"/>
      <c r="F292" s="129"/>
      <c r="G292" s="129"/>
      <c r="H292" s="129"/>
      <c r="I292" s="129"/>
      <c r="J292" s="129"/>
    </row>
    <row r="293" spans="3:10">
      <c r="C293" s="129"/>
      <c r="D293" s="129"/>
      <c r="E293" s="129"/>
      <c r="F293" s="129"/>
      <c r="G293" s="129"/>
      <c r="H293" s="129"/>
      <c r="I293" s="129"/>
      <c r="J293" s="129"/>
    </row>
    <row r="294" spans="3:10">
      <c r="C294" s="129"/>
      <c r="D294" s="129"/>
      <c r="E294" s="129"/>
      <c r="F294" s="129"/>
      <c r="G294" s="129"/>
      <c r="H294" s="129"/>
      <c r="I294" s="129"/>
      <c r="J294" s="129"/>
    </row>
    <row r="295" spans="3:10">
      <c r="C295" s="129"/>
      <c r="D295" s="129"/>
      <c r="E295" s="129"/>
      <c r="F295" s="129"/>
      <c r="G295" s="129"/>
      <c r="H295" s="129"/>
      <c r="I295" s="129"/>
      <c r="J295" s="129"/>
    </row>
    <row r="296" spans="3:10">
      <c r="C296" s="129"/>
      <c r="D296" s="129"/>
      <c r="E296" s="129"/>
      <c r="F296" s="129"/>
      <c r="G296" s="129"/>
      <c r="H296" s="129"/>
      <c r="I296" s="129"/>
      <c r="J296" s="129"/>
    </row>
    <row r="297" spans="3:10">
      <c r="C297" s="129"/>
      <c r="D297" s="129"/>
      <c r="E297" s="129"/>
      <c r="F297" s="129"/>
      <c r="G297" s="129"/>
      <c r="H297" s="129"/>
      <c r="I297" s="129"/>
      <c r="J297" s="129"/>
    </row>
    <row r="298" spans="3:10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100:X100"/>
    <mergeCell ref="M99:X99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9" orientation="portrait" horizontalDpi="300" verticalDpi="300" r:id="rId1"/>
  <headerFooter alignWithMargins="0"/>
  <rowBreaks count="1" manualBreakCount="1">
    <brk id="48" min="10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0000FF"/>
  </sheetPr>
  <dimension ref="A1:F168"/>
  <sheetViews>
    <sheetView tabSelected="1" view="pageBreakPreview" zoomScale="90" zoomScaleNormal="90" zoomScaleSheetLayoutView="90" workbookViewId="0">
      <pane xSplit="5" ySplit="6" topLeftCell="F7" activePane="bottomRight" state="frozen"/>
      <selection activeCell="E70" sqref="E70"/>
      <selection pane="topRight" activeCell="E70" sqref="E70"/>
      <selection pane="bottomLeft" activeCell="E70" sqref="E70"/>
      <selection pane="bottomRight" activeCell="F7" sqref="F7"/>
    </sheetView>
  </sheetViews>
  <sheetFormatPr defaultColWidth="8.77734375" defaultRowHeight="12.75"/>
  <cols>
    <col min="1" max="1" width="43.21875" style="294" customWidth="1"/>
    <col min="2" max="2" width="28.6640625" style="294" customWidth="1"/>
    <col min="3" max="5" width="15.21875" style="294" customWidth="1"/>
    <col min="6" max="6" width="2.44140625" style="294" customWidth="1"/>
    <col min="7" max="16384" width="8.77734375" style="294"/>
  </cols>
  <sheetData>
    <row r="1" spans="1:5" ht="15.75">
      <c r="A1" s="308" t="s">
        <v>489</v>
      </c>
      <c r="B1" s="382">
        <v>44196</v>
      </c>
      <c r="C1" s="310"/>
      <c r="D1" s="499" t="s">
        <v>497</v>
      </c>
    </row>
    <row r="2" spans="1:5" ht="15.75">
      <c r="A2" s="309" t="s">
        <v>490</v>
      </c>
      <c r="B2" s="383">
        <f>EDATE(B1,5)+1</f>
        <v>44348</v>
      </c>
      <c r="D2" s="498">
        <v>18</v>
      </c>
    </row>
    <row r="3" spans="1:5" ht="16.5" thickBot="1">
      <c r="A3" s="309" t="s">
        <v>392</v>
      </c>
      <c r="B3" s="311"/>
    </row>
    <row r="4" spans="1:5" ht="13.5" thickBot="1">
      <c r="A4" s="295"/>
      <c r="C4" s="398" t="s">
        <v>953</v>
      </c>
      <c r="D4" s="399"/>
      <c r="E4" s="497"/>
    </row>
    <row r="5" spans="1:5">
      <c r="A5" s="295"/>
      <c r="B5" s="312" t="s">
        <v>23</v>
      </c>
      <c r="C5" s="313"/>
      <c r="D5" s="313"/>
    </row>
    <row r="6" spans="1:5" ht="13.5" thickBot="1">
      <c r="A6" s="314" t="s">
        <v>488</v>
      </c>
      <c r="B6" s="315" t="s">
        <v>25</v>
      </c>
      <c r="C6" s="298" t="s">
        <v>181</v>
      </c>
      <c r="D6" s="298" t="s">
        <v>182</v>
      </c>
      <c r="E6" s="298" t="s">
        <v>395</v>
      </c>
    </row>
    <row r="7" spans="1:5">
      <c r="A7" s="295"/>
      <c r="B7" s="316"/>
      <c r="C7" s="316"/>
      <c r="D7" s="316"/>
    </row>
    <row r="8" spans="1:5">
      <c r="A8" s="296" t="s">
        <v>28</v>
      </c>
      <c r="B8" s="316"/>
      <c r="C8" s="316"/>
      <c r="D8" s="316"/>
    </row>
    <row r="9" spans="1:5">
      <c r="A9" s="295" t="s">
        <v>29</v>
      </c>
      <c r="B9" s="316" t="s">
        <v>183</v>
      </c>
      <c r="C9" s="940">
        <v>0</v>
      </c>
      <c r="D9" s="940">
        <v>1357909909</v>
      </c>
      <c r="E9" s="330">
        <f t="shared" ref="E9:E14" si="0">D9+C9</f>
        <v>1357909909</v>
      </c>
    </row>
    <row r="10" spans="1:5">
      <c r="A10" s="295" t="s">
        <v>31</v>
      </c>
      <c r="B10" s="316" t="s">
        <v>171</v>
      </c>
      <c r="C10" s="324">
        <v>1174534297</v>
      </c>
      <c r="D10" s="324">
        <v>94399794</v>
      </c>
      <c r="E10" s="331">
        <f t="shared" si="0"/>
        <v>1268934091</v>
      </c>
    </row>
    <row r="11" spans="1:5">
      <c r="A11" s="295" t="s">
        <v>32</v>
      </c>
      <c r="B11" s="316" t="s">
        <v>172</v>
      </c>
      <c r="C11" s="324">
        <v>3055478337</v>
      </c>
      <c r="D11" s="324">
        <v>591716376</v>
      </c>
      <c r="E11" s="331">
        <f t="shared" si="0"/>
        <v>3647194713</v>
      </c>
    </row>
    <row r="12" spans="1:5">
      <c r="A12" s="295" t="s">
        <v>33</v>
      </c>
      <c r="B12" s="316" t="s">
        <v>0</v>
      </c>
      <c r="C12" s="324">
        <f>107444186+400370730</f>
        <v>507814916</v>
      </c>
      <c r="D12" s="324">
        <f>26954689+16670766</f>
        <v>43625455</v>
      </c>
      <c r="E12" s="331">
        <f t="shared" si="0"/>
        <v>551440371</v>
      </c>
    </row>
    <row r="13" spans="1:5" ht="13.5" thickBot="1">
      <c r="A13" s="306" t="s">
        <v>34</v>
      </c>
      <c r="B13" s="381" t="s">
        <v>698</v>
      </c>
      <c r="C13" s="941">
        <f>ROUND(381781434*0.6702,0)</f>
        <v>255869917</v>
      </c>
      <c r="D13" s="941">
        <f>ROUND(45373340*0.732,0)</f>
        <v>33213285</v>
      </c>
      <c r="E13" s="488">
        <f t="shared" si="0"/>
        <v>289083202</v>
      </c>
    </row>
    <row r="14" spans="1:5">
      <c r="A14" s="295" t="s">
        <v>481</v>
      </c>
      <c r="B14" s="316"/>
      <c r="C14" s="317">
        <f>SUM(C9:C13)</f>
        <v>4993697467</v>
      </c>
      <c r="D14" s="317">
        <f>SUM(D9:D13)</f>
        <v>2120864819</v>
      </c>
      <c r="E14" s="330">
        <f t="shared" si="0"/>
        <v>7114562286</v>
      </c>
    </row>
    <row r="15" spans="1:5">
      <c r="A15" s="295"/>
      <c r="B15" s="316"/>
      <c r="C15" s="299"/>
      <c r="D15" s="299"/>
      <c r="E15" s="331"/>
    </row>
    <row r="16" spans="1:5">
      <c r="A16" s="296" t="s">
        <v>37</v>
      </c>
      <c r="B16" s="316"/>
      <c r="C16" s="299"/>
      <c r="D16" s="299"/>
      <c r="E16" s="331"/>
    </row>
    <row r="17" spans="1:5">
      <c r="A17" s="295" t="str">
        <f>A9</f>
        <v xml:space="preserve">  Production</v>
      </c>
      <c r="B17" s="316" t="s">
        <v>602</v>
      </c>
      <c r="C17" s="940">
        <v>0</v>
      </c>
      <c r="D17" s="940">
        <f>447782904+184767415</f>
        <v>632550319</v>
      </c>
      <c r="E17" s="330">
        <f t="shared" ref="E17:E22" si="1">D17+C17</f>
        <v>632550319</v>
      </c>
    </row>
    <row r="18" spans="1:5">
      <c r="A18" s="295" t="str">
        <f>A10</f>
        <v xml:space="preserve">  Transmission</v>
      </c>
      <c r="B18" s="316" t="s">
        <v>154</v>
      </c>
      <c r="C18" s="324">
        <v>221232622</v>
      </c>
      <c r="D18" s="324">
        <v>16571557</v>
      </c>
      <c r="E18" s="331">
        <f t="shared" si="1"/>
        <v>237804179</v>
      </c>
    </row>
    <row r="19" spans="1:5">
      <c r="A19" s="295" t="str">
        <f>A11</f>
        <v xml:space="preserve">  Distribution</v>
      </c>
      <c r="B19" s="316" t="s">
        <v>155</v>
      </c>
      <c r="C19" s="324">
        <v>697493486</v>
      </c>
      <c r="D19" s="324">
        <v>149863967</v>
      </c>
      <c r="E19" s="331">
        <f t="shared" si="1"/>
        <v>847357453</v>
      </c>
    </row>
    <row r="20" spans="1:5">
      <c r="A20" s="295" t="str">
        <f>A12</f>
        <v xml:space="preserve">  General &amp; Intangible</v>
      </c>
      <c r="B20" s="316" t="s">
        <v>493</v>
      </c>
      <c r="C20" s="324">
        <f>88398941+93821819</f>
        <v>182220760</v>
      </c>
      <c r="D20" s="324">
        <f>18806821+2901552</f>
        <v>21708373</v>
      </c>
      <c r="E20" s="331">
        <f t="shared" si="1"/>
        <v>203929133</v>
      </c>
    </row>
    <row r="21" spans="1:5" ht="13.5" thickBot="1">
      <c r="A21" s="306" t="str">
        <f>A13</f>
        <v xml:space="preserve">  Common</v>
      </c>
      <c r="B21" s="381" t="s">
        <v>524</v>
      </c>
      <c r="C21" s="941">
        <v>105116272</v>
      </c>
      <c r="D21" s="941">
        <v>22250331</v>
      </c>
      <c r="E21" s="488">
        <f t="shared" si="1"/>
        <v>127366603</v>
      </c>
    </row>
    <row r="22" spans="1:5">
      <c r="A22" s="295" t="s">
        <v>482</v>
      </c>
      <c r="B22" s="316"/>
      <c r="C22" s="317">
        <f>SUM(C17:C21)</f>
        <v>1206063140</v>
      </c>
      <c r="D22" s="317">
        <f>SUM(D17:D21)</f>
        <v>842944547</v>
      </c>
      <c r="E22" s="330">
        <f t="shared" si="1"/>
        <v>2049007687</v>
      </c>
    </row>
    <row r="23" spans="1:5">
      <c r="B23" s="316" t="s">
        <v>7</v>
      </c>
      <c r="C23" s="299"/>
      <c r="D23" s="299"/>
      <c r="E23" s="331"/>
    </row>
    <row r="24" spans="1:5">
      <c r="A24" s="296" t="s">
        <v>38</v>
      </c>
      <c r="B24" s="316"/>
      <c r="C24" s="299"/>
      <c r="D24" s="299"/>
      <c r="E24" s="331"/>
    </row>
    <row r="25" spans="1:5">
      <c r="A25" s="295" t="str">
        <f>A17</f>
        <v xml:space="preserve">  Production</v>
      </c>
      <c r="B25" s="316" t="s">
        <v>479</v>
      </c>
      <c r="C25" s="317">
        <f t="shared" ref="C25:D29" si="2">C9-C17</f>
        <v>0</v>
      </c>
      <c r="D25" s="317">
        <f t="shared" si="2"/>
        <v>725359590</v>
      </c>
      <c r="E25" s="330">
        <f t="shared" ref="E25:E30" si="3">D25+C25</f>
        <v>725359590</v>
      </c>
    </row>
    <row r="26" spans="1:5">
      <c r="A26" s="295" t="str">
        <f>A18</f>
        <v xml:space="preserve">  Transmission</v>
      </c>
      <c r="B26" s="316" t="s">
        <v>479</v>
      </c>
      <c r="C26" s="299">
        <f t="shared" si="2"/>
        <v>953301675</v>
      </c>
      <c r="D26" s="299">
        <f t="shared" si="2"/>
        <v>77828237</v>
      </c>
      <c r="E26" s="331">
        <f t="shared" si="3"/>
        <v>1031129912</v>
      </c>
    </row>
    <row r="27" spans="1:5">
      <c r="A27" s="295" t="str">
        <f>A19</f>
        <v xml:space="preserve">  Distribution</v>
      </c>
      <c r="B27" s="316" t="s">
        <v>479</v>
      </c>
      <c r="C27" s="299">
        <f t="shared" si="2"/>
        <v>2357984851</v>
      </c>
      <c r="D27" s="299">
        <f t="shared" si="2"/>
        <v>441852409</v>
      </c>
      <c r="E27" s="331">
        <f t="shared" si="3"/>
        <v>2799837260</v>
      </c>
    </row>
    <row r="28" spans="1:5">
      <c r="A28" s="295" t="str">
        <f>A20</f>
        <v xml:space="preserve">  General &amp; Intangible</v>
      </c>
      <c r="B28" s="316" t="s">
        <v>479</v>
      </c>
      <c r="C28" s="299">
        <f t="shared" si="2"/>
        <v>325594156</v>
      </c>
      <c r="D28" s="299">
        <f t="shared" si="2"/>
        <v>21917082</v>
      </c>
      <c r="E28" s="331">
        <f t="shared" si="3"/>
        <v>347511238</v>
      </c>
    </row>
    <row r="29" spans="1:5" ht="13.5" thickBot="1">
      <c r="A29" s="306" t="str">
        <f>A21</f>
        <v xml:space="preserve">  Common</v>
      </c>
      <c r="B29" s="318" t="s">
        <v>479</v>
      </c>
      <c r="C29" s="319">
        <f t="shared" si="2"/>
        <v>150753645</v>
      </c>
      <c r="D29" s="319">
        <f t="shared" si="2"/>
        <v>10962954</v>
      </c>
      <c r="E29" s="488">
        <f t="shared" si="3"/>
        <v>161716599</v>
      </c>
    </row>
    <row r="30" spans="1:5">
      <c r="A30" s="295" t="s">
        <v>483</v>
      </c>
      <c r="B30" s="316"/>
      <c r="C30" s="317">
        <f>SUM(C25:C29)</f>
        <v>3787634327</v>
      </c>
      <c r="D30" s="317">
        <f>SUM(D25:D29)</f>
        <v>1277920272</v>
      </c>
      <c r="E30" s="330">
        <f t="shared" si="3"/>
        <v>5065554599</v>
      </c>
    </row>
    <row r="31" spans="1:5">
      <c r="B31" s="316"/>
      <c r="C31" s="299"/>
      <c r="D31" s="299"/>
      <c r="E31" s="331"/>
    </row>
    <row r="32" spans="1:5">
      <c r="A32" s="305" t="s">
        <v>487</v>
      </c>
      <c r="B32" s="316"/>
      <c r="C32" s="299"/>
      <c r="D32" s="299"/>
      <c r="E32" s="331"/>
    </row>
    <row r="33" spans="1:5">
      <c r="A33" s="295" t="s">
        <v>118</v>
      </c>
      <c r="B33" s="316" t="s">
        <v>41</v>
      </c>
      <c r="C33" s="940">
        <v>0</v>
      </c>
      <c r="D33" s="940">
        <v>0</v>
      </c>
      <c r="E33" s="330">
        <f t="shared" ref="E33:E39" si="4">D33+C33</f>
        <v>0</v>
      </c>
    </row>
    <row r="34" spans="1:5">
      <c r="A34" s="295" t="s">
        <v>119</v>
      </c>
      <c r="B34" s="507" t="s">
        <v>525</v>
      </c>
      <c r="C34" s="331">
        <f>-'P1 ADIT'!F45</f>
        <v>-523596257</v>
      </c>
      <c r="D34" s="331">
        <f>-'P1 ADIT'!G45</f>
        <v>-186604247</v>
      </c>
      <c r="E34" s="331">
        <f t="shared" si="4"/>
        <v>-710200504</v>
      </c>
    </row>
    <row r="35" spans="1:5">
      <c r="A35" s="295" t="s">
        <v>120</v>
      </c>
      <c r="B35" s="507" t="s">
        <v>525</v>
      </c>
      <c r="C35" s="331">
        <f>-'P1 ADIT'!F62</f>
        <v>-48618129</v>
      </c>
      <c r="D35" s="331">
        <f>-'P1 ADIT'!G62</f>
        <v>-25431172</v>
      </c>
      <c r="E35" s="331">
        <f t="shared" si="4"/>
        <v>-74049301</v>
      </c>
    </row>
    <row r="36" spans="1:5">
      <c r="A36" s="295" t="s">
        <v>122</v>
      </c>
      <c r="B36" s="507" t="s">
        <v>526</v>
      </c>
      <c r="C36" s="331">
        <f>'P1 ADIT'!F27</f>
        <v>26508719</v>
      </c>
      <c r="D36" s="331">
        <f>'P1 ADIT'!G27</f>
        <v>32975485</v>
      </c>
      <c r="E36" s="331">
        <f t="shared" si="4"/>
        <v>59484204</v>
      </c>
    </row>
    <row r="37" spans="1:5">
      <c r="A37" s="295" t="s">
        <v>822</v>
      </c>
      <c r="B37" s="507" t="s">
        <v>985</v>
      </c>
      <c r="C37" s="942">
        <f>-'DEO DIT Protected'!G36-'DEO DIT Unprotected'!G36</f>
        <v>-258732035</v>
      </c>
      <c r="D37" s="942">
        <f>-'DEK DIT Protected'!G36-'DEK DIT Unprotected'!G36</f>
        <v>-63415409.900000006</v>
      </c>
      <c r="E37" s="331">
        <f t="shared" si="4"/>
        <v>-322147444.89999998</v>
      </c>
    </row>
    <row r="38" spans="1:5" ht="13.5" thickBot="1">
      <c r="A38" s="320" t="s">
        <v>121</v>
      </c>
      <c r="B38" s="320" t="s">
        <v>165</v>
      </c>
      <c r="C38" s="943">
        <v>0</v>
      </c>
      <c r="D38" s="943">
        <v>0</v>
      </c>
      <c r="E38" s="488">
        <f t="shared" si="4"/>
        <v>0</v>
      </c>
    </row>
    <row r="39" spans="1:5">
      <c r="A39" s="295" t="s">
        <v>484</v>
      </c>
      <c r="B39" s="316"/>
      <c r="C39" s="317">
        <f>SUM(C33:C38)</f>
        <v>-804437702</v>
      </c>
      <c r="D39" s="317">
        <f>SUM(D33:D38)</f>
        <v>-242475343.90000001</v>
      </c>
      <c r="E39" s="330">
        <f t="shared" si="4"/>
        <v>-1046913045.9</v>
      </c>
    </row>
    <row r="40" spans="1:5">
      <c r="B40" s="316"/>
      <c r="C40" s="299"/>
      <c r="D40" s="299"/>
      <c r="E40" s="331"/>
    </row>
    <row r="41" spans="1:5">
      <c r="A41" s="305" t="s">
        <v>351</v>
      </c>
      <c r="B41" s="316" t="s">
        <v>693</v>
      </c>
      <c r="C41" s="330">
        <f>'P3 Land Held for Future Use'!D15</f>
        <v>1508140</v>
      </c>
      <c r="D41" s="330">
        <f>'P3 Land Held for Future Use'!D20</f>
        <v>0</v>
      </c>
      <c r="E41" s="330">
        <f>D41+C41</f>
        <v>1508140</v>
      </c>
    </row>
    <row r="42" spans="1:5">
      <c r="A42" s="295"/>
      <c r="B42" s="316"/>
      <c r="C42" s="299"/>
      <c r="D42" s="299"/>
      <c r="E42" s="331"/>
    </row>
    <row r="43" spans="1:5">
      <c r="A43" s="305" t="s">
        <v>486</v>
      </c>
      <c r="B43" s="316" t="s">
        <v>7</v>
      </c>
      <c r="C43" s="299"/>
      <c r="D43" s="299"/>
      <c r="E43" s="331"/>
    </row>
    <row r="44" spans="1:5">
      <c r="A44" s="295" t="s">
        <v>143</v>
      </c>
      <c r="B44" s="294" t="s">
        <v>141</v>
      </c>
      <c r="C44" s="330">
        <f>ROUND((DEO!E127/8),0)</f>
        <v>8617669</v>
      </c>
      <c r="D44" s="330">
        <f>ROUND((DEK!E127/8),0)</f>
        <v>3190200</v>
      </c>
      <c r="E44" s="330">
        <f>D44+C44</f>
        <v>11807869</v>
      </c>
    </row>
    <row r="45" spans="1:5">
      <c r="A45" s="297" t="s">
        <v>352</v>
      </c>
      <c r="B45" s="507" t="s">
        <v>692</v>
      </c>
      <c r="C45" s="331">
        <f>'P2 Allocate M&amp;S'!M18</f>
        <v>19470938</v>
      </c>
      <c r="D45" s="331">
        <f>'P2 Allocate M&amp;S'!M27</f>
        <v>1736</v>
      </c>
      <c r="E45" s="331">
        <f>D45+C45</f>
        <v>19472674</v>
      </c>
    </row>
    <row r="46" spans="1:5" ht="13.5" thickBot="1">
      <c r="A46" s="306" t="s">
        <v>123</v>
      </c>
      <c r="B46" s="318" t="s">
        <v>169</v>
      </c>
      <c r="C46" s="941">
        <v>318373</v>
      </c>
      <c r="D46" s="941">
        <v>428870</v>
      </c>
      <c r="E46" s="488">
        <f>D46+C46</f>
        <v>747243</v>
      </c>
    </row>
    <row r="47" spans="1:5">
      <c r="A47" s="295" t="s">
        <v>485</v>
      </c>
      <c r="B47" s="295"/>
      <c r="C47" s="317">
        <f>C44+C45+C46</f>
        <v>28406980</v>
      </c>
      <c r="D47" s="317">
        <f>D44+D45+D46</f>
        <v>3620806</v>
      </c>
      <c r="E47" s="330">
        <f>D47+C47</f>
        <v>32027786</v>
      </c>
    </row>
    <row r="48" spans="1:5" ht="13.5" thickBot="1">
      <c r="B48" s="316"/>
      <c r="C48" s="319"/>
      <c r="D48" s="319"/>
      <c r="E48" s="488"/>
    </row>
    <row r="49" spans="1:6" ht="13.5" thickBot="1">
      <c r="A49" s="296" t="s">
        <v>274</v>
      </c>
      <c r="B49" s="316"/>
      <c r="C49" s="663">
        <f>C47+C41+C39+C30</f>
        <v>3013111745</v>
      </c>
      <c r="D49" s="663">
        <f>D47+D41+D39+D30</f>
        <v>1039065734.1</v>
      </c>
      <c r="E49" s="664">
        <f>D49+C49</f>
        <v>4052177479.0999999</v>
      </c>
    </row>
    <row r="50" spans="1:6" ht="14.25" thickTop="1" thickBot="1">
      <c r="A50" s="295"/>
      <c r="B50" s="316"/>
      <c r="C50" s="316"/>
      <c r="D50" s="316"/>
      <c r="E50" s="489"/>
    </row>
    <row r="51" spans="1:6">
      <c r="A51" s="334" t="s">
        <v>45</v>
      </c>
      <c r="B51" s="335"/>
      <c r="C51" s="335"/>
      <c r="D51" s="335"/>
      <c r="E51" s="490"/>
    </row>
    <row r="52" spans="1:6">
      <c r="A52" s="295" t="s">
        <v>46</v>
      </c>
      <c r="B52" s="507" t="s">
        <v>957</v>
      </c>
      <c r="C52" s="317">
        <f>'P18 Trans Adjusments'!E17</f>
        <v>41136828</v>
      </c>
      <c r="D52" s="317">
        <f>'P18 Trans Adjusments'!F17</f>
        <v>25812503</v>
      </c>
      <c r="E52" s="330">
        <f t="shared" ref="E52:E66" si="5">D52+C52</f>
        <v>66949331</v>
      </c>
    </row>
    <row r="53" spans="1:6" s="333" customFormat="1" ht="25.5">
      <c r="A53" s="339" t="s">
        <v>358</v>
      </c>
      <c r="B53" s="508" t="s">
        <v>879</v>
      </c>
      <c r="C53" s="839">
        <f>'P17 LSE Expenses'!G21</f>
        <v>21579106</v>
      </c>
      <c r="D53" s="839">
        <f>'P17 LSE Expenses'!H21</f>
        <v>3408755</v>
      </c>
      <c r="E53" s="665">
        <f t="shared" si="5"/>
        <v>24987861</v>
      </c>
    </row>
    <row r="54" spans="1:6">
      <c r="A54" s="321" t="s">
        <v>469</v>
      </c>
      <c r="B54" s="508" t="s">
        <v>470</v>
      </c>
      <c r="C54" s="944">
        <v>0</v>
      </c>
      <c r="D54" s="944">
        <v>0</v>
      </c>
      <c r="E54" s="665">
        <f t="shared" si="5"/>
        <v>0</v>
      </c>
      <c r="F54" s="333"/>
    </row>
    <row r="55" spans="1:6">
      <c r="A55" s="321" t="s">
        <v>551</v>
      </c>
      <c r="B55" s="507" t="s">
        <v>694</v>
      </c>
      <c r="C55" s="839">
        <f>'P4 Advertising - EPRI Adj.'!E21</f>
        <v>70240</v>
      </c>
      <c r="D55" s="839">
        <f>'P4 Advertising - EPRI Adj.'!F21</f>
        <v>64492</v>
      </c>
      <c r="E55" s="665">
        <f t="shared" si="5"/>
        <v>134732</v>
      </c>
      <c r="F55" s="333"/>
    </row>
    <row r="56" spans="1:6">
      <c r="A56" s="322" t="s">
        <v>2</v>
      </c>
      <c r="B56" s="507" t="s">
        <v>185</v>
      </c>
      <c r="C56" s="324">
        <v>0</v>
      </c>
      <c r="D56" s="324">
        <v>19283242</v>
      </c>
      <c r="E56" s="331">
        <f t="shared" si="5"/>
        <v>19283242</v>
      </c>
    </row>
    <row r="57" spans="1:6">
      <c r="A57" s="295" t="s">
        <v>47</v>
      </c>
      <c r="B57" s="507" t="s">
        <v>695</v>
      </c>
      <c r="C57" s="299">
        <f>'P5 A&amp;G Adjusments'!E21</f>
        <v>51811531</v>
      </c>
      <c r="D57" s="299">
        <f>'P5 A&amp;G Adjusments'!F21</f>
        <v>23472897</v>
      </c>
      <c r="E57" s="331">
        <f t="shared" si="5"/>
        <v>75284428</v>
      </c>
    </row>
    <row r="58" spans="1:6" ht="25.5">
      <c r="A58" s="321" t="s">
        <v>581</v>
      </c>
      <c r="B58" s="508" t="s">
        <v>958</v>
      </c>
      <c r="C58" s="839">
        <f>'P11 PBOP - DEO'!H41</f>
        <v>2164554</v>
      </c>
      <c r="D58" s="839">
        <f>'P12 PBOP - DEK'!H41</f>
        <v>869418</v>
      </c>
      <c r="E58" s="665">
        <f t="shared" si="5"/>
        <v>3033972</v>
      </c>
      <c r="F58" s="333"/>
    </row>
    <row r="59" spans="1:6">
      <c r="A59" s="322" t="s">
        <v>471</v>
      </c>
      <c r="B59" s="507" t="s">
        <v>472</v>
      </c>
      <c r="C59" s="324">
        <v>0</v>
      </c>
      <c r="D59" s="324">
        <v>0</v>
      </c>
      <c r="E59" s="331">
        <f t="shared" si="5"/>
        <v>0</v>
      </c>
    </row>
    <row r="60" spans="1:6">
      <c r="A60" s="322" t="s">
        <v>533</v>
      </c>
      <c r="B60" s="507"/>
      <c r="C60" s="324">
        <v>0</v>
      </c>
      <c r="D60" s="324">
        <v>0</v>
      </c>
      <c r="E60" s="331">
        <f>D60+C60</f>
        <v>0</v>
      </c>
    </row>
    <row r="61" spans="1:6">
      <c r="A61" s="322" t="s">
        <v>348</v>
      </c>
      <c r="B61" s="507" t="s">
        <v>527</v>
      </c>
      <c r="C61" s="324">
        <v>0</v>
      </c>
      <c r="D61" s="324">
        <v>0</v>
      </c>
      <c r="E61" s="331">
        <f t="shared" si="5"/>
        <v>0</v>
      </c>
    </row>
    <row r="62" spans="1:6" ht="25.5">
      <c r="A62" s="321" t="s">
        <v>359</v>
      </c>
      <c r="B62" s="508" t="s">
        <v>528</v>
      </c>
      <c r="C62" s="665">
        <f>'P4 Advertising - EPRI Adj.'!E31</f>
        <v>2357659</v>
      </c>
      <c r="D62" s="665">
        <f>'P4 Advertising - EPRI Adj.'!F31</f>
        <v>1007315</v>
      </c>
      <c r="E62" s="665">
        <f t="shared" si="5"/>
        <v>3364974</v>
      </c>
      <c r="F62" s="333"/>
    </row>
    <row r="63" spans="1:6">
      <c r="A63" s="321" t="s">
        <v>360</v>
      </c>
      <c r="B63" s="507"/>
      <c r="C63" s="324">
        <v>0</v>
      </c>
      <c r="D63" s="324">
        <v>0</v>
      </c>
      <c r="E63" s="331">
        <f t="shared" si="5"/>
        <v>0</v>
      </c>
    </row>
    <row r="64" spans="1:6">
      <c r="A64" s="295" t="s">
        <v>34</v>
      </c>
      <c r="B64" s="507" t="str">
        <f>B21</f>
        <v>356</v>
      </c>
      <c r="C64" s="324">
        <v>0</v>
      </c>
      <c r="D64" s="324">
        <v>0</v>
      </c>
      <c r="E64" s="331">
        <f t="shared" si="5"/>
        <v>0</v>
      </c>
    </row>
    <row r="65" spans="1:5">
      <c r="A65" s="295" t="s">
        <v>48</v>
      </c>
      <c r="B65" s="507"/>
      <c r="C65" s="324">
        <v>0</v>
      </c>
      <c r="D65" s="324">
        <v>0</v>
      </c>
      <c r="E65" s="331">
        <f t="shared" si="5"/>
        <v>0</v>
      </c>
    </row>
    <row r="66" spans="1:5" ht="25.5">
      <c r="A66" s="321" t="s">
        <v>569</v>
      </c>
      <c r="B66" s="507"/>
      <c r="C66" s="317">
        <f>C52-C53-C54-C55-C56+C57-C59-C60-C61-C62+C63+C64+C65</f>
        <v>68941354</v>
      </c>
      <c r="D66" s="317">
        <f>D52-D53-D54-D55-D56+D57-D59-D60-D61-D62+D63+D64+D65</f>
        <v>25521596</v>
      </c>
      <c r="E66" s="330">
        <f t="shared" si="5"/>
        <v>94462950</v>
      </c>
    </row>
    <row r="67" spans="1:5">
      <c r="B67" s="507"/>
      <c r="C67" s="299"/>
      <c r="D67" s="299"/>
      <c r="E67" s="331"/>
    </row>
    <row r="68" spans="1:5">
      <c r="A68" s="296" t="s">
        <v>49</v>
      </c>
      <c r="B68" s="507"/>
      <c r="C68" s="299"/>
      <c r="D68" s="299"/>
      <c r="E68" s="331"/>
    </row>
    <row r="69" spans="1:5">
      <c r="A69" s="295" t="str">
        <f>A52</f>
        <v xml:space="preserve">  Transmission </v>
      </c>
      <c r="B69" s="507" t="s">
        <v>503</v>
      </c>
      <c r="C69" s="940">
        <v>20739212</v>
      </c>
      <c r="D69" s="940">
        <v>1555549</v>
      </c>
      <c r="E69" s="330">
        <f>D69+C69</f>
        <v>22294761</v>
      </c>
    </row>
    <row r="70" spans="1:5" ht="15">
      <c r="A70" s="295" t="s">
        <v>33</v>
      </c>
      <c r="B70" s="509" t="s">
        <v>495</v>
      </c>
      <c r="C70" s="324">
        <f>11302595+20868549</f>
        <v>32171144</v>
      </c>
      <c r="D70" s="324">
        <f>2787832+1228951</f>
        <v>4016783</v>
      </c>
      <c r="E70" s="331">
        <f>D70+C70</f>
        <v>36187927</v>
      </c>
    </row>
    <row r="71" spans="1:5" ht="13.5" thickBot="1">
      <c r="A71" s="306" t="str">
        <f>A64</f>
        <v xml:space="preserve">  Common</v>
      </c>
      <c r="B71" s="510" t="s">
        <v>502</v>
      </c>
      <c r="C71" s="941">
        <v>7802095</v>
      </c>
      <c r="D71" s="941">
        <v>69584</v>
      </c>
      <c r="E71" s="488">
        <f>D71+C71</f>
        <v>7871679</v>
      </c>
    </row>
    <row r="72" spans="1:5">
      <c r="A72" s="295" t="s">
        <v>50</v>
      </c>
      <c r="B72" s="507"/>
      <c r="C72" s="317">
        <f>SUM(C69:C71)</f>
        <v>60712451</v>
      </c>
      <c r="D72" s="317">
        <f>SUM(D69:D71)</f>
        <v>5641916</v>
      </c>
      <c r="E72" s="330">
        <f>D72+C72</f>
        <v>66354367</v>
      </c>
    </row>
    <row r="73" spans="1:5">
      <c r="A73" s="295"/>
      <c r="B73" s="507"/>
      <c r="C73" s="299"/>
      <c r="D73" s="299"/>
      <c r="E73" s="331"/>
    </row>
    <row r="74" spans="1:5">
      <c r="A74" s="305" t="s">
        <v>197</v>
      </c>
      <c r="B74" s="511"/>
      <c r="C74" s="299"/>
      <c r="D74" s="299"/>
      <c r="E74" s="331"/>
    </row>
    <row r="75" spans="1:5">
      <c r="A75" s="295" t="s">
        <v>51</v>
      </c>
      <c r="B75" s="511"/>
      <c r="C75" s="299"/>
      <c r="D75" s="299"/>
      <c r="E75" s="331"/>
    </row>
    <row r="76" spans="1:5">
      <c r="A76" s="323" t="s">
        <v>349</v>
      </c>
      <c r="B76" s="507" t="s">
        <v>529</v>
      </c>
      <c r="C76" s="940">
        <f>3804672+5018+16731</f>
        <v>3826421</v>
      </c>
      <c r="D76" s="940">
        <f>1812405+859+9660</f>
        <v>1822924</v>
      </c>
      <c r="E76" s="330">
        <f t="shared" ref="E76:E83" si="6">D76+C76</f>
        <v>5649345</v>
      </c>
    </row>
    <row r="77" spans="1:5">
      <c r="A77" s="323" t="s">
        <v>350</v>
      </c>
      <c r="B77" s="507" t="s">
        <v>529</v>
      </c>
      <c r="C77" s="324">
        <v>2058</v>
      </c>
      <c r="D77" s="324">
        <v>692</v>
      </c>
      <c r="E77" s="331">
        <f t="shared" si="6"/>
        <v>2750</v>
      </c>
    </row>
    <row r="78" spans="1:5">
      <c r="A78" s="295" t="s">
        <v>52</v>
      </c>
      <c r="B78" s="507" t="s">
        <v>7</v>
      </c>
      <c r="C78" s="324"/>
      <c r="D78" s="324"/>
      <c r="E78" s="331"/>
    </row>
    <row r="79" spans="1:5">
      <c r="A79" s="295" t="s">
        <v>53</v>
      </c>
      <c r="B79" s="507" t="s">
        <v>529</v>
      </c>
      <c r="C79" s="324">
        <v>177296426</v>
      </c>
      <c r="D79" s="324">
        <f>1916492+9460780</f>
        <v>11377272</v>
      </c>
      <c r="E79" s="331">
        <f t="shared" si="6"/>
        <v>188673698</v>
      </c>
    </row>
    <row r="80" spans="1:5">
      <c r="A80" s="295" t="s">
        <v>54</v>
      </c>
      <c r="B80" s="507" t="s">
        <v>529</v>
      </c>
      <c r="C80" s="324">
        <v>2587888</v>
      </c>
      <c r="D80" s="324">
        <v>0</v>
      </c>
      <c r="E80" s="331">
        <f t="shared" si="6"/>
        <v>2587888</v>
      </c>
    </row>
    <row r="81" spans="1:6">
      <c r="A81" s="295" t="s">
        <v>55</v>
      </c>
      <c r="B81" s="507" t="s">
        <v>166</v>
      </c>
      <c r="C81" s="324">
        <v>0</v>
      </c>
      <c r="D81" s="324">
        <v>0</v>
      </c>
      <c r="E81" s="331">
        <f t="shared" si="6"/>
        <v>0</v>
      </c>
    </row>
    <row r="82" spans="1:6" ht="13.5" thickBot="1">
      <c r="A82" s="306" t="s">
        <v>56</v>
      </c>
      <c r="B82" s="510"/>
      <c r="C82" s="941">
        <v>0</v>
      </c>
      <c r="D82" s="941">
        <v>0</v>
      </c>
      <c r="E82" s="488">
        <f t="shared" si="6"/>
        <v>0</v>
      </c>
    </row>
    <row r="83" spans="1:6">
      <c r="A83" s="295" t="s">
        <v>57</v>
      </c>
      <c r="B83" s="507"/>
      <c r="C83" s="317">
        <f>C76+C77+C79+C80+C81+C82</f>
        <v>183712793</v>
      </c>
      <c r="D83" s="317">
        <f>D76+D77+D79+D80+D81+D82</f>
        <v>13200888</v>
      </c>
      <c r="E83" s="330">
        <f t="shared" si="6"/>
        <v>196913681</v>
      </c>
    </row>
    <row r="84" spans="1:6">
      <c r="A84" s="295"/>
      <c r="B84" s="507"/>
      <c r="C84" s="299"/>
      <c r="D84" s="299"/>
      <c r="E84" s="331"/>
    </row>
    <row r="85" spans="1:6">
      <c r="A85" s="295"/>
      <c r="B85" s="507"/>
      <c r="C85" s="316"/>
      <c r="D85" s="316"/>
      <c r="E85" s="331"/>
      <c r="F85" s="325"/>
    </row>
    <row r="86" spans="1:6">
      <c r="A86" s="305" t="s">
        <v>474</v>
      </c>
      <c r="B86" s="507"/>
      <c r="C86" s="316"/>
      <c r="D86" s="316"/>
      <c r="E86" s="331"/>
      <c r="F86" s="325"/>
    </row>
    <row r="87" spans="1:6">
      <c r="A87" s="294" t="s">
        <v>475</v>
      </c>
      <c r="B87" s="507"/>
      <c r="C87" s="326">
        <v>0.21</v>
      </c>
      <c r="D87" s="326">
        <v>0.21</v>
      </c>
      <c r="E87" s="331"/>
      <c r="F87" s="325"/>
    </row>
    <row r="88" spans="1:6">
      <c r="A88" s="294" t="s">
        <v>476</v>
      </c>
      <c r="B88" s="508" t="s">
        <v>959</v>
      </c>
      <c r="C88" s="945">
        <f>'P6 Statetax'!D13</f>
        <v>0</v>
      </c>
      <c r="D88" s="945">
        <f>'P6 Statetax'!E13</f>
        <v>0.05</v>
      </c>
      <c r="E88" s="331"/>
      <c r="F88" s="325"/>
    </row>
    <row r="89" spans="1:6">
      <c r="A89" s="804" t="s">
        <v>478</v>
      </c>
      <c r="B89" s="507"/>
      <c r="C89" s="946">
        <v>0</v>
      </c>
      <c r="D89" s="946">
        <v>0</v>
      </c>
      <c r="E89" s="331"/>
      <c r="F89" s="325"/>
    </row>
    <row r="90" spans="1:6">
      <c r="A90" s="294" t="s">
        <v>477</v>
      </c>
      <c r="B90" s="507"/>
      <c r="C90" s="945">
        <f>IF(FIT&gt;0,1-(((1-SIT_DEO)*(1-FIT))/(1-SIT_DEO*FIT*C89)),0)</f>
        <v>0.20999999999999996</v>
      </c>
      <c r="D90" s="945">
        <f>IF(FIT&gt;0,1-(((1-SIT_DEK)*(1-FIT))/(1-SIT_DEK*FIT*D89)),0)</f>
        <v>0.24950000000000006</v>
      </c>
      <c r="E90" s="331"/>
      <c r="F90" s="325"/>
    </row>
    <row r="91" spans="1:6">
      <c r="B91" s="507"/>
      <c r="C91" s="326"/>
      <c r="D91" s="326"/>
      <c r="E91" s="491"/>
      <c r="F91" s="325"/>
    </row>
    <row r="92" spans="1:6">
      <c r="A92" s="295" t="s">
        <v>334</v>
      </c>
      <c r="B92" s="339" t="s">
        <v>333</v>
      </c>
      <c r="C92" s="324">
        <v>-98533</v>
      </c>
      <c r="D92" s="324">
        <v>-428</v>
      </c>
      <c r="E92" s="331">
        <f>D92+C92</f>
        <v>-98961</v>
      </c>
    </row>
    <row r="93" spans="1:6">
      <c r="A93" s="295"/>
      <c r="B93" s="507"/>
      <c r="C93" s="299"/>
      <c r="D93" s="299"/>
      <c r="E93" s="331"/>
    </row>
    <row r="94" spans="1:6">
      <c r="A94" s="296" t="s">
        <v>309</v>
      </c>
      <c r="B94" s="300"/>
      <c r="C94" s="295"/>
      <c r="D94" s="295"/>
      <c r="E94" s="492"/>
    </row>
    <row r="95" spans="1:6">
      <c r="A95" s="295"/>
      <c r="B95" s="300"/>
      <c r="C95" s="295"/>
      <c r="D95" s="295"/>
      <c r="E95" s="492"/>
    </row>
    <row r="96" spans="1:6">
      <c r="A96" s="321" t="s">
        <v>362</v>
      </c>
      <c r="B96" s="512"/>
      <c r="C96" s="324">
        <v>0</v>
      </c>
      <c r="D96" s="324">
        <v>0</v>
      </c>
      <c r="E96" s="331">
        <f>D96+C96</f>
        <v>0</v>
      </c>
    </row>
    <row r="97" spans="1:5" s="333" customFormat="1" ht="25.5">
      <c r="A97" s="339" t="s">
        <v>354</v>
      </c>
      <c r="B97" s="508" t="s">
        <v>696</v>
      </c>
      <c r="C97" s="839">
        <f>'P7 Trans Plant In OATT'!D15</f>
        <v>0</v>
      </c>
      <c r="D97" s="839">
        <f>'P7 Trans Plant In OATT'!E15</f>
        <v>16430924</v>
      </c>
      <c r="E97" s="665">
        <f>D97+C97</f>
        <v>16430924</v>
      </c>
    </row>
    <row r="98" spans="1:5" ht="13.5" thickBot="1">
      <c r="A98" s="297"/>
      <c r="B98" s="300"/>
      <c r="C98" s="299"/>
      <c r="D98" s="299"/>
      <c r="E98" s="331"/>
    </row>
    <row r="99" spans="1:5">
      <c r="A99" s="334" t="s">
        <v>60</v>
      </c>
      <c r="B99" s="513"/>
      <c r="C99" s="336"/>
      <c r="D99" s="336"/>
      <c r="E99" s="493"/>
    </row>
    <row r="100" spans="1:5">
      <c r="B100" s="511"/>
      <c r="E100" s="332"/>
    </row>
    <row r="101" spans="1:5">
      <c r="A101" s="294" t="s">
        <v>738</v>
      </c>
      <c r="B101" s="511" t="s">
        <v>754</v>
      </c>
      <c r="C101" s="324">
        <v>662056</v>
      </c>
      <c r="D101" s="324">
        <v>88397</v>
      </c>
      <c r="E101" s="331">
        <f t="shared" ref="E101:E103" si="7">D101+C101</f>
        <v>750453</v>
      </c>
    </row>
    <row r="102" spans="1:5">
      <c r="A102" s="294" t="s">
        <v>739</v>
      </c>
      <c r="B102" s="511" t="s">
        <v>755</v>
      </c>
      <c r="C102" s="324">
        <v>2994933</v>
      </c>
      <c r="D102" s="324">
        <v>411016</v>
      </c>
      <c r="E102" s="331">
        <f t="shared" si="7"/>
        <v>3405949</v>
      </c>
    </row>
    <row r="103" spans="1:5" ht="13.5" thickBot="1">
      <c r="A103" s="294" t="s">
        <v>740</v>
      </c>
      <c r="B103" s="511" t="s">
        <v>756</v>
      </c>
      <c r="C103" s="324">
        <v>393863</v>
      </c>
      <c r="D103" s="324">
        <v>55048</v>
      </c>
      <c r="E103" s="331">
        <f t="shared" si="7"/>
        <v>448911</v>
      </c>
    </row>
    <row r="104" spans="1:5" ht="25.5">
      <c r="A104" s="805" t="s">
        <v>355</v>
      </c>
      <c r="B104" s="545" t="s">
        <v>538</v>
      </c>
      <c r="C104" s="947">
        <f>SUM(C101:C103)</f>
        <v>4050852</v>
      </c>
      <c r="D104" s="947">
        <f>SUM(D101:D103)</f>
        <v>554461</v>
      </c>
      <c r="E104" s="666">
        <f>D104+C104</f>
        <v>4605313</v>
      </c>
    </row>
    <row r="105" spans="1:5">
      <c r="A105" s="295"/>
      <c r="B105" s="300"/>
      <c r="C105" s="316"/>
      <c r="D105" s="316"/>
      <c r="E105" s="489"/>
    </row>
    <row r="106" spans="1:5">
      <c r="B106" s="300"/>
      <c r="C106" s="316"/>
      <c r="D106" s="316"/>
      <c r="E106" s="489"/>
    </row>
    <row r="107" spans="1:5">
      <c r="A107" s="296" t="s">
        <v>64</v>
      </c>
      <c r="B107" s="507"/>
      <c r="C107" s="316"/>
      <c r="D107" s="316"/>
      <c r="E107" s="489"/>
    </row>
    <row r="108" spans="1:5" ht="13.5" thickBot="1">
      <c r="A108" s="295"/>
      <c r="B108" s="507"/>
      <c r="C108" s="530" t="s">
        <v>66</v>
      </c>
      <c r="D108" s="530" t="s">
        <v>66</v>
      </c>
      <c r="E108" s="494"/>
    </row>
    <row r="109" spans="1:5">
      <c r="A109" s="295" t="s">
        <v>29</v>
      </c>
      <c r="B109" s="507" t="s">
        <v>68</v>
      </c>
      <c r="C109" s="324">
        <v>2180553</v>
      </c>
      <c r="D109" s="324">
        <v>13092463</v>
      </c>
      <c r="E109" s="331">
        <f>D109+C109</f>
        <v>15273016</v>
      </c>
    </row>
    <row r="110" spans="1:5">
      <c r="A110" s="295" t="s">
        <v>31</v>
      </c>
      <c r="B110" s="507" t="s">
        <v>187</v>
      </c>
      <c r="C110" s="324">
        <v>6529507</v>
      </c>
      <c r="D110" s="324">
        <v>900288</v>
      </c>
      <c r="E110" s="331">
        <f>D110+C110</f>
        <v>7429795</v>
      </c>
    </row>
    <row r="111" spans="1:5">
      <c r="A111" s="295" t="s">
        <v>32</v>
      </c>
      <c r="B111" s="507" t="s">
        <v>188</v>
      </c>
      <c r="C111" s="324">
        <v>20825884</v>
      </c>
      <c r="D111" s="324">
        <v>3500886</v>
      </c>
      <c r="E111" s="331">
        <f>D111+C111</f>
        <v>24326770</v>
      </c>
    </row>
    <row r="112" spans="1:5" ht="13.5" thickBot="1">
      <c r="A112" s="306" t="s">
        <v>69</v>
      </c>
      <c r="B112" s="510" t="s">
        <v>189</v>
      </c>
      <c r="C112" s="941">
        <f>9316676+820836</f>
        <v>10137512</v>
      </c>
      <c r="D112" s="941">
        <f>1945025+142508</f>
        <v>2087533</v>
      </c>
      <c r="E112" s="488">
        <f>D112+C112</f>
        <v>12225045</v>
      </c>
    </row>
    <row r="113" spans="1:5">
      <c r="A113" s="295" t="s">
        <v>145</v>
      </c>
      <c r="B113" s="507"/>
      <c r="C113" s="299">
        <f>SUM(C109:C112)</f>
        <v>39673456</v>
      </c>
      <c r="D113" s="299">
        <f>SUM(D109:D112)</f>
        <v>19581170</v>
      </c>
      <c r="E113" s="331">
        <f>D113+C113</f>
        <v>59254626</v>
      </c>
    </row>
    <row r="114" spans="1:5">
      <c r="A114" s="295"/>
      <c r="B114" s="507"/>
      <c r="C114" s="316"/>
      <c r="D114" s="316"/>
      <c r="E114" s="489"/>
    </row>
    <row r="115" spans="1:5">
      <c r="A115" s="305" t="s">
        <v>480</v>
      </c>
      <c r="B115" s="507"/>
      <c r="C115" s="316"/>
      <c r="D115" s="316"/>
      <c r="E115" s="489"/>
    </row>
    <row r="116" spans="1:5">
      <c r="A116" s="295"/>
      <c r="B116" s="507"/>
      <c r="C116" s="531" t="s">
        <v>66</v>
      </c>
      <c r="D116" s="531" t="s">
        <v>66</v>
      </c>
      <c r="E116" s="495"/>
    </row>
    <row r="117" spans="1:5">
      <c r="A117" s="295" t="s">
        <v>73</v>
      </c>
      <c r="B117" s="507" t="s">
        <v>74</v>
      </c>
      <c r="C117" s="324">
        <v>4180898255</v>
      </c>
      <c r="D117" s="324">
        <v>1779353280</v>
      </c>
      <c r="E117" s="331">
        <f>D117+C117</f>
        <v>5960251535</v>
      </c>
    </row>
    <row r="118" spans="1:5">
      <c r="A118" s="295" t="s">
        <v>77</v>
      </c>
      <c r="B118" s="507" t="s">
        <v>167</v>
      </c>
      <c r="C118" s="324">
        <v>2253162454</v>
      </c>
      <c r="D118" s="324">
        <v>593363800</v>
      </c>
      <c r="E118" s="331">
        <f>D118+C118</f>
        <v>2846526254</v>
      </c>
    </row>
    <row r="119" spans="1:5" ht="13.5" thickBot="1">
      <c r="A119" s="306" t="s">
        <v>79</v>
      </c>
      <c r="B119" s="510" t="s">
        <v>168</v>
      </c>
      <c r="C119" s="941">
        <v>0</v>
      </c>
      <c r="D119" s="941">
        <v>0</v>
      </c>
      <c r="E119" s="488">
        <f>D119+C119</f>
        <v>0</v>
      </c>
    </row>
    <row r="120" spans="1:5">
      <c r="A120" s="295" t="s">
        <v>126</v>
      </c>
      <c r="B120" s="507"/>
      <c r="C120" s="299">
        <f>C117+C118+C119</f>
        <v>6434060709</v>
      </c>
      <c r="D120" s="299">
        <f>D117+D118+D119</f>
        <v>2372717080</v>
      </c>
      <c r="E120" s="331">
        <f>D120+C120</f>
        <v>8806777789</v>
      </c>
    </row>
    <row r="121" spans="1:5">
      <c r="A121" s="295"/>
      <c r="B121" s="507"/>
      <c r="E121" s="332"/>
    </row>
    <row r="122" spans="1:5">
      <c r="A122" s="296" t="s">
        <v>80</v>
      </c>
      <c r="B122" s="507"/>
      <c r="C122" s="316"/>
      <c r="D122" s="316"/>
      <c r="E122" s="489"/>
    </row>
    <row r="123" spans="1:5">
      <c r="A123" s="295" t="s">
        <v>733</v>
      </c>
      <c r="B123" s="507" t="s">
        <v>748</v>
      </c>
      <c r="C123" s="948">
        <v>93744109</v>
      </c>
      <c r="D123" s="948">
        <v>24665700</v>
      </c>
      <c r="E123" s="331">
        <f t="shared" ref="E123:E127" si="8">D123+C123</f>
        <v>118409809</v>
      </c>
    </row>
    <row r="124" spans="1:5">
      <c r="A124" s="295" t="s">
        <v>734</v>
      </c>
      <c r="B124" s="507" t="s">
        <v>749</v>
      </c>
      <c r="C124" s="948">
        <v>3332706</v>
      </c>
      <c r="D124" s="948">
        <v>392830</v>
      </c>
      <c r="E124" s="331">
        <f t="shared" si="8"/>
        <v>3725536</v>
      </c>
    </row>
    <row r="125" spans="1:5">
      <c r="A125" s="295" t="s">
        <v>735</v>
      </c>
      <c r="B125" s="507" t="s">
        <v>750</v>
      </c>
      <c r="C125" s="948">
        <v>389553</v>
      </c>
      <c r="D125" s="948">
        <v>171778</v>
      </c>
      <c r="E125" s="331">
        <f t="shared" si="8"/>
        <v>561331</v>
      </c>
    </row>
    <row r="126" spans="1:5">
      <c r="A126" s="295" t="s">
        <v>736</v>
      </c>
      <c r="B126" s="507" t="s">
        <v>751</v>
      </c>
      <c r="C126" s="948">
        <v>-473733</v>
      </c>
      <c r="D126" s="948">
        <v>0</v>
      </c>
      <c r="E126" s="331">
        <f t="shared" si="8"/>
        <v>-473733</v>
      </c>
    </row>
    <row r="127" spans="1:5">
      <c r="A127" s="295" t="s">
        <v>737</v>
      </c>
      <c r="B127" s="507" t="s">
        <v>752</v>
      </c>
      <c r="C127" s="948">
        <v>0</v>
      </c>
      <c r="D127" s="948">
        <v>0</v>
      </c>
      <c r="E127" s="331">
        <f t="shared" si="8"/>
        <v>0</v>
      </c>
    </row>
    <row r="128" spans="1:5" ht="13.5" thickBot="1">
      <c r="A128" s="295" t="s">
        <v>841</v>
      </c>
      <c r="B128" s="507" t="s">
        <v>753</v>
      </c>
      <c r="C128" s="948">
        <v>1699832</v>
      </c>
      <c r="D128" s="948">
        <v>755884</v>
      </c>
      <c r="E128" s="331">
        <f t="shared" ref="E128" si="9">D128+C128</f>
        <v>2455716</v>
      </c>
    </row>
    <row r="129" spans="1:5">
      <c r="A129" s="335" t="s">
        <v>961</v>
      </c>
      <c r="B129" s="335" t="s">
        <v>960</v>
      </c>
      <c r="C129" s="947">
        <f>SUM(C123:C128)</f>
        <v>98692467</v>
      </c>
      <c r="D129" s="947">
        <f>SUM(D123:D128)</f>
        <v>25986192</v>
      </c>
      <c r="E129" s="667">
        <f>D129+C129</f>
        <v>124678659</v>
      </c>
    </row>
    <row r="130" spans="1:5">
      <c r="A130" s="316"/>
      <c r="B130" s="507"/>
      <c r="C130" s="324"/>
      <c r="D130" s="324"/>
      <c r="E130" s="331"/>
    </row>
    <row r="131" spans="1:5">
      <c r="A131" s="316" t="s">
        <v>963</v>
      </c>
      <c r="B131" s="316" t="s">
        <v>962</v>
      </c>
      <c r="C131" s="324">
        <v>0</v>
      </c>
      <c r="D131" s="324">
        <v>0</v>
      </c>
      <c r="E131" s="331">
        <f>D131+C131</f>
        <v>0</v>
      </c>
    </row>
    <row r="132" spans="1:5">
      <c r="A132" s="295"/>
      <c r="B132" s="507"/>
      <c r="C132" s="324"/>
      <c r="D132" s="324"/>
      <c r="E132" s="331"/>
    </row>
    <row r="133" spans="1:5">
      <c r="A133" s="300" t="s">
        <v>473</v>
      </c>
      <c r="B133" s="507"/>
      <c r="C133" s="324"/>
      <c r="D133" s="324"/>
      <c r="E133" s="331"/>
    </row>
    <row r="134" spans="1:5">
      <c r="A134" s="316" t="s">
        <v>965</v>
      </c>
      <c r="B134" s="508" t="s">
        <v>964</v>
      </c>
      <c r="C134" s="299">
        <f>'P9 Capital Structure'!E19</f>
        <v>3198917340</v>
      </c>
      <c r="D134" s="324">
        <v>718236888</v>
      </c>
      <c r="E134" s="331">
        <f>D134+C134</f>
        <v>3917154228</v>
      </c>
    </row>
    <row r="135" spans="1:5">
      <c r="A135" s="316" t="s">
        <v>967</v>
      </c>
      <c r="B135" s="316" t="s">
        <v>966</v>
      </c>
      <c r="C135" s="324">
        <v>0</v>
      </c>
      <c r="D135" s="324">
        <v>0</v>
      </c>
      <c r="E135" s="331">
        <f>D135+C135</f>
        <v>0</v>
      </c>
    </row>
    <row r="136" spans="1:5" ht="13.5" thickBot="1">
      <c r="A136" s="318" t="s">
        <v>969</v>
      </c>
      <c r="B136" s="318" t="s">
        <v>968</v>
      </c>
      <c r="C136" s="941">
        <v>-685419993</v>
      </c>
      <c r="D136" s="941">
        <v>0</v>
      </c>
      <c r="E136" s="488">
        <f>D136+C136</f>
        <v>-685419993</v>
      </c>
    </row>
    <row r="137" spans="1:5">
      <c r="A137" s="316" t="s">
        <v>82</v>
      </c>
      <c r="B137" s="511"/>
      <c r="C137" s="299">
        <f>C134+C135+C136</f>
        <v>2513497347</v>
      </c>
      <c r="D137" s="299">
        <f>D134+D135+D136</f>
        <v>718236888</v>
      </c>
      <c r="E137" s="331">
        <f>D137+C137</f>
        <v>3231734235</v>
      </c>
    </row>
    <row r="138" spans="1:5">
      <c r="A138" s="295"/>
      <c r="B138" s="507"/>
      <c r="C138" s="316"/>
      <c r="D138" s="316"/>
      <c r="E138" s="489"/>
    </row>
    <row r="139" spans="1:5" ht="13.5" thickBot="1">
      <c r="A139" s="295"/>
      <c r="B139" s="300" t="s">
        <v>344</v>
      </c>
      <c r="C139" s="532" t="s">
        <v>66</v>
      </c>
      <c r="D139" s="532" t="s">
        <v>66</v>
      </c>
      <c r="E139" s="496"/>
    </row>
    <row r="140" spans="1:5">
      <c r="A140" s="851" t="s">
        <v>741</v>
      </c>
      <c r="B140" s="852" t="s">
        <v>744</v>
      </c>
      <c r="C140" s="324">
        <v>1850000000</v>
      </c>
      <c r="D140" s="324">
        <v>0</v>
      </c>
      <c r="E140" s="331">
        <f t="shared" ref="E140:E143" si="10">D140+C140</f>
        <v>1850000000</v>
      </c>
    </row>
    <row r="141" spans="1:5">
      <c r="A141" s="295" t="s">
        <v>742</v>
      </c>
      <c r="B141" s="300" t="s">
        <v>745</v>
      </c>
      <c r="C141" s="324">
        <v>0</v>
      </c>
      <c r="D141" s="324">
        <v>0</v>
      </c>
      <c r="E141" s="331">
        <f t="shared" si="10"/>
        <v>0</v>
      </c>
    </row>
    <row r="142" spans="1:5">
      <c r="A142" s="295" t="s">
        <v>743</v>
      </c>
      <c r="B142" s="300" t="s">
        <v>746</v>
      </c>
      <c r="C142" s="324">
        <v>0</v>
      </c>
      <c r="D142" s="324">
        <v>25000000</v>
      </c>
      <c r="E142" s="331">
        <f t="shared" si="10"/>
        <v>25000000</v>
      </c>
    </row>
    <row r="143" spans="1:5" ht="13.5" thickBot="1">
      <c r="A143" s="295" t="s">
        <v>907</v>
      </c>
      <c r="B143" s="300" t="s">
        <v>747</v>
      </c>
      <c r="C143" s="324">
        <v>550000000</v>
      </c>
      <c r="D143" s="324">
        <v>706720000</v>
      </c>
      <c r="E143" s="331">
        <f t="shared" si="10"/>
        <v>1256720000</v>
      </c>
    </row>
    <row r="144" spans="1:5">
      <c r="A144" s="851" t="s">
        <v>971</v>
      </c>
      <c r="B144" s="851" t="s">
        <v>970</v>
      </c>
      <c r="C144" s="947">
        <f>SUM(C140:C143)</f>
        <v>2400000000</v>
      </c>
      <c r="D144" s="947">
        <f>SUM(D140:D143)</f>
        <v>731720000</v>
      </c>
      <c r="E144" s="666">
        <f>D144+C144</f>
        <v>3131720000</v>
      </c>
    </row>
    <row r="145" spans="1:5">
      <c r="A145" s="295" t="s">
        <v>975</v>
      </c>
      <c r="B145" s="295" t="s">
        <v>973</v>
      </c>
      <c r="C145" s="324">
        <v>0</v>
      </c>
      <c r="D145" s="324">
        <v>0</v>
      </c>
      <c r="E145" s="331">
        <f>D145+C145</f>
        <v>0</v>
      </c>
    </row>
    <row r="146" spans="1:5" ht="13.5" thickBot="1">
      <c r="A146" s="306" t="s">
        <v>974</v>
      </c>
      <c r="B146" s="306" t="s">
        <v>972</v>
      </c>
      <c r="C146" s="319">
        <f>C137</f>
        <v>2513497347</v>
      </c>
      <c r="D146" s="319">
        <f>D137</f>
        <v>718236888</v>
      </c>
      <c r="E146" s="488">
        <f>D146+C146</f>
        <v>3231734235</v>
      </c>
    </row>
    <row r="147" spans="1:5">
      <c r="A147" s="295" t="s">
        <v>144</v>
      </c>
      <c r="B147" s="511"/>
      <c r="C147" s="299">
        <f>C146+C145+C144</f>
        <v>4913497347</v>
      </c>
      <c r="D147" s="299">
        <f>D146+D145+D144</f>
        <v>1449956888</v>
      </c>
      <c r="E147" s="331">
        <f>D147+C147</f>
        <v>6363454235</v>
      </c>
    </row>
    <row r="148" spans="1:5">
      <c r="B148" s="511"/>
      <c r="E148" s="332"/>
    </row>
    <row r="149" spans="1:5">
      <c r="B149" s="511"/>
      <c r="E149" s="332"/>
    </row>
    <row r="150" spans="1:5">
      <c r="A150" s="296" t="s">
        <v>89</v>
      </c>
      <c r="B150" s="300"/>
      <c r="C150" s="295"/>
      <c r="D150" s="295"/>
      <c r="E150" s="492"/>
    </row>
    <row r="151" spans="1:5">
      <c r="A151" s="295"/>
      <c r="B151" s="300"/>
      <c r="C151" s="295"/>
      <c r="D151" s="295"/>
      <c r="E151" s="492"/>
    </row>
    <row r="152" spans="1:5">
      <c r="A152" s="294" t="s">
        <v>977</v>
      </c>
      <c r="B152" s="294" t="s">
        <v>976</v>
      </c>
      <c r="C152" s="668">
        <v>0</v>
      </c>
      <c r="D152" s="668">
        <v>0</v>
      </c>
      <c r="E152" s="669">
        <f>D152+C152</f>
        <v>0</v>
      </c>
    </row>
    <row r="153" spans="1:5" ht="13.5" thickBot="1">
      <c r="A153" s="321" t="s">
        <v>335</v>
      </c>
      <c r="B153" s="300"/>
      <c r="C153" s="670">
        <v>0</v>
      </c>
      <c r="D153" s="670">
        <v>0</v>
      </c>
      <c r="E153" s="671">
        <f>D153+C153</f>
        <v>0</v>
      </c>
    </row>
    <row r="154" spans="1:5">
      <c r="A154" s="294" t="s">
        <v>91</v>
      </c>
      <c r="B154" s="300"/>
      <c r="E154" s="332"/>
    </row>
    <row r="155" spans="1:5">
      <c r="A155" s="294" t="s">
        <v>7</v>
      </c>
      <c r="B155" s="300"/>
      <c r="E155" s="332"/>
    </row>
    <row r="156" spans="1:5" ht="25.5">
      <c r="A156" s="321" t="s">
        <v>357</v>
      </c>
      <c r="B156" s="508" t="s">
        <v>668</v>
      </c>
      <c r="C156" s="330">
        <f>ROUND('P8 Rev Cred Support'!E28,0)</f>
        <v>282197</v>
      </c>
      <c r="D156" s="330">
        <f>ROUND('P8 Rev Cred Support'!G28,0)</f>
        <v>114984</v>
      </c>
      <c r="E156" s="330">
        <f>D156+C156</f>
        <v>397181</v>
      </c>
    </row>
    <row r="157" spans="1:5">
      <c r="B157" s="300"/>
      <c r="C157" s="327"/>
      <c r="D157" s="295"/>
      <c r="E157" s="492"/>
    </row>
    <row r="158" spans="1:5" ht="25.5">
      <c r="A158" s="321" t="s">
        <v>370</v>
      </c>
      <c r="B158" s="508" t="s">
        <v>668</v>
      </c>
      <c r="C158" s="330">
        <f>'P8 Rev Cred Support'!E47</f>
        <v>1854954</v>
      </c>
      <c r="D158" s="330">
        <f>'P8 Rev Cred Support'!G47</f>
        <v>69581</v>
      </c>
      <c r="E158" s="330">
        <f>D158+C158</f>
        <v>1924535</v>
      </c>
    </row>
    <row r="159" spans="1:5">
      <c r="B159" s="300"/>
      <c r="C159" s="300"/>
      <c r="D159" s="300"/>
      <c r="E159" s="350"/>
    </row>
    <row r="160" spans="1:5" ht="26.25" thickBot="1">
      <c r="A160" s="321" t="s">
        <v>588</v>
      </c>
      <c r="B160" s="508" t="s">
        <v>668</v>
      </c>
      <c r="C160" s="330">
        <f>'P8 Rev Cred Support'!E40</f>
        <v>1406967</v>
      </c>
      <c r="D160" s="330">
        <f>'P8 Rev Cred Support'!G40</f>
        <v>0</v>
      </c>
      <c r="E160" s="330">
        <f>D160+C160</f>
        <v>1406967</v>
      </c>
    </row>
    <row r="161" spans="1:5" ht="13.5" thickBot="1">
      <c r="A161" s="328" t="s">
        <v>991</v>
      </c>
      <c r="B161" s="514"/>
      <c r="C161" s="384">
        <f>0.1088</f>
        <v>0.10879999999999999</v>
      </c>
      <c r="D161" s="384">
        <f>0.1088+0.005</f>
        <v>0.1138</v>
      </c>
      <c r="E161" s="982" t="s">
        <v>450</v>
      </c>
    </row>
    <row r="162" spans="1:5">
      <c r="B162" s="511"/>
      <c r="E162" s="332"/>
    </row>
    <row r="163" spans="1:5">
      <c r="A163" s="294" t="s">
        <v>318</v>
      </c>
      <c r="B163" s="511" t="s">
        <v>697</v>
      </c>
      <c r="C163" s="317">
        <f>DEO!J30</f>
        <v>162766802</v>
      </c>
      <c r="D163" s="317">
        <f>DEK!J30</f>
        <v>9194719</v>
      </c>
      <c r="E163" s="330">
        <f>D163+C163</f>
        <v>171961521</v>
      </c>
    </row>
    <row r="164" spans="1:5">
      <c r="B164" s="511"/>
      <c r="C164" s="317"/>
      <c r="D164" s="317"/>
      <c r="E164" s="330"/>
    </row>
    <row r="165" spans="1:5">
      <c r="A165" s="295"/>
      <c r="B165" s="511"/>
      <c r="E165" s="330"/>
    </row>
    <row r="166" spans="1:5">
      <c r="A166" s="295"/>
      <c r="B166" s="511"/>
    </row>
    <row r="167" spans="1:5">
      <c r="A167" s="295" t="s">
        <v>556</v>
      </c>
      <c r="B167" s="511"/>
      <c r="C167" s="595">
        <v>4.7500000000000001E-2</v>
      </c>
    </row>
    <row r="168" spans="1:5">
      <c r="A168" s="295"/>
      <c r="B168" s="511"/>
    </row>
  </sheetData>
  <pageMargins left="0.5" right="0.2" top="0" bottom="0.61" header="0.3" footer="0.16"/>
  <pageSetup scale="70" fitToHeight="25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9BBE-B1A4-491A-AA6A-B3BF25462256}">
  <sheetPr codeName="Sheet37">
    <tabColor rgb="FF7030A0"/>
    <pageSetUpPr fitToPage="1"/>
  </sheetPr>
  <dimension ref="A1:AE298"/>
  <sheetViews>
    <sheetView view="pageBreakPreview" topLeftCell="F49" zoomScale="60" zoomScaleNormal="75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49.77734375" customWidth="1"/>
    <col min="4" max="4" width="1" customWidth="1"/>
    <col min="5" max="5" width="37.109375" customWidth="1"/>
    <col min="6" max="6" width="1.21875" customWidth="1"/>
    <col min="7" max="7" width="14.109375" customWidth="1"/>
    <col min="8" max="8" width="1.5546875" customWidth="1"/>
    <col min="9" max="10" width="12.77734375" customWidth="1"/>
    <col min="11" max="11" width="5.21875" customWidth="1"/>
    <col min="12" max="12" width="1.77734375" customWidth="1"/>
    <col min="13" max="13" width="26.5546875" customWidth="1"/>
    <col min="14" max="14" width="8.77734375" customWidth="1"/>
    <col min="15" max="15" width="11.77734375" customWidth="1"/>
    <col min="16" max="16" width="13" customWidth="1"/>
    <col min="17" max="17" width="12.77734375" customWidth="1"/>
    <col min="18" max="18" width="8.77734375"/>
    <col min="19" max="19" width="15" customWidth="1"/>
    <col min="20" max="20" width="13.77734375" customWidth="1"/>
    <col min="21" max="21" width="12.5546875" customWidth="1"/>
    <col min="22" max="22" width="16.77734375" customWidth="1"/>
    <col min="23" max="23" width="11.77734375" customWidth="1"/>
    <col min="24" max="24" width="16.77734375" customWidth="1"/>
    <col min="25" max="240" width="8.77734375"/>
    <col min="241" max="241" width="6" customWidth="1"/>
    <col min="242" max="242" width="1.44140625" customWidth="1"/>
    <col min="243" max="243" width="39.109375" customWidth="1"/>
    <col min="244" max="244" width="12" customWidth="1"/>
    <col min="245" max="245" width="14.44140625" customWidth="1"/>
    <col min="246" max="246" width="11.77734375" customWidth="1"/>
    <col min="247" max="247" width="14.109375" customWidth="1"/>
    <col min="248" max="248" width="13.77734375" customWidth="1"/>
    <col min="249" max="250" width="12.77734375" customWidth="1"/>
    <col min="251" max="251" width="13.5546875" customWidth="1"/>
    <col min="252" max="252" width="15.21875" customWidth="1"/>
    <col min="253" max="253" width="12.77734375" customWidth="1"/>
    <col min="254" max="254" width="13.77734375" customWidth="1"/>
    <col min="255" max="255" width="1.77734375" customWidth="1"/>
    <col min="256" max="256" width="13" customWidth="1"/>
    <col min="257" max="496" width="8.77734375"/>
    <col min="497" max="497" width="6" customWidth="1"/>
    <col min="498" max="498" width="1.44140625" customWidth="1"/>
    <col min="499" max="499" width="39.109375" customWidth="1"/>
    <col min="500" max="500" width="12" customWidth="1"/>
    <col min="501" max="501" width="14.44140625" customWidth="1"/>
    <col min="502" max="502" width="11.77734375" customWidth="1"/>
    <col min="503" max="503" width="14.109375" customWidth="1"/>
    <col min="504" max="504" width="13.77734375" customWidth="1"/>
    <col min="505" max="506" width="12.77734375" customWidth="1"/>
    <col min="507" max="507" width="13.5546875" customWidth="1"/>
    <col min="508" max="508" width="15.21875" customWidth="1"/>
    <col min="509" max="509" width="12.77734375" customWidth="1"/>
    <col min="510" max="510" width="13.77734375" customWidth="1"/>
    <col min="511" max="511" width="1.77734375" customWidth="1"/>
    <col min="512" max="512" width="13" customWidth="1"/>
    <col min="513" max="752" width="8.77734375"/>
    <col min="753" max="753" width="6" customWidth="1"/>
    <col min="754" max="754" width="1.44140625" customWidth="1"/>
    <col min="755" max="755" width="39.109375" customWidth="1"/>
    <col min="756" max="756" width="12" customWidth="1"/>
    <col min="757" max="757" width="14.44140625" customWidth="1"/>
    <col min="758" max="758" width="11.77734375" customWidth="1"/>
    <col min="759" max="759" width="14.109375" customWidth="1"/>
    <col min="760" max="760" width="13.77734375" customWidth="1"/>
    <col min="761" max="762" width="12.77734375" customWidth="1"/>
    <col min="763" max="763" width="13.5546875" customWidth="1"/>
    <col min="764" max="764" width="15.21875" customWidth="1"/>
    <col min="765" max="765" width="12.77734375" customWidth="1"/>
    <col min="766" max="766" width="13.77734375" customWidth="1"/>
    <col min="767" max="767" width="1.77734375" customWidth="1"/>
    <col min="768" max="768" width="13" customWidth="1"/>
    <col min="769" max="1008" width="8.77734375"/>
    <col min="1009" max="1009" width="6" customWidth="1"/>
    <col min="1010" max="1010" width="1.44140625" customWidth="1"/>
    <col min="1011" max="1011" width="39.109375" customWidth="1"/>
    <col min="1012" max="1012" width="12" customWidth="1"/>
    <col min="1013" max="1013" width="14.44140625" customWidth="1"/>
    <col min="1014" max="1014" width="11.77734375" customWidth="1"/>
    <col min="1015" max="1015" width="14.109375" customWidth="1"/>
    <col min="1016" max="1016" width="13.77734375" customWidth="1"/>
    <col min="1017" max="1018" width="12.77734375" customWidth="1"/>
    <col min="1019" max="1019" width="13.5546875" customWidth="1"/>
    <col min="1020" max="1020" width="15.21875" customWidth="1"/>
    <col min="1021" max="1021" width="12.77734375" customWidth="1"/>
    <col min="1022" max="1022" width="13.77734375" customWidth="1"/>
    <col min="1023" max="1023" width="1.77734375" customWidth="1"/>
    <col min="1024" max="1024" width="13" customWidth="1"/>
    <col min="1025" max="1264" width="8.77734375"/>
    <col min="1265" max="1265" width="6" customWidth="1"/>
    <col min="1266" max="1266" width="1.44140625" customWidth="1"/>
    <col min="1267" max="1267" width="39.109375" customWidth="1"/>
    <col min="1268" max="1268" width="12" customWidth="1"/>
    <col min="1269" max="1269" width="14.44140625" customWidth="1"/>
    <col min="1270" max="1270" width="11.77734375" customWidth="1"/>
    <col min="1271" max="1271" width="14.109375" customWidth="1"/>
    <col min="1272" max="1272" width="13.77734375" customWidth="1"/>
    <col min="1273" max="1274" width="12.77734375" customWidth="1"/>
    <col min="1275" max="1275" width="13.5546875" customWidth="1"/>
    <col min="1276" max="1276" width="15.21875" customWidth="1"/>
    <col min="1277" max="1277" width="12.77734375" customWidth="1"/>
    <col min="1278" max="1278" width="13.77734375" customWidth="1"/>
    <col min="1279" max="1279" width="1.77734375" customWidth="1"/>
    <col min="1280" max="1280" width="13" customWidth="1"/>
    <col min="1281" max="1520" width="8.77734375"/>
    <col min="1521" max="1521" width="6" customWidth="1"/>
    <col min="1522" max="1522" width="1.44140625" customWidth="1"/>
    <col min="1523" max="1523" width="39.109375" customWidth="1"/>
    <col min="1524" max="1524" width="12" customWidth="1"/>
    <col min="1525" max="1525" width="14.44140625" customWidth="1"/>
    <col min="1526" max="1526" width="11.77734375" customWidth="1"/>
    <col min="1527" max="1527" width="14.109375" customWidth="1"/>
    <col min="1528" max="1528" width="13.77734375" customWidth="1"/>
    <col min="1529" max="1530" width="12.77734375" customWidth="1"/>
    <col min="1531" max="1531" width="13.5546875" customWidth="1"/>
    <col min="1532" max="1532" width="15.21875" customWidth="1"/>
    <col min="1533" max="1533" width="12.77734375" customWidth="1"/>
    <col min="1534" max="1534" width="13.77734375" customWidth="1"/>
    <col min="1535" max="1535" width="1.77734375" customWidth="1"/>
    <col min="1536" max="1536" width="13" customWidth="1"/>
    <col min="1537" max="1776" width="8.77734375"/>
    <col min="1777" max="1777" width="6" customWidth="1"/>
    <col min="1778" max="1778" width="1.44140625" customWidth="1"/>
    <col min="1779" max="1779" width="39.109375" customWidth="1"/>
    <col min="1780" max="1780" width="12" customWidth="1"/>
    <col min="1781" max="1781" width="14.44140625" customWidth="1"/>
    <col min="1782" max="1782" width="11.77734375" customWidth="1"/>
    <col min="1783" max="1783" width="14.109375" customWidth="1"/>
    <col min="1784" max="1784" width="13.77734375" customWidth="1"/>
    <col min="1785" max="1786" width="12.77734375" customWidth="1"/>
    <col min="1787" max="1787" width="13.5546875" customWidth="1"/>
    <col min="1788" max="1788" width="15.21875" customWidth="1"/>
    <col min="1789" max="1789" width="12.77734375" customWidth="1"/>
    <col min="1790" max="1790" width="13.77734375" customWidth="1"/>
    <col min="1791" max="1791" width="1.77734375" customWidth="1"/>
    <col min="1792" max="1792" width="13" customWidth="1"/>
    <col min="1793" max="2032" width="8.77734375"/>
    <col min="2033" max="2033" width="6" customWidth="1"/>
    <col min="2034" max="2034" width="1.44140625" customWidth="1"/>
    <col min="2035" max="2035" width="39.109375" customWidth="1"/>
    <col min="2036" max="2036" width="12" customWidth="1"/>
    <col min="2037" max="2037" width="14.44140625" customWidth="1"/>
    <col min="2038" max="2038" width="11.77734375" customWidth="1"/>
    <col min="2039" max="2039" width="14.109375" customWidth="1"/>
    <col min="2040" max="2040" width="13.77734375" customWidth="1"/>
    <col min="2041" max="2042" width="12.77734375" customWidth="1"/>
    <col min="2043" max="2043" width="13.5546875" customWidth="1"/>
    <col min="2044" max="2044" width="15.21875" customWidth="1"/>
    <col min="2045" max="2045" width="12.77734375" customWidth="1"/>
    <col min="2046" max="2046" width="13.77734375" customWidth="1"/>
    <col min="2047" max="2047" width="1.77734375" customWidth="1"/>
    <col min="2048" max="2048" width="13" customWidth="1"/>
    <col min="2049" max="2288" width="8.77734375"/>
    <col min="2289" max="2289" width="6" customWidth="1"/>
    <col min="2290" max="2290" width="1.44140625" customWidth="1"/>
    <col min="2291" max="2291" width="39.109375" customWidth="1"/>
    <col min="2292" max="2292" width="12" customWidth="1"/>
    <col min="2293" max="2293" width="14.44140625" customWidth="1"/>
    <col min="2294" max="2294" width="11.77734375" customWidth="1"/>
    <col min="2295" max="2295" width="14.109375" customWidth="1"/>
    <col min="2296" max="2296" width="13.77734375" customWidth="1"/>
    <col min="2297" max="2298" width="12.77734375" customWidth="1"/>
    <col min="2299" max="2299" width="13.5546875" customWidth="1"/>
    <col min="2300" max="2300" width="15.21875" customWidth="1"/>
    <col min="2301" max="2301" width="12.77734375" customWidth="1"/>
    <col min="2302" max="2302" width="13.77734375" customWidth="1"/>
    <col min="2303" max="2303" width="1.77734375" customWidth="1"/>
    <col min="2304" max="2304" width="13" customWidth="1"/>
    <col min="2305" max="2544" width="8.77734375"/>
    <col min="2545" max="2545" width="6" customWidth="1"/>
    <col min="2546" max="2546" width="1.44140625" customWidth="1"/>
    <col min="2547" max="2547" width="39.109375" customWidth="1"/>
    <col min="2548" max="2548" width="12" customWidth="1"/>
    <col min="2549" max="2549" width="14.44140625" customWidth="1"/>
    <col min="2550" max="2550" width="11.77734375" customWidth="1"/>
    <col min="2551" max="2551" width="14.109375" customWidth="1"/>
    <col min="2552" max="2552" width="13.77734375" customWidth="1"/>
    <col min="2553" max="2554" width="12.77734375" customWidth="1"/>
    <col min="2555" max="2555" width="13.5546875" customWidth="1"/>
    <col min="2556" max="2556" width="15.21875" customWidth="1"/>
    <col min="2557" max="2557" width="12.77734375" customWidth="1"/>
    <col min="2558" max="2558" width="13.77734375" customWidth="1"/>
    <col min="2559" max="2559" width="1.77734375" customWidth="1"/>
    <col min="2560" max="2560" width="13" customWidth="1"/>
    <col min="2561" max="2800" width="8.77734375"/>
    <col min="2801" max="2801" width="6" customWidth="1"/>
    <col min="2802" max="2802" width="1.44140625" customWidth="1"/>
    <col min="2803" max="2803" width="39.109375" customWidth="1"/>
    <col min="2804" max="2804" width="12" customWidth="1"/>
    <col min="2805" max="2805" width="14.44140625" customWidth="1"/>
    <col min="2806" max="2806" width="11.77734375" customWidth="1"/>
    <col min="2807" max="2807" width="14.109375" customWidth="1"/>
    <col min="2808" max="2808" width="13.77734375" customWidth="1"/>
    <col min="2809" max="2810" width="12.77734375" customWidth="1"/>
    <col min="2811" max="2811" width="13.5546875" customWidth="1"/>
    <col min="2812" max="2812" width="15.21875" customWidth="1"/>
    <col min="2813" max="2813" width="12.77734375" customWidth="1"/>
    <col min="2814" max="2814" width="13.77734375" customWidth="1"/>
    <col min="2815" max="2815" width="1.77734375" customWidth="1"/>
    <col min="2816" max="2816" width="13" customWidth="1"/>
    <col min="2817" max="3056" width="8.77734375"/>
    <col min="3057" max="3057" width="6" customWidth="1"/>
    <col min="3058" max="3058" width="1.44140625" customWidth="1"/>
    <col min="3059" max="3059" width="39.109375" customWidth="1"/>
    <col min="3060" max="3060" width="12" customWidth="1"/>
    <col min="3061" max="3061" width="14.44140625" customWidth="1"/>
    <col min="3062" max="3062" width="11.77734375" customWidth="1"/>
    <col min="3063" max="3063" width="14.109375" customWidth="1"/>
    <col min="3064" max="3064" width="13.77734375" customWidth="1"/>
    <col min="3065" max="3066" width="12.77734375" customWidth="1"/>
    <col min="3067" max="3067" width="13.5546875" customWidth="1"/>
    <col min="3068" max="3068" width="15.21875" customWidth="1"/>
    <col min="3069" max="3069" width="12.77734375" customWidth="1"/>
    <col min="3070" max="3070" width="13.77734375" customWidth="1"/>
    <col min="3071" max="3071" width="1.77734375" customWidth="1"/>
    <col min="3072" max="3072" width="13" customWidth="1"/>
    <col min="3073" max="3312" width="8.77734375"/>
    <col min="3313" max="3313" width="6" customWidth="1"/>
    <col min="3314" max="3314" width="1.44140625" customWidth="1"/>
    <col min="3315" max="3315" width="39.109375" customWidth="1"/>
    <col min="3316" max="3316" width="12" customWidth="1"/>
    <col min="3317" max="3317" width="14.44140625" customWidth="1"/>
    <col min="3318" max="3318" width="11.77734375" customWidth="1"/>
    <col min="3319" max="3319" width="14.109375" customWidth="1"/>
    <col min="3320" max="3320" width="13.77734375" customWidth="1"/>
    <col min="3321" max="3322" width="12.77734375" customWidth="1"/>
    <col min="3323" max="3323" width="13.5546875" customWidth="1"/>
    <col min="3324" max="3324" width="15.21875" customWidth="1"/>
    <col min="3325" max="3325" width="12.77734375" customWidth="1"/>
    <col min="3326" max="3326" width="13.77734375" customWidth="1"/>
    <col min="3327" max="3327" width="1.77734375" customWidth="1"/>
    <col min="3328" max="3328" width="13" customWidth="1"/>
    <col min="3329" max="3568" width="8.77734375"/>
    <col min="3569" max="3569" width="6" customWidth="1"/>
    <col min="3570" max="3570" width="1.44140625" customWidth="1"/>
    <col min="3571" max="3571" width="39.109375" customWidth="1"/>
    <col min="3572" max="3572" width="12" customWidth="1"/>
    <col min="3573" max="3573" width="14.44140625" customWidth="1"/>
    <col min="3574" max="3574" width="11.77734375" customWidth="1"/>
    <col min="3575" max="3575" width="14.109375" customWidth="1"/>
    <col min="3576" max="3576" width="13.77734375" customWidth="1"/>
    <col min="3577" max="3578" width="12.77734375" customWidth="1"/>
    <col min="3579" max="3579" width="13.5546875" customWidth="1"/>
    <col min="3580" max="3580" width="15.21875" customWidth="1"/>
    <col min="3581" max="3581" width="12.77734375" customWidth="1"/>
    <col min="3582" max="3582" width="13.77734375" customWidth="1"/>
    <col min="3583" max="3583" width="1.77734375" customWidth="1"/>
    <col min="3584" max="3584" width="13" customWidth="1"/>
    <col min="3585" max="3824" width="8.77734375"/>
    <col min="3825" max="3825" width="6" customWidth="1"/>
    <col min="3826" max="3826" width="1.44140625" customWidth="1"/>
    <col min="3827" max="3827" width="39.109375" customWidth="1"/>
    <col min="3828" max="3828" width="12" customWidth="1"/>
    <col min="3829" max="3829" width="14.44140625" customWidth="1"/>
    <col min="3830" max="3830" width="11.77734375" customWidth="1"/>
    <col min="3831" max="3831" width="14.109375" customWidth="1"/>
    <col min="3832" max="3832" width="13.77734375" customWidth="1"/>
    <col min="3833" max="3834" width="12.77734375" customWidth="1"/>
    <col min="3835" max="3835" width="13.5546875" customWidth="1"/>
    <col min="3836" max="3836" width="15.21875" customWidth="1"/>
    <col min="3837" max="3837" width="12.77734375" customWidth="1"/>
    <col min="3838" max="3838" width="13.77734375" customWidth="1"/>
    <col min="3839" max="3839" width="1.77734375" customWidth="1"/>
    <col min="3840" max="3840" width="13" customWidth="1"/>
    <col min="3841" max="4080" width="8.77734375"/>
    <col min="4081" max="4081" width="6" customWidth="1"/>
    <col min="4082" max="4082" width="1.44140625" customWidth="1"/>
    <col min="4083" max="4083" width="39.109375" customWidth="1"/>
    <col min="4084" max="4084" width="12" customWidth="1"/>
    <col min="4085" max="4085" width="14.44140625" customWidth="1"/>
    <col min="4086" max="4086" width="11.77734375" customWidth="1"/>
    <col min="4087" max="4087" width="14.109375" customWidth="1"/>
    <col min="4088" max="4088" width="13.77734375" customWidth="1"/>
    <col min="4089" max="4090" width="12.77734375" customWidth="1"/>
    <col min="4091" max="4091" width="13.5546875" customWidth="1"/>
    <col min="4092" max="4092" width="15.21875" customWidth="1"/>
    <col min="4093" max="4093" width="12.77734375" customWidth="1"/>
    <col min="4094" max="4094" width="13.77734375" customWidth="1"/>
    <col min="4095" max="4095" width="1.77734375" customWidth="1"/>
    <col min="4096" max="4096" width="13" customWidth="1"/>
    <col min="4097" max="4336" width="8.77734375"/>
    <col min="4337" max="4337" width="6" customWidth="1"/>
    <col min="4338" max="4338" width="1.44140625" customWidth="1"/>
    <col min="4339" max="4339" width="39.109375" customWidth="1"/>
    <col min="4340" max="4340" width="12" customWidth="1"/>
    <col min="4341" max="4341" width="14.44140625" customWidth="1"/>
    <col min="4342" max="4342" width="11.77734375" customWidth="1"/>
    <col min="4343" max="4343" width="14.109375" customWidth="1"/>
    <col min="4344" max="4344" width="13.77734375" customWidth="1"/>
    <col min="4345" max="4346" width="12.77734375" customWidth="1"/>
    <col min="4347" max="4347" width="13.5546875" customWidth="1"/>
    <col min="4348" max="4348" width="15.21875" customWidth="1"/>
    <col min="4349" max="4349" width="12.77734375" customWidth="1"/>
    <col min="4350" max="4350" width="13.77734375" customWidth="1"/>
    <col min="4351" max="4351" width="1.77734375" customWidth="1"/>
    <col min="4352" max="4352" width="13" customWidth="1"/>
    <col min="4353" max="4592" width="8.77734375"/>
    <col min="4593" max="4593" width="6" customWidth="1"/>
    <col min="4594" max="4594" width="1.44140625" customWidth="1"/>
    <col min="4595" max="4595" width="39.109375" customWidth="1"/>
    <col min="4596" max="4596" width="12" customWidth="1"/>
    <col min="4597" max="4597" width="14.44140625" customWidth="1"/>
    <col min="4598" max="4598" width="11.77734375" customWidth="1"/>
    <col min="4599" max="4599" width="14.109375" customWidth="1"/>
    <col min="4600" max="4600" width="13.77734375" customWidth="1"/>
    <col min="4601" max="4602" width="12.77734375" customWidth="1"/>
    <col min="4603" max="4603" width="13.5546875" customWidth="1"/>
    <col min="4604" max="4604" width="15.21875" customWidth="1"/>
    <col min="4605" max="4605" width="12.77734375" customWidth="1"/>
    <col min="4606" max="4606" width="13.77734375" customWidth="1"/>
    <col min="4607" max="4607" width="1.77734375" customWidth="1"/>
    <col min="4608" max="4608" width="13" customWidth="1"/>
    <col min="4609" max="4848" width="8.77734375"/>
    <col min="4849" max="4849" width="6" customWidth="1"/>
    <col min="4850" max="4850" width="1.44140625" customWidth="1"/>
    <col min="4851" max="4851" width="39.109375" customWidth="1"/>
    <col min="4852" max="4852" width="12" customWidth="1"/>
    <col min="4853" max="4853" width="14.44140625" customWidth="1"/>
    <col min="4854" max="4854" width="11.77734375" customWidth="1"/>
    <col min="4855" max="4855" width="14.109375" customWidth="1"/>
    <col min="4856" max="4856" width="13.77734375" customWidth="1"/>
    <col min="4857" max="4858" width="12.77734375" customWidth="1"/>
    <col min="4859" max="4859" width="13.5546875" customWidth="1"/>
    <col min="4860" max="4860" width="15.21875" customWidth="1"/>
    <col min="4861" max="4861" width="12.77734375" customWidth="1"/>
    <col min="4862" max="4862" width="13.77734375" customWidth="1"/>
    <col min="4863" max="4863" width="1.77734375" customWidth="1"/>
    <col min="4864" max="4864" width="13" customWidth="1"/>
    <col min="4865" max="5104" width="8.77734375"/>
    <col min="5105" max="5105" width="6" customWidth="1"/>
    <col min="5106" max="5106" width="1.44140625" customWidth="1"/>
    <col min="5107" max="5107" width="39.109375" customWidth="1"/>
    <col min="5108" max="5108" width="12" customWidth="1"/>
    <col min="5109" max="5109" width="14.44140625" customWidth="1"/>
    <col min="5110" max="5110" width="11.77734375" customWidth="1"/>
    <col min="5111" max="5111" width="14.109375" customWidth="1"/>
    <col min="5112" max="5112" width="13.77734375" customWidth="1"/>
    <col min="5113" max="5114" width="12.77734375" customWidth="1"/>
    <col min="5115" max="5115" width="13.5546875" customWidth="1"/>
    <col min="5116" max="5116" width="15.21875" customWidth="1"/>
    <col min="5117" max="5117" width="12.77734375" customWidth="1"/>
    <col min="5118" max="5118" width="13.77734375" customWidth="1"/>
    <col min="5119" max="5119" width="1.77734375" customWidth="1"/>
    <col min="5120" max="5120" width="13" customWidth="1"/>
    <col min="5121" max="5360" width="8.77734375"/>
    <col min="5361" max="5361" width="6" customWidth="1"/>
    <col min="5362" max="5362" width="1.44140625" customWidth="1"/>
    <col min="5363" max="5363" width="39.109375" customWidth="1"/>
    <col min="5364" max="5364" width="12" customWidth="1"/>
    <col min="5365" max="5365" width="14.44140625" customWidth="1"/>
    <col min="5366" max="5366" width="11.77734375" customWidth="1"/>
    <col min="5367" max="5367" width="14.109375" customWidth="1"/>
    <col min="5368" max="5368" width="13.77734375" customWidth="1"/>
    <col min="5369" max="5370" width="12.77734375" customWidth="1"/>
    <col min="5371" max="5371" width="13.5546875" customWidth="1"/>
    <col min="5372" max="5372" width="15.21875" customWidth="1"/>
    <col min="5373" max="5373" width="12.77734375" customWidth="1"/>
    <col min="5374" max="5374" width="13.77734375" customWidth="1"/>
    <col min="5375" max="5375" width="1.77734375" customWidth="1"/>
    <col min="5376" max="5376" width="13" customWidth="1"/>
    <col min="5377" max="5616" width="8.77734375"/>
    <col min="5617" max="5617" width="6" customWidth="1"/>
    <col min="5618" max="5618" width="1.44140625" customWidth="1"/>
    <col min="5619" max="5619" width="39.109375" customWidth="1"/>
    <col min="5620" max="5620" width="12" customWidth="1"/>
    <col min="5621" max="5621" width="14.44140625" customWidth="1"/>
    <col min="5622" max="5622" width="11.77734375" customWidth="1"/>
    <col min="5623" max="5623" width="14.109375" customWidth="1"/>
    <col min="5624" max="5624" width="13.77734375" customWidth="1"/>
    <col min="5625" max="5626" width="12.77734375" customWidth="1"/>
    <col min="5627" max="5627" width="13.5546875" customWidth="1"/>
    <col min="5628" max="5628" width="15.21875" customWidth="1"/>
    <col min="5629" max="5629" width="12.77734375" customWidth="1"/>
    <col min="5630" max="5630" width="13.77734375" customWidth="1"/>
    <col min="5631" max="5631" width="1.77734375" customWidth="1"/>
    <col min="5632" max="5632" width="13" customWidth="1"/>
    <col min="5633" max="5872" width="8.77734375"/>
    <col min="5873" max="5873" width="6" customWidth="1"/>
    <col min="5874" max="5874" width="1.44140625" customWidth="1"/>
    <col min="5875" max="5875" width="39.109375" customWidth="1"/>
    <col min="5876" max="5876" width="12" customWidth="1"/>
    <col min="5877" max="5877" width="14.44140625" customWidth="1"/>
    <col min="5878" max="5878" width="11.77734375" customWidth="1"/>
    <col min="5879" max="5879" width="14.109375" customWidth="1"/>
    <col min="5880" max="5880" width="13.77734375" customWidth="1"/>
    <col min="5881" max="5882" width="12.77734375" customWidth="1"/>
    <col min="5883" max="5883" width="13.5546875" customWidth="1"/>
    <col min="5884" max="5884" width="15.21875" customWidth="1"/>
    <col min="5885" max="5885" width="12.77734375" customWidth="1"/>
    <col min="5886" max="5886" width="13.77734375" customWidth="1"/>
    <col min="5887" max="5887" width="1.77734375" customWidth="1"/>
    <col min="5888" max="5888" width="13" customWidth="1"/>
    <col min="5889" max="6128" width="8.77734375"/>
    <col min="6129" max="6129" width="6" customWidth="1"/>
    <col min="6130" max="6130" width="1.44140625" customWidth="1"/>
    <col min="6131" max="6131" width="39.109375" customWidth="1"/>
    <col min="6132" max="6132" width="12" customWidth="1"/>
    <col min="6133" max="6133" width="14.44140625" customWidth="1"/>
    <col min="6134" max="6134" width="11.77734375" customWidth="1"/>
    <col min="6135" max="6135" width="14.109375" customWidth="1"/>
    <col min="6136" max="6136" width="13.77734375" customWidth="1"/>
    <col min="6137" max="6138" width="12.77734375" customWidth="1"/>
    <col min="6139" max="6139" width="13.5546875" customWidth="1"/>
    <col min="6140" max="6140" width="15.21875" customWidth="1"/>
    <col min="6141" max="6141" width="12.77734375" customWidth="1"/>
    <col min="6142" max="6142" width="13.77734375" customWidth="1"/>
    <col min="6143" max="6143" width="1.77734375" customWidth="1"/>
    <col min="6144" max="6144" width="13" customWidth="1"/>
    <col min="6145" max="6384" width="8.77734375"/>
    <col min="6385" max="6385" width="6" customWidth="1"/>
    <col min="6386" max="6386" width="1.44140625" customWidth="1"/>
    <col min="6387" max="6387" width="39.109375" customWidth="1"/>
    <col min="6388" max="6388" width="12" customWidth="1"/>
    <col min="6389" max="6389" width="14.44140625" customWidth="1"/>
    <col min="6390" max="6390" width="11.77734375" customWidth="1"/>
    <col min="6391" max="6391" width="14.109375" customWidth="1"/>
    <col min="6392" max="6392" width="13.77734375" customWidth="1"/>
    <col min="6393" max="6394" width="12.77734375" customWidth="1"/>
    <col min="6395" max="6395" width="13.5546875" customWidth="1"/>
    <col min="6396" max="6396" width="15.21875" customWidth="1"/>
    <col min="6397" max="6397" width="12.77734375" customWidth="1"/>
    <col min="6398" max="6398" width="13.77734375" customWidth="1"/>
    <col min="6399" max="6399" width="1.77734375" customWidth="1"/>
    <col min="6400" max="6400" width="13" customWidth="1"/>
    <col min="6401" max="6640" width="8.77734375"/>
    <col min="6641" max="6641" width="6" customWidth="1"/>
    <col min="6642" max="6642" width="1.44140625" customWidth="1"/>
    <col min="6643" max="6643" width="39.109375" customWidth="1"/>
    <col min="6644" max="6644" width="12" customWidth="1"/>
    <col min="6645" max="6645" width="14.44140625" customWidth="1"/>
    <col min="6646" max="6646" width="11.77734375" customWidth="1"/>
    <col min="6647" max="6647" width="14.109375" customWidth="1"/>
    <col min="6648" max="6648" width="13.77734375" customWidth="1"/>
    <col min="6649" max="6650" width="12.77734375" customWidth="1"/>
    <col min="6651" max="6651" width="13.5546875" customWidth="1"/>
    <col min="6652" max="6652" width="15.21875" customWidth="1"/>
    <col min="6653" max="6653" width="12.77734375" customWidth="1"/>
    <col min="6654" max="6654" width="13.77734375" customWidth="1"/>
    <col min="6655" max="6655" width="1.77734375" customWidth="1"/>
    <col min="6656" max="6656" width="13" customWidth="1"/>
    <col min="6657" max="6896" width="8.77734375"/>
    <col min="6897" max="6897" width="6" customWidth="1"/>
    <col min="6898" max="6898" width="1.44140625" customWidth="1"/>
    <col min="6899" max="6899" width="39.109375" customWidth="1"/>
    <col min="6900" max="6900" width="12" customWidth="1"/>
    <col min="6901" max="6901" width="14.44140625" customWidth="1"/>
    <col min="6902" max="6902" width="11.77734375" customWidth="1"/>
    <col min="6903" max="6903" width="14.109375" customWidth="1"/>
    <col min="6904" max="6904" width="13.77734375" customWidth="1"/>
    <col min="6905" max="6906" width="12.77734375" customWidth="1"/>
    <col min="6907" max="6907" width="13.5546875" customWidth="1"/>
    <col min="6908" max="6908" width="15.21875" customWidth="1"/>
    <col min="6909" max="6909" width="12.77734375" customWidth="1"/>
    <col min="6910" max="6910" width="13.77734375" customWidth="1"/>
    <col min="6911" max="6911" width="1.77734375" customWidth="1"/>
    <col min="6912" max="6912" width="13" customWidth="1"/>
    <col min="6913" max="7152" width="8.77734375"/>
    <col min="7153" max="7153" width="6" customWidth="1"/>
    <col min="7154" max="7154" width="1.44140625" customWidth="1"/>
    <col min="7155" max="7155" width="39.109375" customWidth="1"/>
    <col min="7156" max="7156" width="12" customWidth="1"/>
    <col min="7157" max="7157" width="14.44140625" customWidth="1"/>
    <col min="7158" max="7158" width="11.77734375" customWidth="1"/>
    <col min="7159" max="7159" width="14.109375" customWidth="1"/>
    <col min="7160" max="7160" width="13.77734375" customWidth="1"/>
    <col min="7161" max="7162" width="12.77734375" customWidth="1"/>
    <col min="7163" max="7163" width="13.5546875" customWidth="1"/>
    <col min="7164" max="7164" width="15.21875" customWidth="1"/>
    <col min="7165" max="7165" width="12.77734375" customWidth="1"/>
    <col min="7166" max="7166" width="13.77734375" customWidth="1"/>
    <col min="7167" max="7167" width="1.77734375" customWidth="1"/>
    <col min="7168" max="7168" width="13" customWidth="1"/>
    <col min="7169" max="7408" width="8.77734375"/>
    <col min="7409" max="7409" width="6" customWidth="1"/>
    <col min="7410" max="7410" width="1.44140625" customWidth="1"/>
    <col min="7411" max="7411" width="39.109375" customWidth="1"/>
    <col min="7412" max="7412" width="12" customWidth="1"/>
    <col min="7413" max="7413" width="14.44140625" customWidth="1"/>
    <col min="7414" max="7414" width="11.77734375" customWidth="1"/>
    <col min="7415" max="7415" width="14.109375" customWidth="1"/>
    <col min="7416" max="7416" width="13.77734375" customWidth="1"/>
    <col min="7417" max="7418" width="12.77734375" customWidth="1"/>
    <col min="7419" max="7419" width="13.5546875" customWidth="1"/>
    <col min="7420" max="7420" width="15.21875" customWidth="1"/>
    <col min="7421" max="7421" width="12.77734375" customWidth="1"/>
    <col min="7422" max="7422" width="13.77734375" customWidth="1"/>
    <col min="7423" max="7423" width="1.77734375" customWidth="1"/>
    <col min="7424" max="7424" width="13" customWidth="1"/>
    <col min="7425" max="7664" width="8.77734375"/>
    <col min="7665" max="7665" width="6" customWidth="1"/>
    <col min="7666" max="7666" width="1.44140625" customWidth="1"/>
    <col min="7667" max="7667" width="39.109375" customWidth="1"/>
    <col min="7668" max="7668" width="12" customWidth="1"/>
    <col min="7669" max="7669" width="14.44140625" customWidth="1"/>
    <col min="7670" max="7670" width="11.77734375" customWidth="1"/>
    <col min="7671" max="7671" width="14.109375" customWidth="1"/>
    <col min="7672" max="7672" width="13.77734375" customWidth="1"/>
    <col min="7673" max="7674" width="12.77734375" customWidth="1"/>
    <col min="7675" max="7675" width="13.5546875" customWidth="1"/>
    <col min="7676" max="7676" width="15.21875" customWidth="1"/>
    <col min="7677" max="7677" width="12.77734375" customWidth="1"/>
    <col min="7678" max="7678" width="13.77734375" customWidth="1"/>
    <col min="7679" max="7679" width="1.77734375" customWidth="1"/>
    <col min="7680" max="7680" width="13" customWidth="1"/>
    <col min="7681" max="7920" width="8.77734375"/>
    <col min="7921" max="7921" width="6" customWidth="1"/>
    <col min="7922" max="7922" width="1.44140625" customWidth="1"/>
    <col min="7923" max="7923" width="39.109375" customWidth="1"/>
    <col min="7924" max="7924" width="12" customWidth="1"/>
    <col min="7925" max="7925" width="14.44140625" customWidth="1"/>
    <col min="7926" max="7926" width="11.77734375" customWidth="1"/>
    <col min="7927" max="7927" width="14.109375" customWidth="1"/>
    <col min="7928" max="7928" width="13.77734375" customWidth="1"/>
    <col min="7929" max="7930" width="12.77734375" customWidth="1"/>
    <col min="7931" max="7931" width="13.5546875" customWidth="1"/>
    <col min="7932" max="7932" width="15.21875" customWidth="1"/>
    <col min="7933" max="7933" width="12.77734375" customWidth="1"/>
    <col min="7934" max="7934" width="13.77734375" customWidth="1"/>
    <col min="7935" max="7935" width="1.77734375" customWidth="1"/>
    <col min="7936" max="7936" width="13" customWidth="1"/>
    <col min="7937" max="8176" width="8.77734375"/>
    <col min="8177" max="8177" width="6" customWidth="1"/>
    <col min="8178" max="8178" width="1.44140625" customWidth="1"/>
    <col min="8179" max="8179" width="39.109375" customWidth="1"/>
    <col min="8180" max="8180" width="12" customWidth="1"/>
    <col min="8181" max="8181" width="14.44140625" customWidth="1"/>
    <col min="8182" max="8182" width="11.77734375" customWidth="1"/>
    <col min="8183" max="8183" width="14.109375" customWidth="1"/>
    <col min="8184" max="8184" width="13.77734375" customWidth="1"/>
    <col min="8185" max="8186" width="12.77734375" customWidth="1"/>
    <col min="8187" max="8187" width="13.5546875" customWidth="1"/>
    <col min="8188" max="8188" width="15.21875" customWidth="1"/>
    <col min="8189" max="8189" width="12.77734375" customWidth="1"/>
    <col min="8190" max="8190" width="13.77734375" customWidth="1"/>
    <col min="8191" max="8191" width="1.77734375" customWidth="1"/>
    <col min="8192" max="8192" width="13" customWidth="1"/>
    <col min="8193" max="8432" width="8.77734375"/>
    <col min="8433" max="8433" width="6" customWidth="1"/>
    <col min="8434" max="8434" width="1.44140625" customWidth="1"/>
    <col min="8435" max="8435" width="39.109375" customWidth="1"/>
    <col min="8436" max="8436" width="12" customWidth="1"/>
    <col min="8437" max="8437" width="14.44140625" customWidth="1"/>
    <col min="8438" max="8438" width="11.77734375" customWidth="1"/>
    <col min="8439" max="8439" width="14.109375" customWidth="1"/>
    <col min="8440" max="8440" width="13.77734375" customWidth="1"/>
    <col min="8441" max="8442" width="12.77734375" customWidth="1"/>
    <col min="8443" max="8443" width="13.5546875" customWidth="1"/>
    <col min="8444" max="8444" width="15.21875" customWidth="1"/>
    <col min="8445" max="8445" width="12.77734375" customWidth="1"/>
    <col min="8446" max="8446" width="13.77734375" customWidth="1"/>
    <col min="8447" max="8447" width="1.77734375" customWidth="1"/>
    <col min="8448" max="8448" width="13" customWidth="1"/>
    <col min="8449" max="8688" width="8.77734375"/>
    <col min="8689" max="8689" width="6" customWidth="1"/>
    <col min="8690" max="8690" width="1.44140625" customWidth="1"/>
    <col min="8691" max="8691" width="39.109375" customWidth="1"/>
    <col min="8692" max="8692" width="12" customWidth="1"/>
    <col min="8693" max="8693" width="14.44140625" customWidth="1"/>
    <col min="8694" max="8694" width="11.77734375" customWidth="1"/>
    <col min="8695" max="8695" width="14.109375" customWidth="1"/>
    <col min="8696" max="8696" width="13.77734375" customWidth="1"/>
    <col min="8697" max="8698" width="12.77734375" customWidth="1"/>
    <col min="8699" max="8699" width="13.5546875" customWidth="1"/>
    <col min="8700" max="8700" width="15.21875" customWidth="1"/>
    <col min="8701" max="8701" width="12.77734375" customWidth="1"/>
    <col min="8702" max="8702" width="13.77734375" customWidth="1"/>
    <col min="8703" max="8703" width="1.77734375" customWidth="1"/>
    <col min="8704" max="8704" width="13" customWidth="1"/>
    <col min="8705" max="8944" width="8.77734375"/>
    <col min="8945" max="8945" width="6" customWidth="1"/>
    <col min="8946" max="8946" width="1.44140625" customWidth="1"/>
    <col min="8947" max="8947" width="39.109375" customWidth="1"/>
    <col min="8948" max="8948" width="12" customWidth="1"/>
    <col min="8949" max="8949" width="14.44140625" customWidth="1"/>
    <col min="8950" max="8950" width="11.77734375" customWidth="1"/>
    <col min="8951" max="8951" width="14.109375" customWidth="1"/>
    <col min="8952" max="8952" width="13.77734375" customWidth="1"/>
    <col min="8953" max="8954" width="12.77734375" customWidth="1"/>
    <col min="8955" max="8955" width="13.5546875" customWidth="1"/>
    <col min="8956" max="8956" width="15.21875" customWidth="1"/>
    <col min="8957" max="8957" width="12.77734375" customWidth="1"/>
    <col min="8958" max="8958" width="13.77734375" customWidth="1"/>
    <col min="8959" max="8959" width="1.77734375" customWidth="1"/>
    <col min="8960" max="8960" width="13" customWidth="1"/>
    <col min="8961" max="9200" width="8.77734375"/>
    <col min="9201" max="9201" width="6" customWidth="1"/>
    <col min="9202" max="9202" width="1.44140625" customWidth="1"/>
    <col min="9203" max="9203" width="39.109375" customWidth="1"/>
    <col min="9204" max="9204" width="12" customWidth="1"/>
    <col min="9205" max="9205" width="14.44140625" customWidth="1"/>
    <col min="9206" max="9206" width="11.77734375" customWidth="1"/>
    <col min="9207" max="9207" width="14.109375" customWidth="1"/>
    <col min="9208" max="9208" width="13.77734375" customWidth="1"/>
    <col min="9209" max="9210" width="12.77734375" customWidth="1"/>
    <col min="9211" max="9211" width="13.5546875" customWidth="1"/>
    <col min="9212" max="9212" width="15.21875" customWidth="1"/>
    <col min="9213" max="9213" width="12.77734375" customWidth="1"/>
    <col min="9214" max="9214" width="13.77734375" customWidth="1"/>
    <col min="9215" max="9215" width="1.77734375" customWidth="1"/>
    <col min="9216" max="9216" width="13" customWidth="1"/>
    <col min="9217" max="9456" width="8.77734375"/>
    <col min="9457" max="9457" width="6" customWidth="1"/>
    <col min="9458" max="9458" width="1.44140625" customWidth="1"/>
    <col min="9459" max="9459" width="39.109375" customWidth="1"/>
    <col min="9460" max="9460" width="12" customWidth="1"/>
    <col min="9461" max="9461" width="14.44140625" customWidth="1"/>
    <col min="9462" max="9462" width="11.77734375" customWidth="1"/>
    <col min="9463" max="9463" width="14.109375" customWidth="1"/>
    <col min="9464" max="9464" width="13.77734375" customWidth="1"/>
    <col min="9465" max="9466" width="12.77734375" customWidth="1"/>
    <col min="9467" max="9467" width="13.5546875" customWidth="1"/>
    <col min="9468" max="9468" width="15.21875" customWidth="1"/>
    <col min="9469" max="9469" width="12.77734375" customWidth="1"/>
    <col min="9470" max="9470" width="13.77734375" customWidth="1"/>
    <col min="9471" max="9471" width="1.77734375" customWidth="1"/>
    <col min="9472" max="9472" width="13" customWidth="1"/>
    <col min="9473" max="9712" width="8.77734375"/>
    <col min="9713" max="9713" width="6" customWidth="1"/>
    <col min="9714" max="9714" width="1.44140625" customWidth="1"/>
    <col min="9715" max="9715" width="39.109375" customWidth="1"/>
    <col min="9716" max="9716" width="12" customWidth="1"/>
    <col min="9717" max="9717" width="14.44140625" customWidth="1"/>
    <col min="9718" max="9718" width="11.77734375" customWidth="1"/>
    <col min="9719" max="9719" width="14.109375" customWidth="1"/>
    <col min="9720" max="9720" width="13.77734375" customWidth="1"/>
    <col min="9721" max="9722" width="12.77734375" customWidth="1"/>
    <col min="9723" max="9723" width="13.5546875" customWidth="1"/>
    <col min="9724" max="9724" width="15.21875" customWidth="1"/>
    <col min="9725" max="9725" width="12.77734375" customWidth="1"/>
    <col min="9726" max="9726" width="13.77734375" customWidth="1"/>
    <col min="9727" max="9727" width="1.77734375" customWidth="1"/>
    <col min="9728" max="9728" width="13" customWidth="1"/>
    <col min="9729" max="9968" width="8.77734375"/>
    <col min="9969" max="9969" width="6" customWidth="1"/>
    <col min="9970" max="9970" width="1.44140625" customWidth="1"/>
    <col min="9971" max="9971" width="39.109375" customWidth="1"/>
    <col min="9972" max="9972" width="12" customWidth="1"/>
    <col min="9973" max="9973" width="14.44140625" customWidth="1"/>
    <col min="9974" max="9974" width="11.77734375" customWidth="1"/>
    <col min="9975" max="9975" width="14.109375" customWidth="1"/>
    <col min="9976" max="9976" width="13.77734375" customWidth="1"/>
    <col min="9977" max="9978" width="12.77734375" customWidth="1"/>
    <col min="9979" max="9979" width="13.5546875" customWidth="1"/>
    <col min="9980" max="9980" width="15.21875" customWidth="1"/>
    <col min="9981" max="9981" width="12.77734375" customWidth="1"/>
    <col min="9982" max="9982" width="13.77734375" customWidth="1"/>
    <col min="9983" max="9983" width="1.77734375" customWidth="1"/>
    <col min="9984" max="9984" width="13" customWidth="1"/>
    <col min="9985" max="10224" width="8.77734375"/>
    <col min="10225" max="10225" width="6" customWidth="1"/>
    <col min="10226" max="10226" width="1.44140625" customWidth="1"/>
    <col min="10227" max="10227" width="39.109375" customWidth="1"/>
    <col min="10228" max="10228" width="12" customWidth="1"/>
    <col min="10229" max="10229" width="14.44140625" customWidth="1"/>
    <col min="10230" max="10230" width="11.77734375" customWidth="1"/>
    <col min="10231" max="10231" width="14.109375" customWidth="1"/>
    <col min="10232" max="10232" width="13.77734375" customWidth="1"/>
    <col min="10233" max="10234" width="12.77734375" customWidth="1"/>
    <col min="10235" max="10235" width="13.5546875" customWidth="1"/>
    <col min="10236" max="10236" width="15.21875" customWidth="1"/>
    <col min="10237" max="10237" width="12.77734375" customWidth="1"/>
    <col min="10238" max="10238" width="13.77734375" customWidth="1"/>
    <col min="10239" max="10239" width="1.77734375" customWidth="1"/>
    <col min="10240" max="10240" width="13" customWidth="1"/>
    <col min="10241" max="10480" width="8.77734375"/>
    <col min="10481" max="10481" width="6" customWidth="1"/>
    <col min="10482" max="10482" width="1.44140625" customWidth="1"/>
    <col min="10483" max="10483" width="39.109375" customWidth="1"/>
    <col min="10484" max="10484" width="12" customWidth="1"/>
    <col min="10485" max="10485" width="14.44140625" customWidth="1"/>
    <col min="10486" max="10486" width="11.77734375" customWidth="1"/>
    <col min="10487" max="10487" width="14.109375" customWidth="1"/>
    <col min="10488" max="10488" width="13.77734375" customWidth="1"/>
    <col min="10489" max="10490" width="12.77734375" customWidth="1"/>
    <col min="10491" max="10491" width="13.5546875" customWidth="1"/>
    <col min="10492" max="10492" width="15.21875" customWidth="1"/>
    <col min="10493" max="10493" width="12.77734375" customWidth="1"/>
    <col min="10494" max="10494" width="13.77734375" customWidth="1"/>
    <col min="10495" max="10495" width="1.77734375" customWidth="1"/>
    <col min="10496" max="10496" width="13" customWidth="1"/>
    <col min="10497" max="10736" width="8.77734375"/>
    <col min="10737" max="10737" width="6" customWidth="1"/>
    <col min="10738" max="10738" width="1.44140625" customWidth="1"/>
    <col min="10739" max="10739" width="39.109375" customWidth="1"/>
    <col min="10740" max="10740" width="12" customWidth="1"/>
    <col min="10741" max="10741" width="14.44140625" customWidth="1"/>
    <col min="10742" max="10742" width="11.77734375" customWidth="1"/>
    <col min="10743" max="10743" width="14.109375" customWidth="1"/>
    <col min="10744" max="10744" width="13.77734375" customWidth="1"/>
    <col min="10745" max="10746" width="12.77734375" customWidth="1"/>
    <col min="10747" max="10747" width="13.5546875" customWidth="1"/>
    <col min="10748" max="10748" width="15.21875" customWidth="1"/>
    <col min="10749" max="10749" width="12.77734375" customWidth="1"/>
    <col min="10750" max="10750" width="13.77734375" customWidth="1"/>
    <col min="10751" max="10751" width="1.77734375" customWidth="1"/>
    <col min="10752" max="10752" width="13" customWidth="1"/>
    <col min="10753" max="10992" width="8.77734375"/>
    <col min="10993" max="10993" width="6" customWidth="1"/>
    <col min="10994" max="10994" width="1.44140625" customWidth="1"/>
    <col min="10995" max="10995" width="39.109375" customWidth="1"/>
    <col min="10996" max="10996" width="12" customWidth="1"/>
    <col min="10997" max="10997" width="14.44140625" customWidth="1"/>
    <col min="10998" max="10998" width="11.77734375" customWidth="1"/>
    <col min="10999" max="10999" width="14.109375" customWidth="1"/>
    <col min="11000" max="11000" width="13.77734375" customWidth="1"/>
    <col min="11001" max="11002" width="12.77734375" customWidth="1"/>
    <col min="11003" max="11003" width="13.5546875" customWidth="1"/>
    <col min="11004" max="11004" width="15.21875" customWidth="1"/>
    <col min="11005" max="11005" width="12.77734375" customWidth="1"/>
    <col min="11006" max="11006" width="13.77734375" customWidth="1"/>
    <col min="11007" max="11007" width="1.77734375" customWidth="1"/>
    <col min="11008" max="11008" width="13" customWidth="1"/>
    <col min="11009" max="11248" width="8.77734375"/>
    <col min="11249" max="11249" width="6" customWidth="1"/>
    <col min="11250" max="11250" width="1.44140625" customWidth="1"/>
    <col min="11251" max="11251" width="39.109375" customWidth="1"/>
    <col min="11252" max="11252" width="12" customWidth="1"/>
    <col min="11253" max="11253" width="14.44140625" customWidth="1"/>
    <col min="11254" max="11254" width="11.77734375" customWidth="1"/>
    <col min="11255" max="11255" width="14.109375" customWidth="1"/>
    <col min="11256" max="11256" width="13.77734375" customWidth="1"/>
    <col min="11257" max="11258" width="12.77734375" customWidth="1"/>
    <col min="11259" max="11259" width="13.5546875" customWidth="1"/>
    <col min="11260" max="11260" width="15.21875" customWidth="1"/>
    <col min="11261" max="11261" width="12.77734375" customWidth="1"/>
    <col min="11262" max="11262" width="13.77734375" customWidth="1"/>
    <col min="11263" max="11263" width="1.77734375" customWidth="1"/>
    <col min="11264" max="11264" width="13" customWidth="1"/>
    <col min="11265" max="11504" width="8.77734375"/>
    <col min="11505" max="11505" width="6" customWidth="1"/>
    <col min="11506" max="11506" width="1.44140625" customWidth="1"/>
    <col min="11507" max="11507" width="39.109375" customWidth="1"/>
    <col min="11508" max="11508" width="12" customWidth="1"/>
    <col min="11509" max="11509" width="14.44140625" customWidth="1"/>
    <col min="11510" max="11510" width="11.77734375" customWidth="1"/>
    <col min="11511" max="11511" width="14.109375" customWidth="1"/>
    <col min="11512" max="11512" width="13.77734375" customWidth="1"/>
    <col min="11513" max="11514" width="12.77734375" customWidth="1"/>
    <col min="11515" max="11515" width="13.5546875" customWidth="1"/>
    <col min="11516" max="11516" width="15.21875" customWidth="1"/>
    <col min="11517" max="11517" width="12.77734375" customWidth="1"/>
    <col min="11518" max="11518" width="13.77734375" customWidth="1"/>
    <col min="11519" max="11519" width="1.77734375" customWidth="1"/>
    <col min="11520" max="11520" width="13" customWidth="1"/>
    <col min="11521" max="11760" width="8.77734375"/>
    <col min="11761" max="11761" width="6" customWidth="1"/>
    <col min="11762" max="11762" width="1.44140625" customWidth="1"/>
    <col min="11763" max="11763" width="39.109375" customWidth="1"/>
    <col min="11764" max="11764" width="12" customWidth="1"/>
    <col min="11765" max="11765" width="14.44140625" customWidth="1"/>
    <col min="11766" max="11766" width="11.77734375" customWidth="1"/>
    <col min="11767" max="11767" width="14.109375" customWidth="1"/>
    <col min="11768" max="11768" width="13.77734375" customWidth="1"/>
    <col min="11769" max="11770" width="12.77734375" customWidth="1"/>
    <col min="11771" max="11771" width="13.5546875" customWidth="1"/>
    <col min="11772" max="11772" width="15.21875" customWidth="1"/>
    <col min="11773" max="11773" width="12.77734375" customWidth="1"/>
    <col min="11774" max="11774" width="13.77734375" customWidth="1"/>
    <col min="11775" max="11775" width="1.77734375" customWidth="1"/>
    <col min="11776" max="11776" width="13" customWidth="1"/>
    <col min="11777" max="12016" width="8.77734375"/>
    <col min="12017" max="12017" width="6" customWidth="1"/>
    <col min="12018" max="12018" width="1.44140625" customWidth="1"/>
    <col min="12019" max="12019" width="39.109375" customWidth="1"/>
    <col min="12020" max="12020" width="12" customWidth="1"/>
    <col min="12021" max="12021" width="14.44140625" customWidth="1"/>
    <col min="12022" max="12022" width="11.77734375" customWidth="1"/>
    <col min="12023" max="12023" width="14.109375" customWidth="1"/>
    <col min="12024" max="12024" width="13.77734375" customWidth="1"/>
    <col min="12025" max="12026" width="12.77734375" customWidth="1"/>
    <col min="12027" max="12027" width="13.5546875" customWidth="1"/>
    <col min="12028" max="12028" width="15.21875" customWidth="1"/>
    <col min="12029" max="12029" width="12.77734375" customWidth="1"/>
    <col min="12030" max="12030" width="13.77734375" customWidth="1"/>
    <col min="12031" max="12031" width="1.77734375" customWidth="1"/>
    <col min="12032" max="12032" width="13" customWidth="1"/>
    <col min="12033" max="12272" width="8.77734375"/>
    <col min="12273" max="12273" width="6" customWidth="1"/>
    <col min="12274" max="12274" width="1.44140625" customWidth="1"/>
    <col min="12275" max="12275" width="39.109375" customWidth="1"/>
    <col min="12276" max="12276" width="12" customWidth="1"/>
    <col min="12277" max="12277" width="14.44140625" customWidth="1"/>
    <col min="12278" max="12278" width="11.77734375" customWidth="1"/>
    <col min="12279" max="12279" width="14.109375" customWidth="1"/>
    <col min="12280" max="12280" width="13.77734375" customWidth="1"/>
    <col min="12281" max="12282" width="12.77734375" customWidth="1"/>
    <col min="12283" max="12283" width="13.5546875" customWidth="1"/>
    <col min="12284" max="12284" width="15.21875" customWidth="1"/>
    <col min="12285" max="12285" width="12.77734375" customWidth="1"/>
    <col min="12286" max="12286" width="13.77734375" customWidth="1"/>
    <col min="12287" max="12287" width="1.77734375" customWidth="1"/>
    <col min="12288" max="12288" width="13" customWidth="1"/>
    <col min="12289" max="12528" width="8.77734375"/>
    <col min="12529" max="12529" width="6" customWidth="1"/>
    <col min="12530" max="12530" width="1.44140625" customWidth="1"/>
    <col min="12531" max="12531" width="39.109375" customWidth="1"/>
    <col min="12532" max="12532" width="12" customWidth="1"/>
    <col min="12533" max="12533" width="14.44140625" customWidth="1"/>
    <col min="12534" max="12534" width="11.77734375" customWidth="1"/>
    <col min="12535" max="12535" width="14.109375" customWidth="1"/>
    <col min="12536" max="12536" width="13.77734375" customWidth="1"/>
    <col min="12537" max="12538" width="12.77734375" customWidth="1"/>
    <col min="12539" max="12539" width="13.5546875" customWidth="1"/>
    <col min="12540" max="12540" width="15.21875" customWidth="1"/>
    <col min="12541" max="12541" width="12.77734375" customWidth="1"/>
    <col min="12542" max="12542" width="13.77734375" customWidth="1"/>
    <col min="12543" max="12543" width="1.77734375" customWidth="1"/>
    <col min="12544" max="12544" width="13" customWidth="1"/>
    <col min="12545" max="12784" width="8.77734375"/>
    <col min="12785" max="12785" width="6" customWidth="1"/>
    <col min="12786" max="12786" width="1.44140625" customWidth="1"/>
    <col min="12787" max="12787" width="39.109375" customWidth="1"/>
    <col min="12788" max="12788" width="12" customWidth="1"/>
    <col min="12789" max="12789" width="14.44140625" customWidth="1"/>
    <col min="12790" max="12790" width="11.77734375" customWidth="1"/>
    <col min="12791" max="12791" width="14.109375" customWidth="1"/>
    <col min="12792" max="12792" width="13.77734375" customWidth="1"/>
    <col min="12793" max="12794" width="12.77734375" customWidth="1"/>
    <col min="12795" max="12795" width="13.5546875" customWidth="1"/>
    <col min="12796" max="12796" width="15.21875" customWidth="1"/>
    <col min="12797" max="12797" width="12.77734375" customWidth="1"/>
    <col min="12798" max="12798" width="13.77734375" customWidth="1"/>
    <col min="12799" max="12799" width="1.77734375" customWidth="1"/>
    <col min="12800" max="12800" width="13" customWidth="1"/>
    <col min="12801" max="13040" width="8.77734375"/>
    <col min="13041" max="13041" width="6" customWidth="1"/>
    <col min="13042" max="13042" width="1.44140625" customWidth="1"/>
    <col min="13043" max="13043" width="39.109375" customWidth="1"/>
    <col min="13044" max="13044" width="12" customWidth="1"/>
    <col min="13045" max="13045" width="14.44140625" customWidth="1"/>
    <col min="13046" max="13046" width="11.77734375" customWidth="1"/>
    <col min="13047" max="13047" width="14.109375" customWidth="1"/>
    <col min="13048" max="13048" width="13.77734375" customWidth="1"/>
    <col min="13049" max="13050" width="12.77734375" customWidth="1"/>
    <col min="13051" max="13051" width="13.5546875" customWidth="1"/>
    <col min="13052" max="13052" width="15.21875" customWidth="1"/>
    <col min="13053" max="13053" width="12.77734375" customWidth="1"/>
    <col min="13054" max="13054" width="13.77734375" customWidth="1"/>
    <col min="13055" max="13055" width="1.77734375" customWidth="1"/>
    <col min="13056" max="13056" width="13" customWidth="1"/>
    <col min="13057" max="13296" width="8.77734375"/>
    <col min="13297" max="13297" width="6" customWidth="1"/>
    <col min="13298" max="13298" width="1.44140625" customWidth="1"/>
    <col min="13299" max="13299" width="39.109375" customWidth="1"/>
    <col min="13300" max="13300" width="12" customWidth="1"/>
    <col min="13301" max="13301" width="14.44140625" customWidth="1"/>
    <col min="13302" max="13302" width="11.77734375" customWidth="1"/>
    <col min="13303" max="13303" width="14.109375" customWidth="1"/>
    <col min="13304" max="13304" width="13.77734375" customWidth="1"/>
    <col min="13305" max="13306" width="12.77734375" customWidth="1"/>
    <col min="13307" max="13307" width="13.5546875" customWidth="1"/>
    <col min="13308" max="13308" width="15.21875" customWidth="1"/>
    <col min="13309" max="13309" width="12.77734375" customWidth="1"/>
    <col min="13310" max="13310" width="13.77734375" customWidth="1"/>
    <col min="13311" max="13311" width="1.77734375" customWidth="1"/>
    <col min="13312" max="13312" width="13" customWidth="1"/>
    <col min="13313" max="13552" width="8.77734375"/>
    <col min="13553" max="13553" width="6" customWidth="1"/>
    <col min="13554" max="13554" width="1.44140625" customWidth="1"/>
    <col min="13555" max="13555" width="39.109375" customWidth="1"/>
    <col min="13556" max="13556" width="12" customWidth="1"/>
    <col min="13557" max="13557" width="14.44140625" customWidth="1"/>
    <col min="13558" max="13558" width="11.77734375" customWidth="1"/>
    <col min="13559" max="13559" width="14.109375" customWidth="1"/>
    <col min="13560" max="13560" width="13.77734375" customWidth="1"/>
    <col min="13561" max="13562" width="12.77734375" customWidth="1"/>
    <col min="13563" max="13563" width="13.5546875" customWidth="1"/>
    <col min="13564" max="13564" width="15.21875" customWidth="1"/>
    <col min="13565" max="13565" width="12.77734375" customWidth="1"/>
    <col min="13566" max="13566" width="13.77734375" customWidth="1"/>
    <col min="13567" max="13567" width="1.77734375" customWidth="1"/>
    <col min="13568" max="13568" width="13" customWidth="1"/>
    <col min="13569" max="13808" width="8.77734375"/>
    <col min="13809" max="13809" width="6" customWidth="1"/>
    <col min="13810" max="13810" width="1.44140625" customWidth="1"/>
    <col min="13811" max="13811" width="39.109375" customWidth="1"/>
    <col min="13812" max="13812" width="12" customWidth="1"/>
    <col min="13813" max="13813" width="14.44140625" customWidth="1"/>
    <col min="13814" max="13814" width="11.77734375" customWidth="1"/>
    <col min="13815" max="13815" width="14.109375" customWidth="1"/>
    <col min="13816" max="13816" width="13.77734375" customWidth="1"/>
    <col min="13817" max="13818" width="12.77734375" customWidth="1"/>
    <col min="13819" max="13819" width="13.5546875" customWidth="1"/>
    <col min="13820" max="13820" width="15.21875" customWidth="1"/>
    <col min="13821" max="13821" width="12.77734375" customWidth="1"/>
    <col min="13822" max="13822" width="13.77734375" customWidth="1"/>
    <col min="13823" max="13823" width="1.77734375" customWidth="1"/>
    <col min="13824" max="13824" width="13" customWidth="1"/>
    <col min="13825" max="14064" width="8.77734375"/>
    <col min="14065" max="14065" width="6" customWidth="1"/>
    <col min="14066" max="14066" width="1.44140625" customWidth="1"/>
    <col min="14067" max="14067" width="39.109375" customWidth="1"/>
    <col min="14068" max="14068" width="12" customWidth="1"/>
    <col min="14069" max="14069" width="14.44140625" customWidth="1"/>
    <col min="14070" max="14070" width="11.77734375" customWidth="1"/>
    <col min="14071" max="14071" width="14.109375" customWidth="1"/>
    <col min="14072" max="14072" width="13.77734375" customWidth="1"/>
    <col min="14073" max="14074" width="12.77734375" customWidth="1"/>
    <col min="14075" max="14075" width="13.5546875" customWidth="1"/>
    <col min="14076" max="14076" width="15.21875" customWidth="1"/>
    <col min="14077" max="14077" width="12.77734375" customWidth="1"/>
    <col min="14078" max="14078" width="13.77734375" customWidth="1"/>
    <col min="14079" max="14079" width="1.77734375" customWidth="1"/>
    <col min="14080" max="14080" width="13" customWidth="1"/>
    <col min="14081" max="14320" width="8.77734375"/>
    <col min="14321" max="14321" width="6" customWidth="1"/>
    <col min="14322" max="14322" width="1.44140625" customWidth="1"/>
    <col min="14323" max="14323" width="39.109375" customWidth="1"/>
    <col min="14324" max="14324" width="12" customWidth="1"/>
    <col min="14325" max="14325" width="14.44140625" customWidth="1"/>
    <col min="14326" max="14326" width="11.77734375" customWidth="1"/>
    <col min="14327" max="14327" width="14.109375" customWidth="1"/>
    <col min="14328" max="14328" width="13.77734375" customWidth="1"/>
    <col min="14329" max="14330" width="12.77734375" customWidth="1"/>
    <col min="14331" max="14331" width="13.5546875" customWidth="1"/>
    <col min="14332" max="14332" width="15.21875" customWidth="1"/>
    <col min="14333" max="14333" width="12.77734375" customWidth="1"/>
    <col min="14334" max="14334" width="13.77734375" customWidth="1"/>
    <col min="14335" max="14335" width="1.77734375" customWidth="1"/>
    <col min="14336" max="14336" width="13" customWidth="1"/>
    <col min="14337" max="14576" width="8.77734375"/>
    <col min="14577" max="14577" width="6" customWidth="1"/>
    <col min="14578" max="14578" width="1.44140625" customWidth="1"/>
    <col min="14579" max="14579" width="39.109375" customWidth="1"/>
    <col min="14580" max="14580" width="12" customWidth="1"/>
    <col min="14581" max="14581" width="14.44140625" customWidth="1"/>
    <col min="14582" max="14582" width="11.77734375" customWidth="1"/>
    <col min="14583" max="14583" width="14.109375" customWidth="1"/>
    <col min="14584" max="14584" width="13.77734375" customWidth="1"/>
    <col min="14585" max="14586" width="12.77734375" customWidth="1"/>
    <col min="14587" max="14587" width="13.5546875" customWidth="1"/>
    <col min="14588" max="14588" width="15.21875" customWidth="1"/>
    <col min="14589" max="14589" width="12.77734375" customWidth="1"/>
    <col min="14590" max="14590" width="13.77734375" customWidth="1"/>
    <col min="14591" max="14591" width="1.77734375" customWidth="1"/>
    <col min="14592" max="14592" width="13" customWidth="1"/>
    <col min="14593" max="14832" width="8.77734375"/>
    <col min="14833" max="14833" width="6" customWidth="1"/>
    <col min="14834" max="14834" width="1.44140625" customWidth="1"/>
    <col min="14835" max="14835" width="39.109375" customWidth="1"/>
    <col min="14836" max="14836" width="12" customWidth="1"/>
    <col min="14837" max="14837" width="14.44140625" customWidth="1"/>
    <col min="14838" max="14838" width="11.77734375" customWidth="1"/>
    <col min="14839" max="14839" width="14.109375" customWidth="1"/>
    <col min="14840" max="14840" width="13.77734375" customWidth="1"/>
    <col min="14841" max="14842" width="12.77734375" customWidth="1"/>
    <col min="14843" max="14843" width="13.5546875" customWidth="1"/>
    <col min="14844" max="14844" width="15.21875" customWidth="1"/>
    <col min="14845" max="14845" width="12.77734375" customWidth="1"/>
    <col min="14846" max="14846" width="13.77734375" customWidth="1"/>
    <col min="14847" max="14847" width="1.77734375" customWidth="1"/>
    <col min="14848" max="14848" width="13" customWidth="1"/>
    <col min="14849" max="15088" width="8.77734375"/>
    <col min="15089" max="15089" width="6" customWidth="1"/>
    <col min="15090" max="15090" width="1.44140625" customWidth="1"/>
    <col min="15091" max="15091" width="39.109375" customWidth="1"/>
    <col min="15092" max="15092" width="12" customWidth="1"/>
    <col min="15093" max="15093" width="14.44140625" customWidth="1"/>
    <col min="15094" max="15094" width="11.77734375" customWidth="1"/>
    <col min="15095" max="15095" width="14.109375" customWidth="1"/>
    <col min="15096" max="15096" width="13.77734375" customWidth="1"/>
    <col min="15097" max="15098" width="12.77734375" customWidth="1"/>
    <col min="15099" max="15099" width="13.5546875" customWidth="1"/>
    <col min="15100" max="15100" width="15.21875" customWidth="1"/>
    <col min="15101" max="15101" width="12.77734375" customWidth="1"/>
    <col min="15102" max="15102" width="13.77734375" customWidth="1"/>
    <col min="15103" max="15103" width="1.77734375" customWidth="1"/>
    <col min="15104" max="15104" width="13" customWidth="1"/>
    <col min="15105" max="15344" width="8.77734375"/>
    <col min="15345" max="15345" width="6" customWidth="1"/>
    <col min="15346" max="15346" width="1.44140625" customWidth="1"/>
    <col min="15347" max="15347" width="39.109375" customWidth="1"/>
    <col min="15348" max="15348" width="12" customWidth="1"/>
    <col min="15349" max="15349" width="14.44140625" customWidth="1"/>
    <col min="15350" max="15350" width="11.77734375" customWidth="1"/>
    <col min="15351" max="15351" width="14.109375" customWidth="1"/>
    <col min="15352" max="15352" width="13.77734375" customWidth="1"/>
    <col min="15353" max="15354" width="12.77734375" customWidth="1"/>
    <col min="15355" max="15355" width="13.5546875" customWidth="1"/>
    <col min="15356" max="15356" width="15.21875" customWidth="1"/>
    <col min="15357" max="15357" width="12.77734375" customWidth="1"/>
    <col min="15358" max="15358" width="13.77734375" customWidth="1"/>
    <col min="15359" max="15359" width="1.77734375" customWidth="1"/>
    <col min="15360" max="15360" width="13" customWidth="1"/>
    <col min="15361" max="15600" width="8.77734375"/>
    <col min="15601" max="15601" width="6" customWidth="1"/>
    <col min="15602" max="15602" width="1.44140625" customWidth="1"/>
    <col min="15603" max="15603" width="39.109375" customWidth="1"/>
    <col min="15604" max="15604" width="12" customWidth="1"/>
    <col min="15605" max="15605" width="14.44140625" customWidth="1"/>
    <col min="15606" max="15606" width="11.77734375" customWidth="1"/>
    <col min="15607" max="15607" width="14.109375" customWidth="1"/>
    <col min="15608" max="15608" width="13.77734375" customWidth="1"/>
    <col min="15609" max="15610" width="12.77734375" customWidth="1"/>
    <col min="15611" max="15611" width="13.5546875" customWidth="1"/>
    <col min="15612" max="15612" width="15.21875" customWidth="1"/>
    <col min="15613" max="15613" width="12.77734375" customWidth="1"/>
    <col min="15614" max="15614" width="13.77734375" customWidth="1"/>
    <col min="15615" max="15615" width="1.77734375" customWidth="1"/>
    <col min="15616" max="15616" width="13" customWidth="1"/>
    <col min="15617" max="15856" width="8.77734375"/>
    <col min="15857" max="15857" width="6" customWidth="1"/>
    <col min="15858" max="15858" width="1.44140625" customWidth="1"/>
    <col min="15859" max="15859" width="39.109375" customWidth="1"/>
    <col min="15860" max="15860" width="12" customWidth="1"/>
    <col min="15861" max="15861" width="14.44140625" customWidth="1"/>
    <col min="15862" max="15862" width="11.77734375" customWidth="1"/>
    <col min="15863" max="15863" width="14.109375" customWidth="1"/>
    <col min="15864" max="15864" width="13.77734375" customWidth="1"/>
    <col min="15865" max="15866" width="12.77734375" customWidth="1"/>
    <col min="15867" max="15867" width="13.5546875" customWidth="1"/>
    <col min="15868" max="15868" width="15.21875" customWidth="1"/>
    <col min="15869" max="15869" width="12.77734375" customWidth="1"/>
    <col min="15870" max="15870" width="13.77734375" customWidth="1"/>
    <col min="15871" max="15871" width="1.77734375" customWidth="1"/>
    <col min="15872" max="15872" width="13" customWidth="1"/>
    <col min="15873" max="16112" width="8.77734375"/>
    <col min="16113" max="16113" width="6" customWidth="1"/>
    <col min="16114" max="16114" width="1.44140625" customWidth="1"/>
    <col min="16115" max="16115" width="39.109375" customWidth="1"/>
    <col min="16116" max="16116" width="12" customWidth="1"/>
    <col min="16117" max="16117" width="14.44140625" customWidth="1"/>
    <col min="16118" max="16118" width="11.77734375" customWidth="1"/>
    <col min="16119" max="16119" width="14.109375" customWidth="1"/>
    <col min="16120" max="16120" width="13.77734375" customWidth="1"/>
    <col min="16121" max="16122" width="12.77734375" customWidth="1"/>
    <col min="16123" max="16123" width="13.5546875" customWidth="1"/>
    <col min="16124" max="16124" width="15.21875" customWidth="1"/>
    <col min="16125" max="16125" width="12.77734375" customWidth="1"/>
    <col min="16126" max="16126" width="13.77734375" customWidth="1"/>
    <col min="16127" max="16127" width="1.77734375" customWidth="1"/>
    <col min="16128" max="16128" width="13" customWidth="1"/>
    <col min="16129" max="16368" width="8.77734375"/>
    <col min="16369" max="16384" width="8.77734375" customWidth="1"/>
  </cols>
  <sheetData>
    <row r="1" spans="1:14">
      <c r="I1" s="50" t="s">
        <v>299</v>
      </c>
    </row>
    <row r="2" spans="1:14">
      <c r="I2" s="50" t="s">
        <v>341</v>
      </c>
      <c r="M2" s="949"/>
      <c r="N2" s="949"/>
    </row>
    <row r="3" spans="1:14">
      <c r="I3" s="50" t="s">
        <v>193</v>
      </c>
    </row>
    <row r="4" spans="1:14">
      <c r="I4" s="61" t="str">
        <f>"For the 12 months ended: "&amp;TEXT(INPUT!B1,"mm/dd/yyyy")</f>
        <v>For the 12 months ended: 12/31/2020</v>
      </c>
    </row>
    <row r="5" spans="1:14">
      <c r="C5" s="24"/>
    </row>
    <row r="6" spans="1:14">
      <c r="A6" s="144" t="s">
        <v>257</v>
      </c>
      <c r="B6" s="174"/>
      <c r="C6" s="174"/>
      <c r="D6" s="144"/>
      <c r="E6" s="144"/>
      <c r="F6" s="144"/>
      <c r="G6" s="174"/>
      <c r="H6" s="144"/>
      <c r="I6" s="144"/>
    </row>
    <row r="7" spans="1:14">
      <c r="A7" s="145" t="s">
        <v>300</v>
      </c>
      <c r="B7" s="174"/>
      <c r="C7" s="174"/>
      <c r="D7" s="144"/>
      <c r="E7" s="144"/>
      <c r="F7" s="144"/>
      <c r="G7" s="174"/>
      <c r="H7" s="144"/>
      <c r="I7" s="144"/>
    </row>
    <row r="8" spans="1:14">
      <c r="A8" s="146"/>
      <c r="B8" s="174"/>
      <c r="C8" s="174"/>
      <c r="D8" s="146"/>
      <c r="E8" s="146"/>
      <c r="F8" s="146"/>
      <c r="G8" s="174"/>
      <c r="H8" s="146"/>
      <c r="I8" s="146"/>
    </row>
    <row r="9" spans="1:14">
      <c r="A9" s="259" t="str">
        <f>DEK!A11</f>
        <v>DUKE ENERGY KENTUCKY (DEK)</v>
      </c>
      <c r="B9" s="174"/>
      <c r="C9" s="174"/>
      <c r="D9" s="146"/>
      <c r="E9" s="146"/>
      <c r="F9" s="146"/>
      <c r="G9" s="174"/>
      <c r="H9" s="177"/>
      <c r="I9" s="146"/>
    </row>
    <row r="10" spans="1:14">
      <c r="A10" s="226" t="s">
        <v>298</v>
      </c>
      <c r="B10" s="174"/>
      <c r="C10" s="174"/>
      <c r="D10" s="146"/>
      <c r="E10" s="146"/>
      <c r="F10" s="146"/>
      <c r="G10" s="174"/>
      <c r="H10" s="177"/>
      <c r="I10" s="146"/>
    </row>
    <row r="11" spans="1:14">
      <c r="A11" s="251"/>
      <c r="B11" s="174"/>
      <c r="C11" s="146"/>
      <c r="D11" s="146"/>
      <c r="E11" s="146"/>
      <c r="F11" s="146"/>
      <c r="G11" s="177"/>
      <c r="H11" s="146"/>
      <c r="I11" s="146"/>
    </row>
    <row r="12" spans="1:14">
      <c r="A12" s="146" t="s">
        <v>501</v>
      </c>
      <c r="B12" s="174"/>
      <c r="C12" s="174"/>
      <c r="D12" s="146"/>
      <c r="E12" s="146"/>
      <c r="F12" s="146"/>
      <c r="G12" s="177"/>
      <c r="H12" s="146"/>
      <c r="I12" s="146"/>
    </row>
    <row r="13" spans="1:14">
      <c r="A13" s="86"/>
      <c r="C13" s="1"/>
      <c r="D13" s="1"/>
      <c r="E13" s="1"/>
      <c r="F13" s="1"/>
      <c r="G13" s="17"/>
    </row>
    <row r="14" spans="1:14">
      <c r="A14" s="86"/>
      <c r="C14" s="1"/>
      <c r="D14" s="1"/>
      <c r="E14" s="1"/>
      <c r="F14" s="1"/>
      <c r="G14" s="1"/>
    </row>
    <row r="15" spans="1:14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</row>
    <row r="16" spans="1:14">
      <c r="C16" s="1"/>
      <c r="D16" s="1"/>
    </row>
    <row r="17" spans="1:12">
      <c r="A17" s="26" t="s">
        <v>8</v>
      </c>
      <c r="C17" s="1"/>
      <c r="D17" s="1"/>
      <c r="E17" s="4" t="s">
        <v>299</v>
      </c>
      <c r="F17" s="4"/>
      <c r="G17" s="2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</row>
    <row r="19" spans="1:12" ht="15.75">
      <c r="A19" s="90"/>
      <c r="C19" s="1" t="s">
        <v>338</v>
      </c>
      <c r="D19" s="1"/>
      <c r="E19" s="2"/>
      <c r="F19" s="2"/>
      <c r="G19" s="2"/>
      <c r="I19" s="2"/>
    </row>
    <row r="20" spans="1:12">
      <c r="A20" s="91">
        <v>1</v>
      </c>
      <c r="C20" s="1" t="s">
        <v>214</v>
      </c>
      <c r="D20" s="1"/>
      <c r="E20" s="4" t="str">
        <f>'Appx B - DEO(RTEP)'!E20</f>
        <v>Att. H-22A, p 2, line 2, col 5 (Note A)</v>
      </c>
      <c r="F20" s="4"/>
      <c r="G20" s="92">
        <f>DEK!J54</f>
        <v>77968566</v>
      </c>
    </row>
    <row r="21" spans="1:12">
      <c r="A21" s="91">
        <v>2</v>
      </c>
      <c r="C21" s="1" t="s">
        <v>215</v>
      </c>
      <c r="D21" s="1"/>
      <c r="E21" s="4" t="str">
        <f>'Appx B - DEO(RTEP)'!E21</f>
        <v>Att. H-22A, p 2, line 14, col 5 (Note B)</v>
      </c>
      <c r="F21" s="4"/>
      <c r="G21" s="92">
        <f>DEK!J70</f>
        <v>64281454</v>
      </c>
    </row>
    <row r="22" spans="1:12">
      <c r="A22" s="91"/>
      <c r="E22" s="4"/>
      <c r="F22" s="4"/>
    </row>
    <row r="23" spans="1:12">
      <c r="A23" s="91"/>
      <c r="C23" s="1" t="s">
        <v>194</v>
      </c>
      <c r="D23" s="1"/>
      <c r="E23" s="4"/>
      <c r="F23" s="4"/>
      <c r="G23" s="2"/>
      <c r="I23" s="2"/>
    </row>
    <row r="24" spans="1:12">
      <c r="A24" s="91">
        <v>3</v>
      </c>
      <c r="C24" s="1" t="s">
        <v>216</v>
      </c>
      <c r="D24" s="1"/>
      <c r="E24" s="4" t="str">
        <f>'Appx B - DEO(RTEP)'!E24</f>
        <v>Att. H-22A, p 3, line 8, col 5</v>
      </c>
      <c r="F24" s="4"/>
      <c r="G24" s="92">
        <f>DEK!J127</f>
        <v>2669090</v>
      </c>
    </row>
    <row r="25" spans="1:12">
      <c r="A25" s="91">
        <v>4</v>
      </c>
      <c r="C25" s="1" t="s">
        <v>217</v>
      </c>
      <c r="D25" s="1"/>
      <c r="E25" s="4" t="str">
        <f>'Appx B - DEO(RTEP)'!E25</f>
        <v>(line 3 divided by line 1, col 3)</v>
      </c>
      <c r="F25" s="4"/>
      <c r="G25" s="93">
        <f>IF(G24=0,0,G24/G20)</f>
        <v>3.4232898422166695E-2</v>
      </c>
      <c r="I25" s="94">
        <f>G25</f>
        <v>3.4232898422166695E-2</v>
      </c>
    </row>
    <row r="26" spans="1:12">
      <c r="A26" s="91"/>
      <c r="E26" s="4"/>
      <c r="F26" s="4"/>
    </row>
    <row r="27" spans="1:12" ht="30">
      <c r="A27" s="91"/>
      <c r="C27" s="403" t="s">
        <v>578</v>
      </c>
      <c r="D27" s="1"/>
      <c r="E27" s="67"/>
      <c r="F27" s="4"/>
    </row>
    <row r="28" spans="1:12">
      <c r="A28" s="97" t="s">
        <v>218</v>
      </c>
      <c r="C28" s="1" t="s">
        <v>579</v>
      </c>
      <c r="D28" s="1"/>
      <c r="E28" s="4" t="str">
        <f>'Appx B - DEO(RTEP)'!E28</f>
        <v>Att. H-22A, p 3, lines 10 &amp; 11, col 5 (Note H)</v>
      </c>
      <c r="F28" s="4"/>
      <c r="G28" s="92">
        <f>DEK!J131+DEK!J132</f>
        <v>154498</v>
      </c>
    </row>
    <row r="29" spans="1:12" ht="30">
      <c r="A29" s="404" t="s">
        <v>219</v>
      </c>
      <c r="C29" s="403" t="s">
        <v>580</v>
      </c>
      <c r="D29" s="1"/>
      <c r="E29" s="405" t="str">
        <f>'Appx B - DEO(RTEP)'!E29</f>
        <v>(line 5 divided by line 1, col 3)</v>
      </c>
      <c r="F29" s="405"/>
      <c r="G29" s="406">
        <f>IF(G28=0,0,G28/G20)</f>
        <v>1.9815421512305357E-3</v>
      </c>
      <c r="H29" s="407"/>
      <c r="I29" s="408">
        <f>G29</f>
        <v>1.9815421512305357E-3</v>
      </c>
      <c r="K29" s="87"/>
      <c r="L29" s="84"/>
    </row>
    <row r="30" spans="1:12">
      <c r="A30" s="91"/>
      <c r="E30" s="4"/>
      <c r="F30" s="4"/>
    </row>
    <row r="31" spans="1:12">
      <c r="A31" s="97"/>
      <c r="C31" s="1" t="s">
        <v>197</v>
      </c>
      <c r="D31" s="1"/>
      <c r="E31" s="67"/>
      <c r="F31" s="67"/>
      <c r="G31" s="2"/>
      <c r="I31" s="2"/>
    </row>
    <row r="32" spans="1:12">
      <c r="A32" s="97" t="s">
        <v>221</v>
      </c>
      <c r="C32" s="1" t="s">
        <v>199</v>
      </c>
      <c r="D32" s="1"/>
      <c r="E32" s="4" t="str">
        <f>'Appx B - DEO(RTEP)'!E32</f>
        <v>Att. H-22A, p 3, line 20, col 5</v>
      </c>
      <c r="F32" s="4"/>
      <c r="G32" s="92">
        <f>DEK!J144</f>
        <v>501465</v>
      </c>
    </row>
    <row r="33" spans="1:10">
      <c r="A33" s="97" t="s">
        <v>223</v>
      </c>
      <c r="C33" s="1" t="s">
        <v>220</v>
      </c>
      <c r="D33" s="1"/>
      <c r="E33" s="4" t="str">
        <f>'Appx B - DEO(RTEP)'!E33</f>
        <v>(line 7 divided by line 1, col 3)</v>
      </c>
      <c r="F33" s="4"/>
      <c r="G33" s="93">
        <f>IF(G32=0,0,G32/G20)</f>
        <v>6.4316304085931244E-3</v>
      </c>
      <c r="I33" s="94">
        <f>G33</f>
        <v>6.4316304085931244E-3</v>
      </c>
    </row>
    <row r="34" spans="1:10">
      <c r="A34" s="97"/>
      <c r="C34" s="1"/>
      <c r="D34" s="1"/>
      <c r="E34" s="4"/>
      <c r="F34" s="4"/>
      <c r="G34" s="2"/>
      <c r="I34" s="2"/>
    </row>
    <row r="35" spans="1:10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4.2646070981990358E-2</v>
      </c>
    </row>
    <row r="36" spans="1:10">
      <c r="A36" s="229"/>
      <c r="C36" s="1"/>
      <c r="D36" s="1"/>
      <c r="E36" s="4"/>
      <c r="F36" s="4"/>
      <c r="G36" s="2"/>
      <c r="I36" s="2"/>
    </row>
    <row r="37" spans="1:10">
      <c r="A37" s="97"/>
      <c r="B37" s="102"/>
      <c r="C37" s="2" t="s">
        <v>201</v>
      </c>
      <c r="D37" s="2"/>
      <c r="E37" s="4"/>
      <c r="F37" s="4"/>
      <c r="G37" s="2"/>
      <c r="I37" s="2"/>
    </row>
    <row r="38" spans="1:10">
      <c r="A38" s="97" t="s">
        <v>196</v>
      </c>
      <c r="B38" s="102"/>
      <c r="C38" s="2" t="s">
        <v>125</v>
      </c>
      <c r="D38" s="2"/>
      <c r="E38" s="4" t="str">
        <f>'Appx B - DEO(RTEP)'!E38</f>
        <v>Att. H-22A, p 3, line 29, col 5</v>
      </c>
      <c r="F38" s="4"/>
      <c r="G38" s="92">
        <f>DEK!J159</f>
        <v>772493</v>
      </c>
      <c r="I38" s="2"/>
    </row>
    <row r="39" spans="1:10">
      <c r="A39" s="97" t="s">
        <v>198</v>
      </c>
      <c r="B39" s="102"/>
      <c r="C39" s="2" t="s">
        <v>224</v>
      </c>
      <c r="D39" s="2"/>
      <c r="E39" s="4" t="str">
        <f>'Appx B - DEO(RTEP)'!E39</f>
        <v>(line 10 divided by line 2, col 3)</v>
      </c>
      <c r="F39" s="4"/>
      <c r="G39" s="93">
        <f>IF(G38=0,0,G38/G21)</f>
        <v>1.2017354181191981E-2</v>
      </c>
      <c r="I39" s="94">
        <f>G39</f>
        <v>1.2017354181191981E-2</v>
      </c>
    </row>
    <row r="40" spans="1:10">
      <c r="A40" s="97"/>
      <c r="C40" s="2"/>
      <c r="D40" s="2"/>
      <c r="E40" s="4"/>
      <c r="F40" s="4"/>
      <c r="G40" s="2"/>
      <c r="I40" s="2"/>
    </row>
    <row r="41" spans="1:10">
      <c r="A41" s="97"/>
      <c r="C41" s="1" t="s">
        <v>59</v>
      </c>
      <c r="D41" s="1"/>
      <c r="E41" s="15"/>
      <c r="F41" s="15"/>
    </row>
    <row r="42" spans="1:10">
      <c r="A42" s="97" t="s">
        <v>200</v>
      </c>
      <c r="C42" s="1" t="s">
        <v>202</v>
      </c>
      <c r="D42" s="1"/>
      <c r="E42" s="4" t="str">
        <f>'Appx B - DEO(RTEP)'!E42</f>
        <v>Att. H-22A, p 3, line 30, col 5</v>
      </c>
      <c r="F42" s="4"/>
      <c r="G42" s="92">
        <f>DEK!J161</f>
        <v>3964823</v>
      </c>
      <c r="I42" s="2"/>
    </row>
    <row r="43" spans="1:10">
      <c r="A43" s="97" t="s">
        <v>263</v>
      </c>
      <c r="B43" s="102"/>
      <c r="C43" s="2" t="s">
        <v>225</v>
      </c>
      <c r="D43" s="2"/>
      <c r="E43" s="4" t="str">
        <f>'Appx B - DEO(RTEP)'!E43</f>
        <v>(line 12 divided by line 2, col 3)</v>
      </c>
      <c r="F43" s="4"/>
      <c r="G43" s="103">
        <f>IF(G42=0,0,G42/G21)</f>
        <v>6.167911198772822E-2</v>
      </c>
      <c r="I43" s="94">
        <f>G43</f>
        <v>6.167911198772822E-2</v>
      </c>
    </row>
    <row r="44" spans="1:10">
      <c r="A44" s="97"/>
      <c r="C44" s="1"/>
      <c r="D44" s="1"/>
      <c r="E44" s="4"/>
      <c r="F44" s="4"/>
      <c r="G44" s="2"/>
      <c r="I44" s="2"/>
    </row>
    <row r="45" spans="1:10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7.3696466168920199E-2</v>
      </c>
    </row>
    <row r="47" spans="1:10">
      <c r="A47" s="106"/>
      <c r="C47" s="97"/>
      <c r="D47" s="97"/>
      <c r="E47" s="67"/>
      <c r="F47" s="67"/>
      <c r="G47" s="2"/>
      <c r="H47" s="9"/>
      <c r="I47" s="9"/>
      <c r="J47" s="93"/>
    </row>
    <row r="48" spans="1:10">
      <c r="A48" s="86"/>
      <c r="C48" s="9"/>
      <c r="D48" s="9"/>
      <c r="E48" s="9"/>
      <c r="F48" s="9"/>
      <c r="G48" s="2"/>
      <c r="H48" s="9"/>
      <c r="I48" s="9"/>
      <c r="J48" s="9"/>
    </row>
    <row r="49" spans="11:28">
      <c r="X49" s="50" t="s">
        <v>299</v>
      </c>
    </row>
    <row r="50" spans="11:28">
      <c r="X50" s="50" t="s">
        <v>341</v>
      </c>
    </row>
    <row r="51" spans="11:28">
      <c r="X51" s="107" t="s">
        <v>203</v>
      </c>
    </row>
    <row r="52" spans="11:28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  <c r="Y52" s="87"/>
      <c r="Z52" s="84"/>
      <c r="AA52" s="87"/>
      <c r="AB52" s="84"/>
    </row>
    <row r="53" spans="11:28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  <c r="Y53" s="87"/>
      <c r="Z53" s="84"/>
      <c r="AA53" s="87"/>
      <c r="AB53" s="84"/>
    </row>
    <row r="54" spans="11:28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  <c r="Y54" s="87"/>
      <c r="Z54" s="84"/>
      <c r="AA54" s="87"/>
      <c r="AB54" s="84"/>
    </row>
    <row r="55" spans="11:28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  <c r="Y55" s="87"/>
      <c r="Z55" s="84"/>
      <c r="AA55" s="87"/>
      <c r="AB55" s="84"/>
    </row>
    <row r="56" spans="11:28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  <c r="Y56" s="87"/>
      <c r="Z56" s="84"/>
      <c r="AA56" s="87"/>
      <c r="AB56" s="84"/>
    </row>
    <row r="57" spans="11:28">
      <c r="K57" s="70" t="str">
        <f>A9</f>
        <v>DUKE ENERGY KENTUCKY (DEK)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  <c r="Y57" s="87"/>
      <c r="Z57" s="84"/>
      <c r="AA57" s="87"/>
      <c r="AB57" s="84"/>
    </row>
    <row r="58" spans="11:28">
      <c r="K58" s="70" t="str">
        <f>A10</f>
        <v>RTEP - Transmission Enhancement Charges</v>
      </c>
      <c r="L58" s="174"/>
      <c r="M58" s="174"/>
      <c r="N58" s="174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87"/>
      <c r="Z58" s="84"/>
      <c r="AA58" s="87"/>
      <c r="AB58" s="84"/>
    </row>
    <row r="59" spans="11:28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  <c r="Y59" s="87"/>
      <c r="Z59" s="84"/>
      <c r="AA59" s="87"/>
      <c r="AB59" s="84"/>
    </row>
    <row r="60" spans="11:28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  <c r="Y60" s="87"/>
      <c r="Z60" s="84"/>
      <c r="AA60" s="87"/>
      <c r="AB60" s="84"/>
    </row>
    <row r="61" spans="11:28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  <c r="Y61" s="87"/>
      <c r="Z61" s="84"/>
      <c r="AA61" s="87"/>
      <c r="AB61" s="84"/>
    </row>
    <row r="62" spans="11:28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  <c r="Y62" s="87"/>
      <c r="Z62" s="84"/>
      <c r="AA62" s="87"/>
      <c r="AB62" s="84"/>
    </row>
    <row r="63" spans="11:28" ht="63">
      <c r="K63" s="109" t="s">
        <v>227</v>
      </c>
      <c r="L63" s="110"/>
      <c r="M63" s="110" t="s">
        <v>207</v>
      </c>
      <c r="N63" s="111" t="s">
        <v>339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  <c r="Y63" s="96"/>
      <c r="Z63" s="84"/>
      <c r="AA63" s="87"/>
      <c r="AB63" s="84"/>
    </row>
    <row r="64" spans="11:28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  <c r="Y64" s="87"/>
      <c r="Z64" s="84"/>
      <c r="AA64" s="87"/>
      <c r="AB64" s="84"/>
    </row>
    <row r="65" spans="11:31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  <c r="Y65" s="87"/>
      <c r="Z65" s="84"/>
      <c r="AA65" s="87"/>
      <c r="AB65" s="84"/>
    </row>
    <row r="66" spans="11:31">
      <c r="K66" s="651" t="s">
        <v>1</v>
      </c>
      <c r="L66" s="256"/>
      <c r="M66" s="256"/>
      <c r="N66" s="256"/>
      <c r="O66" s="160">
        <v>0</v>
      </c>
      <c r="P66" s="94">
        <f>$I$35</f>
        <v>4.2646070981990358E-2</v>
      </c>
      <c r="Q66" s="600">
        <f>ROUND(O66*P66,0)</f>
        <v>0</v>
      </c>
      <c r="R66" s="126">
        <v>0</v>
      </c>
      <c r="S66" s="94">
        <f>$I$45</f>
        <v>7.3696466168920199E-2</v>
      </c>
      <c r="T66" s="600">
        <f>ROUND(R66*S66,0)</f>
        <v>0</v>
      </c>
      <c r="U66" s="601">
        <v>0</v>
      </c>
      <c r="V66" s="600">
        <f>Q66+T66+U66</f>
        <v>0</v>
      </c>
      <c r="W66" s="128">
        <v>0</v>
      </c>
      <c r="X66" s="600">
        <f>V66+W66</f>
        <v>0</v>
      </c>
      <c r="Y66" s="129"/>
      <c r="Z66" s="129"/>
      <c r="AA66" s="129"/>
      <c r="AB66" s="129"/>
      <c r="AC66" s="129"/>
      <c r="AD66" s="129"/>
      <c r="AE66" s="129"/>
    </row>
    <row r="67" spans="11:31">
      <c r="K67" s="651" t="s">
        <v>244</v>
      </c>
      <c r="L67" s="256"/>
      <c r="M67" s="256"/>
      <c r="N67" s="256"/>
      <c r="O67" s="160">
        <v>0</v>
      </c>
      <c r="P67" s="94">
        <f>$I$35</f>
        <v>4.2646070981990358E-2</v>
      </c>
      <c r="Q67" s="600">
        <f t="shared" ref="Q67:Q68" si="0">ROUND(O67*P67,0)</f>
        <v>0</v>
      </c>
      <c r="R67" s="126">
        <v>0</v>
      </c>
      <c r="S67" s="94">
        <f>$I$45</f>
        <v>7.3696466168920199E-2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  <c r="Y67" s="129"/>
      <c r="Z67" s="129"/>
      <c r="AA67" s="129"/>
      <c r="AB67" s="129"/>
      <c r="AC67" s="129"/>
      <c r="AD67" s="129"/>
      <c r="AE67" s="129"/>
    </row>
    <row r="68" spans="11:31">
      <c r="K68" s="651" t="s">
        <v>247</v>
      </c>
      <c r="L68" s="256"/>
      <c r="M68" s="256"/>
      <c r="N68" s="256"/>
      <c r="O68" s="160">
        <v>0</v>
      </c>
      <c r="P68" s="94">
        <f>$I$35</f>
        <v>4.2646070981990358E-2</v>
      </c>
      <c r="Q68" s="600">
        <f t="shared" si="0"/>
        <v>0</v>
      </c>
      <c r="R68" s="126">
        <v>0</v>
      </c>
      <c r="S68" s="94">
        <f>$I$45</f>
        <v>7.3696466168920199E-2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  <c r="Y68" s="129"/>
      <c r="Z68" s="129"/>
      <c r="AA68" s="129"/>
      <c r="AB68" s="129"/>
      <c r="AC68" s="129"/>
      <c r="AD68" s="129"/>
      <c r="AE68" s="129"/>
    </row>
    <row r="69" spans="11:31">
      <c r="K69" s="125"/>
      <c r="Q69" s="127"/>
      <c r="T69" s="127"/>
      <c r="V69" s="127"/>
      <c r="X69" s="127"/>
      <c r="Y69" s="129"/>
      <c r="Z69" s="129"/>
      <c r="AA69" s="129"/>
      <c r="AB69" s="129"/>
      <c r="AC69" s="129"/>
      <c r="AD69" s="129"/>
      <c r="AE69" s="129"/>
    </row>
    <row r="70" spans="11:31">
      <c r="K70" s="125"/>
      <c r="Q70" s="127"/>
      <c r="T70" s="127"/>
      <c r="V70" s="127"/>
      <c r="X70" s="127"/>
      <c r="Y70" s="129"/>
      <c r="Z70" s="129"/>
      <c r="AA70" s="129"/>
      <c r="AB70" s="129"/>
      <c r="AC70" s="129"/>
      <c r="AD70" s="129"/>
      <c r="AE70" s="129"/>
    </row>
    <row r="71" spans="11:31">
      <c r="K71" s="125"/>
      <c r="Q71" s="127"/>
      <c r="T71" s="127"/>
      <c r="V71" s="127"/>
      <c r="X71" s="127"/>
      <c r="Y71" s="129"/>
      <c r="Z71" s="129"/>
      <c r="AA71" s="129"/>
      <c r="AB71" s="129"/>
      <c r="AC71" s="129"/>
      <c r="AD71" s="129"/>
      <c r="AE71" s="129"/>
    </row>
    <row r="72" spans="11:31">
      <c r="K72" s="125"/>
      <c r="Q72" s="127"/>
      <c r="T72" s="127"/>
      <c r="V72" s="127"/>
      <c r="X72" s="127"/>
      <c r="Y72" s="129"/>
      <c r="Z72" s="129"/>
      <c r="AA72" s="129"/>
      <c r="AB72" s="129"/>
      <c r="AC72" s="129"/>
      <c r="AD72" s="129"/>
      <c r="AE72" s="129"/>
    </row>
    <row r="73" spans="11:31">
      <c r="K73" s="125"/>
      <c r="Q73" s="127"/>
      <c r="T73" s="127"/>
      <c r="V73" s="127"/>
      <c r="X73" s="127"/>
      <c r="Y73" s="129"/>
      <c r="Z73" s="129"/>
      <c r="AA73" s="129"/>
      <c r="AB73" s="129"/>
      <c r="AC73" s="129"/>
      <c r="AD73" s="129"/>
      <c r="AE73" s="129"/>
    </row>
    <row r="74" spans="11:31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  <c r="Y74" s="129"/>
      <c r="Z74" s="129"/>
      <c r="AA74" s="129"/>
      <c r="AB74" s="129"/>
      <c r="AC74" s="129"/>
      <c r="AD74" s="129"/>
      <c r="AE74" s="129"/>
    </row>
    <row r="75" spans="11:31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  <c r="Y75" s="129"/>
      <c r="Z75" s="129"/>
      <c r="AA75" s="129"/>
      <c r="AB75" s="129"/>
      <c r="AC75" s="129"/>
      <c r="AD75" s="129"/>
      <c r="AE75" s="129"/>
    </row>
    <row r="76" spans="11:31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  <c r="Y76" s="129"/>
      <c r="Z76" s="129"/>
      <c r="AA76" s="129"/>
      <c r="AB76" s="129"/>
      <c r="AC76" s="129"/>
      <c r="AD76" s="129"/>
      <c r="AE76" s="129"/>
    </row>
    <row r="77" spans="11:31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  <c r="Y77" s="129"/>
      <c r="Z77" s="129"/>
      <c r="AA77" s="129"/>
      <c r="AB77" s="129"/>
      <c r="AC77" s="129"/>
      <c r="AD77" s="129"/>
      <c r="AE77" s="129"/>
    </row>
    <row r="78" spans="11:31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  <c r="Y78" s="129"/>
      <c r="Z78" s="129"/>
      <c r="AA78" s="129"/>
      <c r="AB78" s="129"/>
      <c r="AC78" s="129"/>
      <c r="AD78" s="129"/>
      <c r="AE78" s="129"/>
    </row>
    <row r="79" spans="11:31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  <c r="Y79" s="129"/>
      <c r="Z79" s="129"/>
      <c r="AA79" s="129"/>
      <c r="AB79" s="129"/>
      <c r="AC79" s="129"/>
      <c r="AD79" s="129"/>
      <c r="AE79" s="129"/>
    </row>
    <row r="80" spans="11:31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  <c r="Y80" s="129"/>
      <c r="Z80" s="129"/>
      <c r="AA80" s="129"/>
      <c r="AB80" s="129"/>
      <c r="AC80" s="129"/>
      <c r="AD80" s="129"/>
      <c r="AE80" s="129"/>
    </row>
    <row r="81" spans="11:31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  <c r="Y81" s="129"/>
      <c r="Z81" s="129"/>
      <c r="AA81" s="129"/>
      <c r="AB81" s="129"/>
      <c r="AC81" s="129"/>
      <c r="AD81" s="129"/>
      <c r="AE81" s="129"/>
    </row>
    <row r="82" spans="11:31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  <c r="Y82" s="129"/>
      <c r="Z82" s="129"/>
      <c r="AA82" s="129"/>
      <c r="AB82" s="129"/>
      <c r="AC82" s="129"/>
      <c r="AD82" s="129"/>
      <c r="AE82" s="129"/>
    </row>
    <row r="83" spans="11:31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  <c r="Y83" s="129"/>
      <c r="Z83" s="129"/>
      <c r="AA83" s="129"/>
      <c r="AB83" s="129"/>
      <c r="AC83" s="129"/>
      <c r="AD83" s="129"/>
      <c r="AE83" s="129"/>
    </row>
    <row r="84" spans="11:31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  <c r="Y84" s="129"/>
      <c r="Z84" s="129"/>
      <c r="AA84" s="129"/>
      <c r="AB84" s="129"/>
      <c r="AC84" s="129"/>
      <c r="AD84" s="129"/>
      <c r="AE84" s="129"/>
    </row>
    <row r="85" spans="11:31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  <c r="Y85" s="129"/>
      <c r="Z85" s="129"/>
      <c r="AA85" s="129"/>
      <c r="AB85" s="129"/>
      <c r="AC85" s="129"/>
      <c r="AD85" s="129"/>
      <c r="AE85" s="129"/>
    </row>
    <row r="86" spans="11:31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9">
        <f>SUM(V66:V85)</f>
        <v>0</v>
      </c>
      <c r="W86" s="9">
        <f>SUM(W66:W85)</f>
        <v>0</v>
      </c>
      <c r="X86" s="9">
        <f>SUM(X66:X85)</f>
        <v>0</v>
      </c>
      <c r="Y86" s="129"/>
      <c r="Z86" s="129"/>
      <c r="AA86" s="129"/>
      <c r="AB86" s="129"/>
      <c r="AC86" s="129"/>
      <c r="AD86" s="129"/>
      <c r="AE86" s="129"/>
    </row>
    <row r="87" spans="11:31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</row>
    <row r="88" spans="11:31">
      <c r="K88" s="135">
        <v>3</v>
      </c>
      <c r="L88" s="129"/>
      <c r="M88" s="9" t="s">
        <v>543</v>
      </c>
      <c r="N88" s="129"/>
      <c r="O88" s="129"/>
      <c r="P88" s="129"/>
      <c r="Q88" s="129"/>
      <c r="R88" s="129"/>
      <c r="S88" s="129"/>
      <c r="T88" s="129"/>
      <c r="U88" s="129"/>
      <c r="V88" s="9"/>
      <c r="W88" s="129"/>
      <c r="X88" s="9">
        <f>X86</f>
        <v>0</v>
      </c>
      <c r="Y88" s="129"/>
      <c r="Z88" s="129"/>
      <c r="AA88" s="129"/>
      <c r="AB88" s="129"/>
      <c r="AC88" s="129"/>
      <c r="AD88" s="129"/>
      <c r="AE88" s="129"/>
    </row>
    <row r="89" spans="11:31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</row>
    <row r="90" spans="11:31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29"/>
      <c r="AB90" s="129"/>
      <c r="AC90" s="129"/>
      <c r="AD90" s="129"/>
      <c r="AE90" s="129"/>
    </row>
    <row r="91" spans="11:31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29"/>
      <c r="AB91" s="129"/>
      <c r="AC91" s="129"/>
      <c r="AD91" s="129"/>
      <c r="AE91" s="129"/>
    </row>
    <row r="92" spans="11:31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</row>
    <row r="93" spans="11:31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  <c r="Y93" s="129"/>
      <c r="Z93" s="129"/>
      <c r="AA93" s="129"/>
      <c r="AB93" s="129"/>
      <c r="AC93" s="129"/>
      <c r="AD93" s="129"/>
      <c r="AE93" s="129"/>
    </row>
    <row r="94" spans="11:31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  <c r="Y94" s="129"/>
      <c r="Z94" s="129"/>
      <c r="AA94" s="129"/>
      <c r="AB94" s="129"/>
      <c r="AC94" s="129"/>
      <c r="AD94" s="129"/>
      <c r="AE94" s="129"/>
    </row>
    <row r="95" spans="11:31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  <c r="Y95" s="129"/>
      <c r="Z95" s="129"/>
      <c r="AA95" s="129"/>
      <c r="AB95" s="129"/>
      <c r="AC95" s="129"/>
      <c r="AD95" s="129"/>
      <c r="AE95" s="129"/>
    </row>
    <row r="96" spans="11:31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  <c r="Y96" s="129"/>
      <c r="Z96" s="129"/>
      <c r="AA96" s="129"/>
      <c r="AB96" s="129"/>
      <c r="AC96" s="129"/>
      <c r="AD96" s="129"/>
      <c r="AE96" s="129"/>
    </row>
    <row r="97" spans="3:31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  <c r="Y97" s="129"/>
      <c r="Z97" s="129"/>
      <c r="AA97" s="129"/>
      <c r="AB97" s="129"/>
      <c r="AC97" s="129"/>
      <c r="AD97" s="129"/>
      <c r="AE97" s="129"/>
    </row>
    <row r="98" spans="3:31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  <c r="Y98" s="129"/>
      <c r="Z98" s="129"/>
      <c r="AA98" s="129"/>
      <c r="AB98" s="129"/>
      <c r="AC98" s="129"/>
      <c r="AD98" s="129"/>
      <c r="AE98" s="129"/>
    </row>
    <row r="99" spans="3:31">
      <c r="K99" s="136" t="s">
        <v>102</v>
      </c>
      <c r="L99" s="66"/>
      <c r="M99" s="983" t="s">
        <v>542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  <c r="Y99" s="129"/>
      <c r="Z99" s="129"/>
      <c r="AA99" s="129"/>
      <c r="AB99" s="129"/>
      <c r="AC99" s="129"/>
      <c r="AD99" s="129"/>
      <c r="AE99" s="129"/>
    </row>
    <row r="100" spans="3:31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  <c r="Y100" s="129"/>
      <c r="Z100" s="129"/>
      <c r="AA100" s="129"/>
      <c r="AB100" s="129"/>
      <c r="AC100" s="129"/>
      <c r="AD100" s="129"/>
      <c r="AE100" s="129"/>
    </row>
    <row r="101" spans="3:31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  <c r="Y101" s="129"/>
      <c r="Z101" s="129"/>
      <c r="AA101" s="129"/>
      <c r="AB101" s="129"/>
      <c r="AC101" s="129"/>
      <c r="AD101" s="129"/>
      <c r="AE101" s="129"/>
    </row>
    <row r="102" spans="3:31" ht="15.75">
      <c r="K102" s="104"/>
      <c r="L102" s="138"/>
      <c r="M102" s="139"/>
      <c r="N102" s="97"/>
      <c r="O102" s="67"/>
      <c r="P102" s="67"/>
      <c r="Q102" s="2"/>
      <c r="R102" s="9"/>
      <c r="S102" s="9"/>
      <c r="T102" s="93"/>
      <c r="U102" s="9"/>
      <c r="W102" s="2"/>
      <c r="X102" s="95"/>
      <c r="Y102" s="129"/>
      <c r="Z102" s="129"/>
      <c r="AA102" s="129"/>
      <c r="AB102" s="129"/>
      <c r="AC102" s="129"/>
      <c r="AD102" s="129"/>
      <c r="AE102" s="129"/>
    </row>
    <row r="103" spans="3:31"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</row>
    <row r="104" spans="3:31"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</row>
    <row r="105" spans="3:31"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</row>
    <row r="106" spans="3:31"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</row>
    <row r="107" spans="3:31"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</row>
    <row r="108" spans="3:31">
      <c r="C108" s="129"/>
      <c r="D108" s="129"/>
      <c r="E108" s="129"/>
      <c r="F108" s="129"/>
      <c r="G108" s="129"/>
      <c r="H108" s="129"/>
      <c r="I108" s="129"/>
      <c r="J108" s="129"/>
    </row>
    <row r="109" spans="3:31">
      <c r="C109" s="129"/>
      <c r="D109" s="129"/>
      <c r="E109" s="129"/>
      <c r="F109" s="129"/>
      <c r="G109" s="129"/>
      <c r="H109" s="129"/>
      <c r="I109" s="129"/>
      <c r="J109" s="129"/>
    </row>
    <row r="110" spans="3:31">
      <c r="C110" s="129"/>
      <c r="D110" s="129"/>
      <c r="E110" s="129"/>
      <c r="F110" s="129"/>
      <c r="G110" s="129"/>
      <c r="H110" s="129"/>
      <c r="I110" s="129"/>
      <c r="J110" s="129"/>
    </row>
    <row r="111" spans="3:31">
      <c r="C111" s="129"/>
      <c r="D111" s="129"/>
      <c r="E111" s="129"/>
      <c r="F111" s="129"/>
      <c r="G111" s="129"/>
      <c r="H111" s="129"/>
      <c r="I111" s="129"/>
      <c r="J111" s="129"/>
    </row>
    <row r="112" spans="3:31">
      <c r="C112" s="129"/>
      <c r="D112" s="129"/>
      <c r="E112" s="129"/>
      <c r="F112" s="129"/>
      <c r="G112" s="129"/>
      <c r="H112" s="129"/>
      <c r="I112" s="129"/>
      <c r="J112" s="129"/>
    </row>
    <row r="113" spans="3:10">
      <c r="C113" s="129"/>
      <c r="D113" s="129"/>
      <c r="E113" s="129"/>
      <c r="F113" s="129"/>
      <c r="G113" s="129"/>
      <c r="H113" s="129"/>
      <c r="I113" s="129"/>
      <c r="J113" s="129"/>
    </row>
    <row r="114" spans="3:10">
      <c r="C114" s="129"/>
      <c r="D114" s="129"/>
      <c r="E114" s="129"/>
      <c r="F114" s="129"/>
      <c r="G114" s="129"/>
      <c r="H114" s="129"/>
      <c r="I114" s="129"/>
      <c r="J114" s="129"/>
    </row>
    <row r="115" spans="3:10">
      <c r="C115" s="129"/>
      <c r="D115" s="129"/>
      <c r="E115" s="129"/>
      <c r="F115" s="129"/>
      <c r="G115" s="129"/>
      <c r="H115" s="129"/>
      <c r="I115" s="129"/>
      <c r="J115" s="129"/>
    </row>
    <row r="116" spans="3:10">
      <c r="C116" s="129"/>
      <c r="D116" s="129"/>
      <c r="E116" s="129"/>
      <c r="F116" s="129"/>
      <c r="G116" s="129"/>
      <c r="H116" s="129"/>
      <c r="I116" s="129"/>
      <c r="J116" s="129"/>
    </row>
    <row r="117" spans="3:10">
      <c r="C117" s="129"/>
      <c r="D117" s="129"/>
      <c r="E117" s="129"/>
      <c r="F117" s="129"/>
      <c r="G117" s="129"/>
      <c r="H117" s="129"/>
      <c r="I117" s="129"/>
      <c r="J117" s="129"/>
    </row>
    <row r="118" spans="3:10">
      <c r="C118" s="129"/>
      <c r="D118" s="129"/>
      <c r="E118" s="129"/>
      <c r="F118" s="129"/>
      <c r="G118" s="129"/>
      <c r="H118" s="129"/>
      <c r="I118" s="129"/>
      <c r="J118" s="129"/>
    </row>
    <row r="119" spans="3:10">
      <c r="C119" s="129"/>
      <c r="D119" s="129"/>
      <c r="E119" s="129"/>
      <c r="F119" s="129"/>
      <c r="G119" s="129"/>
      <c r="H119" s="129"/>
      <c r="I119" s="129"/>
      <c r="J119" s="129"/>
    </row>
    <row r="120" spans="3:10">
      <c r="C120" s="129"/>
      <c r="D120" s="129"/>
      <c r="E120" s="129"/>
      <c r="F120" s="129"/>
      <c r="G120" s="129"/>
      <c r="H120" s="129"/>
      <c r="I120" s="129"/>
      <c r="J120" s="129"/>
    </row>
    <row r="121" spans="3:10">
      <c r="C121" s="129"/>
      <c r="D121" s="129"/>
      <c r="E121" s="129"/>
      <c r="F121" s="129"/>
      <c r="G121" s="129"/>
      <c r="H121" s="129"/>
      <c r="I121" s="129"/>
      <c r="J121" s="129"/>
    </row>
    <row r="122" spans="3:10">
      <c r="C122" s="129"/>
      <c r="D122" s="129"/>
      <c r="E122" s="129"/>
      <c r="F122" s="129"/>
      <c r="G122" s="129"/>
      <c r="H122" s="129"/>
      <c r="I122" s="129"/>
      <c r="J122" s="129"/>
    </row>
    <row r="123" spans="3:10">
      <c r="C123" s="129"/>
      <c r="D123" s="129"/>
      <c r="E123" s="129"/>
      <c r="F123" s="129"/>
      <c r="G123" s="129"/>
      <c r="H123" s="129"/>
      <c r="I123" s="129"/>
      <c r="J123" s="129"/>
    </row>
    <row r="124" spans="3:10">
      <c r="C124" s="129"/>
      <c r="D124" s="129"/>
      <c r="E124" s="129"/>
      <c r="F124" s="129"/>
      <c r="G124" s="129"/>
      <c r="H124" s="129"/>
      <c r="I124" s="129"/>
      <c r="J124" s="129"/>
    </row>
    <row r="125" spans="3:10">
      <c r="C125" s="129"/>
      <c r="D125" s="129"/>
      <c r="E125" s="129"/>
      <c r="F125" s="129"/>
      <c r="G125" s="129"/>
      <c r="H125" s="129"/>
      <c r="I125" s="129"/>
      <c r="J125" s="129"/>
    </row>
    <row r="126" spans="3:10">
      <c r="C126" s="129"/>
      <c r="D126" s="129"/>
      <c r="E126" s="129"/>
      <c r="F126" s="129"/>
      <c r="G126" s="129"/>
      <c r="H126" s="129"/>
      <c r="I126" s="129"/>
      <c r="J126" s="129"/>
    </row>
    <row r="127" spans="3:10">
      <c r="C127" s="129"/>
      <c r="D127" s="129"/>
      <c r="E127" s="129"/>
      <c r="F127" s="129"/>
      <c r="G127" s="129"/>
      <c r="H127" s="129"/>
      <c r="I127" s="129"/>
      <c r="J127" s="129"/>
    </row>
    <row r="128" spans="3:10">
      <c r="C128" s="129"/>
      <c r="D128" s="129"/>
      <c r="E128" s="129"/>
      <c r="F128" s="129"/>
      <c r="G128" s="129"/>
      <c r="H128" s="129"/>
      <c r="I128" s="129"/>
      <c r="J128" s="129"/>
    </row>
    <row r="129" spans="3:10">
      <c r="C129" s="129"/>
      <c r="D129" s="129"/>
      <c r="E129" s="129"/>
      <c r="F129" s="129"/>
      <c r="G129" s="129"/>
      <c r="H129" s="129"/>
      <c r="I129" s="129"/>
      <c r="J129" s="129"/>
    </row>
    <row r="130" spans="3:10">
      <c r="C130" s="129"/>
      <c r="D130" s="129"/>
      <c r="E130" s="129"/>
      <c r="F130" s="129"/>
      <c r="G130" s="129"/>
      <c r="H130" s="129"/>
      <c r="I130" s="129"/>
      <c r="J130" s="129"/>
    </row>
    <row r="131" spans="3:10">
      <c r="C131" s="129"/>
      <c r="D131" s="129"/>
      <c r="E131" s="129"/>
      <c r="F131" s="129"/>
      <c r="G131" s="129"/>
      <c r="H131" s="129"/>
      <c r="I131" s="129"/>
      <c r="J131" s="129"/>
    </row>
    <row r="132" spans="3:10">
      <c r="C132" s="129"/>
      <c r="D132" s="129"/>
      <c r="E132" s="129"/>
      <c r="F132" s="129"/>
      <c r="G132" s="129"/>
      <c r="H132" s="129"/>
      <c r="I132" s="129"/>
      <c r="J132" s="129"/>
    </row>
    <row r="133" spans="3:10">
      <c r="C133" s="129"/>
      <c r="D133" s="129"/>
      <c r="E133" s="129"/>
      <c r="F133" s="129"/>
      <c r="G133" s="129"/>
      <c r="H133" s="129"/>
      <c r="I133" s="129"/>
      <c r="J133" s="129"/>
    </row>
    <row r="134" spans="3:10">
      <c r="C134" s="129"/>
      <c r="D134" s="129"/>
      <c r="E134" s="129"/>
      <c r="F134" s="129"/>
      <c r="G134" s="129"/>
      <c r="H134" s="129"/>
      <c r="I134" s="129"/>
      <c r="J134" s="129"/>
    </row>
    <row r="135" spans="3:10">
      <c r="C135" s="129"/>
      <c r="D135" s="129"/>
      <c r="E135" s="129"/>
      <c r="F135" s="129"/>
      <c r="G135" s="129"/>
      <c r="H135" s="129"/>
      <c r="I135" s="129"/>
      <c r="J135" s="129"/>
    </row>
    <row r="136" spans="3:10">
      <c r="C136" s="129"/>
      <c r="D136" s="129"/>
      <c r="E136" s="129"/>
      <c r="F136" s="129"/>
      <c r="G136" s="129"/>
      <c r="H136" s="129"/>
      <c r="I136" s="129"/>
      <c r="J136" s="129"/>
    </row>
    <row r="137" spans="3:10">
      <c r="C137" s="129"/>
      <c r="D137" s="129"/>
      <c r="E137" s="129"/>
      <c r="F137" s="129"/>
      <c r="G137" s="129"/>
      <c r="H137" s="129"/>
      <c r="I137" s="129"/>
      <c r="J137" s="129"/>
    </row>
    <row r="138" spans="3:10">
      <c r="C138" s="129"/>
      <c r="D138" s="129"/>
      <c r="E138" s="129"/>
      <c r="F138" s="129"/>
      <c r="G138" s="129"/>
      <c r="H138" s="129"/>
      <c r="I138" s="129"/>
      <c r="J138" s="129"/>
    </row>
    <row r="139" spans="3:10">
      <c r="C139" s="129"/>
      <c r="D139" s="129"/>
      <c r="E139" s="129"/>
      <c r="F139" s="129"/>
      <c r="G139" s="129"/>
      <c r="H139" s="129"/>
      <c r="I139" s="129"/>
      <c r="J139" s="129"/>
    </row>
    <row r="140" spans="3:10">
      <c r="C140" s="129"/>
      <c r="D140" s="129"/>
      <c r="E140" s="129"/>
      <c r="F140" s="129"/>
      <c r="G140" s="129"/>
      <c r="H140" s="129"/>
      <c r="I140" s="129"/>
      <c r="J140" s="129"/>
    </row>
    <row r="141" spans="3:10">
      <c r="C141" s="129"/>
      <c r="D141" s="129"/>
      <c r="E141" s="129"/>
      <c r="F141" s="129"/>
      <c r="G141" s="129"/>
      <c r="H141" s="129"/>
      <c r="I141" s="129"/>
      <c r="J141" s="129"/>
    </row>
    <row r="142" spans="3:10">
      <c r="C142" s="129"/>
      <c r="D142" s="129"/>
      <c r="E142" s="129"/>
      <c r="F142" s="129"/>
      <c r="G142" s="129"/>
      <c r="H142" s="129"/>
      <c r="I142" s="129"/>
      <c r="J142" s="129"/>
    </row>
    <row r="143" spans="3:10">
      <c r="C143" s="129"/>
      <c r="D143" s="129"/>
      <c r="E143" s="129"/>
      <c r="F143" s="129"/>
      <c r="G143" s="129"/>
      <c r="H143" s="129"/>
      <c r="I143" s="129"/>
      <c r="J143" s="129"/>
    </row>
    <row r="144" spans="3:10">
      <c r="C144" s="129"/>
      <c r="D144" s="129"/>
      <c r="E144" s="129"/>
      <c r="F144" s="129"/>
      <c r="G144" s="129"/>
      <c r="H144" s="129"/>
      <c r="I144" s="129"/>
      <c r="J144" s="129"/>
    </row>
    <row r="145" spans="3:10">
      <c r="C145" s="129"/>
      <c r="D145" s="129"/>
      <c r="E145" s="129"/>
      <c r="F145" s="129"/>
      <c r="G145" s="129"/>
      <c r="H145" s="129"/>
      <c r="I145" s="129"/>
      <c r="J145" s="129"/>
    </row>
    <row r="146" spans="3:10">
      <c r="C146" s="129"/>
      <c r="D146" s="129"/>
      <c r="E146" s="129"/>
      <c r="F146" s="129"/>
      <c r="G146" s="129"/>
      <c r="H146" s="129"/>
      <c r="I146" s="129"/>
      <c r="J146" s="129"/>
    </row>
    <row r="147" spans="3:10">
      <c r="C147" s="129"/>
      <c r="D147" s="129"/>
      <c r="E147" s="129"/>
      <c r="F147" s="129"/>
      <c r="G147" s="129"/>
      <c r="H147" s="129"/>
      <c r="I147" s="129"/>
      <c r="J147" s="129"/>
    </row>
    <row r="148" spans="3:10">
      <c r="C148" s="129"/>
      <c r="D148" s="129"/>
      <c r="E148" s="129"/>
      <c r="F148" s="129"/>
      <c r="G148" s="129"/>
      <c r="H148" s="129"/>
      <c r="I148" s="129"/>
      <c r="J148" s="129"/>
    </row>
    <row r="149" spans="3:10">
      <c r="C149" s="129"/>
      <c r="D149" s="129"/>
      <c r="E149" s="129"/>
      <c r="F149" s="129"/>
      <c r="G149" s="129"/>
      <c r="H149" s="129"/>
      <c r="I149" s="129"/>
      <c r="J149" s="129"/>
    </row>
    <row r="150" spans="3:10">
      <c r="C150" s="129"/>
      <c r="D150" s="129"/>
      <c r="E150" s="129"/>
      <c r="F150" s="129"/>
      <c r="G150" s="129"/>
      <c r="H150" s="129"/>
      <c r="I150" s="129"/>
      <c r="J150" s="129"/>
    </row>
    <row r="151" spans="3:10">
      <c r="C151" s="129"/>
      <c r="D151" s="129"/>
      <c r="E151" s="129"/>
      <c r="F151" s="129"/>
      <c r="G151" s="129"/>
      <c r="H151" s="129"/>
      <c r="I151" s="129"/>
      <c r="J151" s="129"/>
    </row>
    <row r="152" spans="3:10">
      <c r="C152" s="129"/>
      <c r="D152" s="129"/>
      <c r="E152" s="129"/>
      <c r="F152" s="129"/>
      <c r="G152" s="129"/>
      <c r="H152" s="129"/>
      <c r="I152" s="129"/>
      <c r="J152" s="129"/>
    </row>
    <row r="153" spans="3:10">
      <c r="C153" s="129"/>
      <c r="D153" s="129"/>
      <c r="E153" s="129"/>
      <c r="F153" s="129"/>
      <c r="G153" s="129"/>
      <c r="H153" s="129"/>
      <c r="I153" s="129"/>
      <c r="J153" s="129"/>
    </row>
    <row r="154" spans="3:10">
      <c r="C154" s="129"/>
      <c r="D154" s="129"/>
      <c r="E154" s="129"/>
      <c r="F154" s="129"/>
      <c r="G154" s="129"/>
      <c r="H154" s="129"/>
      <c r="I154" s="129"/>
      <c r="J154" s="129"/>
    </row>
    <row r="155" spans="3:10">
      <c r="C155" s="129"/>
      <c r="D155" s="129"/>
      <c r="E155" s="129"/>
      <c r="F155" s="129"/>
      <c r="G155" s="129"/>
      <c r="H155" s="129"/>
      <c r="I155" s="129"/>
      <c r="J155" s="129"/>
    </row>
    <row r="156" spans="3:10">
      <c r="C156" s="129"/>
      <c r="D156" s="129"/>
      <c r="E156" s="129"/>
      <c r="F156" s="129"/>
      <c r="G156" s="129"/>
      <c r="H156" s="129"/>
      <c r="I156" s="129"/>
      <c r="J156" s="129"/>
    </row>
    <row r="157" spans="3:10">
      <c r="C157" s="129"/>
      <c r="D157" s="129"/>
      <c r="E157" s="129"/>
      <c r="F157" s="129"/>
      <c r="G157" s="129"/>
      <c r="H157" s="129"/>
      <c r="I157" s="129"/>
      <c r="J157" s="129"/>
    </row>
    <row r="158" spans="3:10">
      <c r="C158" s="129"/>
      <c r="D158" s="129"/>
      <c r="E158" s="129"/>
      <c r="F158" s="129"/>
      <c r="G158" s="129"/>
      <c r="H158" s="129"/>
      <c r="I158" s="129"/>
      <c r="J158" s="129"/>
    </row>
    <row r="159" spans="3:10">
      <c r="C159" s="129"/>
      <c r="D159" s="129"/>
      <c r="E159" s="129"/>
      <c r="F159" s="129"/>
      <c r="G159" s="129"/>
      <c r="H159" s="129"/>
      <c r="I159" s="129"/>
      <c r="J159" s="129"/>
    </row>
    <row r="160" spans="3:10">
      <c r="C160" s="129"/>
      <c r="D160" s="129"/>
      <c r="E160" s="129"/>
      <c r="F160" s="129"/>
      <c r="G160" s="129"/>
      <c r="H160" s="129"/>
      <c r="I160" s="129"/>
      <c r="J160" s="129"/>
    </row>
    <row r="161" spans="3:10">
      <c r="C161" s="129"/>
      <c r="D161" s="129"/>
      <c r="E161" s="129"/>
      <c r="F161" s="129"/>
      <c r="G161" s="129"/>
      <c r="H161" s="129"/>
      <c r="I161" s="129"/>
      <c r="J161" s="129"/>
    </row>
    <row r="162" spans="3:10">
      <c r="C162" s="129"/>
      <c r="D162" s="129"/>
      <c r="E162" s="129"/>
      <c r="F162" s="129"/>
      <c r="G162" s="129"/>
      <c r="H162" s="129"/>
      <c r="I162" s="129"/>
      <c r="J162" s="129"/>
    </row>
    <row r="163" spans="3:10">
      <c r="C163" s="129"/>
      <c r="D163" s="129"/>
      <c r="E163" s="129"/>
      <c r="F163" s="129"/>
      <c r="G163" s="129"/>
      <c r="H163" s="129"/>
      <c r="I163" s="129"/>
      <c r="J163" s="129"/>
    </row>
    <row r="164" spans="3:10">
      <c r="C164" s="129"/>
      <c r="D164" s="129"/>
      <c r="E164" s="129"/>
      <c r="F164" s="129"/>
      <c r="G164" s="129"/>
      <c r="H164" s="129"/>
      <c r="I164" s="129"/>
      <c r="J164" s="129"/>
    </row>
    <row r="165" spans="3:10">
      <c r="C165" s="129"/>
      <c r="D165" s="129"/>
      <c r="E165" s="129"/>
      <c r="F165" s="129"/>
      <c r="G165" s="129"/>
      <c r="H165" s="129"/>
      <c r="I165" s="129"/>
      <c r="J165" s="129"/>
    </row>
    <row r="166" spans="3:10">
      <c r="C166" s="129"/>
      <c r="D166" s="129"/>
      <c r="E166" s="129"/>
      <c r="F166" s="129"/>
      <c r="G166" s="129"/>
      <c r="H166" s="129"/>
      <c r="I166" s="129"/>
      <c r="J166" s="129"/>
    </row>
    <row r="167" spans="3:10">
      <c r="C167" s="129"/>
      <c r="D167" s="129"/>
      <c r="E167" s="129"/>
      <c r="F167" s="129"/>
      <c r="G167" s="129"/>
      <c r="H167" s="129"/>
      <c r="I167" s="129"/>
      <c r="J167" s="129"/>
    </row>
    <row r="168" spans="3:10">
      <c r="C168" s="129"/>
      <c r="D168" s="129"/>
      <c r="E168" s="129"/>
      <c r="F168" s="129"/>
      <c r="G168" s="129"/>
      <c r="H168" s="129"/>
      <c r="I168" s="129"/>
      <c r="J168" s="129"/>
    </row>
    <row r="169" spans="3:10">
      <c r="C169" s="129"/>
      <c r="D169" s="129"/>
      <c r="E169" s="129"/>
      <c r="F169" s="129"/>
      <c r="G169" s="129"/>
      <c r="H169" s="129"/>
      <c r="I169" s="129"/>
      <c r="J169" s="129"/>
    </row>
    <row r="170" spans="3:10">
      <c r="C170" s="129"/>
      <c r="D170" s="129"/>
      <c r="E170" s="129"/>
      <c r="F170" s="129"/>
      <c r="G170" s="129"/>
      <c r="H170" s="129"/>
      <c r="I170" s="129"/>
      <c r="J170" s="129"/>
    </row>
    <row r="171" spans="3:10">
      <c r="C171" s="129"/>
      <c r="D171" s="129"/>
      <c r="E171" s="129"/>
      <c r="F171" s="129"/>
      <c r="G171" s="129"/>
      <c r="H171" s="129"/>
      <c r="I171" s="129"/>
      <c r="J171" s="129"/>
    </row>
    <row r="172" spans="3:10">
      <c r="C172" s="129"/>
      <c r="D172" s="129"/>
      <c r="E172" s="129"/>
      <c r="F172" s="129"/>
      <c r="G172" s="129"/>
      <c r="H172" s="129"/>
      <c r="I172" s="129"/>
      <c r="J172" s="129"/>
    </row>
    <row r="173" spans="3:10">
      <c r="C173" s="129"/>
      <c r="D173" s="129"/>
      <c r="E173" s="129"/>
      <c r="F173" s="129"/>
      <c r="G173" s="129"/>
      <c r="H173" s="129"/>
      <c r="I173" s="129"/>
      <c r="J173" s="129"/>
    </row>
    <row r="174" spans="3:10">
      <c r="C174" s="129"/>
      <c r="D174" s="129"/>
      <c r="E174" s="129"/>
      <c r="F174" s="129"/>
      <c r="G174" s="129"/>
      <c r="H174" s="129"/>
      <c r="I174" s="129"/>
      <c r="J174" s="129"/>
    </row>
    <row r="175" spans="3:10">
      <c r="C175" s="129"/>
      <c r="D175" s="129"/>
      <c r="E175" s="129"/>
      <c r="F175" s="129"/>
      <c r="G175" s="129"/>
      <c r="H175" s="129"/>
      <c r="I175" s="129"/>
      <c r="J175" s="129"/>
    </row>
    <row r="176" spans="3:10">
      <c r="C176" s="129"/>
      <c r="D176" s="129"/>
      <c r="E176" s="129"/>
      <c r="F176" s="129"/>
      <c r="G176" s="129"/>
      <c r="H176" s="129"/>
      <c r="I176" s="129"/>
      <c r="J176" s="129"/>
    </row>
    <row r="177" spans="3:10">
      <c r="C177" s="129"/>
      <c r="D177" s="129"/>
      <c r="E177" s="129"/>
      <c r="F177" s="129"/>
      <c r="G177" s="129"/>
      <c r="H177" s="129"/>
      <c r="I177" s="129"/>
      <c r="J177" s="129"/>
    </row>
    <row r="178" spans="3:10">
      <c r="C178" s="129"/>
      <c r="D178" s="129"/>
      <c r="E178" s="129"/>
      <c r="F178" s="129"/>
      <c r="G178" s="129"/>
      <c r="H178" s="129"/>
      <c r="I178" s="129"/>
      <c r="J178" s="129"/>
    </row>
    <row r="179" spans="3:10">
      <c r="C179" s="129"/>
      <c r="D179" s="129"/>
      <c r="E179" s="129"/>
      <c r="F179" s="129"/>
      <c r="G179" s="129"/>
      <c r="H179" s="129"/>
      <c r="I179" s="129"/>
      <c r="J179" s="129"/>
    </row>
    <row r="180" spans="3:10">
      <c r="C180" s="129"/>
      <c r="D180" s="129"/>
      <c r="E180" s="129"/>
      <c r="F180" s="129"/>
      <c r="G180" s="129"/>
      <c r="H180" s="129"/>
      <c r="I180" s="129"/>
      <c r="J180" s="129"/>
    </row>
    <row r="181" spans="3:10">
      <c r="C181" s="129"/>
      <c r="D181" s="129"/>
      <c r="E181" s="129"/>
      <c r="F181" s="129"/>
      <c r="G181" s="129"/>
      <c r="H181" s="129"/>
      <c r="I181" s="129"/>
      <c r="J181" s="129"/>
    </row>
    <row r="182" spans="3:10">
      <c r="C182" s="129"/>
      <c r="D182" s="129"/>
      <c r="E182" s="129"/>
      <c r="F182" s="129"/>
      <c r="G182" s="129"/>
      <c r="H182" s="129"/>
      <c r="I182" s="129"/>
      <c r="J182" s="129"/>
    </row>
    <row r="183" spans="3:10">
      <c r="C183" s="129"/>
      <c r="D183" s="129"/>
      <c r="E183" s="129"/>
      <c r="F183" s="129"/>
      <c r="G183" s="129"/>
      <c r="H183" s="129"/>
      <c r="I183" s="129"/>
      <c r="J183" s="129"/>
    </row>
    <row r="184" spans="3:10">
      <c r="C184" s="129"/>
      <c r="D184" s="129"/>
      <c r="E184" s="129"/>
      <c r="F184" s="129"/>
      <c r="G184" s="129"/>
      <c r="H184" s="129"/>
      <c r="I184" s="129"/>
      <c r="J184" s="129"/>
    </row>
    <row r="185" spans="3:10">
      <c r="C185" s="129"/>
      <c r="D185" s="129"/>
      <c r="E185" s="129"/>
      <c r="F185" s="129"/>
      <c r="G185" s="129"/>
      <c r="H185" s="129"/>
      <c r="I185" s="129"/>
      <c r="J185" s="129"/>
    </row>
    <row r="186" spans="3:10">
      <c r="C186" s="129"/>
      <c r="D186" s="129"/>
      <c r="E186" s="129"/>
      <c r="F186" s="129"/>
      <c r="G186" s="129"/>
      <c r="H186" s="129"/>
      <c r="I186" s="129"/>
      <c r="J186" s="129"/>
    </row>
    <row r="187" spans="3:10">
      <c r="C187" s="129"/>
      <c r="D187" s="129"/>
      <c r="E187" s="129"/>
      <c r="F187" s="129"/>
      <c r="G187" s="129"/>
      <c r="H187" s="129"/>
      <c r="I187" s="129"/>
      <c r="J187" s="129"/>
    </row>
    <row r="188" spans="3:10">
      <c r="C188" s="129"/>
      <c r="D188" s="129"/>
      <c r="E188" s="129"/>
      <c r="F188" s="129"/>
      <c r="G188" s="129"/>
      <c r="H188" s="129"/>
      <c r="I188" s="129"/>
      <c r="J188" s="129"/>
    </row>
    <row r="189" spans="3:10">
      <c r="C189" s="129"/>
      <c r="D189" s="129"/>
      <c r="E189" s="129"/>
      <c r="F189" s="129"/>
      <c r="G189" s="129"/>
      <c r="H189" s="129"/>
      <c r="I189" s="129"/>
      <c r="J189" s="129"/>
    </row>
    <row r="190" spans="3:10">
      <c r="C190" s="129"/>
      <c r="D190" s="129"/>
      <c r="E190" s="129"/>
      <c r="F190" s="129"/>
      <c r="G190" s="129"/>
      <c r="H190" s="129"/>
      <c r="I190" s="129"/>
      <c r="J190" s="129"/>
    </row>
    <row r="191" spans="3:10">
      <c r="C191" s="129"/>
      <c r="D191" s="129"/>
      <c r="E191" s="129"/>
      <c r="F191" s="129"/>
      <c r="G191" s="129"/>
      <c r="H191" s="129"/>
      <c r="I191" s="129"/>
      <c r="J191" s="129"/>
    </row>
    <row r="192" spans="3:10">
      <c r="C192" s="129"/>
      <c r="D192" s="129"/>
      <c r="E192" s="129"/>
      <c r="F192" s="129"/>
      <c r="G192" s="129"/>
      <c r="H192" s="129"/>
      <c r="I192" s="129"/>
      <c r="J192" s="129"/>
    </row>
    <row r="193" spans="3:10">
      <c r="C193" s="129"/>
      <c r="D193" s="129"/>
      <c r="E193" s="129"/>
      <c r="F193" s="129"/>
      <c r="G193" s="129"/>
      <c r="H193" s="129"/>
      <c r="I193" s="129"/>
      <c r="J193" s="129"/>
    </row>
    <row r="194" spans="3:10">
      <c r="C194" s="129"/>
      <c r="D194" s="129"/>
      <c r="E194" s="129"/>
      <c r="F194" s="129"/>
      <c r="G194" s="129"/>
      <c r="H194" s="129"/>
      <c r="I194" s="129"/>
      <c r="J194" s="129"/>
    </row>
    <row r="195" spans="3:10">
      <c r="C195" s="129"/>
      <c r="D195" s="129"/>
      <c r="E195" s="129"/>
      <c r="F195" s="129"/>
      <c r="G195" s="129"/>
      <c r="H195" s="129"/>
      <c r="I195" s="129"/>
      <c r="J195" s="129"/>
    </row>
    <row r="196" spans="3:10">
      <c r="C196" s="129"/>
      <c r="D196" s="129"/>
      <c r="E196" s="129"/>
      <c r="F196" s="129"/>
      <c r="G196" s="129"/>
      <c r="H196" s="129"/>
      <c r="I196" s="129"/>
      <c r="J196" s="129"/>
    </row>
    <row r="197" spans="3:10">
      <c r="C197" s="129"/>
      <c r="D197" s="129"/>
      <c r="E197" s="129"/>
      <c r="F197" s="129"/>
      <c r="G197" s="129"/>
      <c r="H197" s="129"/>
      <c r="I197" s="129"/>
      <c r="J197" s="129"/>
    </row>
    <row r="198" spans="3:10">
      <c r="C198" s="129"/>
      <c r="D198" s="129"/>
      <c r="E198" s="129"/>
      <c r="F198" s="129"/>
      <c r="G198" s="129"/>
      <c r="H198" s="129"/>
      <c r="I198" s="129"/>
      <c r="J198" s="129"/>
    </row>
    <row r="199" spans="3:10">
      <c r="C199" s="129"/>
      <c r="D199" s="129"/>
      <c r="E199" s="129"/>
      <c r="F199" s="129"/>
      <c r="G199" s="129"/>
      <c r="H199" s="129"/>
      <c r="I199" s="129"/>
      <c r="J199" s="129"/>
    </row>
    <row r="200" spans="3:10">
      <c r="C200" s="129"/>
      <c r="D200" s="129"/>
      <c r="E200" s="129"/>
      <c r="F200" s="129"/>
      <c r="G200" s="129"/>
      <c r="H200" s="129"/>
      <c r="I200" s="129"/>
      <c r="J200" s="129"/>
    </row>
    <row r="201" spans="3:10">
      <c r="C201" s="129"/>
      <c r="D201" s="129"/>
      <c r="E201" s="129"/>
      <c r="F201" s="129"/>
      <c r="G201" s="129"/>
      <c r="H201" s="129"/>
      <c r="I201" s="129"/>
      <c r="J201" s="129"/>
    </row>
    <row r="202" spans="3:10">
      <c r="C202" s="129"/>
      <c r="D202" s="129"/>
      <c r="E202" s="129"/>
      <c r="F202" s="129"/>
      <c r="G202" s="129"/>
      <c r="H202" s="129"/>
      <c r="I202" s="129"/>
      <c r="J202" s="129"/>
    </row>
    <row r="203" spans="3:10">
      <c r="C203" s="129"/>
      <c r="D203" s="129"/>
      <c r="E203" s="129"/>
      <c r="F203" s="129"/>
      <c r="G203" s="129"/>
      <c r="H203" s="129"/>
      <c r="I203" s="129"/>
      <c r="J203" s="129"/>
    </row>
    <row r="204" spans="3:10">
      <c r="C204" s="129"/>
      <c r="D204" s="129"/>
      <c r="E204" s="129"/>
      <c r="F204" s="129"/>
      <c r="G204" s="129"/>
      <c r="H204" s="129"/>
      <c r="I204" s="129"/>
      <c r="J204" s="129"/>
    </row>
    <row r="205" spans="3:10">
      <c r="C205" s="129"/>
      <c r="D205" s="129"/>
      <c r="E205" s="129"/>
      <c r="F205" s="129"/>
      <c r="G205" s="129"/>
      <c r="H205" s="129"/>
      <c r="I205" s="129"/>
      <c r="J205" s="129"/>
    </row>
    <row r="206" spans="3:10">
      <c r="C206" s="129"/>
      <c r="D206" s="129"/>
      <c r="E206" s="129"/>
      <c r="F206" s="129"/>
      <c r="G206" s="129"/>
      <c r="H206" s="129"/>
      <c r="I206" s="129"/>
      <c r="J206" s="129"/>
    </row>
    <row r="207" spans="3:10">
      <c r="C207" s="129"/>
      <c r="D207" s="129"/>
      <c r="E207" s="129"/>
      <c r="F207" s="129"/>
      <c r="G207" s="129"/>
      <c r="H207" s="129"/>
      <c r="I207" s="129"/>
      <c r="J207" s="129"/>
    </row>
    <row r="208" spans="3:10">
      <c r="C208" s="129"/>
      <c r="D208" s="129"/>
      <c r="E208" s="129"/>
      <c r="F208" s="129"/>
      <c r="G208" s="129"/>
      <c r="H208" s="129"/>
      <c r="I208" s="129"/>
      <c r="J208" s="129"/>
    </row>
    <row r="209" spans="3:10">
      <c r="C209" s="129"/>
      <c r="D209" s="129"/>
      <c r="E209" s="129"/>
      <c r="F209" s="129"/>
      <c r="G209" s="129"/>
      <c r="H209" s="129"/>
      <c r="I209" s="129"/>
      <c r="J209" s="129"/>
    </row>
    <row r="210" spans="3:10">
      <c r="C210" s="129"/>
      <c r="D210" s="129"/>
      <c r="E210" s="129"/>
      <c r="F210" s="129"/>
      <c r="G210" s="129"/>
      <c r="H210" s="129"/>
      <c r="I210" s="129"/>
      <c r="J210" s="129"/>
    </row>
    <row r="211" spans="3:10">
      <c r="C211" s="129"/>
      <c r="D211" s="129"/>
      <c r="E211" s="129"/>
      <c r="F211" s="129"/>
      <c r="G211" s="129"/>
      <c r="H211" s="129"/>
      <c r="I211" s="129"/>
      <c r="J211" s="129"/>
    </row>
    <row r="212" spans="3:10">
      <c r="C212" s="129"/>
      <c r="D212" s="129"/>
      <c r="E212" s="129"/>
      <c r="F212" s="129"/>
      <c r="G212" s="129"/>
      <c r="H212" s="129"/>
      <c r="I212" s="129"/>
      <c r="J212" s="129"/>
    </row>
    <row r="213" spans="3:10">
      <c r="C213" s="129"/>
      <c r="D213" s="129"/>
      <c r="E213" s="129"/>
      <c r="F213" s="129"/>
      <c r="G213" s="129"/>
      <c r="H213" s="129"/>
      <c r="I213" s="129"/>
      <c r="J213" s="129"/>
    </row>
    <row r="214" spans="3:10">
      <c r="C214" s="129"/>
      <c r="D214" s="129"/>
      <c r="E214" s="129"/>
      <c r="F214" s="129"/>
      <c r="G214" s="129"/>
      <c r="H214" s="129"/>
      <c r="I214" s="129"/>
      <c r="J214" s="129"/>
    </row>
    <row r="215" spans="3:10">
      <c r="C215" s="129"/>
      <c r="D215" s="129"/>
      <c r="E215" s="129"/>
      <c r="F215" s="129"/>
      <c r="G215" s="129"/>
      <c r="H215" s="129"/>
      <c r="I215" s="129"/>
      <c r="J215" s="129"/>
    </row>
    <row r="216" spans="3:10">
      <c r="C216" s="129"/>
      <c r="D216" s="129"/>
      <c r="E216" s="129"/>
      <c r="F216" s="129"/>
      <c r="G216" s="129"/>
      <c r="H216" s="129"/>
      <c r="I216" s="129"/>
      <c r="J216" s="129"/>
    </row>
    <row r="217" spans="3:10">
      <c r="C217" s="129"/>
      <c r="D217" s="129"/>
      <c r="E217" s="129"/>
      <c r="F217" s="129"/>
      <c r="G217" s="129"/>
      <c r="H217" s="129"/>
      <c r="I217" s="129"/>
      <c r="J217" s="129"/>
    </row>
    <row r="218" spans="3:10">
      <c r="C218" s="129"/>
      <c r="D218" s="129"/>
      <c r="E218" s="129"/>
      <c r="F218" s="129"/>
      <c r="G218" s="129"/>
      <c r="H218" s="129"/>
      <c r="I218" s="129"/>
      <c r="J218" s="129"/>
    </row>
    <row r="219" spans="3:10">
      <c r="C219" s="129"/>
      <c r="D219" s="129"/>
      <c r="E219" s="129"/>
      <c r="F219" s="129"/>
      <c r="G219" s="129"/>
      <c r="H219" s="129"/>
      <c r="I219" s="129"/>
      <c r="J219" s="129"/>
    </row>
    <row r="220" spans="3:10">
      <c r="C220" s="129"/>
      <c r="D220" s="129"/>
      <c r="E220" s="129"/>
      <c r="F220" s="129"/>
      <c r="G220" s="129"/>
      <c r="H220" s="129"/>
      <c r="I220" s="129"/>
      <c r="J220" s="129"/>
    </row>
    <row r="221" spans="3:10">
      <c r="C221" s="129"/>
      <c r="D221" s="129"/>
      <c r="E221" s="129"/>
      <c r="F221" s="129"/>
      <c r="G221" s="129"/>
      <c r="H221" s="129"/>
      <c r="I221" s="129"/>
      <c r="J221" s="129"/>
    </row>
    <row r="222" spans="3:10">
      <c r="C222" s="129"/>
      <c r="D222" s="129"/>
      <c r="E222" s="129"/>
      <c r="F222" s="129"/>
      <c r="G222" s="129"/>
      <c r="H222" s="129"/>
      <c r="I222" s="129"/>
      <c r="J222" s="129"/>
    </row>
    <row r="223" spans="3:10">
      <c r="C223" s="129"/>
      <c r="D223" s="129"/>
      <c r="E223" s="129"/>
      <c r="F223" s="129"/>
      <c r="G223" s="129"/>
      <c r="H223" s="129"/>
      <c r="I223" s="129"/>
      <c r="J223" s="129"/>
    </row>
    <row r="224" spans="3:10">
      <c r="C224" s="129"/>
      <c r="D224" s="129"/>
      <c r="E224" s="129"/>
      <c r="F224" s="129"/>
      <c r="G224" s="129"/>
      <c r="H224" s="129"/>
      <c r="I224" s="129"/>
      <c r="J224" s="129"/>
    </row>
    <row r="225" spans="3:10">
      <c r="C225" s="129"/>
      <c r="D225" s="129"/>
      <c r="E225" s="129"/>
      <c r="F225" s="129"/>
      <c r="G225" s="129"/>
      <c r="H225" s="129"/>
      <c r="I225" s="129"/>
      <c r="J225" s="129"/>
    </row>
    <row r="226" spans="3:10">
      <c r="C226" s="129"/>
      <c r="D226" s="129"/>
      <c r="E226" s="129"/>
      <c r="F226" s="129"/>
      <c r="G226" s="129"/>
      <c r="H226" s="129"/>
      <c r="I226" s="129"/>
      <c r="J226" s="129"/>
    </row>
    <row r="227" spans="3:10">
      <c r="C227" s="129"/>
      <c r="D227" s="129"/>
      <c r="E227" s="129"/>
      <c r="F227" s="129"/>
      <c r="G227" s="129"/>
      <c r="H227" s="129"/>
      <c r="I227" s="129"/>
      <c r="J227" s="129"/>
    </row>
    <row r="228" spans="3:10">
      <c r="C228" s="129"/>
      <c r="D228" s="129"/>
      <c r="E228" s="129"/>
      <c r="F228" s="129"/>
      <c r="G228" s="129"/>
      <c r="H228" s="129"/>
      <c r="I228" s="129"/>
      <c r="J228" s="129"/>
    </row>
    <row r="229" spans="3:10">
      <c r="C229" s="129"/>
      <c r="D229" s="129"/>
      <c r="E229" s="129"/>
      <c r="F229" s="129"/>
      <c r="G229" s="129"/>
      <c r="H229" s="129"/>
      <c r="I229" s="129"/>
      <c r="J229" s="129"/>
    </row>
    <row r="230" spans="3:10">
      <c r="C230" s="129"/>
      <c r="D230" s="129"/>
      <c r="E230" s="129"/>
      <c r="F230" s="129"/>
      <c r="G230" s="129"/>
      <c r="H230" s="129"/>
      <c r="I230" s="129"/>
      <c r="J230" s="129"/>
    </row>
    <row r="231" spans="3:10">
      <c r="C231" s="129"/>
      <c r="D231" s="129"/>
      <c r="E231" s="129"/>
      <c r="F231" s="129"/>
      <c r="G231" s="129"/>
      <c r="H231" s="129"/>
      <c r="I231" s="129"/>
      <c r="J231" s="129"/>
    </row>
    <row r="232" spans="3:10">
      <c r="C232" s="129"/>
      <c r="D232" s="129"/>
      <c r="E232" s="129"/>
      <c r="F232" s="129"/>
      <c r="G232" s="129"/>
      <c r="H232" s="129"/>
      <c r="I232" s="129"/>
      <c r="J232" s="129"/>
    </row>
    <row r="233" spans="3:10">
      <c r="C233" s="129"/>
      <c r="D233" s="129"/>
      <c r="E233" s="129"/>
      <c r="F233" s="129"/>
      <c r="G233" s="129"/>
      <c r="H233" s="129"/>
      <c r="I233" s="129"/>
      <c r="J233" s="129"/>
    </row>
    <row r="234" spans="3:10">
      <c r="C234" s="129"/>
      <c r="D234" s="129"/>
      <c r="E234" s="129"/>
      <c r="F234" s="129"/>
      <c r="G234" s="129"/>
      <c r="H234" s="129"/>
      <c r="I234" s="129"/>
      <c r="J234" s="129"/>
    </row>
    <row r="235" spans="3:10">
      <c r="C235" s="129"/>
      <c r="D235" s="129"/>
      <c r="E235" s="129"/>
      <c r="F235" s="129"/>
      <c r="G235" s="129"/>
      <c r="H235" s="129"/>
      <c r="I235" s="129"/>
      <c r="J235" s="129"/>
    </row>
    <row r="236" spans="3:10">
      <c r="C236" s="129"/>
      <c r="D236" s="129"/>
      <c r="E236" s="129"/>
      <c r="F236" s="129"/>
      <c r="G236" s="129"/>
      <c r="H236" s="129"/>
      <c r="I236" s="129"/>
      <c r="J236" s="129"/>
    </row>
    <row r="237" spans="3:10">
      <c r="C237" s="129"/>
      <c r="D237" s="129"/>
      <c r="E237" s="129"/>
      <c r="F237" s="129"/>
      <c r="G237" s="129"/>
      <c r="H237" s="129"/>
      <c r="I237" s="129"/>
      <c r="J237" s="129"/>
    </row>
    <row r="238" spans="3:10">
      <c r="C238" s="129"/>
      <c r="D238" s="129"/>
      <c r="E238" s="129"/>
      <c r="F238" s="129"/>
      <c r="G238" s="129"/>
      <c r="H238" s="129"/>
      <c r="I238" s="129"/>
      <c r="J238" s="129"/>
    </row>
    <row r="239" spans="3:10">
      <c r="C239" s="129"/>
      <c r="D239" s="129"/>
      <c r="E239" s="129"/>
      <c r="F239" s="129"/>
      <c r="G239" s="129"/>
      <c r="H239" s="129"/>
      <c r="I239" s="129"/>
      <c r="J239" s="129"/>
    </row>
    <row r="240" spans="3:10">
      <c r="C240" s="129"/>
      <c r="D240" s="129"/>
      <c r="E240" s="129"/>
      <c r="F240" s="129"/>
      <c r="G240" s="129"/>
      <c r="H240" s="129"/>
      <c r="I240" s="129"/>
      <c r="J240" s="129"/>
    </row>
    <row r="241" spans="3:10">
      <c r="C241" s="129"/>
      <c r="D241" s="129"/>
      <c r="E241" s="129"/>
      <c r="F241" s="129"/>
      <c r="G241" s="129"/>
      <c r="H241" s="129"/>
      <c r="I241" s="129"/>
      <c r="J241" s="129"/>
    </row>
    <row r="242" spans="3:10">
      <c r="C242" s="129"/>
      <c r="D242" s="129"/>
      <c r="E242" s="129"/>
      <c r="F242" s="129"/>
      <c r="G242" s="129"/>
      <c r="H242" s="129"/>
      <c r="I242" s="129"/>
      <c r="J242" s="129"/>
    </row>
    <row r="243" spans="3:10">
      <c r="C243" s="129"/>
      <c r="D243" s="129"/>
      <c r="E243" s="129"/>
      <c r="F243" s="129"/>
      <c r="G243" s="129"/>
      <c r="H243" s="129"/>
      <c r="I243" s="129"/>
      <c r="J243" s="129"/>
    </row>
    <row r="244" spans="3:10">
      <c r="C244" s="129"/>
      <c r="D244" s="129"/>
      <c r="E244" s="129"/>
      <c r="F244" s="129"/>
      <c r="G244" s="129"/>
      <c r="H244" s="129"/>
      <c r="I244" s="129"/>
      <c r="J244" s="129"/>
    </row>
    <row r="245" spans="3:10">
      <c r="C245" s="129"/>
      <c r="D245" s="129"/>
      <c r="E245" s="129"/>
      <c r="F245" s="129"/>
      <c r="G245" s="129"/>
      <c r="H245" s="129"/>
      <c r="I245" s="129"/>
      <c r="J245" s="129"/>
    </row>
    <row r="246" spans="3:10">
      <c r="C246" s="129"/>
      <c r="D246" s="129"/>
      <c r="E246" s="129"/>
      <c r="F246" s="129"/>
      <c r="G246" s="129"/>
      <c r="H246" s="129"/>
      <c r="I246" s="129"/>
      <c r="J246" s="129"/>
    </row>
    <row r="247" spans="3:10">
      <c r="C247" s="129"/>
      <c r="D247" s="129"/>
      <c r="E247" s="129"/>
      <c r="F247" s="129"/>
      <c r="G247" s="129"/>
      <c r="H247" s="129"/>
      <c r="I247" s="129"/>
      <c r="J247" s="129"/>
    </row>
    <row r="248" spans="3:10">
      <c r="C248" s="129"/>
      <c r="D248" s="129"/>
      <c r="E248" s="129"/>
      <c r="F248" s="129"/>
      <c r="G248" s="129"/>
      <c r="H248" s="129"/>
      <c r="I248" s="129"/>
      <c r="J248" s="129"/>
    </row>
    <row r="249" spans="3:10">
      <c r="C249" s="129"/>
      <c r="D249" s="129"/>
      <c r="E249" s="129"/>
      <c r="F249" s="129"/>
      <c r="G249" s="129"/>
      <c r="H249" s="129"/>
      <c r="I249" s="129"/>
      <c r="J249" s="129"/>
    </row>
    <row r="250" spans="3:10">
      <c r="C250" s="129"/>
      <c r="D250" s="129"/>
      <c r="E250" s="129"/>
      <c r="F250" s="129"/>
      <c r="G250" s="129"/>
      <c r="H250" s="129"/>
      <c r="I250" s="129"/>
      <c r="J250" s="129"/>
    </row>
    <row r="251" spans="3:10">
      <c r="C251" s="129"/>
      <c r="D251" s="129"/>
      <c r="E251" s="129"/>
      <c r="F251" s="129"/>
      <c r="G251" s="129"/>
      <c r="H251" s="129"/>
      <c r="I251" s="129"/>
      <c r="J251" s="129"/>
    </row>
    <row r="252" spans="3:10">
      <c r="C252" s="129"/>
      <c r="D252" s="129"/>
      <c r="E252" s="129"/>
      <c r="F252" s="129"/>
      <c r="G252" s="129"/>
      <c r="H252" s="129"/>
      <c r="I252" s="129"/>
      <c r="J252" s="129"/>
    </row>
    <row r="253" spans="3:10">
      <c r="C253" s="129"/>
      <c r="D253" s="129"/>
      <c r="E253" s="129"/>
      <c r="F253" s="129"/>
      <c r="G253" s="129"/>
      <c r="H253" s="129"/>
      <c r="I253" s="129"/>
      <c r="J253" s="129"/>
    </row>
    <row r="254" spans="3:10">
      <c r="C254" s="129"/>
      <c r="D254" s="129"/>
      <c r="E254" s="129"/>
      <c r="F254" s="129"/>
      <c r="G254" s="129"/>
      <c r="H254" s="129"/>
      <c r="I254" s="129"/>
      <c r="J254" s="129"/>
    </row>
    <row r="255" spans="3:10">
      <c r="C255" s="129"/>
      <c r="D255" s="129"/>
      <c r="E255" s="129"/>
      <c r="F255" s="129"/>
      <c r="G255" s="129"/>
      <c r="H255" s="129"/>
      <c r="I255" s="129"/>
      <c r="J255" s="129"/>
    </row>
    <row r="256" spans="3:10">
      <c r="C256" s="129"/>
      <c r="D256" s="129"/>
      <c r="E256" s="129"/>
      <c r="F256" s="129"/>
      <c r="G256" s="129"/>
      <c r="H256" s="129"/>
      <c r="I256" s="129"/>
      <c r="J256" s="129"/>
    </row>
    <row r="257" spans="3:10">
      <c r="C257" s="129"/>
      <c r="D257" s="129"/>
      <c r="E257" s="129"/>
      <c r="F257" s="129"/>
      <c r="G257" s="129"/>
      <c r="H257" s="129"/>
      <c r="I257" s="129"/>
      <c r="J257" s="129"/>
    </row>
    <row r="258" spans="3:10">
      <c r="C258" s="129"/>
      <c r="D258" s="129"/>
      <c r="E258" s="129"/>
      <c r="F258" s="129"/>
      <c r="G258" s="129"/>
      <c r="H258" s="129"/>
      <c r="I258" s="129"/>
      <c r="J258" s="129"/>
    </row>
    <row r="259" spans="3:10">
      <c r="C259" s="129"/>
      <c r="D259" s="129"/>
      <c r="E259" s="129"/>
      <c r="F259" s="129"/>
      <c r="G259" s="129"/>
      <c r="H259" s="129"/>
      <c r="I259" s="129"/>
      <c r="J259" s="129"/>
    </row>
    <row r="260" spans="3:10">
      <c r="C260" s="129"/>
      <c r="D260" s="129"/>
      <c r="E260" s="129"/>
      <c r="F260" s="129"/>
      <c r="G260" s="129"/>
      <c r="H260" s="129"/>
      <c r="I260" s="129"/>
      <c r="J260" s="129"/>
    </row>
    <row r="261" spans="3:10">
      <c r="C261" s="129"/>
      <c r="D261" s="129"/>
      <c r="E261" s="129"/>
      <c r="F261" s="129"/>
      <c r="G261" s="129"/>
      <c r="H261" s="129"/>
      <c r="I261" s="129"/>
      <c r="J261" s="129"/>
    </row>
    <row r="262" spans="3:10">
      <c r="C262" s="129"/>
      <c r="D262" s="129"/>
      <c r="E262" s="129"/>
      <c r="F262" s="129"/>
      <c r="G262" s="129"/>
      <c r="H262" s="129"/>
      <c r="I262" s="129"/>
      <c r="J262" s="129"/>
    </row>
    <row r="263" spans="3:10">
      <c r="C263" s="129"/>
      <c r="D263" s="129"/>
      <c r="E263" s="129"/>
      <c r="F263" s="129"/>
      <c r="G263" s="129"/>
      <c r="H263" s="129"/>
      <c r="I263" s="129"/>
      <c r="J263" s="129"/>
    </row>
    <row r="264" spans="3:10">
      <c r="C264" s="129"/>
      <c r="D264" s="129"/>
      <c r="E264" s="129"/>
      <c r="F264" s="129"/>
      <c r="G264" s="129"/>
      <c r="H264" s="129"/>
      <c r="I264" s="129"/>
      <c r="J264" s="129"/>
    </row>
    <row r="265" spans="3:10">
      <c r="C265" s="129"/>
      <c r="D265" s="129"/>
      <c r="E265" s="129"/>
      <c r="F265" s="129"/>
      <c r="G265" s="129"/>
      <c r="H265" s="129"/>
      <c r="I265" s="129"/>
      <c r="J265" s="129"/>
    </row>
    <row r="266" spans="3:10">
      <c r="C266" s="129"/>
      <c r="D266" s="129"/>
      <c r="E266" s="129"/>
      <c r="F266" s="129"/>
      <c r="G266" s="129"/>
      <c r="H266" s="129"/>
      <c r="I266" s="129"/>
      <c r="J266" s="129"/>
    </row>
    <row r="267" spans="3:10">
      <c r="C267" s="129"/>
      <c r="D267" s="129"/>
      <c r="E267" s="129"/>
      <c r="F267" s="129"/>
      <c r="G267" s="129"/>
      <c r="H267" s="129"/>
      <c r="I267" s="129"/>
      <c r="J267" s="129"/>
    </row>
    <row r="268" spans="3:10">
      <c r="C268" s="129"/>
      <c r="D268" s="129"/>
      <c r="E268" s="129"/>
      <c r="F268" s="129"/>
      <c r="G268" s="129"/>
      <c r="H268" s="129"/>
      <c r="I268" s="129"/>
      <c r="J268" s="129"/>
    </row>
    <row r="269" spans="3:10">
      <c r="C269" s="129"/>
      <c r="D269" s="129"/>
      <c r="E269" s="129"/>
      <c r="F269" s="129"/>
      <c r="G269" s="129"/>
      <c r="H269" s="129"/>
      <c r="I269" s="129"/>
      <c r="J269" s="129"/>
    </row>
    <row r="270" spans="3:10">
      <c r="C270" s="129"/>
      <c r="D270" s="129"/>
      <c r="E270" s="129"/>
      <c r="F270" s="129"/>
      <c r="G270" s="129"/>
      <c r="H270" s="129"/>
      <c r="I270" s="129"/>
      <c r="J270" s="129"/>
    </row>
    <row r="271" spans="3:10">
      <c r="C271" s="129"/>
      <c r="D271" s="129"/>
      <c r="E271" s="129"/>
      <c r="F271" s="129"/>
      <c r="G271" s="129"/>
      <c r="H271" s="129"/>
      <c r="I271" s="129"/>
      <c r="J271" s="129"/>
    </row>
    <row r="272" spans="3:10">
      <c r="C272" s="129"/>
      <c r="D272" s="129"/>
      <c r="E272" s="129"/>
      <c r="F272" s="129"/>
      <c r="G272" s="129"/>
      <c r="H272" s="129"/>
      <c r="I272" s="129"/>
      <c r="J272" s="129"/>
    </row>
    <row r="273" spans="3:10">
      <c r="C273" s="129"/>
      <c r="D273" s="129"/>
      <c r="E273" s="129"/>
      <c r="F273" s="129"/>
      <c r="G273" s="129"/>
      <c r="H273" s="129"/>
      <c r="I273" s="129"/>
      <c r="J273" s="129"/>
    </row>
    <row r="274" spans="3:10">
      <c r="C274" s="129"/>
      <c r="D274" s="129"/>
      <c r="E274" s="129"/>
      <c r="F274" s="129"/>
      <c r="G274" s="129"/>
      <c r="H274" s="129"/>
      <c r="I274" s="129"/>
      <c r="J274" s="129"/>
    </row>
    <row r="275" spans="3:10">
      <c r="C275" s="129"/>
      <c r="D275" s="129"/>
      <c r="E275" s="129"/>
      <c r="F275" s="129"/>
      <c r="G275" s="129"/>
      <c r="H275" s="129"/>
      <c r="I275" s="129"/>
      <c r="J275" s="129"/>
    </row>
    <row r="276" spans="3:10">
      <c r="C276" s="129"/>
      <c r="D276" s="129"/>
      <c r="E276" s="129"/>
      <c r="F276" s="129"/>
      <c r="G276" s="129"/>
      <c r="H276" s="129"/>
      <c r="I276" s="129"/>
      <c r="J276" s="129"/>
    </row>
    <row r="277" spans="3:10">
      <c r="C277" s="129"/>
      <c r="D277" s="129"/>
      <c r="E277" s="129"/>
      <c r="F277" s="129"/>
      <c r="G277" s="129"/>
      <c r="H277" s="129"/>
      <c r="I277" s="129"/>
      <c r="J277" s="129"/>
    </row>
    <row r="278" spans="3:10">
      <c r="C278" s="129"/>
      <c r="D278" s="129"/>
      <c r="E278" s="129"/>
      <c r="F278" s="129"/>
      <c r="G278" s="129"/>
      <c r="H278" s="129"/>
      <c r="I278" s="129"/>
      <c r="J278" s="129"/>
    </row>
    <row r="279" spans="3:10">
      <c r="C279" s="129"/>
      <c r="D279" s="129"/>
      <c r="E279" s="129"/>
      <c r="F279" s="129"/>
      <c r="G279" s="129"/>
      <c r="H279" s="129"/>
      <c r="I279" s="129"/>
      <c r="J279" s="129"/>
    </row>
    <row r="280" spans="3:10">
      <c r="C280" s="129"/>
      <c r="D280" s="129"/>
      <c r="E280" s="129"/>
      <c r="F280" s="129"/>
      <c r="G280" s="129"/>
      <c r="H280" s="129"/>
      <c r="I280" s="129"/>
      <c r="J280" s="129"/>
    </row>
    <row r="281" spans="3:10">
      <c r="C281" s="129"/>
      <c r="D281" s="129"/>
      <c r="E281" s="129"/>
      <c r="F281" s="129"/>
      <c r="G281" s="129"/>
      <c r="H281" s="129"/>
      <c r="I281" s="129"/>
      <c r="J281" s="129"/>
    </row>
    <row r="282" spans="3:10">
      <c r="C282" s="129"/>
      <c r="D282" s="129"/>
      <c r="E282" s="129"/>
      <c r="F282" s="129"/>
      <c r="G282" s="129"/>
      <c r="H282" s="129"/>
      <c r="I282" s="129"/>
      <c r="J282" s="129"/>
    </row>
    <row r="283" spans="3:10">
      <c r="C283" s="129"/>
      <c r="D283" s="129"/>
      <c r="E283" s="129"/>
      <c r="F283" s="129"/>
      <c r="G283" s="129"/>
      <c r="H283" s="129"/>
      <c r="I283" s="129"/>
      <c r="J283" s="129"/>
    </row>
    <row r="284" spans="3:10">
      <c r="C284" s="129"/>
      <c r="D284" s="129"/>
      <c r="E284" s="129"/>
      <c r="F284" s="129"/>
      <c r="G284" s="129"/>
      <c r="H284" s="129"/>
      <c r="I284" s="129"/>
      <c r="J284" s="129"/>
    </row>
    <row r="285" spans="3:10">
      <c r="C285" s="129"/>
      <c r="D285" s="129"/>
      <c r="E285" s="129"/>
      <c r="F285" s="129"/>
      <c r="G285" s="129"/>
      <c r="H285" s="129"/>
      <c r="I285" s="129"/>
      <c r="J285" s="129"/>
    </row>
    <row r="286" spans="3:10">
      <c r="C286" s="129"/>
      <c r="D286" s="129"/>
      <c r="E286" s="129"/>
      <c r="F286" s="129"/>
      <c r="G286" s="129"/>
      <c r="H286" s="129"/>
      <c r="I286" s="129"/>
      <c r="J286" s="129"/>
    </row>
    <row r="287" spans="3:10">
      <c r="C287" s="129"/>
      <c r="D287" s="129"/>
      <c r="E287" s="129"/>
      <c r="F287" s="129"/>
      <c r="G287" s="129"/>
      <c r="H287" s="129"/>
      <c r="I287" s="129"/>
      <c r="J287" s="129"/>
    </row>
    <row r="288" spans="3:10">
      <c r="C288" s="129"/>
      <c r="D288" s="129"/>
      <c r="E288" s="129"/>
      <c r="F288" s="129"/>
      <c r="G288" s="129"/>
      <c r="H288" s="129"/>
      <c r="I288" s="129"/>
      <c r="J288" s="129"/>
    </row>
    <row r="289" spans="3:10">
      <c r="C289" s="129"/>
      <c r="D289" s="129"/>
      <c r="E289" s="129"/>
      <c r="F289" s="129"/>
      <c r="G289" s="129"/>
      <c r="H289" s="129"/>
      <c r="I289" s="129"/>
      <c r="J289" s="129"/>
    </row>
    <row r="290" spans="3:10">
      <c r="C290" s="129"/>
      <c r="D290" s="129"/>
      <c r="E290" s="129"/>
      <c r="F290" s="129"/>
      <c r="G290" s="129"/>
      <c r="H290" s="129"/>
      <c r="I290" s="129"/>
      <c r="J290" s="129"/>
    </row>
    <row r="291" spans="3:10">
      <c r="C291" s="129"/>
      <c r="D291" s="129"/>
      <c r="E291" s="129"/>
      <c r="F291" s="129"/>
      <c r="G291" s="129"/>
      <c r="H291" s="129"/>
      <c r="I291" s="129"/>
      <c r="J291" s="129"/>
    </row>
    <row r="292" spans="3:10">
      <c r="C292" s="129"/>
      <c r="D292" s="129"/>
      <c r="E292" s="129"/>
      <c r="F292" s="129"/>
      <c r="G292" s="129"/>
      <c r="H292" s="129"/>
      <c r="I292" s="129"/>
      <c r="J292" s="129"/>
    </row>
    <row r="293" spans="3:10">
      <c r="C293" s="129"/>
      <c r="D293" s="129"/>
      <c r="E293" s="129"/>
      <c r="F293" s="129"/>
      <c r="G293" s="129"/>
      <c r="H293" s="129"/>
      <c r="I293" s="129"/>
      <c r="J293" s="129"/>
    </row>
    <row r="294" spans="3:10">
      <c r="C294" s="129"/>
      <c r="D294" s="129"/>
      <c r="E294" s="129"/>
      <c r="F294" s="129"/>
      <c r="G294" s="129"/>
      <c r="H294" s="129"/>
      <c r="I294" s="129"/>
      <c r="J294" s="129"/>
    </row>
    <row r="295" spans="3:10">
      <c r="C295" s="129"/>
      <c r="D295" s="129"/>
      <c r="E295" s="129"/>
      <c r="F295" s="129"/>
      <c r="G295" s="129"/>
      <c r="H295" s="129"/>
      <c r="I295" s="129"/>
      <c r="J295" s="129"/>
    </row>
    <row r="296" spans="3:10">
      <c r="C296" s="129"/>
      <c r="D296" s="129"/>
      <c r="E296" s="129"/>
      <c r="F296" s="129"/>
      <c r="G296" s="129"/>
      <c r="H296" s="129"/>
      <c r="I296" s="129"/>
      <c r="J296" s="129"/>
    </row>
    <row r="297" spans="3:10">
      <c r="C297" s="129"/>
      <c r="D297" s="129"/>
      <c r="E297" s="129"/>
      <c r="F297" s="129"/>
      <c r="G297" s="129"/>
      <c r="H297" s="129"/>
      <c r="I297" s="129"/>
      <c r="J297" s="129"/>
    </row>
    <row r="298" spans="3:10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99:X99"/>
    <mergeCell ref="M100:X100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6" orientation="landscape" horizontalDpi="300" verticalDpi="300" r:id="rId1"/>
  <headerFooter alignWithMargins="0"/>
  <rowBreaks count="1" manualBreakCount="1">
    <brk id="48" min="10" max="2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5">
    <tabColor rgb="FFFF3300"/>
    <pageSetUpPr fitToPage="1"/>
  </sheetPr>
  <dimension ref="A1:X298"/>
  <sheetViews>
    <sheetView view="pageBreakPreview" zoomScale="60" zoomScaleNormal="75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53.21875" customWidth="1"/>
    <col min="4" max="4" width="1.109375" customWidth="1"/>
    <col min="5" max="5" width="37.109375" customWidth="1"/>
    <col min="6" max="6" width="1" customWidth="1"/>
    <col min="7" max="7" width="14.109375" customWidth="1"/>
    <col min="8" max="8" width="1" customWidth="1"/>
    <col min="9" max="9" width="12.77734375" customWidth="1"/>
    <col min="10" max="10" width="2.109375" customWidth="1"/>
    <col min="11" max="11" width="4.77734375" customWidth="1"/>
    <col min="12" max="12" width="2.77734375" customWidth="1"/>
    <col min="13" max="13" width="26.77734375" customWidth="1"/>
    <col min="14" max="14" width="9.21875" customWidth="1"/>
    <col min="15" max="15" width="10.77734375" customWidth="1"/>
    <col min="16" max="16" width="13.109375" customWidth="1"/>
    <col min="17" max="17" width="13.21875" customWidth="1"/>
    <col min="18" max="18" width="11.21875" customWidth="1"/>
    <col min="19" max="19" width="14.77734375" customWidth="1"/>
    <col min="20" max="20" width="14" customWidth="1"/>
    <col min="21" max="21" width="11.77734375" customWidth="1"/>
    <col min="22" max="22" width="16.109375" customWidth="1"/>
    <col min="23" max="23" width="12.21875" customWidth="1"/>
    <col min="24" max="24" width="16.21875" customWidth="1"/>
    <col min="25" max="250" width="8.77734375"/>
    <col min="251" max="251" width="6" customWidth="1"/>
    <col min="252" max="252" width="1.44140625" customWidth="1"/>
    <col min="253" max="253" width="39.109375" customWidth="1"/>
    <col min="254" max="254" width="12" customWidth="1"/>
    <col min="255" max="255" width="14.44140625" customWidth="1"/>
    <col min="256" max="256" width="11.77734375" customWidth="1"/>
    <col min="257" max="257" width="14.109375" customWidth="1"/>
    <col min="258" max="258" width="13.77734375" customWidth="1"/>
    <col min="259" max="260" width="12.77734375" customWidth="1"/>
    <col min="261" max="261" width="13.5546875" customWidth="1"/>
    <col min="262" max="262" width="15.21875" customWidth="1"/>
    <col min="263" max="263" width="12.77734375" customWidth="1"/>
    <col min="264" max="264" width="13.77734375" customWidth="1"/>
    <col min="265" max="265" width="1.77734375" customWidth="1"/>
    <col min="266" max="266" width="13" customWidth="1"/>
    <col min="267" max="506" width="8.77734375"/>
    <col min="507" max="507" width="6" customWidth="1"/>
    <col min="508" max="508" width="1.44140625" customWidth="1"/>
    <col min="509" max="509" width="39.109375" customWidth="1"/>
    <col min="510" max="510" width="12" customWidth="1"/>
    <col min="511" max="511" width="14.44140625" customWidth="1"/>
    <col min="512" max="512" width="11.77734375" customWidth="1"/>
    <col min="513" max="513" width="14.109375" customWidth="1"/>
    <col min="514" max="514" width="13.77734375" customWidth="1"/>
    <col min="515" max="516" width="12.77734375" customWidth="1"/>
    <col min="517" max="517" width="13.5546875" customWidth="1"/>
    <col min="518" max="518" width="15.21875" customWidth="1"/>
    <col min="519" max="519" width="12.77734375" customWidth="1"/>
    <col min="520" max="520" width="13.77734375" customWidth="1"/>
    <col min="521" max="521" width="1.77734375" customWidth="1"/>
    <col min="522" max="522" width="13" customWidth="1"/>
    <col min="523" max="762" width="8.77734375"/>
    <col min="763" max="763" width="6" customWidth="1"/>
    <col min="764" max="764" width="1.44140625" customWidth="1"/>
    <col min="765" max="765" width="39.109375" customWidth="1"/>
    <col min="766" max="766" width="12" customWidth="1"/>
    <col min="767" max="767" width="14.44140625" customWidth="1"/>
    <col min="768" max="768" width="11.77734375" customWidth="1"/>
    <col min="769" max="769" width="14.109375" customWidth="1"/>
    <col min="770" max="770" width="13.77734375" customWidth="1"/>
    <col min="771" max="772" width="12.77734375" customWidth="1"/>
    <col min="773" max="773" width="13.5546875" customWidth="1"/>
    <col min="774" max="774" width="15.21875" customWidth="1"/>
    <col min="775" max="775" width="12.77734375" customWidth="1"/>
    <col min="776" max="776" width="13.77734375" customWidth="1"/>
    <col min="777" max="777" width="1.77734375" customWidth="1"/>
    <col min="778" max="778" width="13" customWidth="1"/>
    <col min="779" max="1018" width="8.77734375"/>
    <col min="1019" max="1019" width="6" customWidth="1"/>
    <col min="1020" max="1020" width="1.44140625" customWidth="1"/>
    <col min="1021" max="1021" width="39.109375" customWidth="1"/>
    <col min="1022" max="1022" width="12" customWidth="1"/>
    <col min="1023" max="1023" width="14.44140625" customWidth="1"/>
    <col min="1024" max="1024" width="11.77734375" customWidth="1"/>
    <col min="1025" max="1025" width="14.109375" customWidth="1"/>
    <col min="1026" max="1026" width="13.77734375" customWidth="1"/>
    <col min="1027" max="1028" width="12.77734375" customWidth="1"/>
    <col min="1029" max="1029" width="13.5546875" customWidth="1"/>
    <col min="1030" max="1030" width="15.21875" customWidth="1"/>
    <col min="1031" max="1031" width="12.77734375" customWidth="1"/>
    <col min="1032" max="1032" width="13.77734375" customWidth="1"/>
    <col min="1033" max="1033" width="1.77734375" customWidth="1"/>
    <col min="1034" max="1034" width="13" customWidth="1"/>
    <col min="1035" max="1274" width="8.77734375"/>
    <col min="1275" max="1275" width="6" customWidth="1"/>
    <col min="1276" max="1276" width="1.44140625" customWidth="1"/>
    <col min="1277" max="1277" width="39.109375" customWidth="1"/>
    <col min="1278" max="1278" width="12" customWidth="1"/>
    <col min="1279" max="1279" width="14.44140625" customWidth="1"/>
    <col min="1280" max="1280" width="11.77734375" customWidth="1"/>
    <col min="1281" max="1281" width="14.109375" customWidth="1"/>
    <col min="1282" max="1282" width="13.77734375" customWidth="1"/>
    <col min="1283" max="1284" width="12.77734375" customWidth="1"/>
    <col min="1285" max="1285" width="13.5546875" customWidth="1"/>
    <col min="1286" max="1286" width="15.21875" customWidth="1"/>
    <col min="1287" max="1287" width="12.77734375" customWidth="1"/>
    <col min="1288" max="1288" width="13.77734375" customWidth="1"/>
    <col min="1289" max="1289" width="1.77734375" customWidth="1"/>
    <col min="1290" max="1290" width="13" customWidth="1"/>
    <col min="1291" max="1530" width="8.77734375"/>
    <col min="1531" max="1531" width="6" customWidth="1"/>
    <col min="1532" max="1532" width="1.44140625" customWidth="1"/>
    <col min="1533" max="1533" width="39.109375" customWidth="1"/>
    <col min="1534" max="1534" width="12" customWidth="1"/>
    <col min="1535" max="1535" width="14.44140625" customWidth="1"/>
    <col min="1536" max="1536" width="11.77734375" customWidth="1"/>
    <col min="1537" max="1537" width="14.109375" customWidth="1"/>
    <col min="1538" max="1538" width="13.77734375" customWidth="1"/>
    <col min="1539" max="1540" width="12.77734375" customWidth="1"/>
    <col min="1541" max="1541" width="13.5546875" customWidth="1"/>
    <col min="1542" max="1542" width="15.21875" customWidth="1"/>
    <col min="1543" max="1543" width="12.77734375" customWidth="1"/>
    <col min="1544" max="1544" width="13.77734375" customWidth="1"/>
    <col min="1545" max="1545" width="1.77734375" customWidth="1"/>
    <col min="1546" max="1546" width="13" customWidth="1"/>
    <col min="1547" max="1786" width="8.77734375"/>
    <col min="1787" max="1787" width="6" customWidth="1"/>
    <col min="1788" max="1788" width="1.44140625" customWidth="1"/>
    <col min="1789" max="1789" width="39.109375" customWidth="1"/>
    <col min="1790" max="1790" width="12" customWidth="1"/>
    <col min="1791" max="1791" width="14.44140625" customWidth="1"/>
    <col min="1792" max="1792" width="11.77734375" customWidth="1"/>
    <col min="1793" max="1793" width="14.109375" customWidth="1"/>
    <col min="1794" max="1794" width="13.77734375" customWidth="1"/>
    <col min="1795" max="1796" width="12.77734375" customWidth="1"/>
    <col min="1797" max="1797" width="13.5546875" customWidth="1"/>
    <col min="1798" max="1798" width="15.21875" customWidth="1"/>
    <col min="1799" max="1799" width="12.77734375" customWidth="1"/>
    <col min="1800" max="1800" width="13.77734375" customWidth="1"/>
    <col min="1801" max="1801" width="1.77734375" customWidth="1"/>
    <col min="1802" max="1802" width="13" customWidth="1"/>
    <col min="1803" max="2042" width="8.77734375"/>
    <col min="2043" max="2043" width="6" customWidth="1"/>
    <col min="2044" max="2044" width="1.44140625" customWidth="1"/>
    <col min="2045" max="2045" width="39.109375" customWidth="1"/>
    <col min="2046" max="2046" width="12" customWidth="1"/>
    <col min="2047" max="2047" width="14.44140625" customWidth="1"/>
    <col min="2048" max="2048" width="11.77734375" customWidth="1"/>
    <col min="2049" max="2049" width="14.109375" customWidth="1"/>
    <col min="2050" max="2050" width="13.77734375" customWidth="1"/>
    <col min="2051" max="2052" width="12.77734375" customWidth="1"/>
    <col min="2053" max="2053" width="13.5546875" customWidth="1"/>
    <col min="2054" max="2054" width="15.21875" customWidth="1"/>
    <col min="2055" max="2055" width="12.77734375" customWidth="1"/>
    <col min="2056" max="2056" width="13.77734375" customWidth="1"/>
    <col min="2057" max="2057" width="1.77734375" customWidth="1"/>
    <col min="2058" max="2058" width="13" customWidth="1"/>
    <col min="2059" max="2298" width="8.77734375"/>
    <col min="2299" max="2299" width="6" customWidth="1"/>
    <col min="2300" max="2300" width="1.44140625" customWidth="1"/>
    <col min="2301" max="2301" width="39.109375" customWidth="1"/>
    <col min="2302" max="2302" width="12" customWidth="1"/>
    <col min="2303" max="2303" width="14.44140625" customWidth="1"/>
    <col min="2304" max="2304" width="11.77734375" customWidth="1"/>
    <col min="2305" max="2305" width="14.109375" customWidth="1"/>
    <col min="2306" max="2306" width="13.77734375" customWidth="1"/>
    <col min="2307" max="2308" width="12.77734375" customWidth="1"/>
    <col min="2309" max="2309" width="13.5546875" customWidth="1"/>
    <col min="2310" max="2310" width="15.21875" customWidth="1"/>
    <col min="2311" max="2311" width="12.77734375" customWidth="1"/>
    <col min="2312" max="2312" width="13.77734375" customWidth="1"/>
    <col min="2313" max="2313" width="1.77734375" customWidth="1"/>
    <col min="2314" max="2314" width="13" customWidth="1"/>
    <col min="2315" max="2554" width="8.77734375"/>
    <col min="2555" max="2555" width="6" customWidth="1"/>
    <col min="2556" max="2556" width="1.44140625" customWidth="1"/>
    <col min="2557" max="2557" width="39.109375" customWidth="1"/>
    <col min="2558" max="2558" width="12" customWidth="1"/>
    <col min="2559" max="2559" width="14.44140625" customWidth="1"/>
    <col min="2560" max="2560" width="11.77734375" customWidth="1"/>
    <col min="2561" max="2561" width="14.109375" customWidth="1"/>
    <col min="2562" max="2562" width="13.77734375" customWidth="1"/>
    <col min="2563" max="2564" width="12.77734375" customWidth="1"/>
    <col min="2565" max="2565" width="13.5546875" customWidth="1"/>
    <col min="2566" max="2566" width="15.21875" customWidth="1"/>
    <col min="2567" max="2567" width="12.77734375" customWidth="1"/>
    <col min="2568" max="2568" width="13.77734375" customWidth="1"/>
    <col min="2569" max="2569" width="1.77734375" customWidth="1"/>
    <col min="2570" max="2570" width="13" customWidth="1"/>
    <col min="2571" max="2810" width="8.77734375"/>
    <col min="2811" max="2811" width="6" customWidth="1"/>
    <col min="2812" max="2812" width="1.44140625" customWidth="1"/>
    <col min="2813" max="2813" width="39.109375" customWidth="1"/>
    <col min="2814" max="2814" width="12" customWidth="1"/>
    <col min="2815" max="2815" width="14.44140625" customWidth="1"/>
    <col min="2816" max="2816" width="11.77734375" customWidth="1"/>
    <col min="2817" max="2817" width="14.109375" customWidth="1"/>
    <col min="2818" max="2818" width="13.77734375" customWidth="1"/>
    <col min="2819" max="2820" width="12.77734375" customWidth="1"/>
    <col min="2821" max="2821" width="13.5546875" customWidth="1"/>
    <col min="2822" max="2822" width="15.21875" customWidth="1"/>
    <col min="2823" max="2823" width="12.77734375" customWidth="1"/>
    <col min="2824" max="2824" width="13.77734375" customWidth="1"/>
    <col min="2825" max="2825" width="1.77734375" customWidth="1"/>
    <col min="2826" max="2826" width="13" customWidth="1"/>
    <col min="2827" max="3066" width="8.77734375"/>
    <col min="3067" max="3067" width="6" customWidth="1"/>
    <col min="3068" max="3068" width="1.44140625" customWidth="1"/>
    <col min="3069" max="3069" width="39.109375" customWidth="1"/>
    <col min="3070" max="3070" width="12" customWidth="1"/>
    <col min="3071" max="3071" width="14.44140625" customWidth="1"/>
    <col min="3072" max="3072" width="11.77734375" customWidth="1"/>
    <col min="3073" max="3073" width="14.109375" customWidth="1"/>
    <col min="3074" max="3074" width="13.77734375" customWidth="1"/>
    <col min="3075" max="3076" width="12.77734375" customWidth="1"/>
    <col min="3077" max="3077" width="13.5546875" customWidth="1"/>
    <col min="3078" max="3078" width="15.21875" customWidth="1"/>
    <col min="3079" max="3079" width="12.77734375" customWidth="1"/>
    <col min="3080" max="3080" width="13.77734375" customWidth="1"/>
    <col min="3081" max="3081" width="1.77734375" customWidth="1"/>
    <col min="3082" max="3082" width="13" customWidth="1"/>
    <col min="3083" max="3322" width="8.77734375"/>
    <col min="3323" max="3323" width="6" customWidth="1"/>
    <col min="3324" max="3324" width="1.44140625" customWidth="1"/>
    <col min="3325" max="3325" width="39.109375" customWidth="1"/>
    <col min="3326" max="3326" width="12" customWidth="1"/>
    <col min="3327" max="3327" width="14.44140625" customWidth="1"/>
    <col min="3328" max="3328" width="11.77734375" customWidth="1"/>
    <col min="3329" max="3329" width="14.109375" customWidth="1"/>
    <col min="3330" max="3330" width="13.77734375" customWidth="1"/>
    <col min="3331" max="3332" width="12.77734375" customWidth="1"/>
    <col min="3333" max="3333" width="13.5546875" customWidth="1"/>
    <col min="3334" max="3334" width="15.21875" customWidth="1"/>
    <col min="3335" max="3335" width="12.77734375" customWidth="1"/>
    <col min="3336" max="3336" width="13.77734375" customWidth="1"/>
    <col min="3337" max="3337" width="1.77734375" customWidth="1"/>
    <col min="3338" max="3338" width="13" customWidth="1"/>
    <col min="3339" max="3578" width="8.77734375"/>
    <col min="3579" max="3579" width="6" customWidth="1"/>
    <col min="3580" max="3580" width="1.44140625" customWidth="1"/>
    <col min="3581" max="3581" width="39.109375" customWidth="1"/>
    <col min="3582" max="3582" width="12" customWidth="1"/>
    <col min="3583" max="3583" width="14.44140625" customWidth="1"/>
    <col min="3584" max="3584" width="11.77734375" customWidth="1"/>
    <col min="3585" max="3585" width="14.109375" customWidth="1"/>
    <col min="3586" max="3586" width="13.77734375" customWidth="1"/>
    <col min="3587" max="3588" width="12.77734375" customWidth="1"/>
    <col min="3589" max="3589" width="13.5546875" customWidth="1"/>
    <col min="3590" max="3590" width="15.21875" customWidth="1"/>
    <col min="3591" max="3591" width="12.77734375" customWidth="1"/>
    <col min="3592" max="3592" width="13.77734375" customWidth="1"/>
    <col min="3593" max="3593" width="1.77734375" customWidth="1"/>
    <col min="3594" max="3594" width="13" customWidth="1"/>
    <col min="3595" max="3834" width="8.77734375"/>
    <col min="3835" max="3835" width="6" customWidth="1"/>
    <col min="3836" max="3836" width="1.44140625" customWidth="1"/>
    <col min="3837" max="3837" width="39.109375" customWidth="1"/>
    <col min="3838" max="3838" width="12" customWidth="1"/>
    <col min="3839" max="3839" width="14.44140625" customWidth="1"/>
    <col min="3840" max="3840" width="11.77734375" customWidth="1"/>
    <col min="3841" max="3841" width="14.109375" customWidth="1"/>
    <col min="3842" max="3842" width="13.77734375" customWidth="1"/>
    <col min="3843" max="3844" width="12.77734375" customWidth="1"/>
    <col min="3845" max="3845" width="13.5546875" customWidth="1"/>
    <col min="3846" max="3846" width="15.21875" customWidth="1"/>
    <col min="3847" max="3847" width="12.77734375" customWidth="1"/>
    <col min="3848" max="3848" width="13.77734375" customWidth="1"/>
    <col min="3849" max="3849" width="1.77734375" customWidth="1"/>
    <col min="3850" max="3850" width="13" customWidth="1"/>
    <col min="3851" max="4090" width="8.77734375"/>
    <col min="4091" max="4091" width="6" customWidth="1"/>
    <col min="4092" max="4092" width="1.44140625" customWidth="1"/>
    <col min="4093" max="4093" width="39.109375" customWidth="1"/>
    <col min="4094" max="4094" width="12" customWidth="1"/>
    <col min="4095" max="4095" width="14.44140625" customWidth="1"/>
    <col min="4096" max="4096" width="11.77734375" customWidth="1"/>
    <col min="4097" max="4097" width="14.109375" customWidth="1"/>
    <col min="4098" max="4098" width="13.77734375" customWidth="1"/>
    <col min="4099" max="4100" width="12.77734375" customWidth="1"/>
    <col min="4101" max="4101" width="13.5546875" customWidth="1"/>
    <col min="4102" max="4102" width="15.21875" customWidth="1"/>
    <col min="4103" max="4103" width="12.77734375" customWidth="1"/>
    <col min="4104" max="4104" width="13.77734375" customWidth="1"/>
    <col min="4105" max="4105" width="1.77734375" customWidth="1"/>
    <col min="4106" max="4106" width="13" customWidth="1"/>
    <col min="4107" max="4346" width="8.77734375"/>
    <col min="4347" max="4347" width="6" customWidth="1"/>
    <col min="4348" max="4348" width="1.44140625" customWidth="1"/>
    <col min="4349" max="4349" width="39.109375" customWidth="1"/>
    <col min="4350" max="4350" width="12" customWidth="1"/>
    <col min="4351" max="4351" width="14.44140625" customWidth="1"/>
    <col min="4352" max="4352" width="11.77734375" customWidth="1"/>
    <col min="4353" max="4353" width="14.109375" customWidth="1"/>
    <col min="4354" max="4354" width="13.77734375" customWidth="1"/>
    <col min="4355" max="4356" width="12.77734375" customWidth="1"/>
    <col min="4357" max="4357" width="13.5546875" customWidth="1"/>
    <col min="4358" max="4358" width="15.21875" customWidth="1"/>
    <col min="4359" max="4359" width="12.77734375" customWidth="1"/>
    <col min="4360" max="4360" width="13.77734375" customWidth="1"/>
    <col min="4361" max="4361" width="1.77734375" customWidth="1"/>
    <col min="4362" max="4362" width="13" customWidth="1"/>
    <col min="4363" max="4602" width="8.77734375"/>
    <col min="4603" max="4603" width="6" customWidth="1"/>
    <col min="4604" max="4604" width="1.44140625" customWidth="1"/>
    <col min="4605" max="4605" width="39.109375" customWidth="1"/>
    <col min="4606" max="4606" width="12" customWidth="1"/>
    <col min="4607" max="4607" width="14.44140625" customWidth="1"/>
    <col min="4608" max="4608" width="11.77734375" customWidth="1"/>
    <col min="4609" max="4609" width="14.109375" customWidth="1"/>
    <col min="4610" max="4610" width="13.77734375" customWidth="1"/>
    <col min="4611" max="4612" width="12.77734375" customWidth="1"/>
    <col min="4613" max="4613" width="13.5546875" customWidth="1"/>
    <col min="4614" max="4614" width="15.21875" customWidth="1"/>
    <col min="4615" max="4615" width="12.77734375" customWidth="1"/>
    <col min="4616" max="4616" width="13.77734375" customWidth="1"/>
    <col min="4617" max="4617" width="1.77734375" customWidth="1"/>
    <col min="4618" max="4618" width="13" customWidth="1"/>
    <col min="4619" max="4858" width="8.77734375"/>
    <col min="4859" max="4859" width="6" customWidth="1"/>
    <col min="4860" max="4860" width="1.44140625" customWidth="1"/>
    <col min="4861" max="4861" width="39.109375" customWidth="1"/>
    <col min="4862" max="4862" width="12" customWidth="1"/>
    <col min="4863" max="4863" width="14.44140625" customWidth="1"/>
    <col min="4864" max="4864" width="11.77734375" customWidth="1"/>
    <col min="4865" max="4865" width="14.109375" customWidth="1"/>
    <col min="4866" max="4866" width="13.77734375" customWidth="1"/>
    <col min="4867" max="4868" width="12.77734375" customWidth="1"/>
    <col min="4869" max="4869" width="13.5546875" customWidth="1"/>
    <col min="4870" max="4870" width="15.21875" customWidth="1"/>
    <col min="4871" max="4871" width="12.77734375" customWidth="1"/>
    <col min="4872" max="4872" width="13.77734375" customWidth="1"/>
    <col min="4873" max="4873" width="1.77734375" customWidth="1"/>
    <col min="4874" max="4874" width="13" customWidth="1"/>
    <col min="4875" max="5114" width="8.77734375"/>
    <col min="5115" max="5115" width="6" customWidth="1"/>
    <col min="5116" max="5116" width="1.44140625" customWidth="1"/>
    <col min="5117" max="5117" width="39.109375" customWidth="1"/>
    <col min="5118" max="5118" width="12" customWidth="1"/>
    <col min="5119" max="5119" width="14.44140625" customWidth="1"/>
    <col min="5120" max="5120" width="11.77734375" customWidth="1"/>
    <col min="5121" max="5121" width="14.109375" customWidth="1"/>
    <col min="5122" max="5122" width="13.77734375" customWidth="1"/>
    <col min="5123" max="5124" width="12.77734375" customWidth="1"/>
    <col min="5125" max="5125" width="13.5546875" customWidth="1"/>
    <col min="5126" max="5126" width="15.21875" customWidth="1"/>
    <col min="5127" max="5127" width="12.77734375" customWidth="1"/>
    <col min="5128" max="5128" width="13.77734375" customWidth="1"/>
    <col min="5129" max="5129" width="1.77734375" customWidth="1"/>
    <col min="5130" max="5130" width="13" customWidth="1"/>
    <col min="5131" max="5370" width="8.77734375"/>
    <col min="5371" max="5371" width="6" customWidth="1"/>
    <col min="5372" max="5372" width="1.44140625" customWidth="1"/>
    <col min="5373" max="5373" width="39.109375" customWidth="1"/>
    <col min="5374" max="5374" width="12" customWidth="1"/>
    <col min="5375" max="5375" width="14.44140625" customWidth="1"/>
    <col min="5376" max="5376" width="11.77734375" customWidth="1"/>
    <col min="5377" max="5377" width="14.109375" customWidth="1"/>
    <col min="5378" max="5378" width="13.77734375" customWidth="1"/>
    <col min="5379" max="5380" width="12.77734375" customWidth="1"/>
    <col min="5381" max="5381" width="13.5546875" customWidth="1"/>
    <col min="5382" max="5382" width="15.21875" customWidth="1"/>
    <col min="5383" max="5383" width="12.77734375" customWidth="1"/>
    <col min="5384" max="5384" width="13.77734375" customWidth="1"/>
    <col min="5385" max="5385" width="1.77734375" customWidth="1"/>
    <col min="5386" max="5386" width="13" customWidth="1"/>
    <col min="5387" max="5626" width="8.77734375"/>
    <col min="5627" max="5627" width="6" customWidth="1"/>
    <col min="5628" max="5628" width="1.44140625" customWidth="1"/>
    <col min="5629" max="5629" width="39.109375" customWidth="1"/>
    <col min="5630" max="5630" width="12" customWidth="1"/>
    <col min="5631" max="5631" width="14.44140625" customWidth="1"/>
    <col min="5632" max="5632" width="11.77734375" customWidth="1"/>
    <col min="5633" max="5633" width="14.109375" customWidth="1"/>
    <col min="5634" max="5634" width="13.77734375" customWidth="1"/>
    <col min="5635" max="5636" width="12.77734375" customWidth="1"/>
    <col min="5637" max="5637" width="13.5546875" customWidth="1"/>
    <col min="5638" max="5638" width="15.21875" customWidth="1"/>
    <col min="5639" max="5639" width="12.77734375" customWidth="1"/>
    <col min="5640" max="5640" width="13.77734375" customWidth="1"/>
    <col min="5641" max="5641" width="1.77734375" customWidth="1"/>
    <col min="5642" max="5642" width="13" customWidth="1"/>
    <col min="5643" max="5882" width="8.77734375"/>
    <col min="5883" max="5883" width="6" customWidth="1"/>
    <col min="5884" max="5884" width="1.44140625" customWidth="1"/>
    <col min="5885" max="5885" width="39.109375" customWidth="1"/>
    <col min="5886" max="5886" width="12" customWidth="1"/>
    <col min="5887" max="5887" width="14.44140625" customWidth="1"/>
    <col min="5888" max="5888" width="11.77734375" customWidth="1"/>
    <col min="5889" max="5889" width="14.109375" customWidth="1"/>
    <col min="5890" max="5890" width="13.77734375" customWidth="1"/>
    <col min="5891" max="5892" width="12.77734375" customWidth="1"/>
    <col min="5893" max="5893" width="13.5546875" customWidth="1"/>
    <col min="5894" max="5894" width="15.21875" customWidth="1"/>
    <col min="5895" max="5895" width="12.77734375" customWidth="1"/>
    <col min="5896" max="5896" width="13.77734375" customWidth="1"/>
    <col min="5897" max="5897" width="1.77734375" customWidth="1"/>
    <col min="5898" max="5898" width="13" customWidth="1"/>
    <col min="5899" max="6138" width="8.77734375"/>
    <col min="6139" max="6139" width="6" customWidth="1"/>
    <col min="6140" max="6140" width="1.44140625" customWidth="1"/>
    <col min="6141" max="6141" width="39.109375" customWidth="1"/>
    <col min="6142" max="6142" width="12" customWidth="1"/>
    <col min="6143" max="6143" width="14.44140625" customWidth="1"/>
    <col min="6144" max="6144" width="11.77734375" customWidth="1"/>
    <col min="6145" max="6145" width="14.109375" customWidth="1"/>
    <col min="6146" max="6146" width="13.77734375" customWidth="1"/>
    <col min="6147" max="6148" width="12.77734375" customWidth="1"/>
    <col min="6149" max="6149" width="13.5546875" customWidth="1"/>
    <col min="6150" max="6150" width="15.21875" customWidth="1"/>
    <col min="6151" max="6151" width="12.77734375" customWidth="1"/>
    <col min="6152" max="6152" width="13.77734375" customWidth="1"/>
    <col min="6153" max="6153" width="1.77734375" customWidth="1"/>
    <col min="6154" max="6154" width="13" customWidth="1"/>
    <col min="6155" max="6394" width="8.77734375"/>
    <col min="6395" max="6395" width="6" customWidth="1"/>
    <col min="6396" max="6396" width="1.44140625" customWidth="1"/>
    <col min="6397" max="6397" width="39.109375" customWidth="1"/>
    <col min="6398" max="6398" width="12" customWidth="1"/>
    <col min="6399" max="6399" width="14.44140625" customWidth="1"/>
    <col min="6400" max="6400" width="11.77734375" customWidth="1"/>
    <col min="6401" max="6401" width="14.109375" customWidth="1"/>
    <col min="6402" max="6402" width="13.77734375" customWidth="1"/>
    <col min="6403" max="6404" width="12.77734375" customWidth="1"/>
    <col min="6405" max="6405" width="13.5546875" customWidth="1"/>
    <col min="6406" max="6406" width="15.21875" customWidth="1"/>
    <col min="6407" max="6407" width="12.77734375" customWidth="1"/>
    <col min="6408" max="6408" width="13.77734375" customWidth="1"/>
    <col min="6409" max="6409" width="1.77734375" customWidth="1"/>
    <col min="6410" max="6410" width="13" customWidth="1"/>
    <col min="6411" max="6650" width="8.77734375"/>
    <col min="6651" max="6651" width="6" customWidth="1"/>
    <col min="6652" max="6652" width="1.44140625" customWidth="1"/>
    <col min="6653" max="6653" width="39.109375" customWidth="1"/>
    <col min="6654" max="6654" width="12" customWidth="1"/>
    <col min="6655" max="6655" width="14.44140625" customWidth="1"/>
    <col min="6656" max="6656" width="11.77734375" customWidth="1"/>
    <col min="6657" max="6657" width="14.109375" customWidth="1"/>
    <col min="6658" max="6658" width="13.77734375" customWidth="1"/>
    <col min="6659" max="6660" width="12.77734375" customWidth="1"/>
    <col min="6661" max="6661" width="13.5546875" customWidth="1"/>
    <col min="6662" max="6662" width="15.21875" customWidth="1"/>
    <col min="6663" max="6663" width="12.77734375" customWidth="1"/>
    <col min="6664" max="6664" width="13.77734375" customWidth="1"/>
    <col min="6665" max="6665" width="1.77734375" customWidth="1"/>
    <col min="6666" max="6666" width="13" customWidth="1"/>
    <col min="6667" max="6906" width="8.77734375"/>
    <col min="6907" max="6907" width="6" customWidth="1"/>
    <col min="6908" max="6908" width="1.44140625" customWidth="1"/>
    <col min="6909" max="6909" width="39.109375" customWidth="1"/>
    <col min="6910" max="6910" width="12" customWidth="1"/>
    <col min="6911" max="6911" width="14.44140625" customWidth="1"/>
    <col min="6912" max="6912" width="11.77734375" customWidth="1"/>
    <col min="6913" max="6913" width="14.109375" customWidth="1"/>
    <col min="6914" max="6914" width="13.77734375" customWidth="1"/>
    <col min="6915" max="6916" width="12.77734375" customWidth="1"/>
    <col min="6917" max="6917" width="13.5546875" customWidth="1"/>
    <col min="6918" max="6918" width="15.21875" customWidth="1"/>
    <col min="6919" max="6919" width="12.77734375" customWidth="1"/>
    <col min="6920" max="6920" width="13.77734375" customWidth="1"/>
    <col min="6921" max="6921" width="1.77734375" customWidth="1"/>
    <col min="6922" max="6922" width="13" customWidth="1"/>
    <col min="6923" max="7162" width="8.77734375"/>
    <col min="7163" max="7163" width="6" customWidth="1"/>
    <col min="7164" max="7164" width="1.44140625" customWidth="1"/>
    <col min="7165" max="7165" width="39.109375" customWidth="1"/>
    <col min="7166" max="7166" width="12" customWidth="1"/>
    <col min="7167" max="7167" width="14.44140625" customWidth="1"/>
    <col min="7168" max="7168" width="11.77734375" customWidth="1"/>
    <col min="7169" max="7169" width="14.109375" customWidth="1"/>
    <col min="7170" max="7170" width="13.77734375" customWidth="1"/>
    <col min="7171" max="7172" width="12.77734375" customWidth="1"/>
    <col min="7173" max="7173" width="13.5546875" customWidth="1"/>
    <col min="7174" max="7174" width="15.21875" customWidth="1"/>
    <col min="7175" max="7175" width="12.77734375" customWidth="1"/>
    <col min="7176" max="7176" width="13.77734375" customWidth="1"/>
    <col min="7177" max="7177" width="1.77734375" customWidth="1"/>
    <col min="7178" max="7178" width="13" customWidth="1"/>
    <col min="7179" max="7418" width="8.77734375"/>
    <col min="7419" max="7419" width="6" customWidth="1"/>
    <col min="7420" max="7420" width="1.44140625" customWidth="1"/>
    <col min="7421" max="7421" width="39.109375" customWidth="1"/>
    <col min="7422" max="7422" width="12" customWidth="1"/>
    <col min="7423" max="7423" width="14.44140625" customWidth="1"/>
    <col min="7424" max="7424" width="11.77734375" customWidth="1"/>
    <col min="7425" max="7425" width="14.109375" customWidth="1"/>
    <col min="7426" max="7426" width="13.77734375" customWidth="1"/>
    <col min="7427" max="7428" width="12.77734375" customWidth="1"/>
    <col min="7429" max="7429" width="13.5546875" customWidth="1"/>
    <col min="7430" max="7430" width="15.21875" customWidth="1"/>
    <col min="7431" max="7431" width="12.77734375" customWidth="1"/>
    <col min="7432" max="7432" width="13.77734375" customWidth="1"/>
    <col min="7433" max="7433" width="1.77734375" customWidth="1"/>
    <col min="7434" max="7434" width="13" customWidth="1"/>
    <col min="7435" max="7674" width="8.77734375"/>
    <col min="7675" max="7675" width="6" customWidth="1"/>
    <col min="7676" max="7676" width="1.44140625" customWidth="1"/>
    <col min="7677" max="7677" width="39.109375" customWidth="1"/>
    <col min="7678" max="7678" width="12" customWidth="1"/>
    <col min="7679" max="7679" width="14.44140625" customWidth="1"/>
    <col min="7680" max="7680" width="11.77734375" customWidth="1"/>
    <col min="7681" max="7681" width="14.109375" customWidth="1"/>
    <col min="7682" max="7682" width="13.77734375" customWidth="1"/>
    <col min="7683" max="7684" width="12.77734375" customWidth="1"/>
    <col min="7685" max="7685" width="13.5546875" customWidth="1"/>
    <col min="7686" max="7686" width="15.21875" customWidth="1"/>
    <col min="7687" max="7687" width="12.77734375" customWidth="1"/>
    <col min="7688" max="7688" width="13.77734375" customWidth="1"/>
    <col min="7689" max="7689" width="1.77734375" customWidth="1"/>
    <col min="7690" max="7690" width="13" customWidth="1"/>
    <col min="7691" max="7930" width="8.77734375"/>
    <col min="7931" max="7931" width="6" customWidth="1"/>
    <col min="7932" max="7932" width="1.44140625" customWidth="1"/>
    <col min="7933" max="7933" width="39.109375" customWidth="1"/>
    <col min="7934" max="7934" width="12" customWidth="1"/>
    <col min="7935" max="7935" width="14.44140625" customWidth="1"/>
    <col min="7936" max="7936" width="11.77734375" customWidth="1"/>
    <col min="7937" max="7937" width="14.109375" customWidth="1"/>
    <col min="7938" max="7938" width="13.77734375" customWidth="1"/>
    <col min="7939" max="7940" width="12.77734375" customWidth="1"/>
    <col min="7941" max="7941" width="13.5546875" customWidth="1"/>
    <col min="7942" max="7942" width="15.21875" customWidth="1"/>
    <col min="7943" max="7943" width="12.77734375" customWidth="1"/>
    <col min="7944" max="7944" width="13.77734375" customWidth="1"/>
    <col min="7945" max="7945" width="1.77734375" customWidth="1"/>
    <col min="7946" max="7946" width="13" customWidth="1"/>
    <col min="7947" max="8186" width="8.77734375"/>
    <col min="8187" max="8187" width="6" customWidth="1"/>
    <col min="8188" max="8188" width="1.44140625" customWidth="1"/>
    <col min="8189" max="8189" width="39.109375" customWidth="1"/>
    <col min="8190" max="8190" width="12" customWidth="1"/>
    <col min="8191" max="8191" width="14.44140625" customWidth="1"/>
    <col min="8192" max="8192" width="11.77734375" customWidth="1"/>
    <col min="8193" max="8193" width="14.109375" customWidth="1"/>
    <col min="8194" max="8194" width="13.77734375" customWidth="1"/>
    <col min="8195" max="8196" width="12.77734375" customWidth="1"/>
    <col min="8197" max="8197" width="13.5546875" customWidth="1"/>
    <col min="8198" max="8198" width="15.21875" customWidth="1"/>
    <col min="8199" max="8199" width="12.77734375" customWidth="1"/>
    <col min="8200" max="8200" width="13.77734375" customWidth="1"/>
    <col min="8201" max="8201" width="1.77734375" customWidth="1"/>
    <col min="8202" max="8202" width="13" customWidth="1"/>
    <col min="8203" max="8442" width="8.77734375"/>
    <col min="8443" max="8443" width="6" customWidth="1"/>
    <col min="8444" max="8444" width="1.44140625" customWidth="1"/>
    <col min="8445" max="8445" width="39.109375" customWidth="1"/>
    <col min="8446" max="8446" width="12" customWidth="1"/>
    <col min="8447" max="8447" width="14.44140625" customWidth="1"/>
    <col min="8448" max="8448" width="11.77734375" customWidth="1"/>
    <col min="8449" max="8449" width="14.109375" customWidth="1"/>
    <col min="8450" max="8450" width="13.77734375" customWidth="1"/>
    <col min="8451" max="8452" width="12.77734375" customWidth="1"/>
    <col min="8453" max="8453" width="13.5546875" customWidth="1"/>
    <col min="8454" max="8454" width="15.21875" customWidth="1"/>
    <col min="8455" max="8455" width="12.77734375" customWidth="1"/>
    <col min="8456" max="8456" width="13.77734375" customWidth="1"/>
    <col min="8457" max="8457" width="1.77734375" customWidth="1"/>
    <col min="8458" max="8458" width="13" customWidth="1"/>
    <col min="8459" max="8698" width="8.77734375"/>
    <col min="8699" max="8699" width="6" customWidth="1"/>
    <col min="8700" max="8700" width="1.44140625" customWidth="1"/>
    <col min="8701" max="8701" width="39.109375" customWidth="1"/>
    <col min="8702" max="8702" width="12" customWidth="1"/>
    <col min="8703" max="8703" width="14.44140625" customWidth="1"/>
    <col min="8704" max="8704" width="11.77734375" customWidth="1"/>
    <col min="8705" max="8705" width="14.109375" customWidth="1"/>
    <col min="8706" max="8706" width="13.77734375" customWidth="1"/>
    <col min="8707" max="8708" width="12.77734375" customWidth="1"/>
    <col min="8709" max="8709" width="13.5546875" customWidth="1"/>
    <col min="8710" max="8710" width="15.21875" customWidth="1"/>
    <col min="8711" max="8711" width="12.77734375" customWidth="1"/>
    <col min="8712" max="8712" width="13.77734375" customWidth="1"/>
    <col min="8713" max="8713" width="1.77734375" customWidth="1"/>
    <col min="8714" max="8714" width="13" customWidth="1"/>
    <col min="8715" max="8954" width="8.77734375"/>
    <col min="8955" max="8955" width="6" customWidth="1"/>
    <col min="8956" max="8956" width="1.44140625" customWidth="1"/>
    <col min="8957" max="8957" width="39.109375" customWidth="1"/>
    <col min="8958" max="8958" width="12" customWidth="1"/>
    <col min="8959" max="8959" width="14.44140625" customWidth="1"/>
    <col min="8960" max="8960" width="11.77734375" customWidth="1"/>
    <col min="8961" max="8961" width="14.109375" customWidth="1"/>
    <col min="8962" max="8962" width="13.77734375" customWidth="1"/>
    <col min="8963" max="8964" width="12.77734375" customWidth="1"/>
    <col min="8965" max="8965" width="13.5546875" customWidth="1"/>
    <col min="8966" max="8966" width="15.21875" customWidth="1"/>
    <col min="8967" max="8967" width="12.77734375" customWidth="1"/>
    <col min="8968" max="8968" width="13.77734375" customWidth="1"/>
    <col min="8969" max="8969" width="1.77734375" customWidth="1"/>
    <col min="8970" max="8970" width="13" customWidth="1"/>
    <col min="8971" max="9210" width="8.77734375"/>
    <col min="9211" max="9211" width="6" customWidth="1"/>
    <col min="9212" max="9212" width="1.44140625" customWidth="1"/>
    <col min="9213" max="9213" width="39.109375" customWidth="1"/>
    <col min="9214" max="9214" width="12" customWidth="1"/>
    <col min="9215" max="9215" width="14.44140625" customWidth="1"/>
    <col min="9216" max="9216" width="11.77734375" customWidth="1"/>
    <col min="9217" max="9217" width="14.109375" customWidth="1"/>
    <col min="9218" max="9218" width="13.77734375" customWidth="1"/>
    <col min="9219" max="9220" width="12.77734375" customWidth="1"/>
    <col min="9221" max="9221" width="13.5546875" customWidth="1"/>
    <col min="9222" max="9222" width="15.21875" customWidth="1"/>
    <col min="9223" max="9223" width="12.77734375" customWidth="1"/>
    <col min="9224" max="9224" width="13.77734375" customWidth="1"/>
    <col min="9225" max="9225" width="1.77734375" customWidth="1"/>
    <col min="9226" max="9226" width="13" customWidth="1"/>
    <col min="9227" max="9466" width="8.77734375"/>
    <col min="9467" max="9467" width="6" customWidth="1"/>
    <col min="9468" max="9468" width="1.44140625" customWidth="1"/>
    <col min="9469" max="9469" width="39.109375" customWidth="1"/>
    <col min="9470" max="9470" width="12" customWidth="1"/>
    <col min="9471" max="9471" width="14.44140625" customWidth="1"/>
    <col min="9472" max="9472" width="11.77734375" customWidth="1"/>
    <col min="9473" max="9473" width="14.109375" customWidth="1"/>
    <col min="9474" max="9474" width="13.77734375" customWidth="1"/>
    <col min="9475" max="9476" width="12.77734375" customWidth="1"/>
    <col min="9477" max="9477" width="13.5546875" customWidth="1"/>
    <col min="9478" max="9478" width="15.21875" customWidth="1"/>
    <col min="9479" max="9479" width="12.77734375" customWidth="1"/>
    <col min="9480" max="9480" width="13.77734375" customWidth="1"/>
    <col min="9481" max="9481" width="1.77734375" customWidth="1"/>
    <col min="9482" max="9482" width="13" customWidth="1"/>
    <col min="9483" max="9722" width="8.77734375"/>
    <col min="9723" max="9723" width="6" customWidth="1"/>
    <col min="9724" max="9724" width="1.44140625" customWidth="1"/>
    <col min="9725" max="9725" width="39.109375" customWidth="1"/>
    <col min="9726" max="9726" width="12" customWidth="1"/>
    <col min="9727" max="9727" width="14.44140625" customWidth="1"/>
    <col min="9728" max="9728" width="11.77734375" customWidth="1"/>
    <col min="9729" max="9729" width="14.109375" customWidth="1"/>
    <col min="9730" max="9730" width="13.77734375" customWidth="1"/>
    <col min="9731" max="9732" width="12.77734375" customWidth="1"/>
    <col min="9733" max="9733" width="13.5546875" customWidth="1"/>
    <col min="9734" max="9734" width="15.21875" customWidth="1"/>
    <col min="9735" max="9735" width="12.77734375" customWidth="1"/>
    <col min="9736" max="9736" width="13.77734375" customWidth="1"/>
    <col min="9737" max="9737" width="1.77734375" customWidth="1"/>
    <col min="9738" max="9738" width="13" customWidth="1"/>
    <col min="9739" max="9978" width="8.77734375"/>
    <col min="9979" max="9979" width="6" customWidth="1"/>
    <col min="9980" max="9980" width="1.44140625" customWidth="1"/>
    <col min="9981" max="9981" width="39.109375" customWidth="1"/>
    <col min="9982" max="9982" width="12" customWidth="1"/>
    <col min="9983" max="9983" width="14.44140625" customWidth="1"/>
    <col min="9984" max="9984" width="11.77734375" customWidth="1"/>
    <col min="9985" max="9985" width="14.109375" customWidth="1"/>
    <col min="9986" max="9986" width="13.77734375" customWidth="1"/>
    <col min="9987" max="9988" width="12.77734375" customWidth="1"/>
    <col min="9989" max="9989" width="13.5546875" customWidth="1"/>
    <col min="9990" max="9990" width="15.21875" customWidth="1"/>
    <col min="9991" max="9991" width="12.77734375" customWidth="1"/>
    <col min="9992" max="9992" width="13.77734375" customWidth="1"/>
    <col min="9993" max="9993" width="1.77734375" customWidth="1"/>
    <col min="9994" max="9994" width="13" customWidth="1"/>
    <col min="9995" max="10234" width="8.77734375"/>
    <col min="10235" max="10235" width="6" customWidth="1"/>
    <col min="10236" max="10236" width="1.44140625" customWidth="1"/>
    <col min="10237" max="10237" width="39.109375" customWidth="1"/>
    <col min="10238" max="10238" width="12" customWidth="1"/>
    <col min="10239" max="10239" width="14.44140625" customWidth="1"/>
    <col min="10240" max="10240" width="11.77734375" customWidth="1"/>
    <col min="10241" max="10241" width="14.109375" customWidth="1"/>
    <col min="10242" max="10242" width="13.77734375" customWidth="1"/>
    <col min="10243" max="10244" width="12.77734375" customWidth="1"/>
    <col min="10245" max="10245" width="13.5546875" customWidth="1"/>
    <col min="10246" max="10246" width="15.21875" customWidth="1"/>
    <col min="10247" max="10247" width="12.77734375" customWidth="1"/>
    <col min="10248" max="10248" width="13.77734375" customWidth="1"/>
    <col min="10249" max="10249" width="1.77734375" customWidth="1"/>
    <col min="10250" max="10250" width="13" customWidth="1"/>
    <col min="10251" max="10490" width="8.77734375"/>
    <col min="10491" max="10491" width="6" customWidth="1"/>
    <col min="10492" max="10492" width="1.44140625" customWidth="1"/>
    <col min="10493" max="10493" width="39.109375" customWidth="1"/>
    <col min="10494" max="10494" width="12" customWidth="1"/>
    <col min="10495" max="10495" width="14.44140625" customWidth="1"/>
    <col min="10496" max="10496" width="11.77734375" customWidth="1"/>
    <col min="10497" max="10497" width="14.109375" customWidth="1"/>
    <col min="10498" max="10498" width="13.77734375" customWidth="1"/>
    <col min="10499" max="10500" width="12.77734375" customWidth="1"/>
    <col min="10501" max="10501" width="13.5546875" customWidth="1"/>
    <col min="10502" max="10502" width="15.21875" customWidth="1"/>
    <col min="10503" max="10503" width="12.77734375" customWidth="1"/>
    <col min="10504" max="10504" width="13.77734375" customWidth="1"/>
    <col min="10505" max="10505" width="1.77734375" customWidth="1"/>
    <col min="10506" max="10506" width="13" customWidth="1"/>
    <col min="10507" max="10746" width="8.77734375"/>
    <col min="10747" max="10747" width="6" customWidth="1"/>
    <col min="10748" max="10748" width="1.44140625" customWidth="1"/>
    <col min="10749" max="10749" width="39.109375" customWidth="1"/>
    <col min="10750" max="10750" width="12" customWidth="1"/>
    <col min="10751" max="10751" width="14.44140625" customWidth="1"/>
    <col min="10752" max="10752" width="11.77734375" customWidth="1"/>
    <col min="10753" max="10753" width="14.109375" customWidth="1"/>
    <col min="10754" max="10754" width="13.77734375" customWidth="1"/>
    <col min="10755" max="10756" width="12.77734375" customWidth="1"/>
    <col min="10757" max="10757" width="13.5546875" customWidth="1"/>
    <col min="10758" max="10758" width="15.21875" customWidth="1"/>
    <col min="10759" max="10759" width="12.77734375" customWidth="1"/>
    <col min="10760" max="10760" width="13.77734375" customWidth="1"/>
    <col min="10761" max="10761" width="1.77734375" customWidth="1"/>
    <col min="10762" max="10762" width="13" customWidth="1"/>
    <col min="10763" max="11002" width="8.77734375"/>
    <col min="11003" max="11003" width="6" customWidth="1"/>
    <col min="11004" max="11004" width="1.44140625" customWidth="1"/>
    <col min="11005" max="11005" width="39.109375" customWidth="1"/>
    <col min="11006" max="11006" width="12" customWidth="1"/>
    <col min="11007" max="11007" width="14.44140625" customWidth="1"/>
    <col min="11008" max="11008" width="11.77734375" customWidth="1"/>
    <col min="11009" max="11009" width="14.109375" customWidth="1"/>
    <col min="11010" max="11010" width="13.77734375" customWidth="1"/>
    <col min="11011" max="11012" width="12.77734375" customWidth="1"/>
    <col min="11013" max="11013" width="13.5546875" customWidth="1"/>
    <col min="11014" max="11014" width="15.21875" customWidth="1"/>
    <col min="11015" max="11015" width="12.77734375" customWidth="1"/>
    <col min="11016" max="11016" width="13.77734375" customWidth="1"/>
    <col min="11017" max="11017" width="1.77734375" customWidth="1"/>
    <col min="11018" max="11018" width="13" customWidth="1"/>
    <col min="11019" max="11258" width="8.77734375"/>
    <col min="11259" max="11259" width="6" customWidth="1"/>
    <col min="11260" max="11260" width="1.44140625" customWidth="1"/>
    <col min="11261" max="11261" width="39.109375" customWidth="1"/>
    <col min="11262" max="11262" width="12" customWidth="1"/>
    <col min="11263" max="11263" width="14.44140625" customWidth="1"/>
    <col min="11264" max="11264" width="11.77734375" customWidth="1"/>
    <col min="11265" max="11265" width="14.109375" customWidth="1"/>
    <col min="11266" max="11266" width="13.77734375" customWidth="1"/>
    <col min="11267" max="11268" width="12.77734375" customWidth="1"/>
    <col min="11269" max="11269" width="13.5546875" customWidth="1"/>
    <col min="11270" max="11270" width="15.21875" customWidth="1"/>
    <col min="11271" max="11271" width="12.77734375" customWidth="1"/>
    <col min="11272" max="11272" width="13.77734375" customWidth="1"/>
    <col min="11273" max="11273" width="1.77734375" customWidth="1"/>
    <col min="11274" max="11274" width="13" customWidth="1"/>
    <col min="11275" max="11514" width="8.77734375"/>
    <col min="11515" max="11515" width="6" customWidth="1"/>
    <col min="11516" max="11516" width="1.44140625" customWidth="1"/>
    <col min="11517" max="11517" width="39.109375" customWidth="1"/>
    <col min="11518" max="11518" width="12" customWidth="1"/>
    <col min="11519" max="11519" width="14.44140625" customWidth="1"/>
    <col min="11520" max="11520" width="11.77734375" customWidth="1"/>
    <col min="11521" max="11521" width="14.109375" customWidth="1"/>
    <col min="11522" max="11522" width="13.77734375" customWidth="1"/>
    <col min="11523" max="11524" width="12.77734375" customWidth="1"/>
    <col min="11525" max="11525" width="13.5546875" customWidth="1"/>
    <col min="11526" max="11526" width="15.21875" customWidth="1"/>
    <col min="11527" max="11527" width="12.77734375" customWidth="1"/>
    <col min="11528" max="11528" width="13.77734375" customWidth="1"/>
    <col min="11529" max="11529" width="1.77734375" customWidth="1"/>
    <col min="11530" max="11530" width="13" customWidth="1"/>
    <col min="11531" max="11770" width="8.77734375"/>
    <col min="11771" max="11771" width="6" customWidth="1"/>
    <col min="11772" max="11772" width="1.44140625" customWidth="1"/>
    <col min="11773" max="11773" width="39.109375" customWidth="1"/>
    <col min="11774" max="11774" width="12" customWidth="1"/>
    <col min="11775" max="11775" width="14.44140625" customWidth="1"/>
    <col min="11776" max="11776" width="11.77734375" customWidth="1"/>
    <col min="11777" max="11777" width="14.109375" customWidth="1"/>
    <col min="11778" max="11778" width="13.77734375" customWidth="1"/>
    <col min="11779" max="11780" width="12.77734375" customWidth="1"/>
    <col min="11781" max="11781" width="13.5546875" customWidth="1"/>
    <col min="11782" max="11782" width="15.21875" customWidth="1"/>
    <col min="11783" max="11783" width="12.77734375" customWidth="1"/>
    <col min="11784" max="11784" width="13.77734375" customWidth="1"/>
    <col min="11785" max="11785" width="1.77734375" customWidth="1"/>
    <col min="11786" max="11786" width="13" customWidth="1"/>
    <col min="11787" max="12026" width="8.77734375"/>
    <col min="12027" max="12027" width="6" customWidth="1"/>
    <col min="12028" max="12028" width="1.44140625" customWidth="1"/>
    <col min="12029" max="12029" width="39.109375" customWidth="1"/>
    <col min="12030" max="12030" width="12" customWidth="1"/>
    <col min="12031" max="12031" width="14.44140625" customWidth="1"/>
    <col min="12032" max="12032" width="11.77734375" customWidth="1"/>
    <col min="12033" max="12033" width="14.109375" customWidth="1"/>
    <col min="12034" max="12034" width="13.77734375" customWidth="1"/>
    <col min="12035" max="12036" width="12.77734375" customWidth="1"/>
    <col min="12037" max="12037" width="13.5546875" customWidth="1"/>
    <col min="12038" max="12038" width="15.21875" customWidth="1"/>
    <col min="12039" max="12039" width="12.77734375" customWidth="1"/>
    <col min="12040" max="12040" width="13.77734375" customWidth="1"/>
    <col min="12041" max="12041" width="1.77734375" customWidth="1"/>
    <col min="12042" max="12042" width="13" customWidth="1"/>
    <col min="12043" max="12282" width="8.77734375"/>
    <col min="12283" max="12283" width="6" customWidth="1"/>
    <col min="12284" max="12284" width="1.44140625" customWidth="1"/>
    <col min="12285" max="12285" width="39.109375" customWidth="1"/>
    <col min="12286" max="12286" width="12" customWidth="1"/>
    <col min="12287" max="12287" width="14.44140625" customWidth="1"/>
    <col min="12288" max="12288" width="11.77734375" customWidth="1"/>
    <col min="12289" max="12289" width="14.109375" customWidth="1"/>
    <col min="12290" max="12290" width="13.77734375" customWidth="1"/>
    <col min="12291" max="12292" width="12.77734375" customWidth="1"/>
    <col min="12293" max="12293" width="13.5546875" customWidth="1"/>
    <col min="12294" max="12294" width="15.21875" customWidth="1"/>
    <col min="12295" max="12295" width="12.77734375" customWidth="1"/>
    <col min="12296" max="12296" width="13.77734375" customWidth="1"/>
    <col min="12297" max="12297" width="1.77734375" customWidth="1"/>
    <col min="12298" max="12298" width="13" customWidth="1"/>
    <col min="12299" max="12538" width="8.77734375"/>
    <col min="12539" max="12539" width="6" customWidth="1"/>
    <col min="12540" max="12540" width="1.44140625" customWidth="1"/>
    <col min="12541" max="12541" width="39.109375" customWidth="1"/>
    <col min="12542" max="12542" width="12" customWidth="1"/>
    <col min="12543" max="12543" width="14.44140625" customWidth="1"/>
    <col min="12544" max="12544" width="11.77734375" customWidth="1"/>
    <col min="12545" max="12545" width="14.109375" customWidth="1"/>
    <col min="12546" max="12546" width="13.77734375" customWidth="1"/>
    <col min="12547" max="12548" width="12.77734375" customWidth="1"/>
    <col min="12549" max="12549" width="13.5546875" customWidth="1"/>
    <col min="12550" max="12550" width="15.21875" customWidth="1"/>
    <col min="12551" max="12551" width="12.77734375" customWidth="1"/>
    <col min="12552" max="12552" width="13.77734375" customWidth="1"/>
    <col min="12553" max="12553" width="1.77734375" customWidth="1"/>
    <col min="12554" max="12554" width="13" customWidth="1"/>
    <col min="12555" max="12794" width="8.77734375"/>
    <col min="12795" max="12795" width="6" customWidth="1"/>
    <col min="12796" max="12796" width="1.44140625" customWidth="1"/>
    <col min="12797" max="12797" width="39.109375" customWidth="1"/>
    <col min="12798" max="12798" width="12" customWidth="1"/>
    <col min="12799" max="12799" width="14.44140625" customWidth="1"/>
    <col min="12800" max="12800" width="11.77734375" customWidth="1"/>
    <col min="12801" max="12801" width="14.109375" customWidth="1"/>
    <col min="12802" max="12802" width="13.77734375" customWidth="1"/>
    <col min="12803" max="12804" width="12.77734375" customWidth="1"/>
    <col min="12805" max="12805" width="13.5546875" customWidth="1"/>
    <col min="12806" max="12806" width="15.21875" customWidth="1"/>
    <col min="12807" max="12807" width="12.77734375" customWidth="1"/>
    <col min="12808" max="12808" width="13.77734375" customWidth="1"/>
    <col min="12809" max="12809" width="1.77734375" customWidth="1"/>
    <col min="12810" max="12810" width="13" customWidth="1"/>
    <col min="12811" max="13050" width="8.77734375"/>
    <col min="13051" max="13051" width="6" customWidth="1"/>
    <col min="13052" max="13052" width="1.44140625" customWidth="1"/>
    <col min="13053" max="13053" width="39.109375" customWidth="1"/>
    <col min="13054" max="13054" width="12" customWidth="1"/>
    <col min="13055" max="13055" width="14.44140625" customWidth="1"/>
    <col min="13056" max="13056" width="11.77734375" customWidth="1"/>
    <col min="13057" max="13057" width="14.109375" customWidth="1"/>
    <col min="13058" max="13058" width="13.77734375" customWidth="1"/>
    <col min="13059" max="13060" width="12.77734375" customWidth="1"/>
    <col min="13061" max="13061" width="13.5546875" customWidth="1"/>
    <col min="13062" max="13062" width="15.21875" customWidth="1"/>
    <col min="13063" max="13063" width="12.77734375" customWidth="1"/>
    <col min="13064" max="13064" width="13.77734375" customWidth="1"/>
    <col min="13065" max="13065" width="1.77734375" customWidth="1"/>
    <col min="13066" max="13066" width="13" customWidth="1"/>
    <col min="13067" max="13306" width="8.77734375"/>
    <col min="13307" max="13307" width="6" customWidth="1"/>
    <col min="13308" max="13308" width="1.44140625" customWidth="1"/>
    <col min="13309" max="13309" width="39.109375" customWidth="1"/>
    <col min="13310" max="13310" width="12" customWidth="1"/>
    <col min="13311" max="13311" width="14.44140625" customWidth="1"/>
    <col min="13312" max="13312" width="11.77734375" customWidth="1"/>
    <col min="13313" max="13313" width="14.109375" customWidth="1"/>
    <col min="13314" max="13314" width="13.77734375" customWidth="1"/>
    <col min="13315" max="13316" width="12.77734375" customWidth="1"/>
    <col min="13317" max="13317" width="13.5546875" customWidth="1"/>
    <col min="13318" max="13318" width="15.21875" customWidth="1"/>
    <col min="13319" max="13319" width="12.77734375" customWidth="1"/>
    <col min="13320" max="13320" width="13.77734375" customWidth="1"/>
    <col min="13321" max="13321" width="1.77734375" customWidth="1"/>
    <col min="13322" max="13322" width="13" customWidth="1"/>
    <col min="13323" max="13562" width="8.77734375"/>
    <col min="13563" max="13563" width="6" customWidth="1"/>
    <col min="13564" max="13564" width="1.44140625" customWidth="1"/>
    <col min="13565" max="13565" width="39.109375" customWidth="1"/>
    <col min="13566" max="13566" width="12" customWidth="1"/>
    <col min="13567" max="13567" width="14.44140625" customWidth="1"/>
    <col min="13568" max="13568" width="11.77734375" customWidth="1"/>
    <col min="13569" max="13569" width="14.109375" customWidth="1"/>
    <col min="13570" max="13570" width="13.77734375" customWidth="1"/>
    <col min="13571" max="13572" width="12.77734375" customWidth="1"/>
    <col min="13573" max="13573" width="13.5546875" customWidth="1"/>
    <col min="13574" max="13574" width="15.21875" customWidth="1"/>
    <col min="13575" max="13575" width="12.77734375" customWidth="1"/>
    <col min="13576" max="13576" width="13.77734375" customWidth="1"/>
    <col min="13577" max="13577" width="1.77734375" customWidth="1"/>
    <col min="13578" max="13578" width="13" customWidth="1"/>
    <col min="13579" max="13818" width="8.77734375"/>
    <col min="13819" max="13819" width="6" customWidth="1"/>
    <col min="13820" max="13820" width="1.44140625" customWidth="1"/>
    <col min="13821" max="13821" width="39.109375" customWidth="1"/>
    <col min="13822" max="13822" width="12" customWidth="1"/>
    <col min="13823" max="13823" width="14.44140625" customWidth="1"/>
    <col min="13824" max="13824" width="11.77734375" customWidth="1"/>
    <col min="13825" max="13825" width="14.109375" customWidth="1"/>
    <col min="13826" max="13826" width="13.77734375" customWidth="1"/>
    <col min="13827" max="13828" width="12.77734375" customWidth="1"/>
    <col min="13829" max="13829" width="13.5546875" customWidth="1"/>
    <col min="13830" max="13830" width="15.21875" customWidth="1"/>
    <col min="13831" max="13831" width="12.77734375" customWidth="1"/>
    <col min="13832" max="13832" width="13.77734375" customWidth="1"/>
    <col min="13833" max="13833" width="1.77734375" customWidth="1"/>
    <col min="13834" max="13834" width="13" customWidth="1"/>
    <col min="13835" max="14074" width="8.77734375"/>
    <col min="14075" max="14075" width="6" customWidth="1"/>
    <col min="14076" max="14076" width="1.44140625" customWidth="1"/>
    <col min="14077" max="14077" width="39.109375" customWidth="1"/>
    <col min="14078" max="14078" width="12" customWidth="1"/>
    <col min="14079" max="14079" width="14.44140625" customWidth="1"/>
    <col min="14080" max="14080" width="11.77734375" customWidth="1"/>
    <col min="14081" max="14081" width="14.109375" customWidth="1"/>
    <col min="14082" max="14082" width="13.77734375" customWidth="1"/>
    <col min="14083" max="14084" width="12.77734375" customWidth="1"/>
    <col min="14085" max="14085" width="13.5546875" customWidth="1"/>
    <col min="14086" max="14086" width="15.21875" customWidth="1"/>
    <col min="14087" max="14087" width="12.77734375" customWidth="1"/>
    <col min="14088" max="14088" width="13.77734375" customWidth="1"/>
    <col min="14089" max="14089" width="1.77734375" customWidth="1"/>
    <col min="14090" max="14090" width="13" customWidth="1"/>
    <col min="14091" max="14330" width="8.77734375"/>
    <col min="14331" max="14331" width="6" customWidth="1"/>
    <col min="14332" max="14332" width="1.44140625" customWidth="1"/>
    <col min="14333" max="14333" width="39.109375" customWidth="1"/>
    <col min="14334" max="14334" width="12" customWidth="1"/>
    <col min="14335" max="14335" width="14.44140625" customWidth="1"/>
    <col min="14336" max="14336" width="11.77734375" customWidth="1"/>
    <col min="14337" max="14337" width="14.109375" customWidth="1"/>
    <col min="14338" max="14338" width="13.77734375" customWidth="1"/>
    <col min="14339" max="14340" width="12.77734375" customWidth="1"/>
    <col min="14341" max="14341" width="13.5546875" customWidth="1"/>
    <col min="14342" max="14342" width="15.21875" customWidth="1"/>
    <col min="14343" max="14343" width="12.77734375" customWidth="1"/>
    <col min="14344" max="14344" width="13.77734375" customWidth="1"/>
    <col min="14345" max="14345" width="1.77734375" customWidth="1"/>
    <col min="14346" max="14346" width="13" customWidth="1"/>
    <col min="14347" max="14586" width="8.77734375"/>
    <col min="14587" max="14587" width="6" customWidth="1"/>
    <col min="14588" max="14588" width="1.44140625" customWidth="1"/>
    <col min="14589" max="14589" width="39.109375" customWidth="1"/>
    <col min="14590" max="14590" width="12" customWidth="1"/>
    <col min="14591" max="14591" width="14.44140625" customWidth="1"/>
    <col min="14592" max="14592" width="11.77734375" customWidth="1"/>
    <col min="14593" max="14593" width="14.109375" customWidth="1"/>
    <col min="14594" max="14594" width="13.77734375" customWidth="1"/>
    <col min="14595" max="14596" width="12.77734375" customWidth="1"/>
    <col min="14597" max="14597" width="13.5546875" customWidth="1"/>
    <col min="14598" max="14598" width="15.21875" customWidth="1"/>
    <col min="14599" max="14599" width="12.77734375" customWidth="1"/>
    <col min="14600" max="14600" width="13.77734375" customWidth="1"/>
    <col min="14601" max="14601" width="1.77734375" customWidth="1"/>
    <col min="14602" max="14602" width="13" customWidth="1"/>
    <col min="14603" max="14842" width="8.77734375"/>
    <col min="14843" max="14843" width="6" customWidth="1"/>
    <col min="14844" max="14844" width="1.44140625" customWidth="1"/>
    <col min="14845" max="14845" width="39.109375" customWidth="1"/>
    <col min="14846" max="14846" width="12" customWidth="1"/>
    <col min="14847" max="14847" width="14.44140625" customWidth="1"/>
    <col min="14848" max="14848" width="11.77734375" customWidth="1"/>
    <col min="14849" max="14849" width="14.109375" customWidth="1"/>
    <col min="14850" max="14850" width="13.77734375" customWidth="1"/>
    <col min="14851" max="14852" width="12.77734375" customWidth="1"/>
    <col min="14853" max="14853" width="13.5546875" customWidth="1"/>
    <col min="14854" max="14854" width="15.21875" customWidth="1"/>
    <col min="14855" max="14855" width="12.77734375" customWidth="1"/>
    <col min="14856" max="14856" width="13.77734375" customWidth="1"/>
    <col min="14857" max="14857" width="1.77734375" customWidth="1"/>
    <col min="14858" max="14858" width="13" customWidth="1"/>
    <col min="14859" max="15098" width="8.77734375"/>
    <col min="15099" max="15099" width="6" customWidth="1"/>
    <col min="15100" max="15100" width="1.44140625" customWidth="1"/>
    <col min="15101" max="15101" width="39.109375" customWidth="1"/>
    <col min="15102" max="15102" width="12" customWidth="1"/>
    <col min="15103" max="15103" width="14.44140625" customWidth="1"/>
    <col min="15104" max="15104" width="11.77734375" customWidth="1"/>
    <col min="15105" max="15105" width="14.109375" customWidth="1"/>
    <col min="15106" max="15106" width="13.77734375" customWidth="1"/>
    <col min="15107" max="15108" width="12.77734375" customWidth="1"/>
    <col min="15109" max="15109" width="13.5546875" customWidth="1"/>
    <col min="15110" max="15110" width="15.21875" customWidth="1"/>
    <col min="15111" max="15111" width="12.77734375" customWidth="1"/>
    <col min="15112" max="15112" width="13.77734375" customWidth="1"/>
    <col min="15113" max="15113" width="1.77734375" customWidth="1"/>
    <col min="15114" max="15114" width="13" customWidth="1"/>
    <col min="15115" max="15354" width="8.77734375"/>
    <col min="15355" max="15355" width="6" customWidth="1"/>
    <col min="15356" max="15356" width="1.44140625" customWidth="1"/>
    <col min="15357" max="15357" width="39.109375" customWidth="1"/>
    <col min="15358" max="15358" width="12" customWidth="1"/>
    <col min="15359" max="15359" width="14.44140625" customWidth="1"/>
    <col min="15360" max="15360" width="11.77734375" customWidth="1"/>
    <col min="15361" max="15361" width="14.109375" customWidth="1"/>
    <col min="15362" max="15362" width="13.77734375" customWidth="1"/>
    <col min="15363" max="15364" width="12.77734375" customWidth="1"/>
    <col min="15365" max="15365" width="13.5546875" customWidth="1"/>
    <col min="15366" max="15366" width="15.21875" customWidth="1"/>
    <col min="15367" max="15367" width="12.77734375" customWidth="1"/>
    <col min="15368" max="15368" width="13.77734375" customWidth="1"/>
    <col min="15369" max="15369" width="1.77734375" customWidth="1"/>
    <col min="15370" max="15370" width="13" customWidth="1"/>
    <col min="15371" max="15610" width="8.77734375"/>
    <col min="15611" max="15611" width="6" customWidth="1"/>
    <col min="15612" max="15612" width="1.44140625" customWidth="1"/>
    <col min="15613" max="15613" width="39.109375" customWidth="1"/>
    <col min="15614" max="15614" width="12" customWidth="1"/>
    <col min="15615" max="15615" width="14.44140625" customWidth="1"/>
    <col min="15616" max="15616" width="11.77734375" customWidth="1"/>
    <col min="15617" max="15617" width="14.109375" customWidth="1"/>
    <col min="15618" max="15618" width="13.77734375" customWidth="1"/>
    <col min="15619" max="15620" width="12.77734375" customWidth="1"/>
    <col min="15621" max="15621" width="13.5546875" customWidth="1"/>
    <col min="15622" max="15622" width="15.21875" customWidth="1"/>
    <col min="15623" max="15623" width="12.77734375" customWidth="1"/>
    <col min="15624" max="15624" width="13.77734375" customWidth="1"/>
    <col min="15625" max="15625" width="1.77734375" customWidth="1"/>
    <col min="15626" max="15626" width="13" customWidth="1"/>
    <col min="15627" max="15866" width="8.77734375"/>
    <col min="15867" max="15867" width="6" customWidth="1"/>
    <col min="15868" max="15868" width="1.44140625" customWidth="1"/>
    <col min="15869" max="15869" width="39.109375" customWidth="1"/>
    <col min="15870" max="15870" width="12" customWidth="1"/>
    <col min="15871" max="15871" width="14.44140625" customWidth="1"/>
    <col min="15872" max="15872" width="11.77734375" customWidth="1"/>
    <col min="15873" max="15873" width="14.109375" customWidth="1"/>
    <col min="15874" max="15874" width="13.77734375" customWidth="1"/>
    <col min="15875" max="15876" width="12.77734375" customWidth="1"/>
    <col min="15877" max="15877" width="13.5546875" customWidth="1"/>
    <col min="15878" max="15878" width="15.21875" customWidth="1"/>
    <col min="15879" max="15879" width="12.77734375" customWidth="1"/>
    <col min="15880" max="15880" width="13.77734375" customWidth="1"/>
    <col min="15881" max="15881" width="1.77734375" customWidth="1"/>
    <col min="15882" max="15882" width="13" customWidth="1"/>
    <col min="15883" max="16122" width="8.77734375"/>
    <col min="16123" max="16123" width="6" customWidth="1"/>
    <col min="16124" max="16124" width="1.44140625" customWidth="1"/>
    <col min="16125" max="16125" width="39.109375" customWidth="1"/>
    <col min="16126" max="16126" width="12" customWidth="1"/>
    <col min="16127" max="16127" width="14.44140625" customWidth="1"/>
    <col min="16128" max="16128" width="11.77734375" customWidth="1"/>
    <col min="16129" max="16129" width="14.109375" customWidth="1"/>
    <col min="16130" max="16130" width="13.77734375" customWidth="1"/>
    <col min="16131" max="16132" width="12.77734375" customWidth="1"/>
    <col min="16133" max="16133" width="13.5546875" customWidth="1"/>
    <col min="16134" max="16134" width="15.21875" customWidth="1"/>
    <col min="16135" max="16135" width="12.77734375" customWidth="1"/>
    <col min="16136" max="16136" width="13.77734375" customWidth="1"/>
    <col min="16137" max="16137" width="1.77734375" customWidth="1"/>
    <col min="16138" max="16138" width="13" customWidth="1"/>
    <col min="16139" max="16378" width="8.77734375"/>
    <col min="16379" max="16384" width="8.77734375" customWidth="1"/>
  </cols>
  <sheetData>
    <row r="1" spans="1:16">
      <c r="I1" s="50" t="s">
        <v>299</v>
      </c>
      <c r="P1" s="280"/>
    </row>
    <row r="2" spans="1:16">
      <c r="I2" s="50" t="s">
        <v>297</v>
      </c>
      <c r="M2" s="949"/>
      <c r="N2" s="949"/>
    </row>
    <row r="3" spans="1:16">
      <c r="I3" s="50" t="s">
        <v>193</v>
      </c>
    </row>
    <row r="4" spans="1:16">
      <c r="I4" s="61" t="str">
        <f>"For the 12 months ended: "&amp;TEXT(INPUT!B1,"mm/dd/yyyy")</f>
        <v>For the 12 months ended: 12/31/2020</v>
      </c>
    </row>
    <row r="5" spans="1:16">
      <c r="C5" s="24"/>
    </row>
    <row r="6" spans="1:16">
      <c r="A6" s="144" t="s">
        <v>257</v>
      </c>
      <c r="B6" s="174"/>
      <c r="C6" s="174"/>
      <c r="D6" s="144"/>
      <c r="E6" s="144"/>
      <c r="F6" s="144"/>
      <c r="G6" s="174"/>
      <c r="H6" s="144"/>
      <c r="I6" s="144"/>
      <c r="K6" s="85"/>
      <c r="L6" s="84"/>
    </row>
    <row r="7" spans="1:16">
      <c r="A7" s="145" t="s">
        <v>300</v>
      </c>
      <c r="B7" s="174"/>
      <c r="C7" s="174"/>
      <c r="D7" s="144"/>
      <c r="E7" s="144"/>
      <c r="F7" s="144"/>
      <c r="G7" s="174"/>
      <c r="H7" s="144"/>
      <c r="I7" s="144"/>
      <c r="K7" s="85"/>
      <c r="L7" s="84"/>
    </row>
    <row r="8" spans="1:16">
      <c r="A8" s="146"/>
      <c r="B8" s="174"/>
      <c r="C8" s="174"/>
      <c r="D8" s="146"/>
      <c r="E8" s="146"/>
      <c r="F8" s="146"/>
      <c r="G8" s="174"/>
      <c r="H8" s="146"/>
      <c r="I8" s="146"/>
      <c r="K8" s="85"/>
      <c r="L8" s="84"/>
    </row>
    <row r="9" spans="1:16">
      <c r="A9" s="259" t="str">
        <f>DEK!A11</f>
        <v>DUKE ENERGY KENTUCKY (DEK)</v>
      </c>
      <c r="B9" s="174"/>
      <c r="C9" s="174"/>
      <c r="D9" s="146"/>
      <c r="E9" s="146"/>
      <c r="F9" s="146"/>
      <c r="G9" s="174"/>
      <c r="H9" s="177"/>
      <c r="I9" s="146"/>
      <c r="K9" s="85"/>
      <c r="L9" s="84"/>
    </row>
    <row r="10" spans="1:16">
      <c r="A10" s="176" t="s">
        <v>606</v>
      </c>
      <c r="B10" s="174"/>
      <c r="C10" s="146"/>
      <c r="D10" s="146"/>
      <c r="E10" s="146"/>
      <c r="F10" s="146"/>
      <c r="G10" s="174"/>
      <c r="H10" s="177"/>
      <c r="I10" s="146"/>
      <c r="K10" s="85"/>
      <c r="L10" s="84"/>
    </row>
    <row r="11" spans="1:16">
      <c r="A11" s="251"/>
      <c r="B11" s="174"/>
      <c r="C11" s="146"/>
      <c r="D11" s="146"/>
      <c r="E11" s="146"/>
      <c r="F11" s="146"/>
      <c r="G11" s="177"/>
      <c r="H11" s="146"/>
      <c r="I11" s="146"/>
      <c r="K11" s="85"/>
      <c r="L11" s="84"/>
    </row>
    <row r="12" spans="1:16">
      <c r="A12" s="146" t="s">
        <v>803</v>
      </c>
      <c r="B12" s="174"/>
      <c r="C12" s="174"/>
      <c r="D12" s="146"/>
      <c r="E12" s="146"/>
      <c r="F12" s="146"/>
      <c r="G12" s="177"/>
      <c r="H12" s="146"/>
      <c r="I12" s="146"/>
      <c r="K12" s="85"/>
      <c r="L12" s="84"/>
    </row>
    <row r="13" spans="1:16">
      <c r="A13" s="86"/>
      <c r="C13" s="1"/>
      <c r="D13" s="1"/>
      <c r="E13" s="1"/>
      <c r="F13" s="1"/>
      <c r="G13" s="17"/>
      <c r="K13" s="84"/>
      <c r="L13" s="84"/>
    </row>
    <row r="14" spans="1:16">
      <c r="A14" s="86"/>
      <c r="C14" s="1"/>
      <c r="D14" s="1"/>
      <c r="E14" s="1"/>
      <c r="F14" s="1"/>
      <c r="G14" s="1"/>
      <c r="K14" s="84"/>
      <c r="L14" s="84"/>
    </row>
    <row r="15" spans="1:16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  <c r="K15" s="87"/>
      <c r="L15" s="84"/>
    </row>
    <row r="16" spans="1:16">
      <c r="C16" s="1"/>
      <c r="D16" s="1"/>
      <c r="K16" s="89"/>
      <c r="L16" s="84"/>
    </row>
    <row r="17" spans="1:12">
      <c r="A17" s="26" t="s">
        <v>8</v>
      </c>
      <c r="C17" s="1"/>
      <c r="D17" s="1"/>
      <c r="E17" s="4" t="s">
        <v>299</v>
      </c>
      <c r="F17" s="4"/>
      <c r="G17" s="2"/>
      <c r="K17" s="89"/>
      <c r="L17" s="84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  <c r="K18" s="87"/>
      <c r="L18" s="84"/>
    </row>
    <row r="19" spans="1:12" ht="15.75">
      <c r="A19" s="90"/>
      <c r="C19" s="1" t="s">
        <v>338</v>
      </c>
      <c r="D19" s="1"/>
      <c r="E19" s="4"/>
      <c r="F19" s="2"/>
      <c r="G19" s="2"/>
      <c r="I19" s="2"/>
      <c r="K19" s="87"/>
      <c r="L19" s="84"/>
    </row>
    <row r="20" spans="1:12">
      <c r="A20" s="91">
        <v>1</v>
      </c>
      <c r="C20" s="1" t="s">
        <v>214</v>
      </c>
      <c r="D20" s="1"/>
      <c r="E20" s="4" t="str">
        <f>'Appx C - DEO(MTEP)'!E20</f>
        <v>Att. H-22A, p 2, line 2, col 5 (Note A)</v>
      </c>
      <c r="F20" s="4"/>
      <c r="G20" s="92">
        <f>DEK!J54</f>
        <v>77968566</v>
      </c>
      <c r="K20" s="87"/>
      <c r="L20" s="84"/>
    </row>
    <row r="21" spans="1:12">
      <c r="A21" s="91">
        <v>2</v>
      </c>
      <c r="C21" s="1" t="s">
        <v>215</v>
      </c>
      <c r="D21" s="1"/>
      <c r="E21" s="4" t="str">
        <f>'Appx C - DEO(MTEP)'!E21</f>
        <v>Att. H-22A, p 2, line 14, col 5 (Note B)</v>
      </c>
      <c r="F21" s="4"/>
      <c r="G21" s="92">
        <f>DEK!J70</f>
        <v>64281454</v>
      </c>
      <c r="K21" s="87"/>
      <c r="L21" s="84"/>
    </row>
    <row r="22" spans="1:12">
      <c r="A22" s="91"/>
      <c r="E22" s="4"/>
      <c r="F22" s="4"/>
      <c r="K22" s="87"/>
      <c r="L22" s="84"/>
    </row>
    <row r="23" spans="1:12">
      <c r="A23" s="91"/>
      <c r="C23" s="1" t="s">
        <v>194</v>
      </c>
      <c r="D23" s="1"/>
      <c r="E23" s="4"/>
      <c r="F23" s="4"/>
      <c r="G23" s="2"/>
      <c r="I23" s="2"/>
      <c r="K23" s="87"/>
      <c r="L23" s="84"/>
    </row>
    <row r="24" spans="1:12">
      <c r="A24" s="91">
        <v>3</v>
      </c>
      <c r="C24" s="1" t="s">
        <v>216</v>
      </c>
      <c r="D24" s="1"/>
      <c r="E24" s="4" t="str">
        <f>'Appx C - DEO(MTEP)'!E24</f>
        <v>Att. H-22A, p 3, line 8, col 5</v>
      </c>
      <c r="F24" s="4"/>
      <c r="G24" s="92">
        <f>DEK!J127</f>
        <v>2669090</v>
      </c>
      <c r="K24" s="87"/>
      <c r="L24" s="84"/>
    </row>
    <row r="25" spans="1:12">
      <c r="A25" s="91">
        <v>4</v>
      </c>
      <c r="C25" s="1" t="s">
        <v>217</v>
      </c>
      <c r="D25" s="1"/>
      <c r="E25" s="4" t="str">
        <f>'Appx C - DEO(MTEP)'!E25</f>
        <v>(line 3 divided by line 1, col 3)</v>
      </c>
      <c r="F25" s="4"/>
      <c r="G25" s="93">
        <f>ROUND(IF(G24=0,0,G24/G20),4)</f>
        <v>3.4200000000000001E-2</v>
      </c>
      <c r="I25" s="94">
        <f>G25</f>
        <v>3.4200000000000001E-2</v>
      </c>
      <c r="K25" s="87"/>
      <c r="L25" s="84"/>
    </row>
    <row r="26" spans="1:12">
      <c r="A26" s="91"/>
      <c r="E26" s="4"/>
      <c r="F26" s="4"/>
      <c r="K26" s="87"/>
      <c r="L26" s="84"/>
    </row>
    <row r="27" spans="1:12" ht="30">
      <c r="A27" s="91"/>
      <c r="C27" s="403" t="s">
        <v>578</v>
      </c>
      <c r="D27" s="1"/>
      <c r="E27" s="67"/>
      <c r="F27" s="4"/>
      <c r="K27" s="87"/>
      <c r="L27" s="84"/>
    </row>
    <row r="28" spans="1:12">
      <c r="A28" s="97" t="s">
        <v>218</v>
      </c>
      <c r="C28" s="1" t="s">
        <v>579</v>
      </c>
      <c r="D28" s="1"/>
      <c r="E28" s="4" t="str">
        <f>'Appx C - DEO(MTEP)'!E28</f>
        <v>Att. H-22A, p 3, lines 10 &amp; 11, col 5 (Note H)</v>
      </c>
      <c r="F28" s="4"/>
      <c r="G28" s="92">
        <f>DEK!J131+DEK!J132</f>
        <v>154498</v>
      </c>
      <c r="K28" s="87"/>
      <c r="L28" s="84"/>
    </row>
    <row r="29" spans="1:12" ht="30">
      <c r="A29" s="404" t="s">
        <v>219</v>
      </c>
      <c r="C29" s="403" t="s">
        <v>580</v>
      </c>
      <c r="D29" s="1"/>
      <c r="E29" s="405" t="str">
        <f>'Appx C - DEO(MTEP)'!E29</f>
        <v>(line 5 divided by line 1, col 3)</v>
      </c>
      <c r="F29" s="405"/>
      <c r="G29" s="406">
        <f>ROUND(IF(G28=0,0,G28/G20),4)</f>
        <v>2E-3</v>
      </c>
      <c r="H29" s="407"/>
      <c r="I29" s="408">
        <f>G29</f>
        <v>2E-3</v>
      </c>
      <c r="K29" s="87"/>
      <c r="L29" s="84"/>
    </row>
    <row r="30" spans="1:12">
      <c r="A30" s="91"/>
      <c r="E30" s="4"/>
      <c r="F30" s="4"/>
      <c r="K30" s="87"/>
      <c r="L30" s="84"/>
    </row>
    <row r="31" spans="1:12">
      <c r="A31" s="97"/>
      <c r="C31" s="1" t="s">
        <v>197</v>
      </c>
      <c r="D31" s="1"/>
      <c r="E31" s="67"/>
      <c r="F31" s="67"/>
      <c r="G31" s="2"/>
      <c r="I31" s="2"/>
      <c r="K31" s="87"/>
      <c r="L31" s="84"/>
    </row>
    <row r="32" spans="1:12">
      <c r="A32" s="97" t="s">
        <v>221</v>
      </c>
      <c r="C32" s="1" t="s">
        <v>199</v>
      </c>
      <c r="D32" s="1"/>
      <c r="E32" s="4" t="str">
        <f>'Appx C - DEO(MTEP)'!E32</f>
        <v>Att. H-22A, p 3, line 20, col 5</v>
      </c>
      <c r="F32" s="4"/>
      <c r="G32" s="92">
        <f>DEK!J144</f>
        <v>501465</v>
      </c>
      <c r="K32" s="89"/>
      <c r="L32" s="84"/>
    </row>
    <row r="33" spans="1:12">
      <c r="A33" s="97" t="s">
        <v>223</v>
      </c>
      <c r="C33" s="1" t="s">
        <v>220</v>
      </c>
      <c r="D33" s="1"/>
      <c r="E33" s="4" t="str">
        <f>'Appx C - DEO(MTEP)'!E33</f>
        <v>(line 7 divided by line 1, col 3)</v>
      </c>
      <c r="F33" s="4"/>
      <c r="G33" s="93">
        <f>ROUND(IF(G32=0,0,G32/G20),4)</f>
        <v>6.4000000000000003E-3</v>
      </c>
      <c r="I33" s="94">
        <f>G33</f>
        <v>6.4000000000000003E-3</v>
      </c>
      <c r="K33" s="89"/>
      <c r="L33" s="84"/>
    </row>
    <row r="34" spans="1:12">
      <c r="A34" s="97"/>
      <c r="C34" s="1"/>
      <c r="D34" s="1"/>
      <c r="E34" s="4"/>
      <c r="F34" s="4"/>
      <c r="G34" s="2"/>
      <c r="I34" s="2"/>
      <c r="K34" s="87"/>
      <c r="L34" s="84"/>
    </row>
    <row r="35" spans="1:12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4.2600000000000006E-2</v>
      </c>
      <c r="K35" s="87"/>
      <c r="L35" s="84"/>
    </row>
    <row r="36" spans="1:12">
      <c r="A36" s="229"/>
      <c r="C36" s="1"/>
      <c r="D36" s="1"/>
      <c r="E36" s="4"/>
      <c r="F36" s="4"/>
      <c r="G36" s="2"/>
      <c r="I36" s="2"/>
      <c r="K36" s="87"/>
      <c r="L36" s="84"/>
    </row>
    <row r="37" spans="1:12">
      <c r="A37" s="97"/>
      <c r="B37" s="102"/>
      <c r="C37" s="2" t="s">
        <v>201</v>
      </c>
      <c r="D37" s="2"/>
      <c r="E37" s="4"/>
      <c r="F37" s="4"/>
      <c r="G37" s="2"/>
      <c r="I37" s="2"/>
      <c r="K37" s="89"/>
      <c r="L37" s="87" t="s">
        <v>7</v>
      </c>
    </row>
    <row r="38" spans="1:12">
      <c r="A38" s="97" t="s">
        <v>196</v>
      </c>
      <c r="B38" s="102"/>
      <c r="C38" s="2" t="s">
        <v>125</v>
      </c>
      <c r="D38" s="2"/>
      <c r="E38" s="4" t="str">
        <f>'Appx C - DEO(MTEP)'!E38</f>
        <v>Att. H-22A, p 3, line 29, col 5</v>
      </c>
      <c r="F38" s="4"/>
      <c r="G38" s="92">
        <f>DEK!J159</f>
        <v>772493</v>
      </c>
      <c r="I38" s="2"/>
      <c r="K38" s="89"/>
      <c r="L38" s="87"/>
    </row>
    <row r="39" spans="1:12">
      <c r="A39" s="97" t="s">
        <v>198</v>
      </c>
      <c r="B39" s="102"/>
      <c r="C39" s="2" t="s">
        <v>224</v>
      </c>
      <c r="D39" s="2"/>
      <c r="E39" s="4" t="str">
        <f>'Appx C - DEO(MTEP)'!E39</f>
        <v>(line 10 divided by line 2, col 3)</v>
      </c>
      <c r="F39" s="4"/>
      <c r="G39" s="93">
        <f>ROUND(IF(G38=0,0,G38/G21),4)</f>
        <v>1.2E-2</v>
      </c>
      <c r="I39" s="94">
        <f>G39</f>
        <v>1.2E-2</v>
      </c>
      <c r="K39" s="89"/>
      <c r="L39" s="87"/>
    </row>
    <row r="40" spans="1:12">
      <c r="A40" s="97"/>
      <c r="C40" s="2"/>
      <c r="D40" s="2"/>
      <c r="E40" s="4"/>
      <c r="F40" s="4"/>
      <c r="G40" s="2"/>
      <c r="I40" s="2"/>
      <c r="K40" s="84"/>
      <c r="L40" s="84"/>
    </row>
    <row r="41" spans="1:12">
      <c r="A41" s="97"/>
      <c r="C41" s="1" t="s">
        <v>59</v>
      </c>
      <c r="D41" s="1"/>
      <c r="E41" s="15"/>
      <c r="F41" s="15"/>
      <c r="K41" s="87"/>
      <c r="L41" s="84"/>
    </row>
    <row r="42" spans="1:12">
      <c r="A42" s="97" t="s">
        <v>200</v>
      </c>
      <c r="C42" s="1" t="s">
        <v>202</v>
      </c>
      <c r="D42" s="1"/>
      <c r="E42" s="4" t="str">
        <f>'Appx C - DEO(MTEP)'!E42</f>
        <v>Att. H-22A, p 3, line 30, col 5</v>
      </c>
      <c r="F42" s="4"/>
      <c r="G42" s="92">
        <f>DEK!J161</f>
        <v>3964823</v>
      </c>
      <c r="I42" s="2"/>
      <c r="K42" s="87"/>
      <c r="L42" s="84"/>
    </row>
    <row r="43" spans="1:12">
      <c r="A43" s="97" t="s">
        <v>263</v>
      </c>
      <c r="B43" s="102"/>
      <c r="C43" s="2" t="s">
        <v>225</v>
      </c>
      <c r="D43" s="2"/>
      <c r="E43" s="4" t="str">
        <f>'Appx C - DEO(MTEP)'!E43</f>
        <v>(line 12 divided by line 2, col 3)</v>
      </c>
      <c r="F43" s="4"/>
      <c r="G43" s="103">
        <f>ROUND(IF(G42=0,0,G42/G21),4)</f>
        <v>6.1699999999999998E-2</v>
      </c>
      <c r="I43" s="94">
        <f>G43</f>
        <v>6.1699999999999998E-2</v>
      </c>
      <c r="K43" s="89"/>
      <c r="L43" s="87"/>
    </row>
    <row r="44" spans="1:12">
      <c r="A44" s="97"/>
      <c r="C44" s="1"/>
      <c r="D44" s="1"/>
      <c r="E44" s="4"/>
      <c r="F44" s="4"/>
      <c r="G44" s="2"/>
      <c r="I44" s="2"/>
      <c r="K44" s="87"/>
      <c r="L44" s="84"/>
    </row>
    <row r="45" spans="1:12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7.3700000000000002E-2</v>
      </c>
      <c r="K45" s="87"/>
      <c r="L45" s="84"/>
    </row>
    <row r="46" spans="1:12">
      <c r="K46" s="87"/>
      <c r="L46" s="84"/>
    </row>
    <row r="47" spans="1:12">
      <c r="A47" s="106"/>
      <c r="C47" s="97"/>
      <c r="D47" s="97"/>
      <c r="E47" s="67"/>
      <c r="F47" s="67"/>
      <c r="G47" s="2"/>
      <c r="H47" s="9"/>
      <c r="I47" s="9"/>
      <c r="J47" s="93"/>
      <c r="K47" s="91"/>
      <c r="L47" s="87"/>
    </row>
    <row r="48" spans="1:12">
      <c r="A48" s="86"/>
      <c r="C48" s="9"/>
      <c r="D48" s="9"/>
      <c r="E48" s="9"/>
      <c r="F48" s="9"/>
      <c r="G48" s="2"/>
      <c r="H48" s="9"/>
      <c r="I48" s="9"/>
      <c r="J48" s="9"/>
      <c r="K48" s="89"/>
      <c r="L48" s="87" t="s">
        <v>7</v>
      </c>
    </row>
    <row r="49" spans="11:24">
      <c r="X49" s="50" t="s">
        <v>299</v>
      </c>
    </row>
    <row r="50" spans="11:24">
      <c r="X50" s="50" t="s">
        <v>297</v>
      </c>
    </row>
    <row r="51" spans="11:24">
      <c r="X51" s="107" t="s">
        <v>203</v>
      </c>
    </row>
    <row r="52" spans="11:24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</row>
    <row r="53" spans="11:24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</row>
    <row r="54" spans="11:24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</row>
    <row r="55" spans="11:24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</row>
    <row r="56" spans="11:24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</row>
    <row r="57" spans="11:24">
      <c r="K57" s="70" t="str">
        <f>A9</f>
        <v>DUKE ENERGY KENTUCKY (DEK)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</row>
    <row r="58" spans="11:24">
      <c r="K58" s="70" t="str">
        <f>A10</f>
        <v>MTEP - Transmission Enhancement Charges</v>
      </c>
      <c r="L58" s="174"/>
      <c r="M58" s="174"/>
      <c r="N58" s="174"/>
      <c r="O58" s="146"/>
      <c r="P58" s="146"/>
      <c r="Q58" s="146"/>
      <c r="R58" s="146"/>
      <c r="S58" s="146"/>
      <c r="T58" s="146"/>
      <c r="U58" s="146"/>
      <c r="V58" s="146"/>
      <c r="W58" s="146"/>
      <c r="X58" s="146"/>
    </row>
    <row r="59" spans="11:24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1:24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</row>
    <row r="61" spans="11:24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</row>
    <row r="62" spans="11:24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</row>
    <row r="63" spans="11:24" ht="63">
      <c r="K63" s="109" t="s">
        <v>227</v>
      </c>
      <c r="L63" s="110"/>
      <c r="M63" s="110" t="s">
        <v>207</v>
      </c>
      <c r="N63" s="111" t="s">
        <v>228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</row>
    <row r="64" spans="11:24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</row>
    <row r="65" spans="11:24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</row>
    <row r="66" spans="11:24">
      <c r="K66" s="650" t="s">
        <v>1</v>
      </c>
      <c r="L66" s="256"/>
      <c r="M66" s="256" t="s">
        <v>242</v>
      </c>
      <c r="N66" s="648" t="s">
        <v>243</v>
      </c>
      <c r="O66" s="160">
        <v>0</v>
      </c>
      <c r="P66" s="94">
        <f>$I$35</f>
        <v>4.2600000000000006E-2</v>
      </c>
      <c r="Q66" s="600">
        <f>ROUND(O66*P66,0)</f>
        <v>0</v>
      </c>
      <c r="R66" s="126">
        <v>0</v>
      </c>
      <c r="S66" s="94">
        <f>$I$45</f>
        <v>7.3700000000000002E-2</v>
      </c>
      <c r="T66" s="600">
        <f>ROUND(R66*S66,0)</f>
        <v>0</v>
      </c>
      <c r="U66" s="601">
        <v>0</v>
      </c>
      <c r="V66" s="600">
        <f>Q66+T66+U66</f>
        <v>0</v>
      </c>
      <c r="W66" s="128">
        <v>0</v>
      </c>
      <c r="X66" s="600">
        <f>V66+W66</f>
        <v>0</v>
      </c>
    </row>
    <row r="67" spans="11:24">
      <c r="K67" s="650" t="s">
        <v>244</v>
      </c>
      <c r="L67" s="256"/>
      <c r="M67" s="256" t="s">
        <v>245</v>
      </c>
      <c r="N67" s="648" t="s">
        <v>246</v>
      </c>
      <c r="O67" s="160">
        <v>0</v>
      </c>
      <c r="P67" s="94">
        <f>$I$35</f>
        <v>4.2600000000000006E-2</v>
      </c>
      <c r="Q67" s="600">
        <f t="shared" ref="Q67:Q68" si="0">ROUND(O67*P67,0)</f>
        <v>0</v>
      </c>
      <c r="R67" s="126">
        <v>0</v>
      </c>
      <c r="S67" s="94">
        <f>$I$45</f>
        <v>7.3700000000000002E-2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</row>
    <row r="68" spans="11:24">
      <c r="K68" s="651" t="s">
        <v>247</v>
      </c>
      <c r="L68" s="256"/>
      <c r="M68" s="256" t="s">
        <v>248</v>
      </c>
      <c r="N68" s="648" t="s">
        <v>249</v>
      </c>
      <c r="O68" s="160">
        <v>0</v>
      </c>
      <c r="P68" s="94">
        <f>$I$35</f>
        <v>4.2600000000000006E-2</v>
      </c>
      <c r="Q68" s="600">
        <f t="shared" si="0"/>
        <v>0</v>
      </c>
      <c r="R68" s="126">
        <v>0</v>
      </c>
      <c r="S68" s="94">
        <f>$I$45</f>
        <v>7.3700000000000002E-2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</row>
    <row r="69" spans="11:24">
      <c r="K69" s="125"/>
      <c r="Q69" s="127"/>
      <c r="T69" s="127"/>
      <c r="V69" s="127"/>
      <c r="X69" s="127"/>
    </row>
    <row r="70" spans="11:24">
      <c r="K70" s="125"/>
      <c r="Q70" s="127"/>
      <c r="T70" s="127"/>
      <c r="V70" s="127"/>
      <c r="X70" s="127"/>
    </row>
    <row r="71" spans="11:24">
      <c r="K71" s="125"/>
      <c r="Q71" s="127"/>
      <c r="T71" s="127"/>
      <c r="V71" s="127"/>
      <c r="X71" s="127"/>
    </row>
    <row r="72" spans="11:24">
      <c r="K72" s="125"/>
      <c r="Q72" s="127"/>
      <c r="T72" s="127"/>
      <c r="V72" s="127"/>
      <c r="X72" s="127"/>
    </row>
    <row r="73" spans="11:24">
      <c r="K73" s="125"/>
      <c r="Q73" s="127"/>
      <c r="T73" s="127"/>
      <c r="V73" s="127"/>
      <c r="X73" s="127"/>
    </row>
    <row r="74" spans="11:24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</row>
    <row r="75" spans="11:24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</row>
    <row r="76" spans="11:24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</row>
    <row r="77" spans="11:24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</row>
    <row r="78" spans="11:24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</row>
    <row r="79" spans="11:24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</row>
    <row r="80" spans="11:24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</row>
    <row r="81" spans="11:24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</row>
    <row r="82" spans="11:24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</row>
    <row r="83" spans="11:24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</row>
    <row r="84" spans="11:24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</row>
    <row r="85" spans="11:24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</row>
    <row r="86" spans="11:24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577">
        <f>SUM(V66:V85)</f>
        <v>0</v>
      </c>
      <c r="W86" s="577">
        <f>SUM(W66:W85)</f>
        <v>0</v>
      </c>
      <c r="X86" s="577">
        <f>SUM(X66:X85)</f>
        <v>0</v>
      </c>
    </row>
    <row r="87" spans="11:24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599"/>
      <c r="W87" s="599"/>
      <c r="X87" s="599"/>
    </row>
    <row r="88" spans="11:24">
      <c r="K88" s="135">
        <v>3</v>
      </c>
      <c r="L88" s="129"/>
      <c r="M88" s="9" t="str">
        <f>'Appx C - DEOK(MTEP)'!D40</f>
        <v>MTEP Transmission Enhancement Charges</v>
      </c>
      <c r="N88" s="129"/>
      <c r="O88" s="129"/>
      <c r="P88" s="129"/>
      <c r="Q88" s="129"/>
      <c r="R88" s="129"/>
      <c r="S88" s="129"/>
      <c r="T88" s="129"/>
      <c r="U88" s="129"/>
      <c r="V88" s="577"/>
      <c r="W88" s="599"/>
      <c r="X88" s="577">
        <f>X86</f>
        <v>0</v>
      </c>
    </row>
    <row r="89" spans="11:24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</row>
    <row r="90" spans="11:24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</row>
    <row r="91" spans="11:24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</row>
    <row r="92" spans="11:24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</row>
    <row r="93" spans="11:24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</row>
    <row r="94" spans="11:24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</row>
    <row r="95" spans="11:24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</row>
    <row r="96" spans="11:24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</row>
    <row r="97" spans="11:24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</row>
    <row r="98" spans="11:24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</row>
    <row r="99" spans="11:24">
      <c r="K99" s="136" t="s">
        <v>102</v>
      </c>
      <c r="L99" s="66"/>
      <c r="M99" s="984" t="s">
        <v>255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</row>
    <row r="100" spans="11:24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</row>
    <row r="101" spans="11:24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</row>
    <row r="102" spans="11:24" ht="15.75">
      <c r="K102" s="104"/>
      <c r="L102" s="138"/>
      <c r="M102" s="139"/>
      <c r="N102" s="97"/>
      <c r="O102" s="67"/>
      <c r="P102" s="67"/>
      <c r="Q102" s="2"/>
      <c r="R102" s="9"/>
      <c r="S102" s="9"/>
      <c r="T102" s="93"/>
      <c r="U102" s="9"/>
      <c r="W102" s="2"/>
      <c r="X102" s="95"/>
    </row>
    <row r="103" spans="11:24"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</row>
    <row r="104" spans="11:24"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</row>
    <row r="105" spans="11:24"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</row>
    <row r="106" spans="11:24"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</row>
    <row r="107" spans="11:24"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</row>
    <row r="108" spans="11:24"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</row>
    <row r="109" spans="11:24"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</row>
    <row r="110" spans="11:24"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</row>
    <row r="111" spans="11:24"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</row>
    <row r="112" spans="11:24"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</row>
    <row r="113" spans="13:24"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</row>
    <row r="114" spans="13:24"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</row>
    <row r="115" spans="13:24"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</row>
    <row r="116" spans="13:24"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</row>
    <row r="117" spans="13:24"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</row>
    <row r="118" spans="13:24"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</row>
    <row r="119" spans="13:24"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</row>
    <row r="120" spans="13:24"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</row>
    <row r="121" spans="13:24"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13:24"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13:24"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13:24"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13:24"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13:24"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13:24"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13:24"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3:24"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3:24"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</row>
    <row r="131" spans="3:24"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</row>
    <row r="132" spans="3:24"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</row>
    <row r="133" spans="3:24"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</row>
    <row r="134" spans="3:24"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</row>
    <row r="135" spans="3:24"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</row>
    <row r="136" spans="3:24"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</row>
    <row r="137" spans="3:24"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</row>
    <row r="138" spans="3:24"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</row>
    <row r="139" spans="3:24"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</row>
    <row r="140" spans="3:24"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</row>
    <row r="141" spans="3:24"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</row>
    <row r="142" spans="3:24"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</row>
    <row r="143" spans="3:24"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</row>
    <row r="144" spans="3:24"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</row>
    <row r="145" spans="3:15"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</row>
    <row r="146" spans="3:15"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</row>
    <row r="147" spans="3:15"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</row>
    <row r="148" spans="3:15"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</row>
    <row r="149" spans="3:15"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</row>
    <row r="150" spans="3:15"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</row>
    <row r="151" spans="3:15"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</row>
    <row r="152" spans="3:15"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</row>
    <row r="153" spans="3:15"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</row>
    <row r="154" spans="3:15"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</row>
    <row r="155" spans="3:15"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</row>
    <row r="156" spans="3:15"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</row>
    <row r="157" spans="3:15"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</row>
    <row r="158" spans="3:15"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</row>
    <row r="159" spans="3:15"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</row>
    <row r="160" spans="3:15"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</row>
    <row r="161" spans="3:15"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</row>
    <row r="162" spans="3:15"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</row>
    <row r="163" spans="3:15"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</row>
    <row r="164" spans="3:15"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</row>
    <row r="165" spans="3:15"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</row>
    <row r="166" spans="3:15"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</row>
    <row r="167" spans="3:15"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</row>
    <row r="168" spans="3:15"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</row>
    <row r="169" spans="3:15"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</row>
    <row r="170" spans="3:15"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</row>
    <row r="171" spans="3:15"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</row>
    <row r="172" spans="3:15"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</row>
    <row r="173" spans="3:15"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</row>
    <row r="174" spans="3:15"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</row>
    <row r="175" spans="3:15"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</row>
    <row r="176" spans="3:15"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</row>
    <row r="177" spans="3:15"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</row>
    <row r="178" spans="3:15"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</row>
    <row r="179" spans="3:15"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</row>
    <row r="180" spans="3:15"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</row>
    <row r="181" spans="3:15"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</row>
    <row r="182" spans="3:15"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</row>
    <row r="183" spans="3:15"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</row>
    <row r="184" spans="3:15"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</row>
    <row r="185" spans="3:15"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</row>
    <row r="186" spans="3:15"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</row>
    <row r="187" spans="3:15"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</row>
    <row r="188" spans="3:15"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</row>
    <row r="189" spans="3:15"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</row>
    <row r="190" spans="3:15"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</row>
    <row r="191" spans="3:15"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</row>
    <row r="192" spans="3:15"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</row>
    <row r="193" spans="3:15"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</row>
    <row r="194" spans="3:15"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</row>
    <row r="195" spans="3:15"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</row>
    <row r="196" spans="3:15"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</row>
    <row r="197" spans="3:15"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</row>
    <row r="198" spans="3:15"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</row>
    <row r="199" spans="3:15"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</row>
    <row r="200" spans="3:15"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</row>
    <row r="201" spans="3:15"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</row>
    <row r="202" spans="3:15"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</row>
    <row r="203" spans="3:15"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</row>
    <row r="204" spans="3:15"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</row>
    <row r="205" spans="3:15"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</row>
    <row r="206" spans="3:15"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</row>
    <row r="207" spans="3:15"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</row>
    <row r="208" spans="3:15"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</row>
    <row r="209" spans="3:15"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</row>
    <row r="210" spans="3:15"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</row>
    <row r="211" spans="3:15"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</row>
    <row r="212" spans="3:15"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</row>
    <row r="213" spans="3:15"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</row>
    <row r="214" spans="3:15"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</row>
    <row r="215" spans="3:15"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</row>
    <row r="216" spans="3:15"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</row>
    <row r="217" spans="3:15"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</row>
    <row r="218" spans="3:15"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</row>
    <row r="219" spans="3:15"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</row>
    <row r="220" spans="3:15"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</row>
    <row r="221" spans="3:15"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</row>
    <row r="222" spans="3:15"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</row>
    <row r="223" spans="3:15"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</row>
    <row r="224" spans="3:15"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</row>
    <row r="225" spans="3:15"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</row>
    <row r="226" spans="3:15"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</row>
    <row r="227" spans="3:15"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</row>
    <row r="228" spans="3:15"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</row>
    <row r="229" spans="3:15"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</row>
    <row r="230" spans="3:15"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</row>
    <row r="231" spans="3:15"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</row>
    <row r="232" spans="3:15"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</row>
    <row r="233" spans="3:15"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</row>
    <row r="234" spans="3:15"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</row>
    <row r="235" spans="3:15"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</row>
    <row r="236" spans="3:15"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</row>
    <row r="237" spans="3:15"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</row>
    <row r="238" spans="3:15"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</row>
    <row r="239" spans="3:15"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</row>
    <row r="240" spans="3:15"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</row>
    <row r="241" spans="3:15"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</row>
    <row r="242" spans="3:15"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</row>
    <row r="243" spans="3:15"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</row>
    <row r="244" spans="3:15"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</row>
    <row r="245" spans="3:15"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</row>
    <row r="246" spans="3:15"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</row>
    <row r="247" spans="3:15"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</row>
    <row r="248" spans="3:15"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</row>
    <row r="249" spans="3:15"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</row>
    <row r="250" spans="3:15"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</row>
    <row r="251" spans="3:15"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</row>
    <row r="252" spans="3:15"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</row>
    <row r="253" spans="3:15"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</row>
    <row r="254" spans="3:15"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</row>
    <row r="255" spans="3:15"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</row>
    <row r="256" spans="3:15"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</row>
    <row r="257" spans="3:15"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</row>
    <row r="258" spans="3:15"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</row>
    <row r="259" spans="3:15"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</row>
    <row r="260" spans="3:15"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</row>
    <row r="261" spans="3:15"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</row>
    <row r="262" spans="3:15"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</row>
    <row r="263" spans="3:15"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</row>
    <row r="264" spans="3:15"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</row>
    <row r="265" spans="3:15"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</row>
    <row r="266" spans="3:15"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</row>
    <row r="267" spans="3:15"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</row>
    <row r="268" spans="3:15"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</row>
    <row r="269" spans="3:15"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</row>
    <row r="270" spans="3:15"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</row>
    <row r="271" spans="3:15"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</row>
    <row r="272" spans="3:15"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</row>
    <row r="273" spans="3:15"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</row>
    <row r="274" spans="3:15"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</row>
    <row r="275" spans="3:15"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</row>
    <row r="276" spans="3:15"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</row>
    <row r="277" spans="3:15"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</row>
    <row r="278" spans="3:15"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</row>
    <row r="279" spans="3:15"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</row>
    <row r="280" spans="3:15"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</row>
    <row r="281" spans="3:15"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</row>
    <row r="282" spans="3:15"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</row>
    <row r="283" spans="3:15"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</row>
    <row r="284" spans="3:15"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</row>
    <row r="285" spans="3:15"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</row>
    <row r="286" spans="3:15"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</row>
    <row r="287" spans="3:15"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</row>
    <row r="288" spans="3:15"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</row>
    <row r="289" spans="3:15"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</row>
    <row r="290" spans="3:15"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</row>
    <row r="291" spans="3:15">
      <c r="C291" s="129"/>
      <c r="D291" s="129"/>
      <c r="E291" s="129"/>
      <c r="F291" s="129"/>
      <c r="G291" s="129"/>
      <c r="H291" s="129"/>
      <c r="I291" s="129"/>
      <c r="J291" s="129"/>
    </row>
    <row r="292" spans="3:15">
      <c r="C292" s="129"/>
      <c r="D292" s="129"/>
      <c r="E292" s="129"/>
      <c r="F292" s="129"/>
      <c r="G292" s="129"/>
      <c r="H292" s="129"/>
      <c r="I292" s="129"/>
      <c r="J292" s="129"/>
    </row>
    <row r="293" spans="3:15">
      <c r="C293" s="129"/>
      <c r="D293" s="129"/>
      <c r="E293" s="129"/>
      <c r="F293" s="129"/>
      <c r="G293" s="129"/>
      <c r="H293" s="129"/>
      <c r="I293" s="129"/>
      <c r="J293" s="129"/>
    </row>
    <row r="294" spans="3:15">
      <c r="C294" s="129"/>
      <c r="D294" s="129"/>
      <c r="E294" s="129"/>
      <c r="F294" s="129"/>
      <c r="G294" s="129"/>
      <c r="H294" s="129"/>
      <c r="I294" s="129"/>
      <c r="J294" s="129"/>
    </row>
    <row r="295" spans="3:15">
      <c r="C295" s="129"/>
      <c r="D295" s="129"/>
      <c r="E295" s="129"/>
      <c r="F295" s="129"/>
      <c r="G295" s="129"/>
      <c r="H295" s="129"/>
      <c r="I295" s="129"/>
      <c r="J295" s="129"/>
    </row>
    <row r="296" spans="3:15">
      <c r="C296" s="129"/>
      <c r="D296" s="129"/>
      <c r="E296" s="129"/>
      <c r="F296" s="129"/>
      <c r="G296" s="129"/>
      <c r="H296" s="129"/>
      <c r="I296" s="129"/>
      <c r="J296" s="129"/>
    </row>
    <row r="297" spans="3:15">
      <c r="C297" s="129"/>
      <c r="D297" s="129"/>
      <c r="E297" s="129"/>
      <c r="F297" s="129"/>
      <c r="G297" s="129"/>
      <c r="H297" s="129"/>
      <c r="I297" s="129"/>
      <c r="J297" s="129"/>
    </row>
    <row r="298" spans="3:15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100:X100"/>
    <mergeCell ref="M99:X99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8" orientation="portrait" horizontalDpi="300" verticalDpi="300" r:id="rId1"/>
  <headerFooter alignWithMargins="0"/>
  <rowBreaks count="1" manualBreakCount="1">
    <brk id="48" min="10" max="2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CE7B5-9983-4A52-A43D-E89F3CCA3337}">
  <sheetPr codeName="Sheet40">
    <tabColor rgb="FFFF3300"/>
    <pageSetUpPr fitToPage="1"/>
  </sheetPr>
  <dimension ref="A1:X298"/>
  <sheetViews>
    <sheetView view="pageBreakPreview" topLeftCell="F49" zoomScale="60" zoomScaleNormal="75" workbookViewId="0">
      <selection activeCell="E70" sqref="E70"/>
    </sheetView>
  </sheetViews>
  <sheetFormatPr defaultRowHeight="15"/>
  <cols>
    <col min="1" max="1" width="6" customWidth="1"/>
    <col min="2" max="2" width="1.44140625" customWidth="1"/>
    <col min="3" max="3" width="53.21875" customWidth="1"/>
    <col min="4" max="4" width="1.109375" customWidth="1"/>
    <col min="5" max="5" width="37.109375" customWidth="1"/>
    <col min="6" max="6" width="1" customWidth="1"/>
    <col min="7" max="7" width="14.109375" customWidth="1"/>
    <col min="8" max="8" width="1" customWidth="1"/>
    <col min="9" max="9" width="12.77734375" customWidth="1"/>
    <col min="10" max="10" width="2.109375" customWidth="1"/>
    <col min="11" max="11" width="4.77734375" customWidth="1"/>
    <col min="12" max="12" width="2.77734375" customWidth="1"/>
    <col min="13" max="13" width="26.77734375" customWidth="1"/>
    <col min="14" max="14" width="9.21875" customWidth="1"/>
    <col min="15" max="15" width="10.77734375" customWidth="1"/>
    <col min="16" max="16" width="13.109375" customWidth="1"/>
    <col min="17" max="17" width="13.21875" customWidth="1"/>
    <col min="18" max="18" width="11.21875" customWidth="1"/>
    <col min="19" max="19" width="14.77734375" customWidth="1"/>
    <col min="20" max="20" width="14" customWidth="1"/>
    <col min="21" max="21" width="11.77734375" customWidth="1"/>
    <col min="22" max="22" width="16.109375" customWidth="1"/>
    <col min="23" max="23" width="12.21875" customWidth="1"/>
    <col min="24" max="24" width="16.21875" customWidth="1"/>
    <col min="25" max="250" width="8.77734375"/>
    <col min="251" max="251" width="6" customWidth="1"/>
    <col min="252" max="252" width="1.44140625" customWidth="1"/>
    <col min="253" max="253" width="39.109375" customWidth="1"/>
    <col min="254" max="254" width="12" customWidth="1"/>
    <col min="255" max="255" width="14.44140625" customWidth="1"/>
    <col min="256" max="256" width="11.77734375" customWidth="1"/>
    <col min="257" max="257" width="14.109375" customWidth="1"/>
    <col min="258" max="258" width="13.77734375" customWidth="1"/>
    <col min="259" max="260" width="12.77734375" customWidth="1"/>
    <col min="261" max="261" width="13.5546875" customWidth="1"/>
    <col min="262" max="262" width="15.21875" customWidth="1"/>
    <col min="263" max="263" width="12.77734375" customWidth="1"/>
    <col min="264" max="264" width="13.77734375" customWidth="1"/>
    <col min="265" max="265" width="1.77734375" customWidth="1"/>
    <col min="266" max="266" width="13" customWidth="1"/>
    <col min="267" max="506" width="8.77734375"/>
    <col min="507" max="507" width="6" customWidth="1"/>
    <col min="508" max="508" width="1.44140625" customWidth="1"/>
    <col min="509" max="509" width="39.109375" customWidth="1"/>
    <col min="510" max="510" width="12" customWidth="1"/>
    <col min="511" max="511" width="14.44140625" customWidth="1"/>
    <col min="512" max="512" width="11.77734375" customWidth="1"/>
    <col min="513" max="513" width="14.109375" customWidth="1"/>
    <col min="514" max="514" width="13.77734375" customWidth="1"/>
    <col min="515" max="516" width="12.77734375" customWidth="1"/>
    <col min="517" max="517" width="13.5546875" customWidth="1"/>
    <col min="518" max="518" width="15.21875" customWidth="1"/>
    <col min="519" max="519" width="12.77734375" customWidth="1"/>
    <col min="520" max="520" width="13.77734375" customWidth="1"/>
    <col min="521" max="521" width="1.77734375" customWidth="1"/>
    <col min="522" max="522" width="13" customWidth="1"/>
    <col min="523" max="762" width="8.77734375"/>
    <col min="763" max="763" width="6" customWidth="1"/>
    <col min="764" max="764" width="1.44140625" customWidth="1"/>
    <col min="765" max="765" width="39.109375" customWidth="1"/>
    <col min="766" max="766" width="12" customWidth="1"/>
    <col min="767" max="767" width="14.44140625" customWidth="1"/>
    <col min="768" max="768" width="11.77734375" customWidth="1"/>
    <col min="769" max="769" width="14.109375" customWidth="1"/>
    <col min="770" max="770" width="13.77734375" customWidth="1"/>
    <col min="771" max="772" width="12.77734375" customWidth="1"/>
    <col min="773" max="773" width="13.5546875" customWidth="1"/>
    <col min="774" max="774" width="15.21875" customWidth="1"/>
    <col min="775" max="775" width="12.77734375" customWidth="1"/>
    <col min="776" max="776" width="13.77734375" customWidth="1"/>
    <col min="777" max="777" width="1.77734375" customWidth="1"/>
    <col min="778" max="778" width="13" customWidth="1"/>
    <col min="779" max="1018" width="8.77734375"/>
    <col min="1019" max="1019" width="6" customWidth="1"/>
    <col min="1020" max="1020" width="1.44140625" customWidth="1"/>
    <col min="1021" max="1021" width="39.109375" customWidth="1"/>
    <col min="1022" max="1022" width="12" customWidth="1"/>
    <col min="1023" max="1023" width="14.44140625" customWidth="1"/>
    <col min="1024" max="1024" width="11.77734375" customWidth="1"/>
    <col min="1025" max="1025" width="14.109375" customWidth="1"/>
    <col min="1026" max="1026" width="13.77734375" customWidth="1"/>
    <col min="1027" max="1028" width="12.77734375" customWidth="1"/>
    <col min="1029" max="1029" width="13.5546875" customWidth="1"/>
    <col min="1030" max="1030" width="15.21875" customWidth="1"/>
    <col min="1031" max="1031" width="12.77734375" customWidth="1"/>
    <col min="1032" max="1032" width="13.77734375" customWidth="1"/>
    <col min="1033" max="1033" width="1.77734375" customWidth="1"/>
    <col min="1034" max="1034" width="13" customWidth="1"/>
    <col min="1035" max="1274" width="8.77734375"/>
    <col min="1275" max="1275" width="6" customWidth="1"/>
    <col min="1276" max="1276" width="1.44140625" customWidth="1"/>
    <col min="1277" max="1277" width="39.109375" customWidth="1"/>
    <col min="1278" max="1278" width="12" customWidth="1"/>
    <col min="1279" max="1279" width="14.44140625" customWidth="1"/>
    <col min="1280" max="1280" width="11.77734375" customWidth="1"/>
    <col min="1281" max="1281" width="14.109375" customWidth="1"/>
    <col min="1282" max="1282" width="13.77734375" customWidth="1"/>
    <col min="1283" max="1284" width="12.77734375" customWidth="1"/>
    <col min="1285" max="1285" width="13.5546875" customWidth="1"/>
    <col min="1286" max="1286" width="15.21875" customWidth="1"/>
    <col min="1287" max="1287" width="12.77734375" customWidth="1"/>
    <col min="1288" max="1288" width="13.77734375" customWidth="1"/>
    <col min="1289" max="1289" width="1.77734375" customWidth="1"/>
    <col min="1290" max="1290" width="13" customWidth="1"/>
    <col min="1291" max="1530" width="8.77734375"/>
    <col min="1531" max="1531" width="6" customWidth="1"/>
    <col min="1532" max="1532" width="1.44140625" customWidth="1"/>
    <col min="1533" max="1533" width="39.109375" customWidth="1"/>
    <col min="1534" max="1534" width="12" customWidth="1"/>
    <col min="1535" max="1535" width="14.44140625" customWidth="1"/>
    <col min="1536" max="1536" width="11.77734375" customWidth="1"/>
    <col min="1537" max="1537" width="14.109375" customWidth="1"/>
    <col min="1538" max="1538" width="13.77734375" customWidth="1"/>
    <col min="1539" max="1540" width="12.77734375" customWidth="1"/>
    <col min="1541" max="1541" width="13.5546875" customWidth="1"/>
    <col min="1542" max="1542" width="15.21875" customWidth="1"/>
    <col min="1543" max="1543" width="12.77734375" customWidth="1"/>
    <col min="1544" max="1544" width="13.77734375" customWidth="1"/>
    <col min="1545" max="1545" width="1.77734375" customWidth="1"/>
    <col min="1546" max="1546" width="13" customWidth="1"/>
    <col min="1547" max="1786" width="8.77734375"/>
    <col min="1787" max="1787" width="6" customWidth="1"/>
    <col min="1788" max="1788" width="1.44140625" customWidth="1"/>
    <col min="1789" max="1789" width="39.109375" customWidth="1"/>
    <col min="1790" max="1790" width="12" customWidth="1"/>
    <col min="1791" max="1791" width="14.44140625" customWidth="1"/>
    <col min="1792" max="1792" width="11.77734375" customWidth="1"/>
    <col min="1793" max="1793" width="14.109375" customWidth="1"/>
    <col min="1794" max="1794" width="13.77734375" customWidth="1"/>
    <col min="1795" max="1796" width="12.77734375" customWidth="1"/>
    <col min="1797" max="1797" width="13.5546875" customWidth="1"/>
    <col min="1798" max="1798" width="15.21875" customWidth="1"/>
    <col min="1799" max="1799" width="12.77734375" customWidth="1"/>
    <col min="1800" max="1800" width="13.77734375" customWidth="1"/>
    <col min="1801" max="1801" width="1.77734375" customWidth="1"/>
    <col min="1802" max="1802" width="13" customWidth="1"/>
    <col min="1803" max="2042" width="8.77734375"/>
    <col min="2043" max="2043" width="6" customWidth="1"/>
    <col min="2044" max="2044" width="1.44140625" customWidth="1"/>
    <col min="2045" max="2045" width="39.109375" customWidth="1"/>
    <col min="2046" max="2046" width="12" customWidth="1"/>
    <col min="2047" max="2047" width="14.44140625" customWidth="1"/>
    <col min="2048" max="2048" width="11.77734375" customWidth="1"/>
    <col min="2049" max="2049" width="14.109375" customWidth="1"/>
    <col min="2050" max="2050" width="13.77734375" customWidth="1"/>
    <col min="2051" max="2052" width="12.77734375" customWidth="1"/>
    <col min="2053" max="2053" width="13.5546875" customWidth="1"/>
    <col min="2054" max="2054" width="15.21875" customWidth="1"/>
    <col min="2055" max="2055" width="12.77734375" customWidth="1"/>
    <col min="2056" max="2056" width="13.77734375" customWidth="1"/>
    <col min="2057" max="2057" width="1.77734375" customWidth="1"/>
    <col min="2058" max="2058" width="13" customWidth="1"/>
    <col min="2059" max="2298" width="8.77734375"/>
    <col min="2299" max="2299" width="6" customWidth="1"/>
    <col min="2300" max="2300" width="1.44140625" customWidth="1"/>
    <col min="2301" max="2301" width="39.109375" customWidth="1"/>
    <col min="2302" max="2302" width="12" customWidth="1"/>
    <col min="2303" max="2303" width="14.44140625" customWidth="1"/>
    <col min="2304" max="2304" width="11.77734375" customWidth="1"/>
    <col min="2305" max="2305" width="14.109375" customWidth="1"/>
    <col min="2306" max="2306" width="13.77734375" customWidth="1"/>
    <col min="2307" max="2308" width="12.77734375" customWidth="1"/>
    <col min="2309" max="2309" width="13.5546875" customWidth="1"/>
    <col min="2310" max="2310" width="15.21875" customWidth="1"/>
    <col min="2311" max="2311" width="12.77734375" customWidth="1"/>
    <col min="2312" max="2312" width="13.77734375" customWidth="1"/>
    <col min="2313" max="2313" width="1.77734375" customWidth="1"/>
    <col min="2314" max="2314" width="13" customWidth="1"/>
    <col min="2315" max="2554" width="8.77734375"/>
    <col min="2555" max="2555" width="6" customWidth="1"/>
    <col min="2556" max="2556" width="1.44140625" customWidth="1"/>
    <col min="2557" max="2557" width="39.109375" customWidth="1"/>
    <col min="2558" max="2558" width="12" customWidth="1"/>
    <col min="2559" max="2559" width="14.44140625" customWidth="1"/>
    <col min="2560" max="2560" width="11.77734375" customWidth="1"/>
    <col min="2561" max="2561" width="14.109375" customWidth="1"/>
    <col min="2562" max="2562" width="13.77734375" customWidth="1"/>
    <col min="2563" max="2564" width="12.77734375" customWidth="1"/>
    <col min="2565" max="2565" width="13.5546875" customWidth="1"/>
    <col min="2566" max="2566" width="15.21875" customWidth="1"/>
    <col min="2567" max="2567" width="12.77734375" customWidth="1"/>
    <col min="2568" max="2568" width="13.77734375" customWidth="1"/>
    <col min="2569" max="2569" width="1.77734375" customWidth="1"/>
    <col min="2570" max="2570" width="13" customWidth="1"/>
    <col min="2571" max="2810" width="8.77734375"/>
    <col min="2811" max="2811" width="6" customWidth="1"/>
    <col min="2812" max="2812" width="1.44140625" customWidth="1"/>
    <col min="2813" max="2813" width="39.109375" customWidth="1"/>
    <col min="2814" max="2814" width="12" customWidth="1"/>
    <col min="2815" max="2815" width="14.44140625" customWidth="1"/>
    <col min="2816" max="2816" width="11.77734375" customWidth="1"/>
    <col min="2817" max="2817" width="14.109375" customWidth="1"/>
    <col min="2818" max="2818" width="13.77734375" customWidth="1"/>
    <col min="2819" max="2820" width="12.77734375" customWidth="1"/>
    <col min="2821" max="2821" width="13.5546875" customWidth="1"/>
    <col min="2822" max="2822" width="15.21875" customWidth="1"/>
    <col min="2823" max="2823" width="12.77734375" customWidth="1"/>
    <col min="2824" max="2824" width="13.77734375" customWidth="1"/>
    <col min="2825" max="2825" width="1.77734375" customWidth="1"/>
    <col min="2826" max="2826" width="13" customWidth="1"/>
    <col min="2827" max="3066" width="8.77734375"/>
    <col min="3067" max="3067" width="6" customWidth="1"/>
    <col min="3068" max="3068" width="1.44140625" customWidth="1"/>
    <col min="3069" max="3069" width="39.109375" customWidth="1"/>
    <col min="3070" max="3070" width="12" customWidth="1"/>
    <col min="3071" max="3071" width="14.44140625" customWidth="1"/>
    <col min="3072" max="3072" width="11.77734375" customWidth="1"/>
    <col min="3073" max="3073" width="14.109375" customWidth="1"/>
    <col min="3074" max="3074" width="13.77734375" customWidth="1"/>
    <col min="3075" max="3076" width="12.77734375" customWidth="1"/>
    <col min="3077" max="3077" width="13.5546875" customWidth="1"/>
    <col min="3078" max="3078" width="15.21875" customWidth="1"/>
    <col min="3079" max="3079" width="12.77734375" customWidth="1"/>
    <col min="3080" max="3080" width="13.77734375" customWidth="1"/>
    <col min="3081" max="3081" width="1.77734375" customWidth="1"/>
    <col min="3082" max="3082" width="13" customWidth="1"/>
    <col min="3083" max="3322" width="8.77734375"/>
    <col min="3323" max="3323" width="6" customWidth="1"/>
    <col min="3324" max="3324" width="1.44140625" customWidth="1"/>
    <col min="3325" max="3325" width="39.109375" customWidth="1"/>
    <col min="3326" max="3326" width="12" customWidth="1"/>
    <col min="3327" max="3327" width="14.44140625" customWidth="1"/>
    <col min="3328" max="3328" width="11.77734375" customWidth="1"/>
    <col min="3329" max="3329" width="14.109375" customWidth="1"/>
    <col min="3330" max="3330" width="13.77734375" customWidth="1"/>
    <col min="3331" max="3332" width="12.77734375" customWidth="1"/>
    <col min="3333" max="3333" width="13.5546875" customWidth="1"/>
    <col min="3334" max="3334" width="15.21875" customWidth="1"/>
    <col min="3335" max="3335" width="12.77734375" customWidth="1"/>
    <col min="3336" max="3336" width="13.77734375" customWidth="1"/>
    <col min="3337" max="3337" width="1.77734375" customWidth="1"/>
    <col min="3338" max="3338" width="13" customWidth="1"/>
    <col min="3339" max="3578" width="8.77734375"/>
    <col min="3579" max="3579" width="6" customWidth="1"/>
    <col min="3580" max="3580" width="1.44140625" customWidth="1"/>
    <col min="3581" max="3581" width="39.109375" customWidth="1"/>
    <col min="3582" max="3582" width="12" customWidth="1"/>
    <col min="3583" max="3583" width="14.44140625" customWidth="1"/>
    <col min="3584" max="3584" width="11.77734375" customWidth="1"/>
    <col min="3585" max="3585" width="14.109375" customWidth="1"/>
    <col min="3586" max="3586" width="13.77734375" customWidth="1"/>
    <col min="3587" max="3588" width="12.77734375" customWidth="1"/>
    <col min="3589" max="3589" width="13.5546875" customWidth="1"/>
    <col min="3590" max="3590" width="15.21875" customWidth="1"/>
    <col min="3591" max="3591" width="12.77734375" customWidth="1"/>
    <col min="3592" max="3592" width="13.77734375" customWidth="1"/>
    <col min="3593" max="3593" width="1.77734375" customWidth="1"/>
    <col min="3594" max="3594" width="13" customWidth="1"/>
    <col min="3595" max="3834" width="8.77734375"/>
    <col min="3835" max="3835" width="6" customWidth="1"/>
    <col min="3836" max="3836" width="1.44140625" customWidth="1"/>
    <col min="3837" max="3837" width="39.109375" customWidth="1"/>
    <col min="3838" max="3838" width="12" customWidth="1"/>
    <col min="3839" max="3839" width="14.44140625" customWidth="1"/>
    <col min="3840" max="3840" width="11.77734375" customWidth="1"/>
    <col min="3841" max="3841" width="14.109375" customWidth="1"/>
    <col min="3842" max="3842" width="13.77734375" customWidth="1"/>
    <col min="3843" max="3844" width="12.77734375" customWidth="1"/>
    <col min="3845" max="3845" width="13.5546875" customWidth="1"/>
    <col min="3846" max="3846" width="15.21875" customWidth="1"/>
    <col min="3847" max="3847" width="12.77734375" customWidth="1"/>
    <col min="3848" max="3848" width="13.77734375" customWidth="1"/>
    <col min="3849" max="3849" width="1.77734375" customWidth="1"/>
    <col min="3850" max="3850" width="13" customWidth="1"/>
    <col min="3851" max="4090" width="8.77734375"/>
    <col min="4091" max="4091" width="6" customWidth="1"/>
    <col min="4092" max="4092" width="1.44140625" customWidth="1"/>
    <col min="4093" max="4093" width="39.109375" customWidth="1"/>
    <col min="4094" max="4094" width="12" customWidth="1"/>
    <col min="4095" max="4095" width="14.44140625" customWidth="1"/>
    <col min="4096" max="4096" width="11.77734375" customWidth="1"/>
    <col min="4097" max="4097" width="14.109375" customWidth="1"/>
    <col min="4098" max="4098" width="13.77734375" customWidth="1"/>
    <col min="4099" max="4100" width="12.77734375" customWidth="1"/>
    <col min="4101" max="4101" width="13.5546875" customWidth="1"/>
    <col min="4102" max="4102" width="15.21875" customWidth="1"/>
    <col min="4103" max="4103" width="12.77734375" customWidth="1"/>
    <col min="4104" max="4104" width="13.77734375" customWidth="1"/>
    <col min="4105" max="4105" width="1.77734375" customWidth="1"/>
    <col min="4106" max="4106" width="13" customWidth="1"/>
    <col min="4107" max="4346" width="8.77734375"/>
    <col min="4347" max="4347" width="6" customWidth="1"/>
    <col min="4348" max="4348" width="1.44140625" customWidth="1"/>
    <col min="4349" max="4349" width="39.109375" customWidth="1"/>
    <col min="4350" max="4350" width="12" customWidth="1"/>
    <col min="4351" max="4351" width="14.44140625" customWidth="1"/>
    <col min="4352" max="4352" width="11.77734375" customWidth="1"/>
    <col min="4353" max="4353" width="14.109375" customWidth="1"/>
    <col min="4354" max="4354" width="13.77734375" customWidth="1"/>
    <col min="4355" max="4356" width="12.77734375" customWidth="1"/>
    <col min="4357" max="4357" width="13.5546875" customWidth="1"/>
    <col min="4358" max="4358" width="15.21875" customWidth="1"/>
    <col min="4359" max="4359" width="12.77734375" customWidth="1"/>
    <col min="4360" max="4360" width="13.77734375" customWidth="1"/>
    <col min="4361" max="4361" width="1.77734375" customWidth="1"/>
    <col min="4362" max="4362" width="13" customWidth="1"/>
    <col min="4363" max="4602" width="8.77734375"/>
    <col min="4603" max="4603" width="6" customWidth="1"/>
    <col min="4604" max="4604" width="1.44140625" customWidth="1"/>
    <col min="4605" max="4605" width="39.109375" customWidth="1"/>
    <col min="4606" max="4606" width="12" customWidth="1"/>
    <col min="4607" max="4607" width="14.44140625" customWidth="1"/>
    <col min="4608" max="4608" width="11.77734375" customWidth="1"/>
    <col min="4609" max="4609" width="14.109375" customWidth="1"/>
    <col min="4610" max="4610" width="13.77734375" customWidth="1"/>
    <col min="4611" max="4612" width="12.77734375" customWidth="1"/>
    <col min="4613" max="4613" width="13.5546875" customWidth="1"/>
    <col min="4614" max="4614" width="15.21875" customWidth="1"/>
    <col min="4615" max="4615" width="12.77734375" customWidth="1"/>
    <col min="4616" max="4616" width="13.77734375" customWidth="1"/>
    <col min="4617" max="4617" width="1.77734375" customWidth="1"/>
    <col min="4618" max="4618" width="13" customWidth="1"/>
    <col min="4619" max="4858" width="8.77734375"/>
    <col min="4859" max="4859" width="6" customWidth="1"/>
    <col min="4860" max="4860" width="1.44140625" customWidth="1"/>
    <col min="4861" max="4861" width="39.109375" customWidth="1"/>
    <col min="4862" max="4862" width="12" customWidth="1"/>
    <col min="4863" max="4863" width="14.44140625" customWidth="1"/>
    <col min="4864" max="4864" width="11.77734375" customWidth="1"/>
    <col min="4865" max="4865" width="14.109375" customWidth="1"/>
    <col min="4866" max="4866" width="13.77734375" customWidth="1"/>
    <col min="4867" max="4868" width="12.77734375" customWidth="1"/>
    <col min="4869" max="4869" width="13.5546875" customWidth="1"/>
    <col min="4870" max="4870" width="15.21875" customWidth="1"/>
    <col min="4871" max="4871" width="12.77734375" customWidth="1"/>
    <col min="4872" max="4872" width="13.77734375" customWidth="1"/>
    <col min="4873" max="4873" width="1.77734375" customWidth="1"/>
    <col min="4874" max="4874" width="13" customWidth="1"/>
    <col min="4875" max="5114" width="8.77734375"/>
    <col min="5115" max="5115" width="6" customWidth="1"/>
    <col min="5116" max="5116" width="1.44140625" customWidth="1"/>
    <col min="5117" max="5117" width="39.109375" customWidth="1"/>
    <col min="5118" max="5118" width="12" customWidth="1"/>
    <col min="5119" max="5119" width="14.44140625" customWidth="1"/>
    <col min="5120" max="5120" width="11.77734375" customWidth="1"/>
    <col min="5121" max="5121" width="14.109375" customWidth="1"/>
    <col min="5122" max="5122" width="13.77734375" customWidth="1"/>
    <col min="5123" max="5124" width="12.77734375" customWidth="1"/>
    <col min="5125" max="5125" width="13.5546875" customWidth="1"/>
    <col min="5126" max="5126" width="15.21875" customWidth="1"/>
    <col min="5127" max="5127" width="12.77734375" customWidth="1"/>
    <col min="5128" max="5128" width="13.77734375" customWidth="1"/>
    <col min="5129" max="5129" width="1.77734375" customWidth="1"/>
    <col min="5130" max="5130" width="13" customWidth="1"/>
    <col min="5131" max="5370" width="8.77734375"/>
    <col min="5371" max="5371" width="6" customWidth="1"/>
    <col min="5372" max="5372" width="1.44140625" customWidth="1"/>
    <col min="5373" max="5373" width="39.109375" customWidth="1"/>
    <col min="5374" max="5374" width="12" customWidth="1"/>
    <col min="5375" max="5375" width="14.44140625" customWidth="1"/>
    <col min="5376" max="5376" width="11.77734375" customWidth="1"/>
    <col min="5377" max="5377" width="14.109375" customWidth="1"/>
    <col min="5378" max="5378" width="13.77734375" customWidth="1"/>
    <col min="5379" max="5380" width="12.77734375" customWidth="1"/>
    <col min="5381" max="5381" width="13.5546875" customWidth="1"/>
    <col min="5382" max="5382" width="15.21875" customWidth="1"/>
    <col min="5383" max="5383" width="12.77734375" customWidth="1"/>
    <col min="5384" max="5384" width="13.77734375" customWidth="1"/>
    <col min="5385" max="5385" width="1.77734375" customWidth="1"/>
    <col min="5386" max="5386" width="13" customWidth="1"/>
    <col min="5387" max="5626" width="8.77734375"/>
    <col min="5627" max="5627" width="6" customWidth="1"/>
    <col min="5628" max="5628" width="1.44140625" customWidth="1"/>
    <col min="5629" max="5629" width="39.109375" customWidth="1"/>
    <col min="5630" max="5630" width="12" customWidth="1"/>
    <col min="5631" max="5631" width="14.44140625" customWidth="1"/>
    <col min="5632" max="5632" width="11.77734375" customWidth="1"/>
    <col min="5633" max="5633" width="14.109375" customWidth="1"/>
    <col min="5634" max="5634" width="13.77734375" customWidth="1"/>
    <col min="5635" max="5636" width="12.77734375" customWidth="1"/>
    <col min="5637" max="5637" width="13.5546875" customWidth="1"/>
    <col min="5638" max="5638" width="15.21875" customWidth="1"/>
    <col min="5639" max="5639" width="12.77734375" customWidth="1"/>
    <col min="5640" max="5640" width="13.77734375" customWidth="1"/>
    <col min="5641" max="5641" width="1.77734375" customWidth="1"/>
    <col min="5642" max="5642" width="13" customWidth="1"/>
    <col min="5643" max="5882" width="8.77734375"/>
    <col min="5883" max="5883" width="6" customWidth="1"/>
    <col min="5884" max="5884" width="1.44140625" customWidth="1"/>
    <col min="5885" max="5885" width="39.109375" customWidth="1"/>
    <col min="5886" max="5886" width="12" customWidth="1"/>
    <col min="5887" max="5887" width="14.44140625" customWidth="1"/>
    <col min="5888" max="5888" width="11.77734375" customWidth="1"/>
    <col min="5889" max="5889" width="14.109375" customWidth="1"/>
    <col min="5890" max="5890" width="13.77734375" customWidth="1"/>
    <col min="5891" max="5892" width="12.77734375" customWidth="1"/>
    <col min="5893" max="5893" width="13.5546875" customWidth="1"/>
    <col min="5894" max="5894" width="15.21875" customWidth="1"/>
    <col min="5895" max="5895" width="12.77734375" customWidth="1"/>
    <col min="5896" max="5896" width="13.77734375" customWidth="1"/>
    <col min="5897" max="5897" width="1.77734375" customWidth="1"/>
    <col min="5898" max="5898" width="13" customWidth="1"/>
    <col min="5899" max="6138" width="8.77734375"/>
    <col min="6139" max="6139" width="6" customWidth="1"/>
    <col min="6140" max="6140" width="1.44140625" customWidth="1"/>
    <col min="6141" max="6141" width="39.109375" customWidth="1"/>
    <col min="6142" max="6142" width="12" customWidth="1"/>
    <col min="6143" max="6143" width="14.44140625" customWidth="1"/>
    <col min="6144" max="6144" width="11.77734375" customWidth="1"/>
    <col min="6145" max="6145" width="14.109375" customWidth="1"/>
    <col min="6146" max="6146" width="13.77734375" customWidth="1"/>
    <col min="6147" max="6148" width="12.77734375" customWidth="1"/>
    <col min="6149" max="6149" width="13.5546875" customWidth="1"/>
    <col min="6150" max="6150" width="15.21875" customWidth="1"/>
    <col min="6151" max="6151" width="12.77734375" customWidth="1"/>
    <col min="6152" max="6152" width="13.77734375" customWidth="1"/>
    <col min="6153" max="6153" width="1.77734375" customWidth="1"/>
    <col min="6154" max="6154" width="13" customWidth="1"/>
    <col min="6155" max="6394" width="8.77734375"/>
    <col min="6395" max="6395" width="6" customWidth="1"/>
    <col min="6396" max="6396" width="1.44140625" customWidth="1"/>
    <col min="6397" max="6397" width="39.109375" customWidth="1"/>
    <col min="6398" max="6398" width="12" customWidth="1"/>
    <col min="6399" max="6399" width="14.44140625" customWidth="1"/>
    <col min="6400" max="6400" width="11.77734375" customWidth="1"/>
    <col min="6401" max="6401" width="14.109375" customWidth="1"/>
    <col min="6402" max="6402" width="13.77734375" customWidth="1"/>
    <col min="6403" max="6404" width="12.77734375" customWidth="1"/>
    <col min="6405" max="6405" width="13.5546875" customWidth="1"/>
    <col min="6406" max="6406" width="15.21875" customWidth="1"/>
    <col min="6407" max="6407" width="12.77734375" customWidth="1"/>
    <col min="6408" max="6408" width="13.77734375" customWidth="1"/>
    <col min="6409" max="6409" width="1.77734375" customWidth="1"/>
    <col min="6410" max="6410" width="13" customWidth="1"/>
    <col min="6411" max="6650" width="8.77734375"/>
    <col min="6651" max="6651" width="6" customWidth="1"/>
    <col min="6652" max="6652" width="1.44140625" customWidth="1"/>
    <col min="6653" max="6653" width="39.109375" customWidth="1"/>
    <col min="6654" max="6654" width="12" customWidth="1"/>
    <col min="6655" max="6655" width="14.44140625" customWidth="1"/>
    <col min="6656" max="6656" width="11.77734375" customWidth="1"/>
    <col min="6657" max="6657" width="14.109375" customWidth="1"/>
    <col min="6658" max="6658" width="13.77734375" customWidth="1"/>
    <col min="6659" max="6660" width="12.77734375" customWidth="1"/>
    <col min="6661" max="6661" width="13.5546875" customWidth="1"/>
    <col min="6662" max="6662" width="15.21875" customWidth="1"/>
    <col min="6663" max="6663" width="12.77734375" customWidth="1"/>
    <col min="6664" max="6664" width="13.77734375" customWidth="1"/>
    <col min="6665" max="6665" width="1.77734375" customWidth="1"/>
    <col min="6666" max="6666" width="13" customWidth="1"/>
    <col min="6667" max="6906" width="8.77734375"/>
    <col min="6907" max="6907" width="6" customWidth="1"/>
    <col min="6908" max="6908" width="1.44140625" customWidth="1"/>
    <col min="6909" max="6909" width="39.109375" customWidth="1"/>
    <col min="6910" max="6910" width="12" customWidth="1"/>
    <col min="6911" max="6911" width="14.44140625" customWidth="1"/>
    <col min="6912" max="6912" width="11.77734375" customWidth="1"/>
    <col min="6913" max="6913" width="14.109375" customWidth="1"/>
    <col min="6914" max="6914" width="13.77734375" customWidth="1"/>
    <col min="6915" max="6916" width="12.77734375" customWidth="1"/>
    <col min="6917" max="6917" width="13.5546875" customWidth="1"/>
    <col min="6918" max="6918" width="15.21875" customWidth="1"/>
    <col min="6919" max="6919" width="12.77734375" customWidth="1"/>
    <col min="6920" max="6920" width="13.77734375" customWidth="1"/>
    <col min="6921" max="6921" width="1.77734375" customWidth="1"/>
    <col min="6922" max="6922" width="13" customWidth="1"/>
    <col min="6923" max="7162" width="8.77734375"/>
    <col min="7163" max="7163" width="6" customWidth="1"/>
    <col min="7164" max="7164" width="1.44140625" customWidth="1"/>
    <col min="7165" max="7165" width="39.109375" customWidth="1"/>
    <col min="7166" max="7166" width="12" customWidth="1"/>
    <col min="7167" max="7167" width="14.44140625" customWidth="1"/>
    <col min="7168" max="7168" width="11.77734375" customWidth="1"/>
    <col min="7169" max="7169" width="14.109375" customWidth="1"/>
    <col min="7170" max="7170" width="13.77734375" customWidth="1"/>
    <col min="7171" max="7172" width="12.77734375" customWidth="1"/>
    <col min="7173" max="7173" width="13.5546875" customWidth="1"/>
    <col min="7174" max="7174" width="15.21875" customWidth="1"/>
    <col min="7175" max="7175" width="12.77734375" customWidth="1"/>
    <col min="7176" max="7176" width="13.77734375" customWidth="1"/>
    <col min="7177" max="7177" width="1.77734375" customWidth="1"/>
    <col min="7178" max="7178" width="13" customWidth="1"/>
    <col min="7179" max="7418" width="8.77734375"/>
    <col min="7419" max="7419" width="6" customWidth="1"/>
    <col min="7420" max="7420" width="1.44140625" customWidth="1"/>
    <col min="7421" max="7421" width="39.109375" customWidth="1"/>
    <col min="7422" max="7422" width="12" customWidth="1"/>
    <col min="7423" max="7423" width="14.44140625" customWidth="1"/>
    <col min="7424" max="7424" width="11.77734375" customWidth="1"/>
    <col min="7425" max="7425" width="14.109375" customWidth="1"/>
    <col min="7426" max="7426" width="13.77734375" customWidth="1"/>
    <col min="7427" max="7428" width="12.77734375" customWidth="1"/>
    <col min="7429" max="7429" width="13.5546875" customWidth="1"/>
    <col min="7430" max="7430" width="15.21875" customWidth="1"/>
    <col min="7431" max="7431" width="12.77734375" customWidth="1"/>
    <col min="7432" max="7432" width="13.77734375" customWidth="1"/>
    <col min="7433" max="7433" width="1.77734375" customWidth="1"/>
    <col min="7434" max="7434" width="13" customWidth="1"/>
    <col min="7435" max="7674" width="8.77734375"/>
    <col min="7675" max="7675" width="6" customWidth="1"/>
    <col min="7676" max="7676" width="1.44140625" customWidth="1"/>
    <col min="7677" max="7677" width="39.109375" customWidth="1"/>
    <col min="7678" max="7678" width="12" customWidth="1"/>
    <col min="7679" max="7679" width="14.44140625" customWidth="1"/>
    <col min="7680" max="7680" width="11.77734375" customWidth="1"/>
    <col min="7681" max="7681" width="14.109375" customWidth="1"/>
    <col min="7682" max="7682" width="13.77734375" customWidth="1"/>
    <col min="7683" max="7684" width="12.77734375" customWidth="1"/>
    <col min="7685" max="7685" width="13.5546875" customWidth="1"/>
    <col min="7686" max="7686" width="15.21875" customWidth="1"/>
    <col min="7687" max="7687" width="12.77734375" customWidth="1"/>
    <col min="7688" max="7688" width="13.77734375" customWidth="1"/>
    <col min="7689" max="7689" width="1.77734375" customWidth="1"/>
    <col min="7690" max="7690" width="13" customWidth="1"/>
    <col min="7691" max="7930" width="8.77734375"/>
    <col min="7931" max="7931" width="6" customWidth="1"/>
    <col min="7932" max="7932" width="1.44140625" customWidth="1"/>
    <col min="7933" max="7933" width="39.109375" customWidth="1"/>
    <col min="7934" max="7934" width="12" customWidth="1"/>
    <col min="7935" max="7935" width="14.44140625" customWidth="1"/>
    <col min="7936" max="7936" width="11.77734375" customWidth="1"/>
    <col min="7937" max="7937" width="14.109375" customWidth="1"/>
    <col min="7938" max="7938" width="13.77734375" customWidth="1"/>
    <col min="7939" max="7940" width="12.77734375" customWidth="1"/>
    <col min="7941" max="7941" width="13.5546875" customWidth="1"/>
    <col min="7942" max="7942" width="15.21875" customWidth="1"/>
    <col min="7943" max="7943" width="12.77734375" customWidth="1"/>
    <col min="7944" max="7944" width="13.77734375" customWidth="1"/>
    <col min="7945" max="7945" width="1.77734375" customWidth="1"/>
    <col min="7946" max="7946" width="13" customWidth="1"/>
    <col min="7947" max="8186" width="8.77734375"/>
    <col min="8187" max="8187" width="6" customWidth="1"/>
    <col min="8188" max="8188" width="1.44140625" customWidth="1"/>
    <col min="8189" max="8189" width="39.109375" customWidth="1"/>
    <col min="8190" max="8190" width="12" customWidth="1"/>
    <col min="8191" max="8191" width="14.44140625" customWidth="1"/>
    <col min="8192" max="8192" width="11.77734375" customWidth="1"/>
    <col min="8193" max="8193" width="14.109375" customWidth="1"/>
    <col min="8194" max="8194" width="13.77734375" customWidth="1"/>
    <col min="8195" max="8196" width="12.77734375" customWidth="1"/>
    <col min="8197" max="8197" width="13.5546875" customWidth="1"/>
    <col min="8198" max="8198" width="15.21875" customWidth="1"/>
    <col min="8199" max="8199" width="12.77734375" customWidth="1"/>
    <col min="8200" max="8200" width="13.77734375" customWidth="1"/>
    <col min="8201" max="8201" width="1.77734375" customWidth="1"/>
    <col min="8202" max="8202" width="13" customWidth="1"/>
    <col min="8203" max="8442" width="8.77734375"/>
    <col min="8443" max="8443" width="6" customWidth="1"/>
    <col min="8444" max="8444" width="1.44140625" customWidth="1"/>
    <col min="8445" max="8445" width="39.109375" customWidth="1"/>
    <col min="8446" max="8446" width="12" customWidth="1"/>
    <col min="8447" max="8447" width="14.44140625" customWidth="1"/>
    <col min="8448" max="8448" width="11.77734375" customWidth="1"/>
    <col min="8449" max="8449" width="14.109375" customWidth="1"/>
    <col min="8450" max="8450" width="13.77734375" customWidth="1"/>
    <col min="8451" max="8452" width="12.77734375" customWidth="1"/>
    <col min="8453" max="8453" width="13.5546875" customWidth="1"/>
    <col min="8454" max="8454" width="15.21875" customWidth="1"/>
    <col min="8455" max="8455" width="12.77734375" customWidth="1"/>
    <col min="8456" max="8456" width="13.77734375" customWidth="1"/>
    <col min="8457" max="8457" width="1.77734375" customWidth="1"/>
    <col min="8458" max="8458" width="13" customWidth="1"/>
    <col min="8459" max="8698" width="8.77734375"/>
    <col min="8699" max="8699" width="6" customWidth="1"/>
    <col min="8700" max="8700" width="1.44140625" customWidth="1"/>
    <col min="8701" max="8701" width="39.109375" customWidth="1"/>
    <col min="8702" max="8702" width="12" customWidth="1"/>
    <col min="8703" max="8703" width="14.44140625" customWidth="1"/>
    <col min="8704" max="8704" width="11.77734375" customWidth="1"/>
    <col min="8705" max="8705" width="14.109375" customWidth="1"/>
    <col min="8706" max="8706" width="13.77734375" customWidth="1"/>
    <col min="8707" max="8708" width="12.77734375" customWidth="1"/>
    <col min="8709" max="8709" width="13.5546875" customWidth="1"/>
    <col min="8710" max="8710" width="15.21875" customWidth="1"/>
    <col min="8711" max="8711" width="12.77734375" customWidth="1"/>
    <col min="8712" max="8712" width="13.77734375" customWidth="1"/>
    <col min="8713" max="8713" width="1.77734375" customWidth="1"/>
    <col min="8714" max="8714" width="13" customWidth="1"/>
    <col min="8715" max="8954" width="8.77734375"/>
    <col min="8955" max="8955" width="6" customWidth="1"/>
    <col min="8956" max="8956" width="1.44140625" customWidth="1"/>
    <col min="8957" max="8957" width="39.109375" customWidth="1"/>
    <col min="8958" max="8958" width="12" customWidth="1"/>
    <col min="8959" max="8959" width="14.44140625" customWidth="1"/>
    <col min="8960" max="8960" width="11.77734375" customWidth="1"/>
    <col min="8961" max="8961" width="14.109375" customWidth="1"/>
    <col min="8962" max="8962" width="13.77734375" customWidth="1"/>
    <col min="8963" max="8964" width="12.77734375" customWidth="1"/>
    <col min="8965" max="8965" width="13.5546875" customWidth="1"/>
    <col min="8966" max="8966" width="15.21875" customWidth="1"/>
    <col min="8967" max="8967" width="12.77734375" customWidth="1"/>
    <col min="8968" max="8968" width="13.77734375" customWidth="1"/>
    <col min="8969" max="8969" width="1.77734375" customWidth="1"/>
    <col min="8970" max="8970" width="13" customWidth="1"/>
    <col min="8971" max="9210" width="8.77734375"/>
    <col min="9211" max="9211" width="6" customWidth="1"/>
    <col min="9212" max="9212" width="1.44140625" customWidth="1"/>
    <col min="9213" max="9213" width="39.109375" customWidth="1"/>
    <col min="9214" max="9214" width="12" customWidth="1"/>
    <col min="9215" max="9215" width="14.44140625" customWidth="1"/>
    <col min="9216" max="9216" width="11.77734375" customWidth="1"/>
    <col min="9217" max="9217" width="14.109375" customWidth="1"/>
    <col min="9218" max="9218" width="13.77734375" customWidth="1"/>
    <col min="9219" max="9220" width="12.77734375" customWidth="1"/>
    <col min="9221" max="9221" width="13.5546875" customWidth="1"/>
    <col min="9222" max="9222" width="15.21875" customWidth="1"/>
    <col min="9223" max="9223" width="12.77734375" customWidth="1"/>
    <col min="9224" max="9224" width="13.77734375" customWidth="1"/>
    <col min="9225" max="9225" width="1.77734375" customWidth="1"/>
    <col min="9226" max="9226" width="13" customWidth="1"/>
    <col min="9227" max="9466" width="8.77734375"/>
    <col min="9467" max="9467" width="6" customWidth="1"/>
    <col min="9468" max="9468" width="1.44140625" customWidth="1"/>
    <col min="9469" max="9469" width="39.109375" customWidth="1"/>
    <col min="9470" max="9470" width="12" customWidth="1"/>
    <col min="9471" max="9471" width="14.44140625" customWidth="1"/>
    <col min="9472" max="9472" width="11.77734375" customWidth="1"/>
    <col min="9473" max="9473" width="14.109375" customWidth="1"/>
    <col min="9474" max="9474" width="13.77734375" customWidth="1"/>
    <col min="9475" max="9476" width="12.77734375" customWidth="1"/>
    <col min="9477" max="9477" width="13.5546875" customWidth="1"/>
    <col min="9478" max="9478" width="15.21875" customWidth="1"/>
    <col min="9479" max="9479" width="12.77734375" customWidth="1"/>
    <col min="9480" max="9480" width="13.77734375" customWidth="1"/>
    <col min="9481" max="9481" width="1.77734375" customWidth="1"/>
    <col min="9482" max="9482" width="13" customWidth="1"/>
    <col min="9483" max="9722" width="8.77734375"/>
    <col min="9723" max="9723" width="6" customWidth="1"/>
    <col min="9724" max="9724" width="1.44140625" customWidth="1"/>
    <col min="9725" max="9725" width="39.109375" customWidth="1"/>
    <col min="9726" max="9726" width="12" customWidth="1"/>
    <col min="9727" max="9727" width="14.44140625" customWidth="1"/>
    <col min="9728" max="9728" width="11.77734375" customWidth="1"/>
    <col min="9729" max="9729" width="14.109375" customWidth="1"/>
    <col min="9730" max="9730" width="13.77734375" customWidth="1"/>
    <col min="9731" max="9732" width="12.77734375" customWidth="1"/>
    <col min="9733" max="9733" width="13.5546875" customWidth="1"/>
    <col min="9734" max="9734" width="15.21875" customWidth="1"/>
    <col min="9735" max="9735" width="12.77734375" customWidth="1"/>
    <col min="9736" max="9736" width="13.77734375" customWidth="1"/>
    <col min="9737" max="9737" width="1.77734375" customWidth="1"/>
    <col min="9738" max="9738" width="13" customWidth="1"/>
    <col min="9739" max="9978" width="8.77734375"/>
    <col min="9979" max="9979" width="6" customWidth="1"/>
    <col min="9980" max="9980" width="1.44140625" customWidth="1"/>
    <col min="9981" max="9981" width="39.109375" customWidth="1"/>
    <col min="9982" max="9982" width="12" customWidth="1"/>
    <col min="9983" max="9983" width="14.44140625" customWidth="1"/>
    <col min="9984" max="9984" width="11.77734375" customWidth="1"/>
    <col min="9985" max="9985" width="14.109375" customWidth="1"/>
    <col min="9986" max="9986" width="13.77734375" customWidth="1"/>
    <col min="9987" max="9988" width="12.77734375" customWidth="1"/>
    <col min="9989" max="9989" width="13.5546875" customWidth="1"/>
    <col min="9990" max="9990" width="15.21875" customWidth="1"/>
    <col min="9991" max="9991" width="12.77734375" customWidth="1"/>
    <col min="9992" max="9992" width="13.77734375" customWidth="1"/>
    <col min="9993" max="9993" width="1.77734375" customWidth="1"/>
    <col min="9994" max="9994" width="13" customWidth="1"/>
    <col min="9995" max="10234" width="8.77734375"/>
    <col min="10235" max="10235" width="6" customWidth="1"/>
    <col min="10236" max="10236" width="1.44140625" customWidth="1"/>
    <col min="10237" max="10237" width="39.109375" customWidth="1"/>
    <col min="10238" max="10238" width="12" customWidth="1"/>
    <col min="10239" max="10239" width="14.44140625" customWidth="1"/>
    <col min="10240" max="10240" width="11.77734375" customWidth="1"/>
    <col min="10241" max="10241" width="14.109375" customWidth="1"/>
    <col min="10242" max="10242" width="13.77734375" customWidth="1"/>
    <col min="10243" max="10244" width="12.77734375" customWidth="1"/>
    <col min="10245" max="10245" width="13.5546875" customWidth="1"/>
    <col min="10246" max="10246" width="15.21875" customWidth="1"/>
    <col min="10247" max="10247" width="12.77734375" customWidth="1"/>
    <col min="10248" max="10248" width="13.77734375" customWidth="1"/>
    <col min="10249" max="10249" width="1.77734375" customWidth="1"/>
    <col min="10250" max="10250" width="13" customWidth="1"/>
    <col min="10251" max="10490" width="8.77734375"/>
    <col min="10491" max="10491" width="6" customWidth="1"/>
    <col min="10492" max="10492" width="1.44140625" customWidth="1"/>
    <col min="10493" max="10493" width="39.109375" customWidth="1"/>
    <col min="10494" max="10494" width="12" customWidth="1"/>
    <col min="10495" max="10495" width="14.44140625" customWidth="1"/>
    <col min="10496" max="10496" width="11.77734375" customWidth="1"/>
    <col min="10497" max="10497" width="14.109375" customWidth="1"/>
    <col min="10498" max="10498" width="13.77734375" customWidth="1"/>
    <col min="10499" max="10500" width="12.77734375" customWidth="1"/>
    <col min="10501" max="10501" width="13.5546875" customWidth="1"/>
    <col min="10502" max="10502" width="15.21875" customWidth="1"/>
    <col min="10503" max="10503" width="12.77734375" customWidth="1"/>
    <col min="10504" max="10504" width="13.77734375" customWidth="1"/>
    <col min="10505" max="10505" width="1.77734375" customWidth="1"/>
    <col min="10506" max="10506" width="13" customWidth="1"/>
    <col min="10507" max="10746" width="8.77734375"/>
    <col min="10747" max="10747" width="6" customWidth="1"/>
    <col min="10748" max="10748" width="1.44140625" customWidth="1"/>
    <col min="10749" max="10749" width="39.109375" customWidth="1"/>
    <col min="10750" max="10750" width="12" customWidth="1"/>
    <col min="10751" max="10751" width="14.44140625" customWidth="1"/>
    <col min="10752" max="10752" width="11.77734375" customWidth="1"/>
    <col min="10753" max="10753" width="14.109375" customWidth="1"/>
    <col min="10754" max="10754" width="13.77734375" customWidth="1"/>
    <col min="10755" max="10756" width="12.77734375" customWidth="1"/>
    <col min="10757" max="10757" width="13.5546875" customWidth="1"/>
    <col min="10758" max="10758" width="15.21875" customWidth="1"/>
    <col min="10759" max="10759" width="12.77734375" customWidth="1"/>
    <col min="10760" max="10760" width="13.77734375" customWidth="1"/>
    <col min="10761" max="10761" width="1.77734375" customWidth="1"/>
    <col min="10762" max="10762" width="13" customWidth="1"/>
    <col min="10763" max="11002" width="8.77734375"/>
    <col min="11003" max="11003" width="6" customWidth="1"/>
    <col min="11004" max="11004" width="1.44140625" customWidth="1"/>
    <col min="11005" max="11005" width="39.109375" customWidth="1"/>
    <col min="11006" max="11006" width="12" customWidth="1"/>
    <col min="11007" max="11007" width="14.44140625" customWidth="1"/>
    <col min="11008" max="11008" width="11.77734375" customWidth="1"/>
    <col min="11009" max="11009" width="14.109375" customWidth="1"/>
    <col min="11010" max="11010" width="13.77734375" customWidth="1"/>
    <col min="11011" max="11012" width="12.77734375" customWidth="1"/>
    <col min="11013" max="11013" width="13.5546875" customWidth="1"/>
    <col min="11014" max="11014" width="15.21875" customWidth="1"/>
    <col min="11015" max="11015" width="12.77734375" customWidth="1"/>
    <col min="11016" max="11016" width="13.77734375" customWidth="1"/>
    <col min="11017" max="11017" width="1.77734375" customWidth="1"/>
    <col min="11018" max="11018" width="13" customWidth="1"/>
    <col min="11019" max="11258" width="8.77734375"/>
    <col min="11259" max="11259" width="6" customWidth="1"/>
    <col min="11260" max="11260" width="1.44140625" customWidth="1"/>
    <col min="11261" max="11261" width="39.109375" customWidth="1"/>
    <col min="11262" max="11262" width="12" customWidth="1"/>
    <col min="11263" max="11263" width="14.44140625" customWidth="1"/>
    <col min="11264" max="11264" width="11.77734375" customWidth="1"/>
    <col min="11265" max="11265" width="14.109375" customWidth="1"/>
    <col min="11266" max="11266" width="13.77734375" customWidth="1"/>
    <col min="11267" max="11268" width="12.77734375" customWidth="1"/>
    <col min="11269" max="11269" width="13.5546875" customWidth="1"/>
    <col min="11270" max="11270" width="15.21875" customWidth="1"/>
    <col min="11271" max="11271" width="12.77734375" customWidth="1"/>
    <col min="11272" max="11272" width="13.77734375" customWidth="1"/>
    <col min="11273" max="11273" width="1.77734375" customWidth="1"/>
    <col min="11274" max="11274" width="13" customWidth="1"/>
    <col min="11275" max="11514" width="8.77734375"/>
    <col min="11515" max="11515" width="6" customWidth="1"/>
    <col min="11516" max="11516" width="1.44140625" customWidth="1"/>
    <col min="11517" max="11517" width="39.109375" customWidth="1"/>
    <col min="11518" max="11518" width="12" customWidth="1"/>
    <col min="11519" max="11519" width="14.44140625" customWidth="1"/>
    <col min="11520" max="11520" width="11.77734375" customWidth="1"/>
    <col min="11521" max="11521" width="14.109375" customWidth="1"/>
    <col min="11522" max="11522" width="13.77734375" customWidth="1"/>
    <col min="11523" max="11524" width="12.77734375" customWidth="1"/>
    <col min="11525" max="11525" width="13.5546875" customWidth="1"/>
    <col min="11526" max="11526" width="15.21875" customWidth="1"/>
    <col min="11527" max="11527" width="12.77734375" customWidth="1"/>
    <col min="11528" max="11528" width="13.77734375" customWidth="1"/>
    <col min="11529" max="11529" width="1.77734375" customWidth="1"/>
    <col min="11530" max="11530" width="13" customWidth="1"/>
    <col min="11531" max="11770" width="8.77734375"/>
    <col min="11771" max="11771" width="6" customWidth="1"/>
    <col min="11772" max="11772" width="1.44140625" customWidth="1"/>
    <col min="11773" max="11773" width="39.109375" customWidth="1"/>
    <col min="11774" max="11774" width="12" customWidth="1"/>
    <col min="11775" max="11775" width="14.44140625" customWidth="1"/>
    <col min="11776" max="11776" width="11.77734375" customWidth="1"/>
    <col min="11777" max="11777" width="14.109375" customWidth="1"/>
    <col min="11778" max="11778" width="13.77734375" customWidth="1"/>
    <col min="11779" max="11780" width="12.77734375" customWidth="1"/>
    <col min="11781" max="11781" width="13.5546875" customWidth="1"/>
    <col min="11782" max="11782" width="15.21875" customWidth="1"/>
    <col min="11783" max="11783" width="12.77734375" customWidth="1"/>
    <col min="11784" max="11784" width="13.77734375" customWidth="1"/>
    <col min="11785" max="11785" width="1.77734375" customWidth="1"/>
    <col min="11786" max="11786" width="13" customWidth="1"/>
    <col min="11787" max="12026" width="8.77734375"/>
    <col min="12027" max="12027" width="6" customWidth="1"/>
    <col min="12028" max="12028" width="1.44140625" customWidth="1"/>
    <col min="12029" max="12029" width="39.109375" customWidth="1"/>
    <col min="12030" max="12030" width="12" customWidth="1"/>
    <col min="12031" max="12031" width="14.44140625" customWidth="1"/>
    <col min="12032" max="12032" width="11.77734375" customWidth="1"/>
    <col min="12033" max="12033" width="14.109375" customWidth="1"/>
    <col min="12034" max="12034" width="13.77734375" customWidth="1"/>
    <col min="12035" max="12036" width="12.77734375" customWidth="1"/>
    <col min="12037" max="12037" width="13.5546875" customWidth="1"/>
    <col min="12038" max="12038" width="15.21875" customWidth="1"/>
    <col min="12039" max="12039" width="12.77734375" customWidth="1"/>
    <col min="12040" max="12040" width="13.77734375" customWidth="1"/>
    <col min="12041" max="12041" width="1.77734375" customWidth="1"/>
    <col min="12042" max="12042" width="13" customWidth="1"/>
    <col min="12043" max="12282" width="8.77734375"/>
    <col min="12283" max="12283" width="6" customWidth="1"/>
    <col min="12284" max="12284" width="1.44140625" customWidth="1"/>
    <col min="12285" max="12285" width="39.109375" customWidth="1"/>
    <col min="12286" max="12286" width="12" customWidth="1"/>
    <col min="12287" max="12287" width="14.44140625" customWidth="1"/>
    <col min="12288" max="12288" width="11.77734375" customWidth="1"/>
    <col min="12289" max="12289" width="14.109375" customWidth="1"/>
    <col min="12290" max="12290" width="13.77734375" customWidth="1"/>
    <col min="12291" max="12292" width="12.77734375" customWidth="1"/>
    <col min="12293" max="12293" width="13.5546875" customWidth="1"/>
    <col min="12294" max="12294" width="15.21875" customWidth="1"/>
    <col min="12295" max="12295" width="12.77734375" customWidth="1"/>
    <col min="12296" max="12296" width="13.77734375" customWidth="1"/>
    <col min="12297" max="12297" width="1.77734375" customWidth="1"/>
    <col min="12298" max="12298" width="13" customWidth="1"/>
    <col min="12299" max="12538" width="8.77734375"/>
    <col min="12539" max="12539" width="6" customWidth="1"/>
    <col min="12540" max="12540" width="1.44140625" customWidth="1"/>
    <col min="12541" max="12541" width="39.109375" customWidth="1"/>
    <col min="12542" max="12542" width="12" customWidth="1"/>
    <col min="12543" max="12543" width="14.44140625" customWidth="1"/>
    <col min="12544" max="12544" width="11.77734375" customWidth="1"/>
    <col min="12545" max="12545" width="14.109375" customWidth="1"/>
    <col min="12546" max="12546" width="13.77734375" customWidth="1"/>
    <col min="12547" max="12548" width="12.77734375" customWidth="1"/>
    <col min="12549" max="12549" width="13.5546875" customWidth="1"/>
    <col min="12550" max="12550" width="15.21875" customWidth="1"/>
    <col min="12551" max="12551" width="12.77734375" customWidth="1"/>
    <col min="12552" max="12552" width="13.77734375" customWidth="1"/>
    <col min="12553" max="12553" width="1.77734375" customWidth="1"/>
    <col min="12554" max="12554" width="13" customWidth="1"/>
    <col min="12555" max="12794" width="8.77734375"/>
    <col min="12795" max="12795" width="6" customWidth="1"/>
    <col min="12796" max="12796" width="1.44140625" customWidth="1"/>
    <col min="12797" max="12797" width="39.109375" customWidth="1"/>
    <col min="12798" max="12798" width="12" customWidth="1"/>
    <col min="12799" max="12799" width="14.44140625" customWidth="1"/>
    <col min="12800" max="12800" width="11.77734375" customWidth="1"/>
    <col min="12801" max="12801" width="14.109375" customWidth="1"/>
    <col min="12802" max="12802" width="13.77734375" customWidth="1"/>
    <col min="12803" max="12804" width="12.77734375" customWidth="1"/>
    <col min="12805" max="12805" width="13.5546875" customWidth="1"/>
    <col min="12806" max="12806" width="15.21875" customWidth="1"/>
    <col min="12807" max="12807" width="12.77734375" customWidth="1"/>
    <col min="12808" max="12808" width="13.77734375" customWidth="1"/>
    <col min="12809" max="12809" width="1.77734375" customWidth="1"/>
    <col min="12810" max="12810" width="13" customWidth="1"/>
    <col min="12811" max="13050" width="8.77734375"/>
    <col min="13051" max="13051" width="6" customWidth="1"/>
    <col min="13052" max="13052" width="1.44140625" customWidth="1"/>
    <col min="13053" max="13053" width="39.109375" customWidth="1"/>
    <col min="13054" max="13054" width="12" customWidth="1"/>
    <col min="13055" max="13055" width="14.44140625" customWidth="1"/>
    <col min="13056" max="13056" width="11.77734375" customWidth="1"/>
    <col min="13057" max="13057" width="14.109375" customWidth="1"/>
    <col min="13058" max="13058" width="13.77734375" customWidth="1"/>
    <col min="13059" max="13060" width="12.77734375" customWidth="1"/>
    <col min="13061" max="13061" width="13.5546875" customWidth="1"/>
    <col min="13062" max="13062" width="15.21875" customWidth="1"/>
    <col min="13063" max="13063" width="12.77734375" customWidth="1"/>
    <col min="13064" max="13064" width="13.77734375" customWidth="1"/>
    <col min="13065" max="13065" width="1.77734375" customWidth="1"/>
    <col min="13066" max="13066" width="13" customWidth="1"/>
    <col min="13067" max="13306" width="8.77734375"/>
    <col min="13307" max="13307" width="6" customWidth="1"/>
    <col min="13308" max="13308" width="1.44140625" customWidth="1"/>
    <col min="13309" max="13309" width="39.109375" customWidth="1"/>
    <col min="13310" max="13310" width="12" customWidth="1"/>
    <col min="13311" max="13311" width="14.44140625" customWidth="1"/>
    <col min="13312" max="13312" width="11.77734375" customWidth="1"/>
    <col min="13313" max="13313" width="14.109375" customWidth="1"/>
    <col min="13314" max="13314" width="13.77734375" customWidth="1"/>
    <col min="13315" max="13316" width="12.77734375" customWidth="1"/>
    <col min="13317" max="13317" width="13.5546875" customWidth="1"/>
    <col min="13318" max="13318" width="15.21875" customWidth="1"/>
    <col min="13319" max="13319" width="12.77734375" customWidth="1"/>
    <col min="13320" max="13320" width="13.77734375" customWidth="1"/>
    <col min="13321" max="13321" width="1.77734375" customWidth="1"/>
    <col min="13322" max="13322" width="13" customWidth="1"/>
    <col min="13323" max="13562" width="8.77734375"/>
    <col min="13563" max="13563" width="6" customWidth="1"/>
    <col min="13564" max="13564" width="1.44140625" customWidth="1"/>
    <col min="13565" max="13565" width="39.109375" customWidth="1"/>
    <col min="13566" max="13566" width="12" customWidth="1"/>
    <col min="13567" max="13567" width="14.44140625" customWidth="1"/>
    <col min="13568" max="13568" width="11.77734375" customWidth="1"/>
    <col min="13569" max="13569" width="14.109375" customWidth="1"/>
    <col min="13570" max="13570" width="13.77734375" customWidth="1"/>
    <col min="13571" max="13572" width="12.77734375" customWidth="1"/>
    <col min="13573" max="13573" width="13.5546875" customWidth="1"/>
    <col min="13574" max="13574" width="15.21875" customWidth="1"/>
    <col min="13575" max="13575" width="12.77734375" customWidth="1"/>
    <col min="13576" max="13576" width="13.77734375" customWidth="1"/>
    <col min="13577" max="13577" width="1.77734375" customWidth="1"/>
    <col min="13578" max="13578" width="13" customWidth="1"/>
    <col min="13579" max="13818" width="8.77734375"/>
    <col min="13819" max="13819" width="6" customWidth="1"/>
    <col min="13820" max="13820" width="1.44140625" customWidth="1"/>
    <col min="13821" max="13821" width="39.109375" customWidth="1"/>
    <col min="13822" max="13822" width="12" customWidth="1"/>
    <col min="13823" max="13823" width="14.44140625" customWidth="1"/>
    <col min="13824" max="13824" width="11.77734375" customWidth="1"/>
    <col min="13825" max="13825" width="14.109375" customWidth="1"/>
    <col min="13826" max="13826" width="13.77734375" customWidth="1"/>
    <col min="13827" max="13828" width="12.77734375" customWidth="1"/>
    <col min="13829" max="13829" width="13.5546875" customWidth="1"/>
    <col min="13830" max="13830" width="15.21875" customWidth="1"/>
    <col min="13831" max="13831" width="12.77734375" customWidth="1"/>
    <col min="13832" max="13832" width="13.77734375" customWidth="1"/>
    <col min="13833" max="13833" width="1.77734375" customWidth="1"/>
    <col min="13834" max="13834" width="13" customWidth="1"/>
    <col min="13835" max="14074" width="8.77734375"/>
    <col min="14075" max="14075" width="6" customWidth="1"/>
    <col min="14076" max="14076" width="1.44140625" customWidth="1"/>
    <col min="14077" max="14077" width="39.109375" customWidth="1"/>
    <col min="14078" max="14078" width="12" customWidth="1"/>
    <col min="14079" max="14079" width="14.44140625" customWidth="1"/>
    <col min="14080" max="14080" width="11.77734375" customWidth="1"/>
    <col min="14081" max="14081" width="14.109375" customWidth="1"/>
    <col min="14082" max="14082" width="13.77734375" customWidth="1"/>
    <col min="14083" max="14084" width="12.77734375" customWidth="1"/>
    <col min="14085" max="14085" width="13.5546875" customWidth="1"/>
    <col min="14086" max="14086" width="15.21875" customWidth="1"/>
    <col min="14087" max="14087" width="12.77734375" customWidth="1"/>
    <col min="14088" max="14088" width="13.77734375" customWidth="1"/>
    <col min="14089" max="14089" width="1.77734375" customWidth="1"/>
    <col min="14090" max="14090" width="13" customWidth="1"/>
    <col min="14091" max="14330" width="8.77734375"/>
    <col min="14331" max="14331" width="6" customWidth="1"/>
    <col min="14332" max="14332" width="1.44140625" customWidth="1"/>
    <col min="14333" max="14333" width="39.109375" customWidth="1"/>
    <col min="14334" max="14334" width="12" customWidth="1"/>
    <col min="14335" max="14335" width="14.44140625" customWidth="1"/>
    <col min="14336" max="14336" width="11.77734375" customWidth="1"/>
    <col min="14337" max="14337" width="14.109375" customWidth="1"/>
    <col min="14338" max="14338" width="13.77734375" customWidth="1"/>
    <col min="14339" max="14340" width="12.77734375" customWidth="1"/>
    <col min="14341" max="14341" width="13.5546875" customWidth="1"/>
    <col min="14342" max="14342" width="15.21875" customWidth="1"/>
    <col min="14343" max="14343" width="12.77734375" customWidth="1"/>
    <col min="14344" max="14344" width="13.77734375" customWidth="1"/>
    <col min="14345" max="14345" width="1.77734375" customWidth="1"/>
    <col min="14346" max="14346" width="13" customWidth="1"/>
    <col min="14347" max="14586" width="8.77734375"/>
    <col min="14587" max="14587" width="6" customWidth="1"/>
    <col min="14588" max="14588" width="1.44140625" customWidth="1"/>
    <col min="14589" max="14589" width="39.109375" customWidth="1"/>
    <col min="14590" max="14590" width="12" customWidth="1"/>
    <col min="14591" max="14591" width="14.44140625" customWidth="1"/>
    <col min="14592" max="14592" width="11.77734375" customWidth="1"/>
    <col min="14593" max="14593" width="14.109375" customWidth="1"/>
    <col min="14594" max="14594" width="13.77734375" customWidth="1"/>
    <col min="14595" max="14596" width="12.77734375" customWidth="1"/>
    <col min="14597" max="14597" width="13.5546875" customWidth="1"/>
    <col min="14598" max="14598" width="15.21875" customWidth="1"/>
    <col min="14599" max="14599" width="12.77734375" customWidth="1"/>
    <col min="14600" max="14600" width="13.77734375" customWidth="1"/>
    <col min="14601" max="14601" width="1.77734375" customWidth="1"/>
    <col min="14602" max="14602" width="13" customWidth="1"/>
    <col min="14603" max="14842" width="8.77734375"/>
    <col min="14843" max="14843" width="6" customWidth="1"/>
    <col min="14844" max="14844" width="1.44140625" customWidth="1"/>
    <col min="14845" max="14845" width="39.109375" customWidth="1"/>
    <col min="14846" max="14846" width="12" customWidth="1"/>
    <col min="14847" max="14847" width="14.44140625" customWidth="1"/>
    <col min="14848" max="14848" width="11.77734375" customWidth="1"/>
    <col min="14849" max="14849" width="14.109375" customWidth="1"/>
    <col min="14850" max="14850" width="13.77734375" customWidth="1"/>
    <col min="14851" max="14852" width="12.77734375" customWidth="1"/>
    <col min="14853" max="14853" width="13.5546875" customWidth="1"/>
    <col min="14854" max="14854" width="15.21875" customWidth="1"/>
    <col min="14855" max="14855" width="12.77734375" customWidth="1"/>
    <col min="14856" max="14856" width="13.77734375" customWidth="1"/>
    <col min="14857" max="14857" width="1.77734375" customWidth="1"/>
    <col min="14858" max="14858" width="13" customWidth="1"/>
    <col min="14859" max="15098" width="8.77734375"/>
    <col min="15099" max="15099" width="6" customWidth="1"/>
    <col min="15100" max="15100" width="1.44140625" customWidth="1"/>
    <col min="15101" max="15101" width="39.109375" customWidth="1"/>
    <col min="15102" max="15102" width="12" customWidth="1"/>
    <col min="15103" max="15103" width="14.44140625" customWidth="1"/>
    <col min="15104" max="15104" width="11.77734375" customWidth="1"/>
    <col min="15105" max="15105" width="14.109375" customWidth="1"/>
    <col min="15106" max="15106" width="13.77734375" customWidth="1"/>
    <col min="15107" max="15108" width="12.77734375" customWidth="1"/>
    <col min="15109" max="15109" width="13.5546875" customWidth="1"/>
    <col min="15110" max="15110" width="15.21875" customWidth="1"/>
    <col min="15111" max="15111" width="12.77734375" customWidth="1"/>
    <col min="15112" max="15112" width="13.77734375" customWidth="1"/>
    <col min="15113" max="15113" width="1.77734375" customWidth="1"/>
    <col min="15114" max="15114" width="13" customWidth="1"/>
    <col min="15115" max="15354" width="8.77734375"/>
    <col min="15355" max="15355" width="6" customWidth="1"/>
    <col min="15356" max="15356" width="1.44140625" customWidth="1"/>
    <col min="15357" max="15357" width="39.109375" customWidth="1"/>
    <col min="15358" max="15358" width="12" customWidth="1"/>
    <col min="15359" max="15359" width="14.44140625" customWidth="1"/>
    <col min="15360" max="15360" width="11.77734375" customWidth="1"/>
    <col min="15361" max="15361" width="14.109375" customWidth="1"/>
    <col min="15362" max="15362" width="13.77734375" customWidth="1"/>
    <col min="15363" max="15364" width="12.77734375" customWidth="1"/>
    <col min="15365" max="15365" width="13.5546875" customWidth="1"/>
    <col min="15366" max="15366" width="15.21875" customWidth="1"/>
    <col min="15367" max="15367" width="12.77734375" customWidth="1"/>
    <col min="15368" max="15368" width="13.77734375" customWidth="1"/>
    <col min="15369" max="15369" width="1.77734375" customWidth="1"/>
    <col min="15370" max="15370" width="13" customWidth="1"/>
    <col min="15371" max="15610" width="8.77734375"/>
    <col min="15611" max="15611" width="6" customWidth="1"/>
    <col min="15612" max="15612" width="1.44140625" customWidth="1"/>
    <col min="15613" max="15613" width="39.109375" customWidth="1"/>
    <col min="15614" max="15614" width="12" customWidth="1"/>
    <col min="15615" max="15615" width="14.44140625" customWidth="1"/>
    <col min="15616" max="15616" width="11.77734375" customWidth="1"/>
    <col min="15617" max="15617" width="14.109375" customWidth="1"/>
    <col min="15618" max="15618" width="13.77734375" customWidth="1"/>
    <col min="15619" max="15620" width="12.77734375" customWidth="1"/>
    <col min="15621" max="15621" width="13.5546875" customWidth="1"/>
    <col min="15622" max="15622" width="15.21875" customWidth="1"/>
    <col min="15623" max="15623" width="12.77734375" customWidth="1"/>
    <col min="15624" max="15624" width="13.77734375" customWidth="1"/>
    <col min="15625" max="15625" width="1.77734375" customWidth="1"/>
    <col min="15626" max="15626" width="13" customWidth="1"/>
    <col min="15627" max="15866" width="8.77734375"/>
    <col min="15867" max="15867" width="6" customWidth="1"/>
    <col min="15868" max="15868" width="1.44140625" customWidth="1"/>
    <col min="15869" max="15869" width="39.109375" customWidth="1"/>
    <col min="15870" max="15870" width="12" customWidth="1"/>
    <col min="15871" max="15871" width="14.44140625" customWidth="1"/>
    <col min="15872" max="15872" width="11.77734375" customWidth="1"/>
    <col min="15873" max="15873" width="14.109375" customWidth="1"/>
    <col min="15874" max="15874" width="13.77734375" customWidth="1"/>
    <col min="15875" max="15876" width="12.77734375" customWidth="1"/>
    <col min="15877" max="15877" width="13.5546875" customWidth="1"/>
    <col min="15878" max="15878" width="15.21875" customWidth="1"/>
    <col min="15879" max="15879" width="12.77734375" customWidth="1"/>
    <col min="15880" max="15880" width="13.77734375" customWidth="1"/>
    <col min="15881" max="15881" width="1.77734375" customWidth="1"/>
    <col min="15882" max="15882" width="13" customWidth="1"/>
    <col min="15883" max="16122" width="8.77734375"/>
    <col min="16123" max="16123" width="6" customWidth="1"/>
    <col min="16124" max="16124" width="1.44140625" customWidth="1"/>
    <col min="16125" max="16125" width="39.109375" customWidth="1"/>
    <col min="16126" max="16126" width="12" customWidth="1"/>
    <col min="16127" max="16127" width="14.44140625" customWidth="1"/>
    <col min="16128" max="16128" width="11.77734375" customWidth="1"/>
    <col min="16129" max="16129" width="14.109375" customWidth="1"/>
    <col min="16130" max="16130" width="13.77734375" customWidth="1"/>
    <col min="16131" max="16132" width="12.77734375" customWidth="1"/>
    <col min="16133" max="16133" width="13.5546875" customWidth="1"/>
    <col min="16134" max="16134" width="15.21875" customWidth="1"/>
    <col min="16135" max="16135" width="12.77734375" customWidth="1"/>
    <col min="16136" max="16136" width="13.77734375" customWidth="1"/>
    <col min="16137" max="16137" width="1.77734375" customWidth="1"/>
    <col min="16138" max="16138" width="13" customWidth="1"/>
    <col min="16139" max="16378" width="8.77734375"/>
    <col min="16379" max="16384" width="8.77734375" customWidth="1"/>
  </cols>
  <sheetData>
    <row r="1" spans="1:16">
      <c r="I1" s="50" t="s">
        <v>299</v>
      </c>
      <c r="P1" s="280"/>
    </row>
    <row r="2" spans="1:16">
      <c r="I2" s="50" t="s">
        <v>297</v>
      </c>
      <c r="M2" s="949"/>
      <c r="N2" s="949"/>
    </row>
    <row r="3" spans="1:16">
      <c r="I3" s="50" t="s">
        <v>193</v>
      </c>
    </row>
    <row r="4" spans="1:16">
      <c r="I4" s="61" t="str">
        <f>"For the 12 months ended: "&amp;TEXT(INPUT!B1,"mm/dd/yyyy")</f>
        <v>For the 12 months ended: 12/31/2020</v>
      </c>
    </row>
    <row r="5" spans="1:16">
      <c r="C5" s="24"/>
    </row>
    <row r="6" spans="1:16">
      <c r="A6" s="144" t="s">
        <v>257</v>
      </c>
      <c r="B6" s="174"/>
      <c r="C6" s="174"/>
      <c r="D6" s="144"/>
      <c r="E6" s="144"/>
      <c r="F6" s="144"/>
      <c r="G6" s="174"/>
      <c r="H6" s="144"/>
      <c r="I6" s="144"/>
      <c r="K6" s="85"/>
      <c r="L6" s="84"/>
    </row>
    <row r="7" spans="1:16">
      <c r="A7" s="145" t="s">
        <v>300</v>
      </c>
      <c r="B7" s="174"/>
      <c r="C7" s="174"/>
      <c r="D7" s="144"/>
      <c r="E7" s="144"/>
      <c r="F7" s="144"/>
      <c r="G7" s="174"/>
      <c r="H7" s="144"/>
      <c r="I7" s="144"/>
      <c r="K7" s="85"/>
      <c r="L7" s="84"/>
    </row>
    <row r="8" spans="1:16">
      <c r="A8" s="146"/>
      <c r="B8" s="174"/>
      <c r="C8" s="174"/>
      <c r="D8" s="146"/>
      <c r="E8" s="146"/>
      <c r="F8" s="146"/>
      <c r="G8" s="174"/>
      <c r="H8" s="146"/>
      <c r="I8" s="146"/>
      <c r="K8" s="85"/>
      <c r="L8" s="84"/>
    </row>
    <row r="9" spans="1:16">
      <c r="A9" s="259" t="str">
        <f>DEK!A11</f>
        <v>DUKE ENERGY KENTUCKY (DEK)</v>
      </c>
      <c r="B9" s="174"/>
      <c r="C9" s="174"/>
      <c r="D9" s="146"/>
      <c r="E9" s="146"/>
      <c r="F9" s="146"/>
      <c r="G9" s="174"/>
      <c r="H9" s="177"/>
      <c r="I9" s="146"/>
      <c r="K9" s="85"/>
      <c r="L9" s="84"/>
    </row>
    <row r="10" spans="1:16">
      <c r="A10" s="176" t="s">
        <v>606</v>
      </c>
      <c r="B10" s="174"/>
      <c r="C10" s="146"/>
      <c r="D10" s="146"/>
      <c r="E10" s="146"/>
      <c r="F10" s="146"/>
      <c r="G10" s="174"/>
      <c r="H10" s="177"/>
      <c r="I10" s="146"/>
      <c r="K10" s="85"/>
      <c r="L10" s="84"/>
    </row>
    <row r="11" spans="1:16">
      <c r="A11" s="251"/>
      <c r="B11" s="174"/>
      <c r="C11" s="146"/>
      <c r="D11" s="146"/>
      <c r="E11" s="146"/>
      <c r="F11" s="146"/>
      <c r="G11" s="177"/>
      <c r="H11" s="146"/>
      <c r="I11" s="146"/>
      <c r="K11" s="85"/>
      <c r="L11" s="84"/>
    </row>
    <row r="12" spans="1:16">
      <c r="A12" s="146" t="s">
        <v>803</v>
      </c>
      <c r="B12" s="174"/>
      <c r="C12" s="174"/>
      <c r="D12" s="146"/>
      <c r="E12" s="146"/>
      <c r="F12" s="146"/>
      <c r="G12" s="177"/>
      <c r="H12" s="146"/>
      <c r="I12" s="146"/>
      <c r="K12" s="85"/>
      <c r="L12" s="84"/>
    </row>
    <row r="13" spans="1:16">
      <c r="A13" s="86"/>
      <c r="C13" s="1"/>
      <c r="D13" s="1"/>
      <c r="E13" s="1"/>
      <c r="F13" s="1"/>
      <c r="G13" s="17"/>
      <c r="K13" s="84"/>
      <c r="L13" s="84"/>
    </row>
    <row r="14" spans="1:16">
      <c r="A14" s="86"/>
      <c r="C14" s="1"/>
      <c r="D14" s="1"/>
      <c r="E14" s="1"/>
      <c r="F14" s="1"/>
      <c r="G14" s="1"/>
      <c r="K14" s="84"/>
      <c r="L14" s="84"/>
    </row>
    <row r="15" spans="1:16">
      <c r="C15" s="3" t="s">
        <v>18</v>
      </c>
      <c r="D15" s="3"/>
      <c r="E15" s="3" t="s">
        <v>19</v>
      </c>
      <c r="F15" s="3"/>
      <c r="G15" s="3" t="s">
        <v>20</v>
      </c>
      <c r="I15" s="5" t="s">
        <v>21</v>
      </c>
      <c r="K15" s="87"/>
      <c r="L15" s="84"/>
    </row>
    <row r="16" spans="1:16">
      <c r="C16" s="1"/>
      <c r="D16" s="1"/>
      <c r="K16" s="89"/>
      <c r="L16" s="84"/>
    </row>
    <row r="17" spans="1:12">
      <c r="A17" s="26" t="s">
        <v>8</v>
      </c>
      <c r="C17" s="1"/>
      <c r="D17" s="1"/>
      <c r="E17" s="4" t="s">
        <v>299</v>
      </c>
      <c r="F17" s="4"/>
      <c r="G17" s="2"/>
      <c r="K17" s="89"/>
      <c r="L17" s="84"/>
    </row>
    <row r="18" spans="1:12">
      <c r="A18" s="180" t="s">
        <v>10</v>
      </c>
      <c r="B18" s="250"/>
      <c r="C18" s="184"/>
      <c r="D18" s="184"/>
      <c r="E18" s="239" t="s">
        <v>25</v>
      </c>
      <c r="F18" s="239"/>
      <c r="G18" s="180" t="s">
        <v>24</v>
      </c>
      <c r="H18" s="250"/>
      <c r="I18" s="180" t="s">
        <v>13</v>
      </c>
      <c r="K18" s="87"/>
      <c r="L18" s="84"/>
    </row>
    <row r="19" spans="1:12" ht="15.75">
      <c r="A19" s="90"/>
      <c r="C19" s="1" t="s">
        <v>338</v>
      </c>
      <c r="D19" s="1"/>
      <c r="E19" s="4"/>
      <c r="F19" s="2"/>
      <c r="G19" s="2"/>
      <c r="I19" s="2"/>
      <c r="K19" s="87"/>
      <c r="L19" s="84"/>
    </row>
    <row r="20" spans="1:12">
      <c r="A20" s="91">
        <v>1</v>
      </c>
      <c r="C20" s="1" t="s">
        <v>214</v>
      </c>
      <c r="D20" s="1"/>
      <c r="E20" s="4" t="str">
        <f>'Appx C - DEO(MTEP)'!E20</f>
        <v>Att. H-22A, p 2, line 2, col 5 (Note A)</v>
      </c>
      <c r="F20" s="4"/>
      <c r="G20" s="92">
        <f>DEK!J54</f>
        <v>77968566</v>
      </c>
      <c r="K20" s="87"/>
      <c r="L20" s="84"/>
    </row>
    <row r="21" spans="1:12">
      <c r="A21" s="91">
        <v>2</v>
      </c>
      <c r="C21" s="1" t="s">
        <v>215</v>
      </c>
      <c r="D21" s="1"/>
      <c r="E21" s="4" t="str">
        <f>'Appx C - DEO(MTEP)'!E21</f>
        <v>Att. H-22A, p 2, line 14, col 5 (Note B)</v>
      </c>
      <c r="F21" s="4"/>
      <c r="G21" s="92">
        <f>DEK!J70</f>
        <v>64281454</v>
      </c>
      <c r="K21" s="87"/>
      <c r="L21" s="84"/>
    </row>
    <row r="22" spans="1:12">
      <c r="A22" s="91"/>
      <c r="E22" s="4"/>
      <c r="F22" s="4"/>
      <c r="K22" s="87"/>
      <c r="L22" s="84"/>
    </row>
    <row r="23" spans="1:12">
      <c r="A23" s="91"/>
      <c r="C23" s="1" t="s">
        <v>194</v>
      </c>
      <c r="D23" s="1"/>
      <c r="E23" s="4"/>
      <c r="F23" s="4"/>
      <c r="G23" s="2"/>
      <c r="I23" s="2"/>
      <c r="K23" s="87"/>
      <c r="L23" s="84"/>
    </row>
    <row r="24" spans="1:12">
      <c r="A24" s="91">
        <v>3</v>
      </c>
      <c r="C24" s="1" t="s">
        <v>216</v>
      </c>
      <c r="D24" s="1"/>
      <c r="E24" s="4" t="str">
        <f>'Appx C - DEO(MTEP)'!E24</f>
        <v>Att. H-22A, p 3, line 8, col 5</v>
      </c>
      <c r="F24" s="4"/>
      <c r="G24" s="92">
        <f>DEK!J127</f>
        <v>2669090</v>
      </c>
      <c r="K24" s="87"/>
      <c r="L24" s="84"/>
    </row>
    <row r="25" spans="1:12">
      <c r="A25" s="91">
        <v>4</v>
      </c>
      <c r="C25" s="1" t="s">
        <v>217</v>
      </c>
      <c r="D25" s="1"/>
      <c r="E25" s="4" t="str">
        <f>'Appx C - DEO(MTEP)'!E25</f>
        <v>(line 3 divided by line 1, col 3)</v>
      </c>
      <c r="F25" s="4"/>
      <c r="G25" s="93">
        <f>ROUND(IF(G24=0,0,G24/G20),4)</f>
        <v>3.4200000000000001E-2</v>
      </c>
      <c r="I25" s="94">
        <f>G25</f>
        <v>3.4200000000000001E-2</v>
      </c>
      <c r="K25" s="87"/>
      <c r="L25" s="84"/>
    </row>
    <row r="26" spans="1:12">
      <c r="A26" s="91"/>
      <c r="E26" s="4"/>
      <c r="F26" s="4"/>
      <c r="K26" s="87"/>
      <c r="L26" s="84"/>
    </row>
    <row r="27" spans="1:12" ht="30">
      <c r="A27" s="91"/>
      <c r="C27" s="403" t="s">
        <v>578</v>
      </c>
      <c r="D27" s="1"/>
      <c r="E27" s="67"/>
      <c r="F27" s="4"/>
      <c r="K27" s="87"/>
      <c r="L27" s="84"/>
    </row>
    <row r="28" spans="1:12">
      <c r="A28" s="97" t="s">
        <v>218</v>
      </c>
      <c r="C28" s="1" t="s">
        <v>579</v>
      </c>
      <c r="D28" s="1"/>
      <c r="E28" s="4" t="str">
        <f>'Appx C - DEO(MTEP)'!E28</f>
        <v>Att. H-22A, p 3, lines 10 &amp; 11, col 5 (Note H)</v>
      </c>
      <c r="F28" s="4"/>
      <c r="G28" s="92">
        <f>DEK!J131+DEK!J132</f>
        <v>154498</v>
      </c>
      <c r="K28" s="87"/>
      <c r="L28" s="84"/>
    </row>
    <row r="29" spans="1:12" ht="30">
      <c r="A29" s="404" t="s">
        <v>219</v>
      </c>
      <c r="C29" s="403" t="s">
        <v>580</v>
      </c>
      <c r="D29" s="1"/>
      <c r="E29" s="405" t="str">
        <f>'Appx C - DEO(MTEP)'!E29</f>
        <v>(line 5 divided by line 1, col 3)</v>
      </c>
      <c r="F29" s="405"/>
      <c r="G29" s="406">
        <f>ROUND(IF(G28=0,0,G28/G20),4)</f>
        <v>2E-3</v>
      </c>
      <c r="H29" s="407"/>
      <c r="I29" s="408">
        <f>G29</f>
        <v>2E-3</v>
      </c>
      <c r="K29" s="87"/>
      <c r="L29" s="84"/>
    </row>
    <row r="30" spans="1:12">
      <c r="A30" s="91"/>
      <c r="E30" s="4"/>
      <c r="F30" s="4"/>
      <c r="K30" s="87"/>
      <c r="L30" s="84"/>
    </row>
    <row r="31" spans="1:12">
      <c r="A31" s="97"/>
      <c r="C31" s="1" t="s">
        <v>197</v>
      </c>
      <c r="D31" s="1"/>
      <c r="E31" s="67"/>
      <c r="F31" s="67"/>
      <c r="G31" s="2"/>
      <c r="I31" s="2"/>
      <c r="K31" s="87"/>
      <c r="L31" s="84"/>
    </row>
    <row r="32" spans="1:12">
      <c r="A32" s="97" t="s">
        <v>221</v>
      </c>
      <c r="C32" s="1" t="s">
        <v>199</v>
      </c>
      <c r="D32" s="1"/>
      <c r="E32" s="4" t="str">
        <f>'Appx C - DEO(MTEP)'!E32</f>
        <v>Att. H-22A, p 3, line 20, col 5</v>
      </c>
      <c r="F32" s="4"/>
      <c r="G32" s="92">
        <f>DEK!J144</f>
        <v>501465</v>
      </c>
      <c r="K32" s="89"/>
      <c r="L32" s="84"/>
    </row>
    <row r="33" spans="1:12">
      <c r="A33" s="97" t="s">
        <v>223</v>
      </c>
      <c r="C33" s="1" t="s">
        <v>220</v>
      </c>
      <c r="D33" s="1"/>
      <c r="E33" s="4" t="str">
        <f>'Appx C - DEO(MTEP)'!E33</f>
        <v>(line 7 divided by line 1, col 3)</v>
      </c>
      <c r="F33" s="4"/>
      <c r="G33" s="93">
        <f>ROUND(IF(G32=0,0,G32/G20),4)</f>
        <v>6.4000000000000003E-3</v>
      </c>
      <c r="I33" s="94">
        <f>G33</f>
        <v>6.4000000000000003E-3</v>
      </c>
      <c r="K33" s="89"/>
      <c r="L33" s="84"/>
    </row>
    <row r="34" spans="1:12">
      <c r="A34" s="97"/>
      <c r="C34" s="1"/>
      <c r="D34" s="1"/>
      <c r="E34" s="4"/>
      <c r="F34" s="4"/>
      <c r="G34" s="2"/>
      <c r="I34" s="2"/>
      <c r="K34" s="87"/>
      <c r="L34" s="84"/>
    </row>
    <row r="35" spans="1:12" ht="15.75">
      <c r="A35" s="98" t="s">
        <v>195</v>
      </c>
      <c r="B35" s="99"/>
      <c r="C35" s="10" t="s">
        <v>222</v>
      </c>
      <c r="D35" s="10"/>
      <c r="E35" s="88" t="s">
        <v>405</v>
      </c>
      <c r="F35" s="88"/>
      <c r="G35" s="100"/>
      <c r="I35" s="101">
        <f>I25+I29+I33</f>
        <v>4.2600000000000006E-2</v>
      </c>
      <c r="K35" s="87"/>
      <c r="L35" s="84"/>
    </row>
    <row r="36" spans="1:12">
      <c r="A36" s="229"/>
      <c r="C36" s="1"/>
      <c r="D36" s="1"/>
      <c r="E36" s="4"/>
      <c r="F36" s="4"/>
      <c r="G36" s="2"/>
      <c r="I36" s="2"/>
      <c r="K36" s="87"/>
      <c r="L36" s="84"/>
    </row>
    <row r="37" spans="1:12">
      <c r="A37" s="97"/>
      <c r="B37" s="102"/>
      <c r="C37" s="2" t="s">
        <v>201</v>
      </c>
      <c r="D37" s="2"/>
      <c r="E37" s="4"/>
      <c r="F37" s="4"/>
      <c r="G37" s="2"/>
      <c r="I37" s="2"/>
      <c r="K37" s="89"/>
      <c r="L37" s="87" t="s">
        <v>7</v>
      </c>
    </row>
    <row r="38" spans="1:12">
      <c r="A38" s="97" t="s">
        <v>196</v>
      </c>
      <c r="B38" s="102"/>
      <c r="C38" s="2" t="s">
        <v>125</v>
      </c>
      <c r="D38" s="2"/>
      <c r="E38" s="4" t="str">
        <f>'Appx C - DEO(MTEP)'!E38</f>
        <v>Att. H-22A, p 3, line 29, col 5</v>
      </c>
      <c r="F38" s="4"/>
      <c r="G38" s="92">
        <f>DEK!J159</f>
        <v>772493</v>
      </c>
      <c r="I38" s="2"/>
      <c r="K38" s="89"/>
      <c r="L38" s="87"/>
    </row>
    <row r="39" spans="1:12">
      <c r="A39" s="97" t="s">
        <v>198</v>
      </c>
      <c r="B39" s="102"/>
      <c r="C39" s="2" t="s">
        <v>224</v>
      </c>
      <c r="D39" s="2"/>
      <c r="E39" s="4" t="str">
        <f>'Appx C - DEO(MTEP)'!E39</f>
        <v>(line 10 divided by line 2, col 3)</v>
      </c>
      <c r="F39" s="4"/>
      <c r="G39" s="93">
        <f>ROUND(IF(G38=0,0,G38/G21),4)</f>
        <v>1.2E-2</v>
      </c>
      <c r="I39" s="94">
        <f>G39</f>
        <v>1.2E-2</v>
      </c>
      <c r="K39" s="89"/>
      <c r="L39" s="87"/>
    </row>
    <row r="40" spans="1:12">
      <c r="A40" s="97"/>
      <c r="C40" s="2"/>
      <c r="D40" s="2"/>
      <c r="E40" s="4"/>
      <c r="F40" s="4"/>
      <c r="G40" s="2"/>
      <c r="I40" s="2"/>
      <c r="K40" s="84"/>
      <c r="L40" s="84"/>
    </row>
    <row r="41" spans="1:12">
      <c r="A41" s="97"/>
      <c r="C41" s="1" t="s">
        <v>59</v>
      </c>
      <c r="D41" s="1"/>
      <c r="E41" s="15"/>
      <c r="F41" s="15"/>
      <c r="K41" s="87"/>
      <c r="L41" s="84"/>
    </row>
    <row r="42" spans="1:12">
      <c r="A42" s="97" t="s">
        <v>200</v>
      </c>
      <c r="C42" s="1" t="s">
        <v>202</v>
      </c>
      <c r="D42" s="1"/>
      <c r="E42" s="4" t="str">
        <f>'Appx C - DEO(MTEP)'!E42</f>
        <v>Att. H-22A, p 3, line 30, col 5</v>
      </c>
      <c r="F42" s="4"/>
      <c r="G42" s="92">
        <f>DEK!J161</f>
        <v>3964823</v>
      </c>
      <c r="I42" s="2"/>
      <c r="K42" s="87"/>
      <c r="L42" s="84"/>
    </row>
    <row r="43" spans="1:12">
      <c r="A43" s="97" t="s">
        <v>263</v>
      </c>
      <c r="B43" s="102"/>
      <c r="C43" s="2" t="s">
        <v>225</v>
      </c>
      <c r="D43" s="2"/>
      <c r="E43" s="4" t="str">
        <f>'Appx C - DEO(MTEP)'!E43</f>
        <v>(line 12 divided by line 2, col 3)</v>
      </c>
      <c r="F43" s="4"/>
      <c r="G43" s="103">
        <f>ROUND(IF(G42=0,0,G42/G21),4)</f>
        <v>6.1699999999999998E-2</v>
      </c>
      <c r="I43" s="94">
        <f>G43</f>
        <v>6.1699999999999998E-2</v>
      </c>
      <c r="K43" s="89"/>
      <c r="L43" s="87"/>
    </row>
    <row r="44" spans="1:12">
      <c r="A44" s="97"/>
      <c r="C44" s="1"/>
      <c r="D44" s="1"/>
      <c r="E44" s="4"/>
      <c r="F44" s="4"/>
      <c r="G44" s="2"/>
      <c r="I44" s="2"/>
      <c r="K44" s="87"/>
      <c r="L44" s="84"/>
    </row>
    <row r="45" spans="1:12" ht="15.75">
      <c r="A45" s="98" t="s">
        <v>264</v>
      </c>
      <c r="B45" s="99"/>
      <c r="C45" s="10" t="s">
        <v>226</v>
      </c>
      <c r="D45" s="10"/>
      <c r="E45" s="88" t="s">
        <v>340</v>
      </c>
      <c r="F45" s="88"/>
      <c r="G45" s="100"/>
      <c r="I45" s="101">
        <f>I39+I43</f>
        <v>7.3700000000000002E-2</v>
      </c>
      <c r="K45" s="87"/>
      <c r="L45" s="84"/>
    </row>
    <row r="46" spans="1:12">
      <c r="K46" s="87"/>
      <c r="L46" s="84"/>
    </row>
    <row r="47" spans="1:12">
      <c r="A47" s="106"/>
      <c r="C47" s="97"/>
      <c r="D47" s="97"/>
      <c r="E47" s="67"/>
      <c r="F47" s="67"/>
      <c r="G47" s="2"/>
      <c r="H47" s="9"/>
      <c r="I47" s="9"/>
      <c r="J47" s="93"/>
      <c r="K47" s="91"/>
      <c r="L47" s="87"/>
    </row>
    <row r="48" spans="1:12">
      <c r="A48" s="86"/>
      <c r="C48" s="9"/>
      <c r="D48" s="9"/>
      <c r="E48" s="9"/>
      <c r="F48" s="9"/>
      <c r="G48" s="2"/>
      <c r="H48" s="9"/>
      <c r="I48" s="9"/>
      <c r="J48" s="9"/>
      <c r="K48" s="89"/>
      <c r="L48" s="87" t="s">
        <v>7</v>
      </c>
    </row>
    <row r="49" spans="11:24">
      <c r="X49" s="50" t="s">
        <v>299</v>
      </c>
    </row>
    <row r="50" spans="11:24">
      <c r="X50" s="50" t="s">
        <v>297</v>
      </c>
    </row>
    <row r="51" spans="11:24">
      <c r="X51" s="107" t="s">
        <v>203</v>
      </c>
    </row>
    <row r="52" spans="11:24">
      <c r="K52" s="86"/>
      <c r="M52" s="9"/>
      <c r="N52" s="9"/>
      <c r="O52" s="9"/>
      <c r="P52" s="9"/>
      <c r="Q52" s="2"/>
      <c r="R52" s="9"/>
      <c r="S52" s="9"/>
      <c r="T52" s="9"/>
      <c r="U52" s="9"/>
      <c r="W52" s="2"/>
      <c r="X52" s="107" t="str">
        <f>I4</f>
        <v>For the 12 months ended: 12/31/2020</v>
      </c>
    </row>
    <row r="53" spans="11:24">
      <c r="K53" s="86"/>
      <c r="M53" s="1"/>
      <c r="N53" s="9"/>
      <c r="O53" s="9"/>
      <c r="P53" s="9"/>
      <c r="Q53" s="2"/>
      <c r="R53" s="9"/>
      <c r="S53" s="9"/>
      <c r="T53" s="9"/>
      <c r="U53" s="9"/>
      <c r="W53" s="2"/>
    </row>
    <row r="54" spans="11:24">
      <c r="K54" s="70" t="str">
        <f>A6</f>
        <v>Rate Formula Template</v>
      </c>
      <c r="L54" s="174"/>
      <c r="M54" s="174"/>
      <c r="N54" s="146"/>
      <c r="O54" s="70"/>
      <c r="P54" s="70"/>
      <c r="Q54" s="174"/>
      <c r="R54" s="70"/>
      <c r="S54" s="70"/>
      <c r="T54" s="70"/>
      <c r="U54" s="70"/>
      <c r="V54" s="174"/>
      <c r="W54" s="145"/>
      <c r="X54" s="174"/>
    </row>
    <row r="55" spans="11:24">
      <c r="K55" s="70" t="str">
        <f>A7</f>
        <v>Utilizing Attachment H-22A Data</v>
      </c>
      <c r="L55" s="174"/>
      <c r="M55" s="146"/>
      <c r="N55" s="146"/>
      <c r="O55" s="70"/>
      <c r="P55" s="70"/>
      <c r="Q55" s="174"/>
      <c r="R55" s="70"/>
      <c r="S55" s="70"/>
      <c r="T55" s="70"/>
      <c r="U55" s="70"/>
      <c r="V55" s="145"/>
      <c r="W55" s="145"/>
      <c r="X55" s="174"/>
    </row>
    <row r="56" spans="11:24" ht="14.25" customHeight="1">
      <c r="K56" s="173"/>
      <c r="M56" s="9"/>
      <c r="N56" s="9"/>
      <c r="O56" s="9"/>
      <c r="P56" s="9"/>
      <c r="R56" s="70"/>
      <c r="S56" s="9"/>
      <c r="T56" s="9"/>
      <c r="U56" s="9"/>
      <c r="W56" s="2"/>
      <c r="X56" s="9"/>
    </row>
    <row r="57" spans="11:24">
      <c r="K57" s="70" t="str">
        <f>A9</f>
        <v>DUKE ENERGY KENTUCKY (DEK)</v>
      </c>
      <c r="L57" s="174"/>
      <c r="M57" s="174"/>
      <c r="N57" s="174"/>
      <c r="O57" s="70"/>
      <c r="P57" s="70"/>
      <c r="Q57" s="174"/>
      <c r="R57" s="70"/>
      <c r="S57" s="70"/>
      <c r="T57" s="70"/>
      <c r="U57" s="70"/>
      <c r="V57" s="70"/>
      <c r="W57" s="145"/>
      <c r="X57" s="145"/>
    </row>
    <row r="58" spans="11:24">
      <c r="K58" s="70" t="str">
        <f>A10</f>
        <v>MTEP - Transmission Enhancement Charges</v>
      </c>
      <c r="L58" s="174"/>
      <c r="M58" s="174"/>
      <c r="N58" s="174"/>
      <c r="O58" s="146"/>
      <c r="P58" s="146"/>
      <c r="Q58" s="146"/>
      <c r="R58" s="146"/>
      <c r="S58" s="146"/>
      <c r="T58" s="146"/>
      <c r="U58" s="146"/>
      <c r="V58" s="146"/>
      <c r="W58" s="146"/>
      <c r="X58" s="146"/>
    </row>
    <row r="59" spans="11:24">
      <c r="K59" s="86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1:24" ht="15.75">
      <c r="K60" s="175" t="s">
        <v>272</v>
      </c>
      <c r="L60" s="174"/>
      <c r="M60" s="70"/>
      <c r="N60" s="70"/>
      <c r="O60" s="174"/>
      <c r="P60" s="175"/>
      <c r="Q60" s="174"/>
      <c r="R60" s="146"/>
      <c r="S60" s="146"/>
      <c r="T60" s="146"/>
      <c r="U60" s="146"/>
      <c r="V60" s="146"/>
      <c r="W60" s="145"/>
      <c r="X60" s="145"/>
    </row>
    <row r="61" spans="11:24" ht="15.75">
      <c r="K61" s="86"/>
      <c r="M61" s="9"/>
      <c r="N61" s="9"/>
      <c r="O61" s="10"/>
      <c r="P61" s="10"/>
      <c r="R61" s="1"/>
      <c r="S61" s="1"/>
      <c r="T61" s="1"/>
      <c r="U61" s="1"/>
      <c r="V61" s="1"/>
      <c r="W61" s="2"/>
      <c r="X61" s="2"/>
    </row>
    <row r="62" spans="11:24" ht="15.75">
      <c r="K62" s="86"/>
      <c r="M62" s="108">
        <v>-1</v>
      </c>
      <c r="N62" s="108">
        <v>-2</v>
      </c>
      <c r="O62" s="108">
        <v>-3</v>
      </c>
      <c r="P62" s="108">
        <v>-4</v>
      </c>
      <c r="Q62" s="108">
        <v>-5</v>
      </c>
      <c r="R62" s="108">
        <v>-6</v>
      </c>
      <c r="S62" s="108">
        <v>-7</v>
      </c>
      <c r="T62" s="108">
        <v>-8</v>
      </c>
      <c r="U62" s="108">
        <v>-9</v>
      </c>
      <c r="V62" s="108">
        <v>-10</v>
      </c>
      <c r="W62" s="108">
        <v>-11</v>
      </c>
      <c r="X62" s="108">
        <v>-12</v>
      </c>
    </row>
    <row r="63" spans="11:24" ht="63">
      <c r="K63" s="109" t="s">
        <v>227</v>
      </c>
      <c r="L63" s="110"/>
      <c r="M63" s="110" t="s">
        <v>207</v>
      </c>
      <c r="N63" s="111" t="s">
        <v>228</v>
      </c>
      <c r="O63" s="112" t="s">
        <v>229</v>
      </c>
      <c r="P63" s="112" t="s">
        <v>222</v>
      </c>
      <c r="Q63" s="113" t="s">
        <v>230</v>
      </c>
      <c r="R63" s="112" t="s">
        <v>231</v>
      </c>
      <c r="S63" s="112" t="s">
        <v>226</v>
      </c>
      <c r="T63" s="113" t="s">
        <v>232</v>
      </c>
      <c r="U63" s="112" t="s">
        <v>233</v>
      </c>
      <c r="V63" s="114" t="s">
        <v>234</v>
      </c>
      <c r="W63" s="115" t="s">
        <v>235</v>
      </c>
      <c r="X63" s="114" t="s">
        <v>236</v>
      </c>
    </row>
    <row r="64" spans="11:24" ht="46.5" customHeight="1">
      <c r="K64" s="116"/>
      <c r="L64" s="117"/>
      <c r="M64" s="117"/>
      <c r="N64" s="117"/>
      <c r="O64" s="118" t="s">
        <v>16</v>
      </c>
      <c r="P64" s="118" t="s">
        <v>708</v>
      </c>
      <c r="Q64" s="119" t="s">
        <v>237</v>
      </c>
      <c r="R64" s="118" t="s">
        <v>17</v>
      </c>
      <c r="S64" s="118" t="s">
        <v>709</v>
      </c>
      <c r="T64" s="119" t="s">
        <v>238</v>
      </c>
      <c r="U64" s="118" t="s">
        <v>239</v>
      </c>
      <c r="V64" s="119" t="s">
        <v>240</v>
      </c>
      <c r="W64" s="120" t="s">
        <v>204</v>
      </c>
      <c r="X64" s="121" t="s">
        <v>241</v>
      </c>
    </row>
    <row r="65" spans="11:24">
      <c r="K65" s="122"/>
      <c r="L65" s="1"/>
      <c r="M65" s="1"/>
      <c r="N65" s="1"/>
      <c r="O65" s="1"/>
      <c r="P65" s="1"/>
      <c r="Q65" s="123"/>
      <c r="R65" s="1"/>
      <c r="S65" s="1"/>
      <c r="T65" s="123"/>
      <c r="U65" s="1"/>
      <c r="V65" s="123"/>
      <c r="W65" s="2"/>
      <c r="X65" s="124"/>
    </row>
    <row r="66" spans="11:24">
      <c r="K66" s="650" t="s">
        <v>1</v>
      </c>
      <c r="L66" s="256"/>
      <c r="M66" s="256" t="s">
        <v>242</v>
      </c>
      <c r="N66" s="648" t="s">
        <v>243</v>
      </c>
      <c r="O66" s="160">
        <v>0</v>
      </c>
      <c r="P66" s="94">
        <f>$I$35</f>
        <v>4.2600000000000006E-2</v>
      </c>
      <c r="Q66" s="600">
        <f>ROUND(O66*P66,0)</f>
        <v>0</v>
      </c>
      <c r="R66" s="126">
        <v>0</v>
      </c>
      <c r="S66" s="94">
        <f>$I$45</f>
        <v>7.3700000000000002E-2</v>
      </c>
      <c r="T66" s="600">
        <f>ROUND(R66*S66,0)</f>
        <v>0</v>
      </c>
      <c r="U66" s="601">
        <v>0</v>
      </c>
      <c r="V66" s="600">
        <f>Q66+T66+U66</f>
        <v>0</v>
      </c>
      <c r="W66" s="128">
        <v>0</v>
      </c>
      <c r="X66" s="600">
        <f>V66+W66</f>
        <v>0</v>
      </c>
    </row>
    <row r="67" spans="11:24">
      <c r="K67" s="650" t="s">
        <v>244</v>
      </c>
      <c r="L67" s="256"/>
      <c r="M67" s="256" t="s">
        <v>245</v>
      </c>
      <c r="N67" s="648" t="s">
        <v>246</v>
      </c>
      <c r="O67" s="160">
        <v>0</v>
      </c>
      <c r="P67" s="94">
        <f>$I$35</f>
        <v>4.2600000000000006E-2</v>
      </c>
      <c r="Q67" s="600">
        <f t="shared" ref="Q67:Q68" si="0">ROUND(O67*P67,0)</f>
        <v>0</v>
      </c>
      <c r="R67" s="126">
        <v>0</v>
      </c>
      <c r="S67" s="94">
        <f>$I$45</f>
        <v>7.3700000000000002E-2</v>
      </c>
      <c r="T67" s="600">
        <f t="shared" ref="T67:T68" si="1">ROUND(R67*S67,0)</f>
        <v>0</v>
      </c>
      <c r="U67" s="601">
        <v>0</v>
      </c>
      <c r="V67" s="600">
        <f>Q67+T67+U67</f>
        <v>0</v>
      </c>
      <c r="W67" s="128">
        <v>0</v>
      </c>
      <c r="X67" s="600">
        <f>V67+W67</f>
        <v>0</v>
      </c>
    </row>
    <row r="68" spans="11:24">
      <c r="K68" s="651" t="s">
        <v>247</v>
      </c>
      <c r="L68" s="256"/>
      <c r="M68" s="256" t="s">
        <v>248</v>
      </c>
      <c r="N68" s="648" t="s">
        <v>249</v>
      </c>
      <c r="O68" s="160">
        <v>0</v>
      </c>
      <c r="P68" s="94">
        <f>$I$35</f>
        <v>4.2600000000000006E-2</v>
      </c>
      <c r="Q68" s="600">
        <f t="shared" si="0"/>
        <v>0</v>
      </c>
      <c r="R68" s="126">
        <v>0</v>
      </c>
      <c r="S68" s="94">
        <f>$I$45</f>
        <v>7.3700000000000002E-2</v>
      </c>
      <c r="T68" s="600">
        <f t="shared" si="1"/>
        <v>0</v>
      </c>
      <c r="U68" s="601">
        <v>0</v>
      </c>
      <c r="V68" s="600">
        <f>Q68+T68+U68</f>
        <v>0</v>
      </c>
      <c r="W68" s="126">
        <v>0</v>
      </c>
      <c r="X68" s="600">
        <f>V68+W68</f>
        <v>0</v>
      </c>
    </row>
    <row r="69" spans="11:24">
      <c r="K69" s="125"/>
      <c r="Q69" s="127"/>
      <c r="T69" s="127"/>
      <c r="V69" s="127"/>
      <c r="X69" s="127"/>
    </row>
    <row r="70" spans="11:24">
      <c r="K70" s="125"/>
      <c r="Q70" s="127"/>
      <c r="T70" s="127"/>
      <c r="V70" s="127"/>
      <c r="X70" s="127"/>
    </row>
    <row r="71" spans="11:24">
      <c r="K71" s="125"/>
      <c r="Q71" s="127"/>
      <c r="T71" s="127"/>
      <c r="V71" s="127"/>
      <c r="X71" s="127"/>
    </row>
    <row r="72" spans="11:24">
      <c r="K72" s="125"/>
      <c r="Q72" s="127"/>
      <c r="T72" s="127"/>
      <c r="V72" s="127"/>
      <c r="X72" s="127"/>
    </row>
    <row r="73" spans="11:24">
      <c r="K73" s="125"/>
      <c r="Q73" s="127"/>
      <c r="T73" s="127"/>
      <c r="V73" s="127"/>
      <c r="X73" s="127"/>
    </row>
    <row r="74" spans="11:24">
      <c r="K74" s="125"/>
      <c r="M74" s="129"/>
      <c r="N74" s="129"/>
      <c r="O74" s="129"/>
      <c r="P74" s="129"/>
      <c r="Q74" s="130"/>
      <c r="R74" s="129"/>
      <c r="S74" s="129"/>
      <c r="T74" s="130"/>
      <c r="U74" s="129"/>
      <c r="V74" s="130"/>
      <c r="W74" s="129"/>
      <c r="X74" s="130"/>
    </row>
    <row r="75" spans="11:24">
      <c r="K75" s="125"/>
      <c r="M75" s="129"/>
      <c r="N75" s="129"/>
      <c r="O75" s="129"/>
      <c r="P75" s="129"/>
      <c r="Q75" s="130"/>
      <c r="R75" s="129"/>
      <c r="S75" s="129"/>
      <c r="T75" s="130"/>
      <c r="U75" s="129"/>
      <c r="V75" s="130"/>
      <c r="W75" s="129"/>
      <c r="X75" s="130"/>
    </row>
    <row r="76" spans="11:24">
      <c r="K76" s="125"/>
      <c r="M76" s="129"/>
      <c r="N76" s="129"/>
      <c r="O76" s="129"/>
      <c r="P76" s="129"/>
      <c r="Q76" s="130"/>
      <c r="R76" s="129"/>
      <c r="S76" s="129"/>
      <c r="T76" s="130"/>
      <c r="U76" s="129"/>
      <c r="V76" s="130"/>
      <c r="W76" s="129"/>
      <c r="X76" s="130"/>
    </row>
    <row r="77" spans="11:24">
      <c r="K77" s="125"/>
      <c r="M77" s="129"/>
      <c r="N77" s="129"/>
      <c r="O77" s="129"/>
      <c r="P77" s="129"/>
      <c r="Q77" s="130"/>
      <c r="R77" s="129"/>
      <c r="S77" s="129"/>
      <c r="T77" s="130"/>
      <c r="U77" s="129"/>
      <c r="V77" s="130"/>
      <c r="W77" s="129"/>
      <c r="X77" s="130"/>
    </row>
    <row r="78" spans="11:24">
      <c r="K78" s="125"/>
      <c r="M78" s="129"/>
      <c r="N78" s="129"/>
      <c r="O78" s="129"/>
      <c r="P78" s="129"/>
      <c r="Q78" s="130"/>
      <c r="R78" s="129"/>
      <c r="S78" s="129"/>
      <c r="T78" s="130"/>
      <c r="U78" s="129"/>
      <c r="V78" s="130"/>
      <c r="W78" s="129"/>
      <c r="X78" s="130"/>
    </row>
    <row r="79" spans="11:24">
      <c r="K79" s="125"/>
      <c r="M79" s="129"/>
      <c r="N79" s="129"/>
      <c r="O79" s="129"/>
      <c r="P79" s="129"/>
      <c r="Q79" s="130"/>
      <c r="R79" s="129"/>
      <c r="S79" s="129"/>
      <c r="T79" s="130"/>
      <c r="U79" s="129"/>
      <c r="V79" s="130"/>
      <c r="W79" s="129"/>
      <c r="X79" s="130"/>
    </row>
    <row r="80" spans="11:24">
      <c r="K80" s="125"/>
      <c r="M80" s="129"/>
      <c r="N80" s="129"/>
      <c r="O80" s="129"/>
      <c r="P80" s="129"/>
      <c r="Q80" s="130"/>
      <c r="R80" s="129"/>
      <c r="S80" s="129"/>
      <c r="T80" s="130"/>
      <c r="U80" s="129"/>
      <c r="V80" s="130"/>
      <c r="W80" s="129"/>
      <c r="X80" s="130"/>
    </row>
    <row r="81" spans="11:24">
      <c r="K81" s="125"/>
      <c r="M81" s="129"/>
      <c r="N81" s="129"/>
      <c r="O81" s="129"/>
      <c r="P81" s="129"/>
      <c r="Q81" s="130"/>
      <c r="R81" s="129"/>
      <c r="S81" s="129"/>
      <c r="T81" s="130"/>
      <c r="U81" s="129"/>
      <c r="V81" s="130"/>
      <c r="W81" s="129"/>
      <c r="X81" s="130"/>
    </row>
    <row r="82" spans="11:24">
      <c r="K82" s="125"/>
      <c r="M82" s="129"/>
      <c r="N82" s="129"/>
      <c r="O82" s="129"/>
      <c r="P82" s="129"/>
      <c r="Q82" s="130"/>
      <c r="R82" s="129"/>
      <c r="S82" s="129"/>
      <c r="T82" s="130"/>
      <c r="U82" s="129"/>
      <c r="V82" s="130"/>
      <c r="W82" s="129"/>
      <c r="X82" s="130"/>
    </row>
    <row r="83" spans="11:24">
      <c r="K83" s="125"/>
      <c r="M83" s="129"/>
      <c r="N83" s="129"/>
      <c r="O83" s="129"/>
      <c r="P83" s="129"/>
      <c r="Q83" s="130"/>
      <c r="R83" s="129"/>
      <c r="S83" s="129"/>
      <c r="T83" s="130"/>
      <c r="U83" s="129"/>
      <c r="V83" s="130"/>
      <c r="W83" s="129"/>
      <c r="X83" s="130"/>
    </row>
    <row r="84" spans="11:24">
      <c r="K84" s="125"/>
      <c r="M84" s="129"/>
      <c r="N84" s="129"/>
      <c r="O84" s="129"/>
      <c r="P84" s="129"/>
      <c r="Q84" s="130"/>
      <c r="R84" s="129"/>
      <c r="S84" s="129"/>
      <c r="T84" s="130"/>
      <c r="U84" s="129"/>
      <c r="V84" s="130"/>
      <c r="W84" s="129"/>
      <c r="X84" s="130"/>
    </row>
    <row r="85" spans="11:24">
      <c r="K85" s="131"/>
      <c r="L85" s="132"/>
      <c r="M85" s="133"/>
      <c r="N85" s="133"/>
      <c r="O85" s="133"/>
      <c r="P85" s="133"/>
      <c r="Q85" s="134"/>
      <c r="R85" s="133"/>
      <c r="S85" s="133"/>
      <c r="T85" s="134"/>
      <c r="U85" s="133"/>
      <c r="V85" s="134"/>
      <c r="W85" s="133"/>
      <c r="X85" s="134"/>
    </row>
    <row r="86" spans="11:24">
      <c r="K86" s="5" t="s">
        <v>250</v>
      </c>
      <c r="L86" s="102"/>
      <c r="M86" s="1" t="s">
        <v>251</v>
      </c>
      <c r="N86" s="1"/>
      <c r="O86" s="67"/>
      <c r="P86" s="67"/>
      <c r="Q86" s="2"/>
      <c r="R86" s="2"/>
      <c r="S86" s="2"/>
      <c r="T86" s="2"/>
      <c r="U86" s="2"/>
      <c r="V86" s="577">
        <f>SUM(V66:V85)</f>
        <v>0</v>
      </c>
      <c r="W86" s="577">
        <f>SUM(W66:W85)</f>
        <v>0</v>
      </c>
      <c r="X86" s="577">
        <f>SUM(X66:X85)</f>
        <v>0</v>
      </c>
    </row>
    <row r="87" spans="11:24">
      <c r="K87" s="52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599"/>
      <c r="W87" s="599"/>
      <c r="X87" s="599"/>
    </row>
    <row r="88" spans="11:24">
      <c r="K88" s="135">
        <v>3</v>
      </c>
      <c r="L88" s="129"/>
      <c r="M88" s="9" t="str">
        <f>'Appx C - DEOK(MTEP)'!D40</f>
        <v>MTEP Transmission Enhancement Charges</v>
      </c>
      <c r="N88" s="129"/>
      <c r="O88" s="129"/>
      <c r="P88" s="129"/>
      <c r="Q88" s="129"/>
      <c r="R88" s="129"/>
      <c r="S88" s="129"/>
      <c r="T88" s="129"/>
      <c r="U88" s="129"/>
      <c r="V88" s="577"/>
      <c r="W88" s="599"/>
      <c r="X88" s="577">
        <f>X86</f>
        <v>0</v>
      </c>
    </row>
    <row r="89" spans="11:24"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</row>
    <row r="90" spans="11:24"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</row>
    <row r="91" spans="11:24">
      <c r="K91" s="67" t="s">
        <v>94</v>
      </c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</row>
    <row r="92" spans="11:24" ht="15.75" thickBot="1">
      <c r="K92" s="525" t="s">
        <v>95</v>
      </c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</row>
    <row r="93" spans="11:24">
      <c r="K93" s="136" t="s">
        <v>96</v>
      </c>
      <c r="L93" s="66"/>
      <c r="M93" s="983" t="s">
        <v>582</v>
      </c>
      <c r="N93" s="984"/>
      <c r="O93" s="984"/>
      <c r="P93" s="984"/>
      <c r="Q93" s="984"/>
      <c r="R93" s="984"/>
      <c r="S93" s="984"/>
      <c r="T93" s="984"/>
      <c r="U93" s="984"/>
      <c r="V93" s="984"/>
      <c r="W93" s="984"/>
      <c r="X93" s="984"/>
    </row>
    <row r="94" spans="11:24">
      <c r="K94" s="136" t="s">
        <v>97</v>
      </c>
      <c r="L94" s="66"/>
      <c r="M94" s="983" t="s">
        <v>583</v>
      </c>
      <c r="N94" s="984"/>
      <c r="O94" s="984"/>
      <c r="P94" s="984"/>
      <c r="Q94" s="984"/>
      <c r="R94" s="984"/>
      <c r="S94" s="984"/>
      <c r="T94" s="984"/>
      <c r="U94" s="984"/>
      <c r="V94" s="984"/>
      <c r="W94" s="984"/>
      <c r="X94" s="984"/>
    </row>
    <row r="95" spans="11:24" ht="27.75" customHeight="1">
      <c r="K95" s="137" t="s">
        <v>98</v>
      </c>
      <c r="L95" s="66"/>
      <c r="M95" s="985" t="s">
        <v>252</v>
      </c>
      <c r="N95" s="985"/>
      <c r="O95" s="985"/>
      <c r="P95" s="985"/>
      <c r="Q95" s="985"/>
      <c r="R95" s="985"/>
      <c r="S95" s="985"/>
      <c r="T95" s="985"/>
      <c r="U95" s="985"/>
      <c r="V95" s="985"/>
      <c r="W95" s="985"/>
      <c r="X95" s="985"/>
    </row>
    <row r="96" spans="11:24" ht="15" customHeight="1">
      <c r="K96" s="137" t="s">
        <v>99</v>
      </c>
      <c r="L96" s="66"/>
      <c r="M96" s="985" t="s">
        <v>253</v>
      </c>
      <c r="N96" s="985"/>
      <c r="O96" s="985"/>
      <c r="P96" s="985"/>
      <c r="Q96" s="985"/>
      <c r="R96" s="985"/>
      <c r="S96" s="985"/>
      <c r="T96" s="985"/>
      <c r="U96" s="985"/>
      <c r="V96" s="985"/>
      <c r="W96" s="985"/>
      <c r="X96" s="985"/>
    </row>
    <row r="97" spans="11:24">
      <c r="K97" s="136" t="s">
        <v>100</v>
      </c>
      <c r="L97" s="66"/>
      <c r="M97" s="984" t="s">
        <v>315</v>
      </c>
      <c r="N97" s="984"/>
      <c r="O97" s="984"/>
      <c r="P97" s="984"/>
      <c r="Q97" s="984"/>
      <c r="R97" s="984"/>
      <c r="S97" s="984"/>
      <c r="T97" s="984"/>
      <c r="U97" s="984"/>
      <c r="V97" s="984"/>
      <c r="W97" s="984"/>
      <c r="X97" s="984"/>
    </row>
    <row r="98" spans="11:24">
      <c r="K98" s="136" t="s">
        <v>101</v>
      </c>
      <c r="L98" s="66"/>
      <c r="M98" s="984" t="s">
        <v>254</v>
      </c>
      <c r="N98" s="984"/>
      <c r="O98" s="984"/>
      <c r="P98" s="984"/>
      <c r="Q98" s="984"/>
      <c r="R98" s="984"/>
      <c r="S98" s="984"/>
      <c r="T98" s="984"/>
      <c r="U98" s="984"/>
      <c r="V98" s="984"/>
      <c r="W98" s="984"/>
      <c r="X98" s="984"/>
    </row>
    <row r="99" spans="11:24">
      <c r="K99" s="136" t="s">
        <v>102</v>
      </c>
      <c r="L99" s="66"/>
      <c r="M99" s="984" t="s">
        <v>255</v>
      </c>
      <c r="N99" s="984"/>
      <c r="O99" s="984"/>
      <c r="P99" s="984"/>
      <c r="Q99" s="984"/>
      <c r="R99" s="984"/>
      <c r="S99" s="984"/>
      <c r="T99" s="984"/>
      <c r="U99" s="984"/>
      <c r="V99" s="984"/>
      <c r="W99" s="984"/>
      <c r="X99" s="984"/>
    </row>
    <row r="100" spans="11:24">
      <c r="K100" s="249" t="s">
        <v>103</v>
      </c>
      <c r="M100" s="983" t="s">
        <v>337</v>
      </c>
      <c r="N100" s="983"/>
      <c r="O100" s="983"/>
      <c r="P100" s="983"/>
      <c r="Q100" s="983"/>
      <c r="R100" s="983"/>
      <c r="S100" s="983"/>
      <c r="T100" s="983"/>
      <c r="U100" s="983"/>
      <c r="V100" s="983"/>
      <c r="W100" s="983"/>
      <c r="X100" s="983"/>
    </row>
    <row r="101" spans="11:24" ht="15.75">
      <c r="K101" s="104"/>
      <c r="L101" s="138"/>
      <c r="M101" s="139"/>
      <c r="N101" s="97"/>
      <c r="O101" s="67"/>
      <c r="P101" s="67"/>
      <c r="Q101" s="2"/>
      <c r="R101" s="9"/>
      <c r="S101" s="9"/>
      <c r="T101" s="93"/>
      <c r="U101" s="9"/>
      <c r="W101" s="2"/>
      <c r="X101" s="105"/>
    </row>
    <row r="102" spans="11:24" ht="15.75">
      <c r="K102" s="104"/>
      <c r="L102" s="138"/>
      <c r="M102" s="139"/>
      <c r="N102" s="97"/>
      <c r="O102" s="67"/>
      <c r="P102" s="67"/>
      <c r="Q102" s="2"/>
      <c r="R102" s="9"/>
      <c r="S102" s="9"/>
      <c r="T102" s="93"/>
      <c r="U102" s="9"/>
      <c r="W102" s="2"/>
      <c r="X102" s="95"/>
    </row>
    <row r="103" spans="11:24"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</row>
    <row r="104" spans="11:24"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</row>
    <row r="105" spans="11:24"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</row>
    <row r="106" spans="11:24"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</row>
    <row r="107" spans="11:24"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</row>
    <row r="108" spans="11:24"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</row>
    <row r="109" spans="11:24"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</row>
    <row r="110" spans="11:24"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</row>
    <row r="111" spans="11:24"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</row>
    <row r="112" spans="11:24"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</row>
    <row r="113" spans="13:24"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</row>
    <row r="114" spans="13:24"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</row>
    <row r="115" spans="13:24"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</row>
    <row r="116" spans="13:24"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</row>
    <row r="117" spans="13:24"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</row>
    <row r="118" spans="13:24"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</row>
    <row r="119" spans="13:24"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</row>
    <row r="120" spans="13:24"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</row>
    <row r="121" spans="13:24"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spans="13:24"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spans="13:24"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spans="13:24"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spans="13:24"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spans="13:24"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spans="13:24"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spans="13:24"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spans="3:24"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spans="3:24"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</row>
    <row r="131" spans="3:24"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</row>
    <row r="132" spans="3:24"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</row>
    <row r="133" spans="3:24"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</row>
    <row r="134" spans="3:24"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</row>
    <row r="135" spans="3:24"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</row>
    <row r="136" spans="3:24"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</row>
    <row r="137" spans="3:24"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</row>
    <row r="138" spans="3:24"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</row>
    <row r="139" spans="3:24"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</row>
    <row r="140" spans="3:24"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</row>
    <row r="141" spans="3:24"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</row>
    <row r="142" spans="3:24"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</row>
    <row r="143" spans="3:24"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</row>
    <row r="144" spans="3:24"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</row>
    <row r="145" spans="3:15"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</row>
    <row r="146" spans="3:15"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</row>
    <row r="147" spans="3:15"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</row>
    <row r="148" spans="3:15"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</row>
    <row r="149" spans="3:15"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</row>
    <row r="150" spans="3:15"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</row>
    <row r="151" spans="3:15"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</row>
    <row r="152" spans="3:15"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</row>
    <row r="153" spans="3:15"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</row>
    <row r="154" spans="3:15"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</row>
    <row r="155" spans="3:15"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</row>
    <row r="156" spans="3:15"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</row>
    <row r="157" spans="3:15"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</row>
    <row r="158" spans="3:15"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</row>
    <row r="159" spans="3:15"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</row>
    <row r="160" spans="3:15"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</row>
    <row r="161" spans="3:15"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</row>
    <row r="162" spans="3:15"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</row>
    <row r="163" spans="3:15"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</row>
    <row r="164" spans="3:15"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</row>
    <row r="165" spans="3:15"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</row>
    <row r="166" spans="3:15"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</row>
    <row r="167" spans="3:15"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</row>
    <row r="168" spans="3:15"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</row>
    <row r="169" spans="3:15"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</row>
    <row r="170" spans="3:15"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</row>
    <row r="171" spans="3:15"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</row>
    <row r="172" spans="3:15"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</row>
    <row r="173" spans="3:15"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</row>
    <row r="174" spans="3:15"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</row>
    <row r="175" spans="3:15"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</row>
    <row r="176" spans="3:15"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</row>
    <row r="177" spans="3:15"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</row>
    <row r="178" spans="3:15"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</row>
    <row r="179" spans="3:15"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</row>
    <row r="180" spans="3:15"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</row>
    <row r="181" spans="3:15"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</row>
    <row r="182" spans="3:15"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</row>
    <row r="183" spans="3:15"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</row>
    <row r="184" spans="3:15"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</row>
    <row r="185" spans="3:15"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</row>
    <row r="186" spans="3:15"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</row>
    <row r="187" spans="3:15"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</row>
    <row r="188" spans="3:15"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</row>
    <row r="189" spans="3:15"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</row>
    <row r="190" spans="3:15"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</row>
    <row r="191" spans="3:15"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</row>
    <row r="192" spans="3:15"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</row>
    <row r="193" spans="3:15"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</row>
    <row r="194" spans="3:15"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</row>
    <row r="195" spans="3:15"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</row>
    <row r="196" spans="3:15"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</row>
    <row r="197" spans="3:15"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</row>
    <row r="198" spans="3:15"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</row>
    <row r="199" spans="3:15"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</row>
    <row r="200" spans="3:15"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</row>
    <row r="201" spans="3:15"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</row>
    <row r="202" spans="3:15"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</row>
    <row r="203" spans="3:15"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</row>
    <row r="204" spans="3:15"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</row>
    <row r="205" spans="3:15"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</row>
    <row r="206" spans="3:15"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</row>
    <row r="207" spans="3:15"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</row>
    <row r="208" spans="3:15"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</row>
    <row r="209" spans="3:15"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</row>
    <row r="210" spans="3:15"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</row>
    <row r="211" spans="3:15"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</row>
    <row r="212" spans="3:15"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</row>
    <row r="213" spans="3:15"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</row>
    <row r="214" spans="3:15"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</row>
    <row r="215" spans="3:15"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</row>
    <row r="216" spans="3:15"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</row>
    <row r="217" spans="3:15"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</row>
    <row r="218" spans="3:15"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</row>
    <row r="219" spans="3:15"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</row>
    <row r="220" spans="3:15"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</row>
    <row r="221" spans="3:15"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</row>
    <row r="222" spans="3:15"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</row>
    <row r="223" spans="3:15"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</row>
    <row r="224" spans="3:15"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</row>
    <row r="225" spans="3:15"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</row>
    <row r="226" spans="3:15"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</row>
    <row r="227" spans="3:15"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</row>
    <row r="228" spans="3:15"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</row>
    <row r="229" spans="3:15"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</row>
    <row r="230" spans="3:15"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</row>
    <row r="231" spans="3:15"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</row>
    <row r="232" spans="3:15"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</row>
    <row r="233" spans="3:15"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</row>
    <row r="234" spans="3:15"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</row>
    <row r="235" spans="3:15"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</row>
    <row r="236" spans="3:15"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</row>
    <row r="237" spans="3:15"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</row>
    <row r="238" spans="3:15"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</row>
    <row r="239" spans="3:15"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</row>
    <row r="240" spans="3:15"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</row>
    <row r="241" spans="3:15"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</row>
    <row r="242" spans="3:15"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</row>
    <row r="243" spans="3:15"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</row>
    <row r="244" spans="3:15"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</row>
    <row r="245" spans="3:15"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</row>
    <row r="246" spans="3:15"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</row>
    <row r="247" spans="3:15"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</row>
    <row r="248" spans="3:15"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</row>
    <row r="249" spans="3:15"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</row>
    <row r="250" spans="3:15"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</row>
    <row r="251" spans="3:15"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</row>
    <row r="252" spans="3:15"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</row>
    <row r="253" spans="3:15"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</row>
    <row r="254" spans="3:15"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</row>
    <row r="255" spans="3:15"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</row>
    <row r="256" spans="3:15"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</row>
    <row r="257" spans="3:15"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</row>
    <row r="258" spans="3:15"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</row>
    <row r="259" spans="3:15"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</row>
    <row r="260" spans="3:15"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</row>
    <row r="261" spans="3:15"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</row>
    <row r="262" spans="3:15"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</row>
    <row r="263" spans="3:15"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</row>
    <row r="264" spans="3:15"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</row>
    <row r="265" spans="3:15"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</row>
    <row r="266" spans="3:15"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</row>
    <row r="267" spans="3:15"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</row>
    <row r="268" spans="3:15"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</row>
    <row r="269" spans="3:15"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</row>
    <row r="270" spans="3:15"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</row>
    <row r="271" spans="3:15"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</row>
    <row r="272" spans="3:15"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</row>
    <row r="273" spans="3:15"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</row>
    <row r="274" spans="3:15"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</row>
    <row r="275" spans="3:15"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</row>
    <row r="276" spans="3:15"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</row>
    <row r="277" spans="3:15"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</row>
    <row r="278" spans="3:15"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</row>
    <row r="279" spans="3:15"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</row>
    <row r="280" spans="3:15"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</row>
    <row r="281" spans="3:15"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</row>
    <row r="282" spans="3:15"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</row>
    <row r="283" spans="3:15"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</row>
    <row r="284" spans="3:15"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</row>
    <row r="285" spans="3:15"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</row>
    <row r="286" spans="3:15"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</row>
    <row r="287" spans="3:15"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</row>
    <row r="288" spans="3:15"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</row>
    <row r="289" spans="3:15"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</row>
    <row r="290" spans="3:15"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</row>
    <row r="291" spans="3:15">
      <c r="C291" s="129"/>
      <c r="D291" s="129"/>
      <c r="E291" s="129"/>
      <c r="F291" s="129"/>
      <c r="G291" s="129"/>
      <c r="H291" s="129"/>
      <c r="I291" s="129"/>
      <c r="J291" s="129"/>
    </row>
    <row r="292" spans="3:15">
      <c r="C292" s="129"/>
      <c r="D292" s="129"/>
      <c r="E292" s="129"/>
      <c r="F292" s="129"/>
      <c r="G292" s="129"/>
      <c r="H292" s="129"/>
      <c r="I292" s="129"/>
      <c r="J292" s="129"/>
    </row>
    <row r="293" spans="3:15">
      <c r="C293" s="129"/>
      <c r="D293" s="129"/>
      <c r="E293" s="129"/>
      <c r="F293" s="129"/>
      <c r="G293" s="129"/>
      <c r="H293" s="129"/>
      <c r="I293" s="129"/>
      <c r="J293" s="129"/>
    </row>
    <row r="294" spans="3:15">
      <c r="C294" s="129"/>
      <c r="D294" s="129"/>
      <c r="E294" s="129"/>
      <c r="F294" s="129"/>
      <c r="G294" s="129"/>
      <c r="H294" s="129"/>
      <c r="I294" s="129"/>
      <c r="J294" s="129"/>
    </row>
    <row r="295" spans="3:15">
      <c r="C295" s="129"/>
      <c r="D295" s="129"/>
      <c r="E295" s="129"/>
      <c r="F295" s="129"/>
      <c r="G295" s="129"/>
      <c r="H295" s="129"/>
      <c r="I295" s="129"/>
      <c r="J295" s="129"/>
    </row>
    <row r="296" spans="3:15">
      <c r="C296" s="129"/>
      <c r="D296" s="129"/>
      <c r="E296" s="129"/>
      <c r="F296" s="129"/>
      <c r="G296" s="129"/>
      <c r="H296" s="129"/>
      <c r="I296" s="129"/>
      <c r="J296" s="129"/>
    </row>
    <row r="297" spans="3:15">
      <c r="C297" s="129"/>
      <c r="D297" s="129"/>
      <c r="E297" s="129"/>
      <c r="F297" s="129"/>
      <c r="G297" s="129"/>
      <c r="H297" s="129"/>
      <c r="I297" s="129"/>
      <c r="J297" s="129"/>
    </row>
    <row r="298" spans="3:15">
      <c r="C298" s="129"/>
      <c r="D298" s="129"/>
      <c r="E298" s="129"/>
      <c r="F298" s="129"/>
      <c r="G298" s="129"/>
      <c r="H298" s="129"/>
      <c r="I298" s="129"/>
      <c r="J298" s="129"/>
    </row>
  </sheetData>
  <mergeCells count="8">
    <mergeCell ref="M99:X99"/>
    <mergeCell ref="M100:X100"/>
    <mergeCell ref="M93:X93"/>
    <mergeCell ref="M94:X94"/>
    <mergeCell ref="M95:X95"/>
    <mergeCell ref="M96:X96"/>
    <mergeCell ref="M97:X97"/>
    <mergeCell ref="M98:X98"/>
  </mergeCells>
  <printOptions horizontalCentered="1"/>
  <pageMargins left="0.75" right="0.75" top="0.75" bottom="0.5" header="0.5" footer="0.5"/>
  <pageSetup scale="57" orientation="landscape" horizontalDpi="300" verticalDpi="300" r:id="rId1"/>
  <headerFooter alignWithMargins="0"/>
  <rowBreaks count="1" manualBreakCount="1">
    <brk id="48" min="10" max="2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1" tint="4.9989318521683403E-2"/>
    <pageSetUpPr fitToPage="1"/>
  </sheetPr>
  <dimension ref="A1:N63"/>
  <sheetViews>
    <sheetView view="pageBreakPreview" zoomScale="70" zoomScaleNormal="80" zoomScaleSheetLayoutView="70" workbookViewId="0">
      <selection activeCell="E70" sqref="E70"/>
    </sheetView>
  </sheetViews>
  <sheetFormatPr defaultColWidth="16.21875" defaultRowHeight="12.75"/>
  <cols>
    <col min="1" max="1" width="7.21875" style="52" customWidth="1"/>
    <col min="2" max="3" width="2.109375" style="52" customWidth="1"/>
    <col min="4" max="4" width="42.21875" style="52" customWidth="1"/>
    <col min="5" max="5" width="2" style="52" customWidth="1"/>
    <col min="6" max="7" width="16.21875" style="52"/>
    <col min="8" max="8" width="3.44140625" style="52" customWidth="1"/>
    <col min="9" max="9" width="7.44140625" style="52" customWidth="1"/>
    <col min="10" max="16384" width="16.21875" style="52"/>
  </cols>
  <sheetData>
    <row r="1" spans="1:14" s="64" customFormat="1" ht="18">
      <c r="A1" s="69" t="s">
        <v>392</v>
      </c>
      <c r="B1" s="618"/>
      <c r="C1" s="618"/>
      <c r="D1" s="79"/>
      <c r="E1" s="79"/>
      <c r="F1" s="65"/>
      <c r="G1" s="65"/>
      <c r="H1" s="61"/>
      <c r="J1"/>
      <c r="K1" s="186"/>
    </row>
    <row r="2" spans="1:14" s="64" customFormat="1" ht="18">
      <c r="C2" s="79"/>
      <c r="D2" s="79"/>
      <c r="E2" s="79"/>
      <c r="F2" s="65"/>
      <c r="G2" s="65"/>
      <c r="H2" s="61"/>
      <c r="K2" s="186"/>
    </row>
    <row r="3" spans="1:14" s="64" customFormat="1" ht="18">
      <c r="C3" s="79"/>
      <c r="D3" s="79"/>
      <c r="E3" s="79"/>
      <c r="F3" s="65"/>
      <c r="G3" s="61" t="s">
        <v>396</v>
      </c>
      <c r="H3" s="61"/>
      <c r="K3" s="953"/>
      <c r="L3" s="280"/>
    </row>
    <row r="4" spans="1:14" s="64" customFormat="1" ht="15.75">
      <c r="C4" s="69"/>
      <c r="D4" s="69"/>
      <c r="E4" s="69"/>
      <c r="F4" s="70"/>
      <c r="G4" s="61" t="str">
        <f>"Page 1 of "&amp;Workpaper</f>
        <v>Page 1 of 18</v>
      </c>
      <c r="H4" s="61"/>
      <c r="J4" s="186"/>
    </row>
    <row r="5" spans="1:14" s="64" customFormat="1" ht="15.75">
      <c r="C5" s="69"/>
      <c r="D5" s="69"/>
      <c r="E5" s="69"/>
      <c r="F5" s="70"/>
      <c r="G5" s="61" t="str">
        <f>"For the 12 months ended: "&amp;TEXT(INPUT!$B$1,"mm/dd/yyyy")</f>
        <v>For the 12 months ended: 12/31/2020</v>
      </c>
      <c r="H5" s="61"/>
      <c r="L5" s="186"/>
      <c r="M5" s="186"/>
    </row>
    <row r="6" spans="1:14" s="64" customFormat="1" ht="17.25">
      <c r="C6" s="69"/>
      <c r="D6" s="69"/>
      <c r="E6" s="69"/>
      <c r="F6" s="70"/>
      <c r="H6" s="61"/>
      <c r="L6" s="566"/>
      <c r="M6" s="566"/>
    </row>
    <row r="7" spans="1:14" s="64" customFormat="1" ht="15.75">
      <c r="A7" s="69" t="s">
        <v>504</v>
      </c>
      <c r="B7" s="618"/>
      <c r="C7" s="618"/>
      <c r="D7" s="69"/>
      <c r="E7" s="69"/>
      <c r="F7" s="70"/>
      <c r="G7" s="70"/>
      <c r="H7" s="61"/>
      <c r="I7" s="186"/>
      <c r="K7" s="186"/>
      <c r="L7" s="732"/>
      <c r="M7" s="732"/>
      <c r="N7" s="186"/>
    </row>
    <row r="8" spans="1:14" s="64" customFormat="1" ht="15.75">
      <c r="A8" s="69" t="s">
        <v>773</v>
      </c>
      <c r="B8" s="618"/>
      <c r="C8" s="618"/>
      <c r="D8" s="69"/>
      <c r="E8" s="69"/>
      <c r="F8" s="70"/>
      <c r="G8" s="70"/>
      <c r="H8" s="61"/>
      <c r="K8" s="186"/>
      <c r="L8" s="732"/>
      <c r="M8" s="732"/>
      <c r="N8" s="186"/>
    </row>
    <row r="9" spans="1:14" s="64" customFormat="1" ht="15">
      <c r="C9" s="9"/>
      <c r="D9" s="9"/>
      <c r="E9" s="9"/>
      <c r="F9" s="9"/>
      <c r="G9" s="9"/>
      <c r="H9" s="61"/>
      <c r="K9" s="186"/>
      <c r="L9" s="732"/>
      <c r="M9" s="732"/>
      <c r="N9" s="186"/>
    </row>
    <row r="10" spans="1:14" s="64" customFormat="1" ht="16.5" thickBot="1">
      <c r="A10" s="460" t="s">
        <v>8</v>
      </c>
      <c r="C10" s="72"/>
      <c r="D10" s="72"/>
      <c r="E10" s="72"/>
      <c r="F10" s="71"/>
      <c r="G10" s="71"/>
      <c r="H10" s="71"/>
    </row>
    <row r="11" spans="1:14" s="64" customFormat="1" ht="21" thickBot="1">
      <c r="A11" s="409" t="s">
        <v>10</v>
      </c>
      <c r="D11" s="356" t="s">
        <v>211</v>
      </c>
      <c r="E11" s="141"/>
      <c r="F11" s="74" t="s">
        <v>181</v>
      </c>
      <c r="G11" s="74" t="s">
        <v>182</v>
      </c>
      <c r="H11" s="74"/>
      <c r="I11" s="735"/>
    </row>
    <row r="12" spans="1:14" s="64" customFormat="1" ht="20.25">
      <c r="C12" s="71"/>
      <c r="D12" s="71"/>
      <c r="E12" s="71"/>
      <c r="F12" s="340"/>
      <c r="G12" s="74"/>
      <c r="H12" s="74"/>
      <c r="N12" s="186"/>
    </row>
    <row r="13" spans="1:14" s="64" customFormat="1" ht="15">
      <c r="A13" s="608">
        <v>1</v>
      </c>
      <c r="C13" s="932" t="s">
        <v>505</v>
      </c>
      <c r="D13" s="75"/>
      <c r="F13" s="341">
        <f>99337879-481751+1416134</f>
        <v>100272262</v>
      </c>
      <c r="G13" s="341">
        <f>55843006</f>
        <v>55843006</v>
      </c>
      <c r="H13" s="143"/>
      <c r="I13" s="186"/>
    </row>
    <row r="14" spans="1:14" s="64" customFormat="1" ht="15">
      <c r="A14" s="608">
        <f>A13+1</f>
        <v>2</v>
      </c>
      <c r="C14" s="76"/>
      <c r="D14" s="76"/>
      <c r="E14" s="76"/>
      <c r="F14" s="933"/>
      <c r="G14" s="933"/>
      <c r="H14" s="285"/>
    </row>
    <row r="15" spans="1:14" s="64" customFormat="1" ht="15.75">
      <c r="A15" s="608">
        <f t="shared" ref="A15:A62" si="0">A14+1</f>
        <v>3</v>
      </c>
      <c r="C15" s="76" t="s">
        <v>491</v>
      </c>
      <c r="D15" s="76"/>
      <c r="E15" s="76"/>
      <c r="F15" s="933"/>
      <c r="G15" s="933"/>
      <c r="H15" s="285"/>
    </row>
    <row r="16" spans="1:14" s="64" customFormat="1" ht="15">
      <c r="A16" s="608">
        <f t="shared" si="0"/>
        <v>4</v>
      </c>
      <c r="C16" s="76"/>
      <c r="D16" s="76" t="s">
        <v>540</v>
      </c>
      <c r="E16" s="76"/>
      <c r="F16" s="390">
        <v>2489170</v>
      </c>
      <c r="G16" s="390">
        <v>442510</v>
      </c>
      <c r="H16" s="285"/>
      <c r="I16" s="186"/>
      <c r="J16" s="186"/>
    </row>
    <row r="17" spans="1:14" s="64" customFormat="1" ht="15">
      <c r="A17" s="608">
        <f t="shared" si="0"/>
        <v>5</v>
      </c>
      <c r="C17" s="76"/>
      <c r="D17" s="76" t="s">
        <v>850</v>
      </c>
      <c r="E17" s="76"/>
      <c r="F17" s="390">
        <v>-62142</v>
      </c>
      <c r="G17" s="390">
        <v>971230</v>
      </c>
      <c r="H17" s="285"/>
      <c r="I17" s="186"/>
      <c r="J17" s="186"/>
    </row>
    <row r="18" spans="1:14" s="64" customFormat="1" ht="15">
      <c r="A18" s="608">
        <f t="shared" si="0"/>
        <v>6</v>
      </c>
      <c r="C18" s="76"/>
      <c r="D18" s="76" t="s">
        <v>851</v>
      </c>
      <c r="E18" s="76"/>
      <c r="F18" s="390">
        <v>70402132</v>
      </c>
      <c r="G18" s="390">
        <v>21059305</v>
      </c>
      <c r="H18" s="285"/>
      <c r="I18" s="186"/>
      <c r="J18" s="186"/>
    </row>
    <row r="19" spans="1:14" s="64" customFormat="1" ht="15">
      <c r="A19" s="608">
        <f t="shared" si="0"/>
        <v>7</v>
      </c>
      <c r="C19" s="76"/>
      <c r="D19" s="76" t="s">
        <v>852</v>
      </c>
      <c r="E19" s="76"/>
      <c r="F19" s="390">
        <v>0</v>
      </c>
      <c r="G19" s="390">
        <v>412051</v>
      </c>
      <c r="H19" s="285"/>
      <c r="I19" s="186"/>
      <c r="J19" s="186"/>
    </row>
    <row r="20" spans="1:14" s="64" customFormat="1" ht="17.25">
      <c r="A20" s="608">
        <f t="shared" si="0"/>
        <v>8</v>
      </c>
      <c r="C20" s="76"/>
      <c r="D20" s="76" t="s">
        <v>980</v>
      </c>
      <c r="E20" s="141"/>
      <c r="F20" s="349">
        <f>-481751+1416134</f>
        <v>934383</v>
      </c>
      <c r="G20" s="349">
        <f>148855</f>
        <v>148855</v>
      </c>
      <c r="H20" s="285"/>
      <c r="I20" s="186"/>
      <c r="J20" s="186"/>
    </row>
    <row r="21" spans="1:14" s="64" customFormat="1" ht="15.75">
      <c r="A21" s="608">
        <f t="shared" si="0"/>
        <v>9</v>
      </c>
      <c r="C21" s="76"/>
      <c r="D21" s="76" t="s">
        <v>639</v>
      </c>
      <c r="E21" s="141"/>
      <c r="F21" s="934">
        <f>SUM(F16:F20)</f>
        <v>73763543</v>
      </c>
      <c r="G21" s="934">
        <f t="shared" ref="G21" si="1">SUM(G16:G20)</f>
        <v>23033951</v>
      </c>
      <c r="H21" s="285"/>
    </row>
    <row r="22" spans="1:14" s="64" customFormat="1" ht="15.75">
      <c r="A22" s="608">
        <f t="shared" si="0"/>
        <v>10</v>
      </c>
      <c r="C22" s="76"/>
      <c r="D22" s="76"/>
      <c r="E22" s="141"/>
      <c r="F22" s="390"/>
      <c r="G22" s="390"/>
      <c r="H22" s="285"/>
    </row>
    <row r="23" spans="1:14" s="64" customFormat="1" ht="15.75">
      <c r="A23" s="608">
        <f t="shared" si="0"/>
        <v>11</v>
      </c>
      <c r="C23" s="935" t="s">
        <v>638</v>
      </c>
      <c r="D23" s="76"/>
      <c r="E23" s="141"/>
      <c r="F23" s="390"/>
      <c r="G23" s="390"/>
      <c r="H23" s="285"/>
      <c r="N23" s="186"/>
    </row>
    <row r="24" spans="1:14" s="64" customFormat="1" ht="17.25">
      <c r="A24" s="608">
        <f t="shared" si="0"/>
        <v>12</v>
      </c>
      <c r="C24" s="935"/>
      <c r="D24" s="76" t="s">
        <v>765</v>
      </c>
      <c r="E24" s="141"/>
      <c r="F24" s="349">
        <v>0</v>
      </c>
      <c r="G24" s="349">
        <v>166430</v>
      </c>
      <c r="H24" s="285"/>
      <c r="I24" s="186"/>
      <c r="J24" s="186"/>
      <c r="N24" s="186"/>
    </row>
    <row r="25" spans="1:14" s="64" customFormat="1" ht="15.75">
      <c r="A25" s="608">
        <f t="shared" si="0"/>
        <v>13</v>
      </c>
      <c r="C25" s="935"/>
      <c r="D25" s="76" t="s">
        <v>640</v>
      </c>
      <c r="E25" s="141"/>
      <c r="F25" s="934">
        <f>SUM(F24:F24)</f>
        <v>0</v>
      </c>
      <c r="G25" s="934">
        <f>SUM(G24:G24)</f>
        <v>166430</v>
      </c>
      <c r="H25" s="285"/>
      <c r="N25" s="186"/>
    </row>
    <row r="26" spans="1:14" s="64" customFormat="1" ht="15">
      <c r="A26" s="608">
        <f t="shared" si="0"/>
        <v>14</v>
      </c>
      <c r="C26" s="76"/>
      <c r="D26" s="76"/>
      <c r="E26" s="76"/>
      <c r="F26" s="71"/>
      <c r="G26" s="71"/>
      <c r="H26" s="71"/>
      <c r="N26" s="186"/>
    </row>
    <row r="27" spans="1:14" s="64" customFormat="1" ht="17.25">
      <c r="A27" s="608">
        <f t="shared" si="0"/>
        <v>15</v>
      </c>
      <c r="C27" s="376" t="s">
        <v>531</v>
      </c>
      <c r="D27" s="936"/>
      <c r="E27" s="936"/>
      <c r="F27" s="733">
        <f>F13-F21+F25</f>
        <v>26508719</v>
      </c>
      <c r="G27" s="733">
        <f>G13-G21+G25</f>
        <v>32975485</v>
      </c>
      <c r="H27" s="733"/>
      <c r="J27" s="473"/>
      <c r="K27" s="473"/>
      <c r="N27" s="186"/>
    </row>
    <row r="28" spans="1:14" s="64" customFormat="1" ht="19.5" customHeight="1">
      <c r="A28" s="608">
        <f t="shared" si="0"/>
        <v>16</v>
      </c>
      <c r="C28" s="937"/>
      <c r="D28" s="937"/>
      <c r="E28" s="937"/>
      <c r="F28" s="587"/>
      <c r="G28" s="587"/>
      <c r="H28" s="587"/>
      <c r="N28" s="186"/>
    </row>
    <row r="29" spans="1:14" s="64" customFormat="1" ht="15.75" thickBot="1">
      <c r="A29" s="608">
        <f t="shared" si="0"/>
        <v>17</v>
      </c>
      <c r="C29" s="52"/>
      <c r="D29" s="52"/>
      <c r="E29" s="52"/>
      <c r="F29" s="938"/>
      <c r="G29" s="938"/>
      <c r="H29" s="52"/>
      <c r="I29" s="52"/>
      <c r="J29" s="52"/>
      <c r="K29" s="52"/>
      <c r="L29" s="52"/>
    </row>
    <row r="30" spans="1:14" ht="21" thickBot="1">
      <c r="A30" s="608">
        <f t="shared" si="0"/>
        <v>18</v>
      </c>
      <c r="C30" s="64"/>
      <c r="D30" s="356" t="s">
        <v>210</v>
      </c>
      <c r="E30" s="141"/>
      <c r="F30" s="74" t="s">
        <v>181</v>
      </c>
      <c r="G30" s="74" t="s">
        <v>182</v>
      </c>
      <c r="H30" s="74"/>
      <c r="I30" s="64"/>
      <c r="J30" s="64"/>
      <c r="K30" s="64"/>
      <c r="L30" s="64"/>
    </row>
    <row r="31" spans="1:14" s="64" customFormat="1" ht="20.25">
      <c r="A31" s="608">
        <f t="shared" si="0"/>
        <v>19</v>
      </c>
      <c r="C31" s="71"/>
      <c r="D31" s="71"/>
      <c r="E31" s="71"/>
      <c r="F31" s="340"/>
      <c r="G31" s="74"/>
      <c r="H31" s="74"/>
      <c r="N31" s="186"/>
    </row>
    <row r="32" spans="1:14" s="64" customFormat="1" ht="15">
      <c r="A32" s="608">
        <f t="shared" si="0"/>
        <v>20</v>
      </c>
      <c r="C32" s="75" t="s">
        <v>498</v>
      </c>
      <c r="D32" s="75"/>
      <c r="F32" s="939">
        <f>556375060+6814572+4420967</f>
        <v>567610599</v>
      </c>
      <c r="G32" s="939">
        <f>190336988+24757562-1</f>
        <v>215094549</v>
      </c>
      <c r="H32" s="143"/>
      <c r="I32" s="186"/>
      <c r="K32" s="186"/>
    </row>
    <row r="33" spans="1:14" s="64" customFormat="1" ht="15">
      <c r="A33" s="608">
        <f t="shared" si="0"/>
        <v>21</v>
      </c>
      <c r="C33" s="76"/>
      <c r="D33" s="76"/>
      <c r="E33" s="76"/>
      <c r="F33" s="933"/>
      <c r="G33" s="933"/>
      <c r="H33" s="285"/>
    </row>
    <row r="34" spans="1:14" s="64" customFormat="1" ht="15.75">
      <c r="A34" s="608">
        <f t="shared" si="0"/>
        <v>22</v>
      </c>
      <c r="C34" s="76" t="s">
        <v>492</v>
      </c>
      <c r="D34" s="76"/>
      <c r="E34" s="76"/>
      <c r="F34" s="933"/>
      <c r="G34" s="933"/>
      <c r="H34" s="285"/>
    </row>
    <row r="35" spans="1:14" s="64" customFormat="1" ht="15">
      <c r="A35" s="608">
        <f t="shared" si="0"/>
        <v>23</v>
      </c>
      <c r="C35" s="76"/>
      <c r="D35" s="734" t="s">
        <v>950</v>
      </c>
      <c r="E35" s="76"/>
      <c r="F35" s="390">
        <v>37192087</v>
      </c>
      <c r="G35" s="390">
        <v>5420248</v>
      </c>
      <c r="H35" s="285"/>
      <c r="I35" s="186"/>
      <c r="J35" s="186"/>
    </row>
    <row r="36" spans="1:14" s="64" customFormat="1" ht="15">
      <c r="A36" s="608">
        <f t="shared" si="0"/>
        <v>24</v>
      </c>
      <c r="C36" s="76"/>
      <c r="D36" s="76" t="s">
        <v>853</v>
      </c>
      <c r="E36" s="76"/>
      <c r="F36" s="390">
        <v>0</v>
      </c>
      <c r="G36" s="390">
        <v>-12673</v>
      </c>
      <c r="H36" s="285"/>
      <c r="I36" s="186"/>
      <c r="J36" s="186"/>
      <c r="N36" s="186"/>
    </row>
    <row r="37" spans="1:14" s="64" customFormat="1" ht="17.25">
      <c r="A37" s="608">
        <f t="shared" si="0"/>
        <v>25</v>
      </c>
      <c r="C37" s="76"/>
      <c r="D37" s="76" t="s">
        <v>980</v>
      </c>
      <c r="E37" s="76"/>
      <c r="F37" s="349">
        <f>6814572+4420968</f>
        <v>11235540</v>
      </c>
      <c r="G37" s="349">
        <v>24757562</v>
      </c>
      <c r="H37" s="285"/>
      <c r="I37" s="186"/>
      <c r="J37" s="186"/>
      <c r="N37" s="186"/>
    </row>
    <row r="38" spans="1:14" s="64" customFormat="1" ht="15">
      <c r="A38" s="608">
        <f t="shared" si="0"/>
        <v>26</v>
      </c>
      <c r="C38" s="76"/>
      <c r="D38" s="76" t="s">
        <v>641</v>
      </c>
      <c r="E38" s="76"/>
      <c r="F38" s="934">
        <f>SUM(F35:F37)</f>
        <v>48427627</v>
      </c>
      <c r="G38" s="934">
        <f>SUM(G35:G37)</f>
        <v>30165137</v>
      </c>
      <c r="H38" s="285"/>
      <c r="N38" s="186"/>
    </row>
    <row r="39" spans="1:14" s="64" customFormat="1" ht="15">
      <c r="A39" s="608">
        <f t="shared" si="0"/>
        <v>27</v>
      </c>
      <c r="C39" s="76"/>
      <c r="D39" s="76"/>
      <c r="E39" s="76"/>
      <c r="F39" s="390"/>
      <c r="G39" s="390"/>
      <c r="H39" s="285"/>
    </row>
    <row r="40" spans="1:14" s="64" customFormat="1" ht="15.75">
      <c r="A40" s="608">
        <f t="shared" si="0"/>
        <v>28</v>
      </c>
      <c r="C40" s="935" t="s">
        <v>638</v>
      </c>
      <c r="D40" s="76"/>
      <c r="E40" s="76"/>
      <c r="F40" s="390"/>
      <c r="G40" s="390"/>
      <c r="H40" s="285"/>
    </row>
    <row r="41" spans="1:14" s="64" customFormat="1" ht="15.75">
      <c r="A41" s="608">
        <f t="shared" si="0"/>
        <v>29</v>
      </c>
      <c r="C41" s="935"/>
      <c r="D41" s="734" t="s">
        <v>951</v>
      </c>
      <c r="E41" s="76"/>
      <c r="F41" s="390">
        <v>4413285</v>
      </c>
      <c r="G41" s="390">
        <v>504128</v>
      </c>
      <c r="H41" s="285"/>
      <c r="I41" s="847"/>
      <c r="J41" s="186"/>
    </row>
    <row r="42" spans="1:14" s="64" customFormat="1" ht="17.25">
      <c r="A42" s="608">
        <f t="shared" si="0"/>
        <v>30</v>
      </c>
      <c r="C42" s="935"/>
      <c r="D42" s="76" t="s">
        <v>765</v>
      </c>
      <c r="E42" s="76"/>
      <c r="F42" s="349">
        <v>0</v>
      </c>
      <c r="G42" s="349">
        <v>1170707</v>
      </c>
      <c r="H42" s="285"/>
      <c r="I42" s="847"/>
      <c r="J42" s="186"/>
    </row>
    <row r="43" spans="1:14" s="64" customFormat="1" ht="15.75">
      <c r="A43" s="608">
        <f t="shared" si="0"/>
        <v>31</v>
      </c>
      <c r="D43" s="76" t="s">
        <v>642</v>
      </c>
      <c r="E43" s="141"/>
      <c r="F43" s="934">
        <f>SUM(F41:F42)</f>
        <v>4413285</v>
      </c>
      <c r="G43" s="934">
        <f>SUM(G41:G42)</f>
        <v>1674835</v>
      </c>
      <c r="H43" s="143"/>
    </row>
    <row r="44" spans="1:14" s="64" customFormat="1" ht="15">
      <c r="A44" s="608">
        <f t="shared" si="0"/>
        <v>32</v>
      </c>
      <c r="C44" s="76"/>
      <c r="D44" s="76"/>
      <c r="E44" s="76"/>
      <c r="F44" s="71"/>
      <c r="G44" s="71"/>
      <c r="H44" s="71"/>
      <c r="N44" s="186"/>
    </row>
    <row r="45" spans="1:14" s="64" customFormat="1" ht="17.25">
      <c r="A45" s="608">
        <f t="shared" si="0"/>
        <v>33</v>
      </c>
      <c r="C45" s="376" t="s">
        <v>532</v>
      </c>
      <c r="D45" s="936"/>
      <c r="E45" s="936"/>
      <c r="F45" s="733">
        <f>F32-F38+F43</f>
        <v>523596257</v>
      </c>
      <c r="G45" s="733">
        <f>G32-G38+G43</f>
        <v>186604247</v>
      </c>
      <c r="H45" s="733"/>
      <c r="N45" s="186"/>
    </row>
    <row r="46" spans="1:14" s="64" customFormat="1" ht="19.5" customHeight="1">
      <c r="A46" s="608">
        <f t="shared" si="0"/>
        <v>34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N46" s="186"/>
    </row>
    <row r="47" spans="1:14" ht="15.75" thickBot="1">
      <c r="A47" s="608">
        <f t="shared" si="0"/>
        <v>35</v>
      </c>
      <c r="F47" s="938"/>
      <c r="G47" s="938"/>
    </row>
    <row r="48" spans="1:14" ht="21" thickBot="1">
      <c r="A48" s="608">
        <f t="shared" si="0"/>
        <v>36</v>
      </c>
      <c r="C48" s="64"/>
      <c r="D48" s="356" t="s">
        <v>539</v>
      </c>
      <c r="E48" s="141"/>
      <c r="F48" s="74" t="s">
        <v>181</v>
      </c>
      <c r="G48" s="74" t="s">
        <v>182</v>
      </c>
    </row>
    <row r="49" spans="1:10" ht="20.25">
      <c r="A49" s="608">
        <f t="shared" si="0"/>
        <v>37</v>
      </c>
      <c r="C49" s="71"/>
      <c r="D49" s="71"/>
      <c r="E49" s="71"/>
      <c r="F49" s="340"/>
      <c r="G49" s="74"/>
    </row>
    <row r="50" spans="1:10" ht="15">
      <c r="A50" s="608">
        <f t="shared" si="0"/>
        <v>38</v>
      </c>
      <c r="C50" s="75" t="s">
        <v>774</v>
      </c>
      <c r="D50" s="75"/>
      <c r="E50" s="64"/>
      <c r="F50" s="939">
        <f>49557226-719688+1</f>
        <v>48837539</v>
      </c>
      <c r="G50" s="939">
        <f>25373878+0</f>
        <v>25373878</v>
      </c>
    </row>
    <row r="51" spans="1:10" ht="15">
      <c r="A51" s="608">
        <f t="shared" si="0"/>
        <v>39</v>
      </c>
      <c r="C51" s="76"/>
      <c r="D51" s="76"/>
      <c r="E51" s="76"/>
      <c r="F51" s="933"/>
      <c r="G51" s="933"/>
    </row>
    <row r="52" spans="1:10" ht="15.75">
      <c r="A52" s="608">
        <f t="shared" si="0"/>
        <v>40</v>
      </c>
      <c r="C52" s="76" t="s">
        <v>492</v>
      </c>
      <c r="D52" s="76"/>
      <c r="E52" s="76"/>
      <c r="F52" s="933"/>
      <c r="G52" s="933"/>
    </row>
    <row r="53" spans="1:10" ht="15">
      <c r="A53" s="608">
        <f t="shared" si="0"/>
        <v>41</v>
      </c>
      <c r="C53" s="76"/>
      <c r="D53" s="76" t="s">
        <v>540</v>
      </c>
      <c r="E53" s="76"/>
      <c r="F53" s="390">
        <f>938275+822</f>
        <v>939097</v>
      </c>
      <c r="G53" s="390">
        <f>228401-140399</f>
        <v>88002</v>
      </c>
      <c r="J53" s="186"/>
    </row>
    <row r="54" spans="1:10" ht="15">
      <c r="A54" s="608">
        <f t="shared" si="0"/>
        <v>42</v>
      </c>
      <c r="C54" s="76"/>
      <c r="D54" s="76" t="s">
        <v>854</v>
      </c>
      <c r="E54" s="76"/>
      <c r="F54" s="390">
        <v>0</v>
      </c>
      <c r="G54" s="390">
        <v>93678</v>
      </c>
      <c r="J54" s="186"/>
    </row>
    <row r="55" spans="1:10" ht="17.25">
      <c r="A55" s="608">
        <f t="shared" si="0"/>
        <v>43</v>
      </c>
      <c r="C55" s="76"/>
      <c r="D55" s="76" t="s">
        <v>980</v>
      </c>
      <c r="E55" s="76"/>
      <c r="F55" s="349">
        <f>-719688+1</f>
        <v>-719687</v>
      </c>
      <c r="G55" s="349">
        <v>0</v>
      </c>
      <c r="J55" s="186"/>
    </row>
    <row r="56" spans="1:10" ht="15">
      <c r="A56" s="608">
        <f t="shared" si="0"/>
        <v>44</v>
      </c>
      <c r="C56" s="76"/>
      <c r="D56" s="76" t="s">
        <v>643</v>
      </c>
      <c r="E56" s="76"/>
      <c r="F56" s="934">
        <f>SUM(F53:F55)</f>
        <v>219410</v>
      </c>
      <c r="G56" s="934">
        <f>SUM(G53:G55)</f>
        <v>181680</v>
      </c>
    </row>
    <row r="57" spans="1:10" ht="15">
      <c r="A57" s="608">
        <f t="shared" si="0"/>
        <v>45</v>
      </c>
      <c r="C57" s="76"/>
      <c r="D57" s="76"/>
      <c r="E57" s="76"/>
      <c r="F57" s="390"/>
      <c r="G57" s="390"/>
    </row>
    <row r="58" spans="1:10" ht="15.75">
      <c r="A58" s="608">
        <f t="shared" si="0"/>
        <v>46</v>
      </c>
      <c r="C58" s="935" t="s">
        <v>638</v>
      </c>
      <c r="D58" s="76"/>
      <c r="E58" s="76"/>
      <c r="F58" s="390"/>
      <c r="G58" s="390"/>
    </row>
    <row r="59" spans="1:10" ht="15.75" customHeight="1">
      <c r="A59" s="608">
        <f t="shared" si="0"/>
        <v>47</v>
      </c>
      <c r="C59" s="935"/>
      <c r="D59" s="76" t="s">
        <v>765</v>
      </c>
      <c r="E59" s="76"/>
      <c r="F59" s="349">
        <v>0</v>
      </c>
      <c r="G59" s="349">
        <v>238974</v>
      </c>
      <c r="I59" s="186"/>
      <c r="J59" s="186"/>
    </row>
    <row r="60" spans="1:10" ht="15.75" customHeight="1">
      <c r="A60" s="608">
        <f t="shared" si="0"/>
        <v>48</v>
      </c>
      <c r="C60" s="64"/>
      <c r="D60" s="76" t="s">
        <v>644</v>
      </c>
      <c r="E60" s="141"/>
      <c r="F60" s="934">
        <f>SUM(F59:F59)</f>
        <v>0</v>
      </c>
      <c r="G60" s="934">
        <f>SUM(G59:G59)</f>
        <v>238974</v>
      </c>
    </row>
    <row r="61" spans="1:10" ht="15.75" customHeight="1">
      <c r="A61" s="608">
        <f t="shared" si="0"/>
        <v>49</v>
      </c>
      <c r="C61" s="76"/>
      <c r="D61" s="76"/>
      <c r="E61" s="76"/>
      <c r="F61" s="71"/>
      <c r="G61" s="71"/>
    </row>
    <row r="62" spans="1:10" ht="17.25">
      <c r="A62" s="608">
        <f t="shared" si="0"/>
        <v>50</v>
      </c>
      <c r="C62" s="376" t="s">
        <v>704</v>
      </c>
      <c r="D62" s="936"/>
      <c r="E62" s="936"/>
      <c r="F62" s="733">
        <f>F50-F56+F60</f>
        <v>48618129</v>
      </c>
      <c r="G62" s="733">
        <f>G50-G56+G60</f>
        <v>25431172</v>
      </c>
      <c r="J62" s="565"/>
    </row>
    <row r="63" spans="1:10" ht="19.5" customHeight="1">
      <c r="A63" s="608"/>
    </row>
  </sheetData>
  <phoneticPr fontId="0" type="noConversion"/>
  <pageMargins left="1" right="0.75" top="1" bottom="0.5" header="0.25" footer="0.25"/>
  <pageSetup scale="67" orientation="portrait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1">
    <tabColor theme="1"/>
    <pageSetUpPr fitToPage="1"/>
  </sheetPr>
  <dimension ref="A1:S278"/>
  <sheetViews>
    <sheetView view="pageBreakPreview" zoomScale="75" zoomScaleNormal="80" zoomScaleSheetLayoutView="75" workbookViewId="0">
      <selection activeCell="E70" sqref="E70"/>
    </sheetView>
  </sheetViews>
  <sheetFormatPr defaultColWidth="7.109375" defaultRowHeight="12.75"/>
  <cols>
    <col min="1" max="1" width="7.109375" style="56"/>
    <col min="2" max="2" width="1.21875" style="56" customWidth="1"/>
    <col min="3" max="3" width="18.44140625" style="56" customWidth="1"/>
    <col min="4" max="4" width="12.21875" style="56" customWidth="1"/>
    <col min="5" max="5" width="15.77734375" style="56" customWidth="1"/>
    <col min="6" max="6" width="12.44140625" style="56" customWidth="1"/>
    <col min="7" max="7" width="12.21875" style="56" customWidth="1"/>
    <col min="8" max="8" width="1.44140625" style="56" customWidth="1"/>
    <col min="9" max="9" width="11.77734375" style="56" customWidth="1"/>
    <col min="10" max="10" width="1.109375" style="56" customWidth="1"/>
    <col min="11" max="11" width="14.44140625" style="56" customWidth="1"/>
    <col min="12" max="12" width="0.77734375" style="56" customWidth="1"/>
    <col min="13" max="13" width="13.77734375" style="56" customWidth="1"/>
    <col min="14" max="14" width="3.77734375" style="56" customWidth="1"/>
    <col min="15" max="17" width="7.109375" style="56"/>
    <col min="18" max="18" width="9.21875" style="56" customWidth="1"/>
    <col min="19" max="19" width="22.77734375" style="56" customWidth="1"/>
    <col min="20" max="16384" width="7.109375" style="56"/>
  </cols>
  <sheetData>
    <row r="1" spans="1:17" ht="15.75">
      <c r="A1" s="355" t="str">
        <f>'P1 ADIT'!A1</f>
        <v>Duke Energy Ohio and Duke Energy Kentucky</v>
      </c>
      <c r="B1" s="619"/>
      <c r="C1" s="61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486"/>
      <c r="O1" s="486"/>
    </row>
    <row r="2" spans="1:17" ht="15.75">
      <c r="C2" s="355"/>
      <c r="D2" s="579"/>
      <c r="E2" s="579"/>
      <c r="F2" s="579"/>
      <c r="G2" s="579"/>
      <c r="H2" s="579"/>
      <c r="I2" s="579"/>
      <c r="J2" s="579"/>
      <c r="K2" s="579"/>
      <c r="L2" s="486"/>
      <c r="M2" s="486"/>
      <c r="N2" s="486"/>
      <c r="O2" s="486"/>
    </row>
    <row r="3" spans="1:17" ht="15">
      <c r="C3" s="486"/>
      <c r="D3" s="486"/>
      <c r="E3" s="486"/>
      <c r="F3" s="486"/>
      <c r="G3" s="486"/>
      <c r="H3" s="486"/>
      <c r="I3" s="588"/>
      <c r="J3" s="588"/>
      <c r="K3" s="736"/>
      <c r="L3" s="588"/>
      <c r="M3" s="736" t="s">
        <v>396</v>
      </c>
      <c r="N3" s="486"/>
      <c r="O3" s="486"/>
      <c r="P3" s="953"/>
      <c r="Q3" s="280"/>
    </row>
    <row r="4" spans="1:17" ht="15">
      <c r="C4" s="486"/>
      <c r="D4" s="486"/>
      <c r="E4" s="486"/>
      <c r="F4" s="486"/>
      <c r="G4" s="486"/>
      <c r="H4" s="486"/>
      <c r="I4" s="588"/>
      <c r="J4" s="588"/>
      <c r="K4" s="736"/>
      <c r="L4" s="588"/>
      <c r="M4" s="737" t="str">
        <f>"Page 2 of "&amp;Workpaper</f>
        <v>Page 2 of 18</v>
      </c>
      <c r="N4" s="486"/>
      <c r="O4" s="486"/>
    </row>
    <row r="5" spans="1:17" ht="15">
      <c r="C5" s="486"/>
      <c r="D5" s="486"/>
      <c r="E5" s="486"/>
      <c r="F5" s="486"/>
      <c r="G5" s="486"/>
      <c r="H5" s="486"/>
      <c r="I5" s="588"/>
      <c r="J5" s="588"/>
      <c r="K5" s="736"/>
      <c r="L5" s="588"/>
      <c r="M5" s="583" t="str">
        <f>"For the 12 months ended: "&amp;TEXT(INPUT!$B$1,"mm/dd/yyyy")</f>
        <v>For the 12 months ended: 12/31/2020</v>
      </c>
      <c r="N5" s="486"/>
      <c r="O5" s="486"/>
    </row>
    <row r="6" spans="1:17" ht="15">
      <c r="C6" s="486"/>
      <c r="D6" s="486"/>
      <c r="E6" s="486"/>
      <c r="F6" s="486"/>
      <c r="G6" s="486"/>
      <c r="H6" s="486"/>
      <c r="I6" s="486"/>
      <c r="J6" s="486"/>
      <c r="K6" s="261"/>
      <c r="L6" s="486"/>
      <c r="M6" s="261"/>
      <c r="N6" s="486"/>
      <c r="O6" s="486"/>
    </row>
    <row r="7" spans="1:17" ht="15.75">
      <c r="A7" s="549" t="s">
        <v>258</v>
      </c>
      <c r="B7" s="619"/>
      <c r="C7" s="61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486"/>
      <c r="O7" s="486"/>
    </row>
    <row r="8" spans="1:17" ht="15.75">
      <c r="A8" s="549" t="s">
        <v>322</v>
      </c>
      <c r="B8" s="619"/>
      <c r="C8" s="619"/>
      <c r="D8" s="579"/>
      <c r="E8" s="579"/>
      <c r="F8" s="579"/>
      <c r="G8" s="579"/>
      <c r="H8" s="579"/>
      <c r="I8" s="579"/>
      <c r="J8" s="579"/>
      <c r="K8" s="579"/>
      <c r="L8" s="579"/>
      <c r="M8" s="579"/>
      <c r="N8" s="486"/>
      <c r="O8" s="486"/>
    </row>
    <row r="9" spans="1:17" ht="15.75">
      <c r="C9" s="549"/>
      <c r="D9" s="579"/>
      <c r="E9" s="579"/>
      <c r="F9" s="579"/>
      <c r="G9" s="579"/>
      <c r="H9" s="579"/>
      <c r="I9" s="579"/>
      <c r="J9" s="579"/>
      <c r="K9" s="579"/>
      <c r="L9" s="486"/>
      <c r="M9" s="486"/>
      <c r="N9" s="486"/>
      <c r="O9" s="486"/>
    </row>
    <row r="10" spans="1:17" ht="15.75">
      <c r="C10" s="738"/>
      <c r="D10" s="486"/>
      <c r="E10" s="486"/>
      <c r="F10" s="486"/>
      <c r="G10" s="486"/>
      <c r="H10" s="486"/>
      <c r="I10" s="739"/>
      <c r="J10" s="739"/>
      <c r="K10" s="486"/>
      <c r="L10" s="486"/>
      <c r="M10" s="486"/>
      <c r="N10" s="486"/>
      <c r="O10" s="486"/>
    </row>
    <row r="11" spans="1:17" ht="15">
      <c r="D11" s="486"/>
      <c r="E11" s="486"/>
      <c r="F11" s="486"/>
      <c r="G11" s="486"/>
      <c r="H11" s="486"/>
      <c r="I11" s="740"/>
      <c r="J11" s="740"/>
      <c r="K11" s="261"/>
      <c r="L11" s="486"/>
      <c r="M11" s="486"/>
      <c r="N11" s="486"/>
      <c r="O11" s="486"/>
    </row>
    <row r="12" spans="1:17" ht="12.6" customHeight="1">
      <c r="A12" s="460"/>
      <c r="B12" s="64"/>
      <c r="C12" s="71"/>
      <c r="D12" s="486"/>
      <c r="E12" s="486"/>
      <c r="F12" s="486"/>
      <c r="G12" s="486"/>
      <c r="H12" s="486"/>
      <c r="I12" s="486"/>
      <c r="J12" s="486"/>
      <c r="K12" s="486"/>
      <c r="L12" s="486"/>
      <c r="M12" s="486"/>
      <c r="N12" s="486"/>
      <c r="O12" s="486"/>
    </row>
    <row r="13" spans="1:17" ht="54" customHeight="1">
      <c r="A13" s="617" t="s">
        <v>227</v>
      </c>
      <c r="B13" s="64"/>
      <c r="C13" s="741" t="s">
        <v>419</v>
      </c>
      <c r="D13" s="611" t="s">
        <v>792</v>
      </c>
      <c r="E13" s="612" t="s">
        <v>793</v>
      </c>
      <c r="F13" s="612" t="s">
        <v>954</v>
      </c>
      <c r="G13" s="611" t="s">
        <v>259</v>
      </c>
      <c r="H13" s="611"/>
      <c r="I13" s="611" t="s">
        <v>500</v>
      </c>
      <c r="J13" s="611"/>
      <c r="K13" s="613" t="s">
        <v>794</v>
      </c>
      <c r="L13" s="742"/>
      <c r="M13" s="611" t="s">
        <v>795</v>
      </c>
      <c r="N13" s="486"/>
      <c r="O13" s="486"/>
    </row>
    <row r="14" spans="1:17" ht="10.15" customHeight="1">
      <c r="A14" s="614"/>
      <c r="B14" s="64"/>
      <c r="C14" s="380"/>
      <c r="D14" s="611"/>
      <c r="E14" s="612"/>
      <c r="F14" s="612"/>
      <c r="G14" s="611"/>
      <c r="H14" s="611"/>
      <c r="I14" s="611"/>
      <c r="J14" s="611"/>
      <c r="K14" s="613"/>
      <c r="L14" s="742"/>
      <c r="M14" s="613"/>
      <c r="N14" s="486"/>
      <c r="O14" s="486"/>
    </row>
    <row r="15" spans="1:17" ht="20.25">
      <c r="A15" s="615">
        <v>1</v>
      </c>
      <c r="B15" s="64"/>
      <c r="C15" s="743" t="s">
        <v>177</v>
      </c>
      <c r="D15" s="611"/>
      <c r="E15" s="612"/>
      <c r="F15" s="612"/>
      <c r="G15" s="611"/>
      <c r="H15" s="611"/>
      <c r="I15" s="611"/>
      <c r="J15" s="611"/>
      <c r="K15" s="613"/>
      <c r="L15" s="742"/>
      <c r="M15" s="613"/>
      <c r="N15" s="486"/>
      <c r="O15" s="486"/>
    </row>
    <row r="16" spans="1:17" ht="14.65" customHeight="1">
      <c r="A16" s="615">
        <v>2</v>
      </c>
      <c r="B16" s="64"/>
      <c r="C16" s="743"/>
      <c r="D16" s="611"/>
      <c r="E16" s="612"/>
      <c r="F16" s="612"/>
      <c r="G16" s="611"/>
      <c r="H16" s="611"/>
      <c r="I16" s="611"/>
      <c r="J16" s="611"/>
      <c r="K16" s="613"/>
      <c r="L16" s="742"/>
      <c r="M16" s="613"/>
      <c r="N16" s="486"/>
      <c r="O16" s="486"/>
    </row>
    <row r="17" spans="1:19" ht="15">
      <c r="A17" s="615">
        <v>3</v>
      </c>
      <c r="C17" s="588" t="s">
        <v>190</v>
      </c>
      <c r="D17" s="901">
        <v>0</v>
      </c>
      <c r="E17" s="901">
        <v>0</v>
      </c>
      <c r="F17" s="901">
        <v>0</v>
      </c>
      <c r="G17" s="902">
        <f>SUM(D17:F17)</f>
        <v>0</v>
      </c>
      <c r="H17" s="903"/>
      <c r="I17" s="904">
        <f>G17/G21</f>
        <v>0</v>
      </c>
      <c r="J17" s="905"/>
      <c r="K17" s="906">
        <f>ROUND(I17*$K$21,0)</f>
        <v>0</v>
      </c>
      <c r="L17" s="907"/>
      <c r="M17" s="908"/>
      <c r="N17" s="580"/>
      <c r="O17" s="486"/>
    </row>
    <row r="18" spans="1:19" ht="17.25">
      <c r="A18" s="615">
        <v>4</v>
      </c>
      <c r="C18" s="588" t="s">
        <v>24</v>
      </c>
      <c r="D18" s="909">
        <v>1110276</v>
      </c>
      <c r="E18" s="909">
        <f>17535473</f>
        <v>17535473</v>
      </c>
      <c r="F18" s="909">
        <v>-276843</v>
      </c>
      <c r="G18" s="910">
        <f>SUM(D18:F18)</f>
        <v>18368906</v>
      </c>
      <c r="H18" s="637"/>
      <c r="I18" s="904">
        <f>G18/$G$21</f>
        <v>0.3237064702248349</v>
      </c>
      <c r="J18" s="911"/>
      <c r="K18" s="744">
        <f>ROUND(I18*$K$21,0)</f>
        <v>1102032</v>
      </c>
      <c r="L18" s="637"/>
      <c r="M18" s="912">
        <f>K18+G18</f>
        <v>19470938</v>
      </c>
      <c r="N18" s="486"/>
      <c r="O18" s="486"/>
      <c r="S18" s="632"/>
    </row>
    <row r="19" spans="1:19" ht="15">
      <c r="A19" s="615">
        <v>5</v>
      </c>
      <c r="C19" s="588" t="s">
        <v>191</v>
      </c>
      <c r="D19" s="909">
        <v>2367165</v>
      </c>
      <c r="E19" s="909">
        <f>30157215</f>
        <v>30157215</v>
      </c>
      <c r="F19" s="909">
        <v>276843.31</v>
      </c>
      <c r="G19" s="910">
        <f t="shared" ref="G19:G20" si="0">SUM(D19:F19)</f>
        <v>32801223.309999999</v>
      </c>
      <c r="H19" s="637"/>
      <c r="I19" s="904">
        <f t="shared" ref="I19:I20" si="1">G19/$G$21</f>
        <v>0.57804031534249645</v>
      </c>
      <c r="J19" s="913"/>
      <c r="K19" s="744">
        <f>ROUND(I19*$K$21,0)</f>
        <v>1967890</v>
      </c>
      <c r="L19" s="637"/>
      <c r="M19" s="637"/>
      <c r="N19" s="486"/>
      <c r="O19" s="486"/>
      <c r="S19" s="632"/>
    </row>
    <row r="20" spans="1:19" ht="17.25">
      <c r="A20" s="615">
        <v>6</v>
      </c>
      <c r="C20" s="588" t="s">
        <v>768</v>
      </c>
      <c r="D20" s="914">
        <v>0</v>
      </c>
      <c r="E20" s="914">
        <v>5575434</v>
      </c>
      <c r="F20" s="914">
        <v>0</v>
      </c>
      <c r="G20" s="915">
        <f t="shared" si="0"/>
        <v>5575434</v>
      </c>
      <c r="H20" s="637"/>
      <c r="I20" s="916">
        <f t="shared" si="1"/>
        <v>9.8253214432668559E-2</v>
      </c>
      <c r="J20" s="917"/>
      <c r="K20" s="918">
        <f>ROUND(I20*$K$21,0)</f>
        <v>334495</v>
      </c>
      <c r="L20" s="637"/>
      <c r="M20" s="637"/>
      <c r="N20" s="486"/>
      <c r="O20" s="486"/>
      <c r="S20" s="632"/>
    </row>
    <row r="21" spans="1:19" ht="17.25">
      <c r="A21" s="615">
        <v>7</v>
      </c>
      <c r="C21" s="588" t="s">
        <v>259</v>
      </c>
      <c r="D21" s="919">
        <f>SUM(D17:D20)</f>
        <v>3477441</v>
      </c>
      <c r="E21" s="919">
        <f>SUM(E17:E20)</f>
        <v>53268122</v>
      </c>
      <c r="F21" s="919">
        <f>SUM(F17:F20)</f>
        <v>0.30999999999767169</v>
      </c>
      <c r="G21" s="919">
        <f>SUM(G17:G20)</f>
        <v>56745563.310000002</v>
      </c>
      <c r="H21" s="637"/>
      <c r="I21" s="920">
        <f>SUM(I17:I20)</f>
        <v>0.99999999999999989</v>
      </c>
      <c r="J21" s="921"/>
      <c r="K21" s="922">
        <v>3404417</v>
      </c>
      <c r="L21" s="637"/>
      <c r="M21" s="637"/>
      <c r="N21" s="486"/>
      <c r="O21" s="486"/>
    </row>
    <row r="22" spans="1:19" ht="15">
      <c r="A22" s="615">
        <v>8</v>
      </c>
      <c r="C22" s="588"/>
      <c r="D22" s="923"/>
      <c r="E22" s="637"/>
      <c r="F22" s="637"/>
      <c r="G22" s="637"/>
      <c r="H22" s="637"/>
      <c r="I22" s="923"/>
      <c r="J22" s="924"/>
      <c r="K22" s="637"/>
      <c r="L22" s="637"/>
      <c r="M22" s="637"/>
      <c r="N22" s="486"/>
      <c r="O22" s="486"/>
    </row>
    <row r="23" spans="1:19" ht="15">
      <c r="A23" s="615">
        <v>9</v>
      </c>
      <c r="D23" s="925"/>
      <c r="E23" s="637"/>
      <c r="F23" s="637"/>
      <c r="G23" s="637"/>
      <c r="H23" s="637"/>
      <c r="I23" s="926"/>
      <c r="J23" s="588"/>
      <c r="K23" s="637"/>
      <c r="L23" s="637"/>
      <c r="M23" s="637"/>
      <c r="N23" s="486"/>
      <c r="O23" s="486"/>
    </row>
    <row r="24" spans="1:19" ht="17.25">
      <c r="A24" s="615">
        <v>10</v>
      </c>
      <c r="C24" s="743" t="s">
        <v>178</v>
      </c>
      <c r="D24" s="637"/>
      <c r="E24" s="637"/>
      <c r="F24" s="637"/>
      <c r="G24" s="637"/>
      <c r="H24" s="637"/>
      <c r="I24" s="923"/>
      <c r="J24" s="927"/>
      <c r="K24" s="637"/>
      <c r="L24" s="637"/>
      <c r="M24" s="637"/>
      <c r="N24" s="486"/>
      <c r="O24" s="486"/>
    </row>
    <row r="25" spans="1:19" ht="15" customHeight="1">
      <c r="A25" s="615">
        <v>11</v>
      </c>
      <c r="C25" s="743"/>
      <c r="D25" s="637"/>
      <c r="E25" s="637"/>
      <c r="F25" s="637"/>
      <c r="G25" s="637"/>
      <c r="H25" s="637"/>
      <c r="I25" s="923"/>
      <c r="J25" s="927"/>
      <c r="K25" s="637"/>
      <c r="L25" s="637"/>
      <c r="M25" s="637"/>
      <c r="N25" s="486"/>
      <c r="O25" s="486"/>
    </row>
    <row r="26" spans="1:19" ht="15">
      <c r="A26" s="615">
        <v>12</v>
      </c>
      <c r="C26" s="588" t="s">
        <v>190</v>
      </c>
      <c r="D26" s="901">
        <v>15615600</v>
      </c>
      <c r="E26" s="901">
        <v>1223041</v>
      </c>
      <c r="F26" s="901">
        <v>0</v>
      </c>
      <c r="G26" s="902">
        <f>SUM(D26:F26)</f>
        <v>16838641</v>
      </c>
      <c r="H26" s="637"/>
      <c r="I26" s="904">
        <f>G26/G29</f>
        <v>0.9580415617633643</v>
      </c>
      <c r="J26" s="905"/>
      <c r="K26" s="906">
        <f>ROUND($K$29*I26,0)</f>
        <v>81158</v>
      </c>
      <c r="L26" s="637"/>
      <c r="M26" s="637"/>
      <c r="N26" s="580"/>
      <c r="O26" s="486"/>
    </row>
    <row r="27" spans="1:19" ht="17.25">
      <c r="A27" s="615">
        <v>13</v>
      </c>
      <c r="C27" s="588" t="s">
        <v>24</v>
      </c>
      <c r="D27" s="909">
        <v>1728</v>
      </c>
      <c r="E27" s="909">
        <v>3715</v>
      </c>
      <c r="F27" s="909">
        <v>-3715</v>
      </c>
      <c r="G27" s="910">
        <f t="shared" ref="G27:G28" si="2">SUM(D27:F27)</f>
        <v>1728</v>
      </c>
      <c r="H27" s="907"/>
      <c r="I27" s="904">
        <f>G27/G29</f>
        <v>9.83152867697039E-5</v>
      </c>
      <c r="J27" s="911"/>
      <c r="K27" s="744">
        <f t="shared" ref="K27:K28" si="3">ROUND($K$29*I27,0)</f>
        <v>8</v>
      </c>
      <c r="L27" s="907"/>
      <c r="M27" s="912">
        <f>K27+G27</f>
        <v>1736</v>
      </c>
      <c r="N27" s="486"/>
      <c r="O27" s="486"/>
    </row>
    <row r="28" spans="1:19" ht="17.25">
      <c r="A28" s="615">
        <v>14</v>
      </c>
      <c r="C28" s="588" t="s">
        <v>191</v>
      </c>
      <c r="D28" s="914">
        <v>180260</v>
      </c>
      <c r="E28" s="914">
        <v>551763</v>
      </c>
      <c r="F28" s="914">
        <v>3715</v>
      </c>
      <c r="G28" s="915">
        <f t="shared" si="2"/>
        <v>735738</v>
      </c>
      <c r="H28" s="928"/>
      <c r="I28" s="929">
        <f>G28/G29</f>
        <v>4.1860122949865977E-2</v>
      </c>
      <c r="J28" s="917"/>
      <c r="K28" s="918">
        <f t="shared" si="3"/>
        <v>3546</v>
      </c>
      <c r="L28" s="637"/>
      <c r="M28" s="930"/>
      <c r="N28" s="486"/>
      <c r="O28" s="486"/>
    </row>
    <row r="29" spans="1:19" ht="17.25">
      <c r="A29" s="615">
        <v>15</v>
      </c>
      <c r="C29" s="588" t="s">
        <v>259</v>
      </c>
      <c r="D29" s="919">
        <f>SUM(D26:D28)</f>
        <v>15797588</v>
      </c>
      <c r="E29" s="919">
        <f t="shared" ref="E29:G29" si="4">SUM(E26:E28)</f>
        <v>1778519</v>
      </c>
      <c r="F29" s="919">
        <f t="shared" ref="F29" si="5">SUM(F26:F28)</f>
        <v>0</v>
      </c>
      <c r="G29" s="919">
        <f t="shared" si="4"/>
        <v>17576107</v>
      </c>
      <c r="H29" s="931"/>
      <c r="I29" s="920">
        <f>SUM(I26:I28)</f>
        <v>1</v>
      </c>
      <c r="J29" s="588"/>
      <c r="K29" s="922">
        <v>84712</v>
      </c>
      <c r="L29" s="637"/>
      <c r="M29" s="930"/>
      <c r="N29" s="486"/>
      <c r="O29" s="486"/>
    </row>
    <row r="30" spans="1:19" ht="15">
      <c r="C30" s="486"/>
      <c r="D30" s="825"/>
      <c r="E30" s="486"/>
      <c r="F30" s="486"/>
      <c r="G30" s="486"/>
      <c r="H30" s="486"/>
      <c r="I30" s="486"/>
      <c r="J30" s="486"/>
      <c r="K30" s="486"/>
      <c r="L30" s="486"/>
      <c r="M30" s="486"/>
      <c r="N30" s="486"/>
      <c r="O30" s="486"/>
    </row>
    <row r="31" spans="1:19" ht="15">
      <c r="C31" s="486"/>
      <c r="D31" s="825"/>
      <c r="E31" s="486"/>
      <c r="F31" s="486"/>
      <c r="G31" s="486"/>
      <c r="H31" s="486"/>
      <c r="I31" s="827"/>
      <c r="J31" s="486"/>
      <c r="K31" s="486"/>
      <c r="L31" s="486"/>
      <c r="M31" s="486"/>
      <c r="N31" s="486"/>
      <c r="O31" s="486"/>
    </row>
    <row r="32" spans="1:19" ht="15">
      <c r="C32" s="486"/>
      <c r="D32" s="825"/>
      <c r="E32" s="486"/>
      <c r="F32" s="486"/>
      <c r="G32" s="486"/>
      <c r="H32" s="486"/>
      <c r="I32" s="828"/>
      <c r="J32" s="486"/>
      <c r="K32" s="824"/>
      <c r="L32" s="486"/>
      <c r="M32" s="486"/>
      <c r="N32" s="486"/>
      <c r="O32" s="486"/>
    </row>
    <row r="33" spans="3:15" ht="18">
      <c r="C33" s="588" t="s">
        <v>824</v>
      </c>
      <c r="D33" s="826"/>
      <c r="E33" s="745"/>
      <c r="F33" s="745"/>
      <c r="G33" s="746"/>
      <c r="H33" s="746"/>
      <c r="I33" s="829"/>
      <c r="J33" s="746"/>
      <c r="K33" s="824"/>
      <c r="L33" s="486"/>
      <c r="M33" s="486"/>
      <c r="N33" s="486"/>
      <c r="O33" s="486"/>
    </row>
    <row r="34" spans="3:15" ht="18">
      <c r="C34" s="637" t="s">
        <v>769</v>
      </c>
      <c r="D34" s="745"/>
      <c r="E34" s="745"/>
      <c r="F34" s="745"/>
      <c r="G34" s="746"/>
      <c r="H34" s="746"/>
      <c r="I34" s="829"/>
      <c r="J34" s="746"/>
      <c r="K34" s="824"/>
      <c r="L34" s="486"/>
      <c r="M34" s="486"/>
      <c r="N34" s="486"/>
      <c r="O34" s="486"/>
    </row>
    <row r="35" spans="3:15" ht="18">
      <c r="C35" s="637" t="s">
        <v>766</v>
      </c>
      <c r="D35" s="744"/>
      <c r="E35" s="744"/>
      <c r="F35" s="744"/>
      <c r="G35" s="747"/>
      <c r="H35" s="747"/>
      <c r="I35" s="747"/>
      <c r="J35" s="582"/>
      <c r="K35" s="486"/>
      <c r="L35" s="486"/>
      <c r="M35" s="486"/>
      <c r="N35" s="486"/>
      <c r="O35" s="486"/>
    </row>
    <row r="36" spans="3:15" ht="18">
      <c r="C36" s="637" t="s">
        <v>767</v>
      </c>
      <c r="D36" s="748"/>
      <c r="E36" s="748"/>
      <c r="F36" s="748"/>
      <c r="G36" s="582"/>
      <c r="H36" s="582"/>
      <c r="I36" s="582"/>
      <c r="J36" s="582"/>
      <c r="K36" s="486"/>
      <c r="L36" s="486"/>
      <c r="M36" s="486"/>
      <c r="N36" s="486"/>
      <c r="O36" s="486"/>
    </row>
    <row r="37" spans="3:15" ht="15"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  <c r="N37" s="486"/>
      <c r="O37" s="486"/>
    </row>
    <row r="38" spans="3:15" ht="15">
      <c r="C38" s="486"/>
      <c r="D38" s="581"/>
      <c r="E38" s="581"/>
      <c r="F38" s="581"/>
      <c r="G38" s="581"/>
      <c r="H38" s="581"/>
      <c r="I38" s="581"/>
      <c r="J38" s="581"/>
      <c r="K38" s="486"/>
      <c r="L38" s="486"/>
      <c r="M38" s="486"/>
      <c r="N38" s="486"/>
      <c r="O38" s="486"/>
    </row>
    <row r="39" spans="3:15" ht="15">
      <c r="C39" s="486"/>
      <c r="D39" s="582"/>
      <c r="E39" s="582"/>
      <c r="F39" s="582"/>
      <c r="G39" s="582"/>
      <c r="H39" s="582"/>
      <c r="I39" s="582"/>
      <c r="J39" s="582"/>
      <c r="K39" s="486"/>
      <c r="L39" s="486"/>
      <c r="M39" s="486"/>
      <c r="N39" s="486"/>
      <c r="O39" s="486"/>
    </row>
    <row r="40" spans="3:15" ht="15">
      <c r="C40" s="486"/>
      <c r="D40" s="582"/>
      <c r="E40" s="582"/>
      <c r="F40" s="582"/>
      <c r="G40" s="582"/>
      <c r="H40" s="582"/>
      <c r="I40" s="582"/>
      <c r="J40" s="582"/>
      <c r="K40" s="486"/>
      <c r="L40" s="486"/>
      <c r="M40" s="486"/>
      <c r="N40" s="486"/>
      <c r="O40" s="486"/>
    </row>
    <row r="41" spans="3:15" ht="15">
      <c r="C41" s="486"/>
      <c r="D41" s="582"/>
      <c r="E41" s="582"/>
      <c r="F41" s="582"/>
      <c r="G41" s="582"/>
      <c r="H41" s="582"/>
      <c r="I41" s="582"/>
      <c r="J41" s="582"/>
      <c r="K41" s="486"/>
      <c r="L41" s="486"/>
      <c r="M41" s="486"/>
      <c r="N41" s="486"/>
      <c r="O41" s="486"/>
    </row>
    <row r="42" spans="3:15" ht="15">
      <c r="C42" s="486"/>
      <c r="D42" s="582"/>
      <c r="E42" s="582"/>
      <c r="F42" s="582"/>
      <c r="G42" s="582"/>
      <c r="H42" s="582"/>
      <c r="I42" s="582"/>
      <c r="J42" s="582"/>
      <c r="K42" s="486"/>
      <c r="L42" s="486"/>
      <c r="M42" s="486"/>
      <c r="N42" s="486"/>
      <c r="O42" s="486"/>
    </row>
    <row r="43" spans="3:15" ht="15">
      <c r="C43" s="486"/>
      <c r="D43" s="582"/>
      <c r="E43" s="582"/>
      <c r="F43" s="582"/>
      <c r="G43" s="582"/>
      <c r="H43" s="582"/>
      <c r="I43" s="582"/>
      <c r="J43" s="582"/>
      <c r="K43" s="486"/>
      <c r="L43" s="486"/>
      <c r="M43" s="486"/>
      <c r="N43" s="486"/>
      <c r="O43" s="486"/>
    </row>
    <row r="44" spans="3:15" ht="15">
      <c r="C44" s="486"/>
      <c r="D44" s="582"/>
      <c r="E44" s="582"/>
      <c r="F44" s="582"/>
      <c r="G44" s="582"/>
      <c r="H44" s="582"/>
      <c r="I44" s="582"/>
      <c r="J44" s="582"/>
      <c r="K44" s="486"/>
      <c r="L44" s="486"/>
      <c r="M44" s="486"/>
      <c r="N44" s="486"/>
      <c r="O44" s="486"/>
    </row>
    <row r="45" spans="3:15">
      <c r="D45" s="162"/>
      <c r="E45" s="162"/>
      <c r="F45" s="162"/>
      <c r="G45" s="162"/>
      <c r="H45" s="162"/>
      <c r="I45" s="162"/>
      <c r="J45" s="162"/>
    </row>
    <row r="52" spans="4:11" ht="20.100000000000001" customHeight="1">
      <c r="D52" s="163"/>
      <c r="E52" s="163"/>
      <c r="F52" s="163"/>
      <c r="G52" s="163"/>
      <c r="H52" s="163"/>
      <c r="I52" s="163"/>
      <c r="J52" s="163"/>
    </row>
    <row r="57" spans="4:11" ht="15">
      <c r="D57" s="164"/>
      <c r="E57" s="164"/>
      <c r="F57" s="164"/>
      <c r="G57" s="164"/>
      <c r="H57" s="164"/>
      <c r="I57" s="164"/>
      <c r="J57" s="164"/>
    </row>
    <row r="58" spans="4:11">
      <c r="D58" s="162"/>
      <c r="E58" s="162"/>
      <c r="F58" s="162"/>
      <c r="G58" s="162"/>
      <c r="H58" s="162"/>
      <c r="I58" s="162"/>
      <c r="J58" s="162"/>
      <c r="K58" s="162"/>
    </row>
    <row r="59" spans="4:11" ht="20.100000000000001" customHeight="1">
      <c r="D59" s="162"/>
      <c r="E59" s="162"/>
      <c r="F59" s="162"/>
      <c r="G59" s="162"/>
      <c r="H59" s="162"/>
      <c r="I59" s="162"/>
      <c r="J59" s="162"/>
      <c r="K59" s="162"/>
    </row>
    <row r="60" spans="4:11" ht="15">
      <c r="D60" s="165"/>
      <c r="E60" s="165"/>
      <c r="F60" s="165"/>
      <c r="G60" s="165"/>
      <c r="H60" s="165"/>
      <c r="I60" s="165"/>
      <c r="J60" s="165"/>
      <c r="K60" s="162"/>
    </row>
    <row r="61" spans="4:11" ht="15">
      <c r="D61" s="166"/>
      <c r="E61" s="166"/>
      <c r="F61" s="166"/>
      <c r="G61" s="166"/>
      <c r="H61" s="166"/>
      <c r="I61" s="166"/>
      <c r="J61" s="166"/>
      <c r="K61" s="166"/>
    </row>
    <row r="62" spans="4:11">
      <c r="D62" s="167"/>
      <c r="E62" s="167"/>
      <c r="F62" s="167"/>
      <c r="G62" s="167"/>
      <c r="H62" s="167"/>
      <c r="I62" s="167"/>
      <c r="J62" s="167"/>
    </row>
    <row r="63" spans="4:11">
      <c r="D63" s="168"/>
      <c r="E63" s="168"/>
      <c r="F63" s="168"/>
      <c r="G63" s="168"/>
      <c r="H63" s="168"/>
      <c r="I63" s="168"/>
      <c r="J63" s="168"/>
    </row>
    <row r="67" spans="4:11" ht="15">
      <c r="D67" s="164"/>
      <c r="E67" s="164"/>
      <c r="F67" s="164"/>
      <c r="G67" s="164"/>
      <c r="H67" s="164"/>
      <c r="I67" s="164"/>
      <c r="J67" s="164"/>
    </row>
    <row r="68" spans="4:11">
      <c r="D68" s="162"/>
      <c r="E68" s="162"/>
      <c r="F68" s="162"/>
      <c r="G68" s="162"/>
      <c r="H68" s="162"/>
      <c r="I68" s="162"/>
      <c r="J68" s="162"/>
      <c r="K68" s="162"/>
    </row>
    <row r="69" spans="4:11">
      <c r="D69" s="162"/>
      <c r="E69" s="162"/>
      <c r="F69" s="162"/>
      <c r="G69" s="162"/>
      <c r="H69" s="162"/>
      <c r="I69" s="162"/>
      <c r="J69" s="162"/>
      <c r="K69" s="162"/>
    </row>
    <row r="70" spans="4:11" ht="15">
      <c r="D70" s="166"/>
      <c r="E70" s="166"/>
      <c r="F70" s="166"/>
      <c r="G70" s="166"/>
      <c r="H70" s="166"/>
      <c r="I70" s="166"/>
      <c r="J70" s="166"/>
      <c r="K70" s="166"/>
    </row>
    <row r="71" spans="4:11">
      <c r="D71" s="167"/>
      <c r="E71" s="167"/>
      <c r="F71" s="167"/>
      <c r="G71" s="167"/>
      <c r="H71" s="167"/>
      <c r="I71" s="167"/>
      <c r="J71" s="167"/>
    </row>
    <row r="72" spans="4:11">
      <c r="D72" s="168"/>
      <c r="E72" s="168"/>
      <c r="F72" s="168"/>
      <c r="G72" s="168"/>
      <c r="H72" s="168"/>
      <c r="I72" s="168"/>
      <c r="J72" s="168"/>
    </row>
    <row r="77" spans="4:11">
      <c r="D77" s="169"/>
      <c r="E77" s="169"/>
      <c r="F77" s="169"/>
      <c r="G77" s="169"/>
      <c r="H77" s="169"/>
      <c r="I77" s="169"/>
      <c r="J77" s="169"/>
    </row>
    <row r="78" spans="4:11">
      <c r="D78" s="162"/>
      <c r="E78" s="162"/>
      <c r="F78" s="162"/>
      <c r="G78" s="162"/>
      <c r="H78" s="162"/>
      <c r="I78" s="162"/>
      <c r="J78" s="162"/>
    </row>
    <row r="79" spans="4:11">
      <c r="D79" s="162"/>
      <c r="E79" s="162"/>
      <c r="F79" s="162"/>
      <c r="G79" s="162"/>
      <c r="H79" s="162"/>
      <c r="I79" s="162"/>
      <c r="J79" s="162"/>
    </row>
    <row r="81" spans="4:10">
      <c r="D81" s="169"/>
      <c r="E81" s="169"/>
      <c r="F81" s="169"/>
      <c r="G81" s="169"/>
      <c r="H81" s="169"/>
      <c r="I81" s="169"/>
      <c r="J81" s="169"/>
    </row>
    <row r="82" spans="4:10">
      <c r="D82" s="162"/>
      <c r="E82" s="162"/>
      <c r="F82" s="162"/>
      <c r="G82" s="162"/>
      <c r="H82" s="162"/>
      <c r="I82" s="162"/>
      <c r="J82" s="162"/>
    </row>
    <row r="83" spans="4:10">
      <c r="D83" s="162"/>
      <c r="E83" s="162"/>
      <c r="F83" s="162"/>
      <c r="G83" s="162"/>
      <c r="H83" s="162"/>
      <c r="I83" s="162"/>
      <c r="J83" s="162"/>
    </row>
    <row r="84" spans="4:10">
      <c r="D84" s="162"/>
      <c r="E84" s="162"/>
      <c r="F84" s="162"/>
      <c r="G84" s="162"/>
      <c r="H84" s="162"/>
      <c r="I84" s="162"/>
      <c r="J84" s="162"/>
    </row>
    <row r="85" spans="4:10">
      <c r="D85" s="162"/>
      <c r="E85" s="162"/>
      <c r="F85" s="162"/>
      <c r="G85" s="162"/>
      <c r="H85" s="162"/>
      <c r="I85" s="162"/>
      <c r="J85" s="162"/>
    </row>
    <row r="86" spans="4:10">
      <c r="D86" s="162"/>
      <c r="E86" s="162"/>
      <c r="F86" s="162"/>
      <c r="G86" s="162"/>
      <c r="H86" s="162"/>
      <c r="I86" s="162"/>
      <c r="J86" s="162"/>
    </row>
    <row r="87" spans="4:10">
      <c r="D87" s="162"/>
      <c r="E87" s="162"/>
      <c r="F87" s="162"/>
      <c r="G87" s="162"/>
      <c r="H87" s="162"/>
      <c r="I87" s="162"/>
      <c r="J87" s="162"/>
    </row>
    <row r="88" spans="4:10">
      <c r="D88" s="162"/>
      <c r="E88" s="162"/>
      <c r="F88" s="162"/>
      <c r="G88" s="162"/>
      <c r="H88" s="162"/>
      <c r="I88" s="162"/>
      <c r="J88" s="162"/>
    </row>
    <row r="97" s="56" customFormat="1"/>
    <row r="98" s="56" customFormat="1"/>
    <row r="99" s="56" customFormat="1"/>
    <row r="100" s="56" customFormat="1"/>
    <row r="101" s="56" customFormat="1"/>
    <row r="102" s="56" customFormat="1"/>
    <row r="103" s="56" customFormat="1"/>
    <row r="104" s="56" customFormat="1"/>
    <row r="105" s="56" customFormat="1"/>
    <row r="106" s="56" customFormat="1"/>
    <row r="107" s="56" customFormat="1"/>
    <row r="108" s="56" customFormat="1"/>
    <row r="109" s="56" customFormat="1"/>
    <row r="110" s="56" customFormat="1"/>
    <row r="111" s="56" customFormat="1"/>
    <row r="112" s="56" customFormat="1"/>
    <row r="113" s="56" customFormat="1"/>
    <row r="114" s="56" customFormat="1"/>
    <row r="115" s="56" customFormat="1"/>
    <row r="116" s="56" customFormat="1"/>
    <row r="117" s="56" customFormat="1"/>
    <row r="118" s="56" customFormat="1"/>
    <row r="119" s="56" customFormat="1"/>
    <row r="120" s="56" customFormat="1"/>
    <row r="121" s="56" customFormat="1"/>
    <row r="122" s="56" customFormat="1"/>
    <row r="123" s="56" customFormat="1"/>
    <row r="124" s="56" customFormat="1"/>
    <row r="125" s="56" customFormat="1"/>
    <row r="126" s="56" customFormat="1"/>
    <row r="127" s="56" customFormat="1"/>
    <row r="128" s="56" customFormat="1"/>
    <row r="129" s="56" customFormat="1"/>
    <row r="130" s="56" customFormat="1"/>
    <row r="131" s="56" customFormat="1"/>
    <row r="132" s="56" customFormat="1"/>
    <row r="133" s="56" customFormat="1"/>
    <row r="134" s="56" customFormat="1"/>
    <row r="135" s="56" customFormat="1"/>
    <row r="136" s="56" customFormat="1"/>
    <row r="137" s="56" customFormat="1"/>
    <row r="138" s="56" customFormat="1"/>
    <row r="139" s="56" customFormat="1"/>
    <row r="140" s="56" customFormat="1"/>
    <row r="141" s="56" customFormat="1"/>
    <row r="142" s="56" customFormat="1"/>
    <row r="143" s="56" customFormat="1"/>
    <row r="144" s="56" customFormat="1"/>
    <row r="145" s="56" customFormat="1"/>
    <row r="146" s="56" customFormat="1"/>
    <row r="147" s="56" customFormat="1"/>
    <row r="148" s="56" customFormat="1"/>
    <row r="149" s="56" customFormat="1"/>
    <row r="150" s="56" customFormat="1"/>
    <row r="151" s="56" customFormat="1"/>
    <row r="152" s="56" customFormat="1"/>
    <row r="153" s="56" customFormat="1"/>
    <row r="154" s="56" customFormat="1"/>
    <row r="155" s="56" customFormat="1"/>
    <row r="156" s="56" customFormat="1"/>
    <row r="157" s="56" customFormat="1"/>
    <row r="158" s="56" customFormat="1"/>
    <row r="159" s="56" customFormat="1"/>
    <row r="160" s="56" customFormat="1"/>
    <row r="161" s="56" customFormat="1"/>
    <row r="162" s="56" customFormat="1"/>
    <row r="163" s="56" customFormat="1"/>
    <row r="164" s="56" customFormat="1"/>
    <row r="165" s="56" customFormat="1"/>
    <row r="166" s="56" customFormat="1"/>
    <row r="167" s="56" customFormat="1"/>
    <row r="168" s="56" customFormat="1"/>
    <row r="169" s="56" customFormat="1"/>
    <row r="170" s="56" customFormat="1"/>
    <row r="171" s="56" customFormat="1"/>
    <row r="172" s="56" customFormat="1"/>
    <row r="173" s="56" customFormat="1"/>
    <row r="174" s="56" customFormat="1"/>
    <row r="175" s="56" customFormat="1"/>
    <row r="176" s="56" customFormat="1"/>
    <row r="177" s="56" customFormat="1"/>
    <row r="178" s="56" customFormat="1"/>
    <row r="179" s="56" customFormat="1"/>
    <row r="180" s="56" customFormat="1"/>
    <row r="181" s="56" customFormat="1"/>
    <row r="182" s="56" customFormat="1"/>
    <row r="183" s="56" customFormat="1"/>
    <row r="184" s="56" customFormat="1"/>
    <row r="185" s="56" customFormat="1"/>
    <row r="186" s="56" customFormat="1"/>
    <row r="187" s="56" customFormat="1"/>
    <row r="188" s="56" customFormat="1"/>
    <row r="189" s="56" customFormat="1"/>
    <row r="190" s="56" customFormat="1"/>
    <row r="191" s="56" customFormat="1"/>
    <row r="192" s="56" customFormat="1"/>
    <row r="193" s="56" customFormat="1"/>
    <row r="194" s="56" customFormat="1"/>
    <row r="195" s="56" customFormat="1"/>
    <row r="196" s="56" customFormat="1"/>
    <row r="197" s="56" customFormat="1"/>
    <row r="198" s="56" customFormat="1"/>
    <row r="199" s="56" customFormat="1"/>
    <row r="200" s="56" customFormat="1"/>
    <row r="201" s="56" customFormat="1"/>
    <row r="202" s="56" customFormat="1"/>
    <row r="203" s="56" customFormat="1"/>
    <row r="204" s="56" customFormat="1"/>
    <row r="205" s="56" customFormat="1"/>
    <row r="206" s="56" customFormat="1"/>
    <row r="207" s="56" customFormat="1"/>
    <row r="208" s="56" customFormat="1"/>
    <row r="209" s="56" customFormat="1"/>
    <row r="210" s="56" customFormat="1"/>
    <row r="211" s="56" customFormat="1"/>
    <row r="212" s="56" customFormat="1"/>
    <row r="213" s="56" customFormat="1"/>
    <row r="214" s="56" customFormat="1"/>
    <row r="215" s="56" customFormat="1"/>
    <row r="216" s="56" customFormat="1"/>
    <row r="217" s="56" customFormat="1"/>
    <row r="218" s="56" customFormat="1"/>
    <row r="219" s="56" customFormat="1"/>
    <row r="220" s="56" customFormat="1"/>
    <row r="221" s="56" customFormat="1"/>
    <row r="222" s="56" customFormat="1"/>
    <row r="223" s="56" customFormat="1"/>
    <row r="224" s="56" customFormat="1"/>
    <row r="225" s="56" customFormat="1"/>
    <row r="226" s="56" customFormat="1"/>
    <row r="227" s="56" customFormat="1"/>
    <row r="228" s="56" customFormat="1"/>
    <row r="229" s="56" customFormat="1"/>
    <row r="230" s="56" customFormat="1"/>
    <row r="231" s="56" customFormat="1"/>
    <row r="232" s="56" customFormat="1"/>
    <row r="233" s="56" customFormat="1"/>
    <row r="234" s="56" customFormat="1"/>
    <row r="235" s="56" customFormat="1"/>
    <row r="236" s="56" customFormat="1"/>
    <row r="237" s="56" customFormat="1"/>
    <row r="238" s="56" customFormat="1"/>
    <row r="239" s="56" customFormat="1"/>
    <row r="240" s="56" customFormat="1"/>
    <row r="241" s="56" customFormat="1"/>
    <row r="242" s="56" customFormat="1"/>
    <row r="243" s="56" customFormat="1"/>
    <row r="244" s="56" customFormat="1"/>
    <row r="245" s="56" customFormat="1"/>
    <row r="246" s="56" customFormat="1"/>
    <row r="247" s="56" customFormat="1"/>
    <row r="248" s="56" customFormat="1"/>
    <row r="249" s="56" customFormat="1"/>
    <row r="250" s="56" customFormat="1"/>
    <row r="251" s="56" customFormat="1"/>
    <row r="252" s="56" customFormat="1"/>
    <row r="253" s="56" customFormat="1"/>
    <row r="254" s="56" customFormat="1"/>
    <row r="255" s="56" customFormat="1"/>
    <row r="256" s="56" customFormat="1"/>
    <row r="257" s="56" customFormat="1"/>
    <row r="258" s="56" customFormat="1"/>
    <row r="259" s="56" customFormat="1"/>
    <row r="260" s="56" customFormat="1"/>
    <row r="261" s="56" customFormat="1"/>
    <row r="262" s="56" customFormat="1"/>
    <row r="263" s="56" customFormat="1"/>
    <row r="264" s="56" customFormat="1"/>
    <row r="265" s="56" customFormat="1"/>
    <row r="266" s="56" customFormat="1"/>
    <row r="267" s="56" customFormat="1"/>
    <row r="268" s="56" customFormat="1"/>
    <row r="269" s="56" customFormat="1"/>
    <row r="270" s="56" customFormat="1"/>
    <row r="271" s="56" customFormat="1"/>
    <row r="272" s="56" customFormat="1"/>
    <row r="273" s="56" customFormat="1"/>
    <row r="274" s="56" customFormat="1"/>
    <row r="275" s="56" customFormat="1"/>
    <row r="276" s="56" customFormat="1"/>
    <row r="277" s="56" customFormat="1"/>
    <row r="278" s="56" customFormat="1"/>
  </sheetData>
  <phoneticPr fontId="47" type="noConversion"/>
  <pageMargins left="1" right="1" top="1" bottom="0.5" header="1" footer="0.25"/>
  <pageSetup scale="56" fitToHeight="2" orientation="portrait" blackAndWhite="1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4">
    <tabColor theme="1"/>
    <pageSetUpPr fitToPage="1"/>
  </sheetPr>
  <dimension ref="A1:J25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5"/>
  <cols>
    <col min="1" max="1" width="6" style="9" customWidth="1"/>
    <col min="2" max="2" width="1.77734375" style="9" customWidth="1"/>
    <col min="3" max="3" width="27.77734375" style="9" customWidth="1"/>
    <col min="4" max="4" width="16.109375" style="9" customWidth="1"/>
    <col min="5" max="5" width="17.77734375" style="9" customWidth="1"/>
    <col min="6" max="6" width="19.21875" style="9" customWidth="1"/>
    <col min="7" max="7" width="12.21875" style="9" bestFit="1" customWidth="1"/>
    <col min="8" max="16384" width="8.77734375" style="9"/>
  </cols>
  <sheetData>
    <row r="1" spans="1:10" ht="15.75">
      <c r="A1" s="355" t="str">
        <f>'P1 ADIT'!A1</f>
        <v>Duke Energy Ohio and Duke Energy Kentucky</v>
      </c>
      <c r="B1" s="70"/>
      <c r="C1" s="70"/>
      <c r="D1" s="354"/>
      <c r="E1" s="354"/>
      <c r="F1" s="354"/>
      <c r="H1" s="294"/>
      <c r="I1" s="294"/>
    </row>
    <row r="2" spans="1:10" ht="18">
      <c r="C2" s="352"/>
      <c r="D2" s="354"/>
      <c r="E2" s="354"/>
      <c r="F2" s="354"/>
      <c r="H2" s="953"/>
      <c r="I2" s="280"/>
      <c r="J2" s="56"/>
    </row>
    <row r="3" spans="1:10" ht="18">
      <c r="C3" s="352"/>
      <c r="D3" s="354"/>
      <c r="E3" s="354"/>
      <c r="F3" s="261" t="s">
        <v>396</v>
      </c>
      <c r="H3" s="294"/>
      <c r="I3" s="294"/>
    </row>
    <row r="4" spans="1:10">
      <c r="C4" s="152"/>
      <c r="D4" s="152"/>
      <c r="E4" s="152"/>
      <c r="F4" s="353" t="str">
        <f>"Page 3 of "&amp;Workpaper</f>
        <v>Page 3 of 18</v>
      </c>
      <c r="H4" s="294"/>
      <c r="I4" s="294"/>
    </row>
    <row r="5" spans="1:10">
      <c r="C5" s="152"/>
      <c r="D5" s="152"/>
      <c r="E5" s="152"/>
      <c r="F5" s="61" t="str">
        <f>"For the 12 months ended: "&amp;TEXT(INPUT!$B$1,"mm/dd/yyyy")</f>
        <v>For the 12 months ended: 12/31/2020</v>
      </c>
    </row>
    <row r="6" spans="1:10">
      <c r="C6" s="152"/>
      <c r="D6" s="152"/>
      <c r="E6" s="152"/>
      <c r="F6" s="261"/>
    </row>
    <row r="7" spans="1:10" ht="15.75">
      <c r="A7" s="355" t="s">
        <v>205</v>
      </c>
      <c r="B7" s="70"/>
      <c r="C7" s="70"/>
      <c r="D7" s="354"/>
      <c r="E7" s="354"/>
      <c r="F7" s="354"/>
    </row>
    <row r="8" spans="1:10">
      <c r="C8" s="152"/>
      <c r="D8" s="152"/>
      <c r="E8" s="152"/>
      <c r="F8" s="152"/>
    </row>
    <row r="9" spans="1:10">
      <c r="D9" s="67"/>
      <c r="E9" s="67"/>
    </row>
    <row r="10" spans="1:10" ht="15.75">
      <c r="A10" s="460" t="s">
        <v>8</v>
      </c>
      <c r="B10" s="64"/>
      <c r="C10" s="71"/>
      <c r="D10" s="460" t="s">
        <v>24</v>
      </c>
      <c r="E10" s="460" t="s">
        <v>705</v>
      </c>
      <c r="F10" s="460" t="s">
        <v>801</v>
      </c>
    </row>
    <row r="11" spans="1:10" ht="29.65" customHeight="1">
      <c r="A11" s="409" t="s">
        <v>10</v>
      </c>
      <c r="B11" s="64"/>
      <c r="C11" s="380" t="s">
        <v>419</v>
      </c>
      <c r="D11" s="609" t="s">
        <v>791</v>
      </c>
      <c r="E11" s="610" t="s">
        <v>800</v>
      </c>
      <c r="F11" s="609" t="s">
        <v>645</v>
      </c>
    </row>
    <row r="12" spans="1:10">
      <c r="D12" s="67"/>
      <c r="E12" s="67"/>
      <c r="F12" s="67"/>
    </row>
    <row r="13" spans="1:10" ht="18.75">
      <c r="A13" s="450">
        <v>1</v>
      </c>
      <c r="C13" s="749" t="s">
        <v>665</v>
      </c>
      <c r="D13" s="231"/>
      <c r="E13" s="231"/>
      <c r="F13" s="231"/>
    </row>
    <row r="14" spans="1:10">
      <c r="A14" s="450"/>
      <c r="D14" s="231"/>
      <c r="E14" s="231"/>
      <c r="F14" s="231"/>
    </row>
    <row r="15" spans="1:10" ht="17.25">
      <c r="A15" s="450">
        <v>2</v>
      </c>
      <c r="C15" s="9" t="s">
        <v>206</v>
      </c>
      <c r="D15" s="899">
        <v>1508140</v>
      </c>
      <c r="E15" s="899">
        <f>2318442+2179621</f>
        <v>4498063</v>
      </c>
      <c r="F15" s="900">
        <f>SUM(D15:E15)</f>
        <v>6006203</v>
      </c>
    </row>
    <row r="16" spans="1:10">
      <c r="A16" s="450"/>
    </row>
    <row r="17" spans="1:6">
      <c r="A17" s="450"/>
    </row>
    <row r="18" spans="1:6" ht="18.75">
      <c r="A18" s="450">
        <v>3</v>
      </c>
      <c r="C18" s="749" t="s">
        <v>664</v>
      </c>
      <c r="D18" s="231"/>
      <c r="E18" s="231"/>
      <c r="F18" s="231"/>
    </row>
    <row r="19" spans="1:6">
      <c r="A19" s="450"/>
      <c r="C19" s="67"/>
      <c r="D19" s="231"/>
      <c r="E19" s="231"/>
      <c r="F19" s="231"/>
    </row>
    <row r="20" spans="1:6" ht="17.25">
      <c r="A20" s="450">
        <v>4</v>
      </c>
      <c r="C20" s="9" t="s">
        <v>206</v>
      </c>
      <c r="D20" s="899">
        <v>0</v>
      </c>
      <c r="E20" s="899">
        <v>0</v>
      </c>
      <c r="F20" s="900">
        <f>SUM(D20:E20)</f>
        <v>0</v>
      </c>
    </row>
    <row r="24" spans="1:6" ht="18">
      <c r="C24" s="9" t="s">
        <v>666</v>
      </c>
    </row>
    <row r="25" spans="1:6" ht="18">
      <c r="C25" s="486" t="s">
        <v>823</v>
      </c>
    </row>
  </sheetData>
  <pageMargins left="1" right="1" top="1" bottom="0.5" header="0.25" footer="0.25"/>
  <pageSetup scale="7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1">
    <tabColor theme="1"/>
    <pageSetUpPr fitToPage="1"/>
  </sheetPr>
  <dimension ref="A1:X50"/>
  <sheetViews>
    <sheetView view="pageBreakPreview" zoomScale="70" zoomScaleNormal="80" zoomScaleSheetLayoutView="70" workbookViewId="0">
      <selection activeCell="E70" sqref="E70"/>
    </sheetView>
  </sheetViews>
  <sheetFormatPr defaultColWidth="7.109375" defaultRowHeight="12.75"/>
  <cols>
    <col min="1" max="1" width="7.109375" style="64"/>
    <col min="2" max="2" width="1.21875" style="64" customWidth="1"/>
    <col min="3" max="3" width="53.21875" style="64" bestFit="1" customWidth="1"/>
    <col min="4" max="4" width="22.109375" style="64" customWidth="1"/>
    <col min="5" max="5" width="15.21875" style="64" customWidth="1"/>
    <col min="6" max="6" width="13.5546875" style="64" customWidth="1"/>
    <col min="7" max="7" width="3.77734375" style="391" customWidth="1"/>
    <col min="8" max="8" width="13" style="64" customWidth="1"/>
    <col min="9" max="17" width="16.21875" style="64" bestFit="1" customWidth="1"/>
    <col min="18" max="18" width="16.77734375" style="64" bestFit="1" customWidth="1"/>
    <col min="19" max="19" width="7.77734375" style="64" bestFit="1" customWidth="1"/>
    <col min="20" max="20" width="8.21875" style="64" bestFit="1" customWidth="1"/>
    <col min="21" max="21" width="9.77734375" style="64" bestFit="1" customWidth="1"/>
    <col min="22" max="22" width="6.21875" style="64" customWidth="1"/>
    <col min="23" max="23" width="9.77734375" style="64" bestFit="1" customWidth="1"/>
    <col min="24" max="24" width="6.21875" style="64" customWidth="1"/>
    <col min="25" max="25" width="9.77734375" style="64" bestFit="1" customWidth="1"/>
    <col min="26" max="27" width="6.21875" style="64" customWidth="1"/>
    <col min="28" max="28" width="9.77734375" style="64" bestFit="1" customWidth="1"/>
    <col min="29" max="29" width="6.21875" style="64" customWidth="1"/>
    <col min="30" max="30" width="9.77734375" style="64" bestFit="1" customWidth="1"/>
    <col min="31" max="31" width="6.21875" style="64" customWidth="1"/>
    <col min="32" max="32" width="9.77734375" style="64" bestFit="1" customWidth="1"/>
    <col min="33" max="33" width="6.21875" style="64" customWidth="1"/>
    <col min="34" max="34" width="9.77734375" style="64" bestFit="1" customWidth="1"/>
    <col min="35" max="35" width="8.21875" style="64" bestFit="1" customWidth="1"/>
    <col min="36" max="16384" width="7.109375" style="64"/>
  </cols>
  <sheetData>
    <row r="1" spans="1:11" ht="18">
      <c r="A1" s="355" t="str">
        <f>'P1 ADIT'!A1</f>
        <v>Duke Energy Ohio and Duke Energy Kentucky</v>
      </c>
      <c r="B1" s="618"/>
      <c r="C1" s="618"/>
      <c r="D1" s="352"/>
      <c r="E1" s="354"/>
      <c r="F1" s="354"/>
      <c r="H1" s="186"/>
      <c r="I1" s="294"/>
      <c r="J1" s="294"/>
      <c r="K1" s="9"/>
    </row>
    <row r="2" spans="1:11" ht="18">
      <c r="C2" s="352"/>
      <c r="D2" s="352"/>
      <c r="E2" s="354"/>
      <c r="F2" s="354"/>
      <c r="H2" s="186"/>
      <c r="I2" s="953"/>
      <c r="J2" s="280"/>
      <c r="K2" s="56"/>
    </row>
    <row r="3" spans="1:11" ht="15.6" customHeight="1">
      <c r="C3" s="355"/>
      <c r="D3" s="355"/>
      <c r="E3" s="354"/>
      <c r="F3" s="261" t="s">
        <v>396</v>
      </c>
      <c r="J3" s="186"/>
    </row>
    <row r="4" spans="1:11" ht="15.6" customHeight="1">
      <c r="C4" s="355"/>
      <c r="D4" s="355"/>
      <c r="E4" s="354"/>
      <c r="F4" s="353" t="str">
        <f>"Page 4 of "&amp;Workpaper</f>
        <v>Page 4 of 18</v>
      </c>
      <c r="I4" s="186"/>
      <c r="J4" s="186"/>
    </row>
    <row r="5" spans="1:11" ht="15.6" customHeight="1">
      <c r="C5" s="355"/>
      <c r="D5" s="355"/>
      <c r="E5" s="354"/>
      <c r="F5" s="61" t="str">
        <f>"For the 12 months ended: "&amp;TEXT(INPUT!$B$1,"mm/dd/yyyy")</f>
        <v>For the 12 months ended: 12/31/2020</v>
      </c>
      <c r="I5" s="753"/>
      <c r="J5" s="475"/>
    </row>
    <row r="6" spans="1:11" ht="15.6" customHeight="1">
      <c r="C6" s="355"/>
      <c r="D6" s="355"/>
      <c r="E6" s="354"/>
      <c r="F6" s="261"/>
    </row>
    <row r="7" spans="1:11" ht="15.6" customHeight="1">
      <c r="A7" s="69" t="s">
        <v>508</v>
      </c>
      <c r="B7" s="618"/>
      <c r="C7" s="618"/>
      <c r="D7" s="355"/>
      <c r="E7" s="354"/>
      <c r="F7" s="354"/>
    </row>
    <row r="8" spans="1:11" ht="15.6" customHeight="1">
      <c r="C8" s="355"/>
      <c r="D8" s="355"/>
      <c r="E8" s="354"/>
      <c r="F8" s="354"/>
    </row>
    <row r="9" spans="1:11" ht="15.6" customHeight="1">
      <c r="C9" s="9"/>
      <c r="D9" s="9"/>
      <c r="E9" s="9"/>
      <c r="F9" s="9"/>
    </row>
    <row r="10" spans="1:11" ht="15.6" customHeight="1">
      <c r="C10" s="72"/>
      <c r="D10" s="72"/>
      <c r="E10" s="71"/>
      <c r="F10" s="71"/>
    </row>
    <row r="11" spans="1:11" ht="19.899999999999999" customHeight="1">
      <c r="A11" s="460" t="s">
        <v>8</v>
      </c>
      <c r="C11" s="71"/>
      <c r="D11" s="750"/>
      <c r="E11" s="142"/>
      <c r="F11" s="73"/>
    </row>
    <row r="12" spans="1:11" ht="22.15" customHeight="1">
      <c r="A12" s="409" t="s">
        <v>10</v>
      </c>
      <c r="C12" s="380" t="s">
        <v>419</v>
      </c>
      <c r="D12" s="380" t="s">
        <v>294</v>
      </c>
      <c r="E12" s="74" t="s">
        <v>181</v>
      </c>
      <c r="F12" s="74" t="s">
        <v>182</v>
      </c>
      <c r="I12" s="186"/>
    </row>
    <row r="13" spans="1:11" ht="15.6" customHeight="1">
      <c r="C13" s="71"/>
      <c r="D13" s="71"/>
      <c r="E13" s="74"/>
      <c r="F13" s="74"/>
    </row>
    <row r="14" spans="1:11" ht="17.100000000000001" customHeight="1">
      <c r="A14" s="608">
        <v>1</v>
      </c>
      <c r="C14" s="375" t="s">
        <v>308</v>
      </c>
      <c r="D14" s="378" t="s">
        <v>711</v>
      </c>
      <c r="E14" s="898">
        <v>280734</v>
      </c>
      <c r="F14" s="898">
        <v>47864</v>
      </c>
      <c r="H14" s="186"/>
    </row>
    <row r="15" spans="1:11" ht="17.100000000000001" customHeight="1">
      <c r="A15" s="608">
        <v>2</v>
      </c>
      <c r="C15" s="376" t="s">
        <v>397</v>
      </c>
      <c r="D15" s="378" t="s">
        <v>875</v>
      </c>
      <c r="E15" s="751">
        <v>1622270</v>
      </c>
      <c r="F15" s="751">
        <v>695519</v>
      </c>
    </row>
    <row r="16" spans="1:11" ht="17.100000000000001" customHeight="1">
      <c r="A16" s="608">
        <v>3</v>
      </c>
      <c r="C16" s="376" t="s">
        <v>506</v>
      </c>
      <c r="D16" s="378" t="s">
        <v>875</v>
      </c>
      <c r="E16" s="751">
        <v>229081</v>
      </c>
      <c r="F16" s="390">
        <v>0</v>
      </c>
    </row>
    <row r="17" spans="1:24" ht="17.100000000000001" customHeight="1">
      <c r="A17" s="608">
        <v>4</v>
      </c>
      <c r="C17" s="376" t="s">
        <v>507</v>
      </c>
      <c r="D17" s="378" t="s">
        <v>875</v>
      </c>
      <c r="E17" s="751">
        <v>108507</v>
      </c>
      <c r="F17" s="390">
        <v>0</v>
      </c>
      <c r="W17" s="378"/>
      <c r="X17" s="390"/>
    </row>
    <row r="18" spans="1:24" ht="17.100000000000001" customHeight="1">
      <c r="A18" s="608">
        <v>5</v>
      </c>
      <c r="C18" s="376" t="s">
        <v>547</v>
      </c>
      <c r="D18" s="378" t="s">
        <v>875</v>
      </c>
      <c r="E18" s="390">
        <f>60286+2169+428</f>
        <v>62883</v>
      </c>
      <c r="F18" s="390">
        <f>96422+79008+144</f>
        <v>175574</v>
      </c>
      <c r="H18" s="186"/>
    </row>
    <row r="19" spans="1:24" ht="17.100000000000001" customHeight="1">
      <c r="A19" s="608">
        <v>6</v>
      </c>
      <c r="C19" s="376"/>
      <c r="D19" s="378"/>
      <c r="E19" s="751"/>
      <c r="F19" s="751"/>
    </row>
    <row r="20" spans="1:24" ht="17.100000000000001" customHeight="1">
      <c r="A20" s="608">
        <v>7</v>
      </c>
      <c r="C20" s="376" t="s">
        <v>398</v>
      </c>
      <c r="D20" s="378" t="s">
        <v>877</v>
      </c>
      <c r="E20" s="341">
        <v>174738</v>
      </c>
      <c r="F20" s="341">
        <v>177493</v>
      </c>
      <c r="G20" s="341"/>
      <c r="H20" s="832"/>
      <c r="I20" s="832"/>
    </row>
    <row r="21" spans="1:24" ht="17.100000000000001" customHeight="1">
      <c r="A21" s="608">
        <v>8</v>
      </c>
      <c r="C21" s="376" t="s">
        <v>548</v>
      </c>
      <c r="D21" s="378" t="s">
        <v>549</v>
      </c>
      <c r="E21" s="390">
        <v>70240</v>
      </c>
      <c r="F21" s="390">
        <v>64492</v>
      </c>
      <c r="G21" s="752" t="s">
        <v>18</v>
      </c>
      <c r="H21" s="390"/>
      <c r="I21" s="390"/>
    </row>
    <row r="22" spans="1:24" ht="17.100000000000001" customHeight="1">
      <c r="A22" s="608">
        <v>9</v>
      </c>
      <c r="C22" s="376" t="s">
        <v>509</v>
      </c>
      <c r="D22" s="378" t="s">
        <v>510</v>
      </c>
      <c r="E22" s="390">
        <v>0</v>
      </c>
      <c r="F22" s="390">
        <v>21345</v>
      </c>
      <c r="H22" s="390"/>
      <c r="I22" s="390"/>
    </row>
    <row r="23" spans="1:24" ht="17.100000000000001" customHeight="1">
      <c r="A23" s="608">
        <v>10</v>
      </c>
      <c r="C23" s="376" t="s">
        <v>509</v>
      </c>
      <c r="D23" s="378" t="s">
        <v>511</v>
      </c>
      <c r="E23" s="390">
        <v>48874</v>
      </c>
      <c r="F23" s="390">
        <v>2983</v>
      </c>
      <c r="H23" s="390"/>
      <c r="I23" s="390"/>
    </row>
    <row r="24" spans="1:24" ht="17.100000000000001" customHeight="1">
      <c r="A24" s="608">
        <v>11</v>
      </c>
      <c r="C24" s="376" t="s">
        <v>509</v>
      </c>
      <c r="D24" s="378" t="s">
        <v>949</v>
      </c>
      <c r="E24" s="349">
        <v>1440</v>
      </c>
      <c r="F24" s="349">
        <v>315</v>
      </c>
      <c r="H24" s="349"/>
      <c r="I24" s="349"/>
    </row>
    <row r="25" spans="1:24" ht="16.5" customHeight="1">
      <c r="A25" s="608">
        <v>12</v>
      </c>
      <c r="C25" s="376" t="s">
        <v>512</v>
      </c>
      <c r="D25" s="378"/>
      <c r="E25" s="861">
        <f>E20-SUM(E21:E24)</f>
        <v>54184</v>
      </c>
      <c r="F25" s="861">
        <f>F20-SUM(F21:F24)</f>
        <v>88358</v>
      </c>
    </row>
    <row r="26" spans="1:24" ht="17.100000000000001" customHeight="1">
      <c r="A26" s="608">
        <v>13</v>
      </c>
      <c r="C26" s="76"/>
      <c r="D26" s="76"/>
      <c r="E26" s="71"/>
      <c r="F26" s="71"/>
    </row>
    <row r="27" spans="1:24" ht="17.100000000000001" customHeight="1">
      <c r="A27" s="608">
        <v>14</v>
      </c>
      <c r="C27" s="365" t="s">
        <v>399</v>
      </c>
      <c r="D27" s="76"/>
      <c r="E27" s="143">
        <f>SUM(E14:E18)+E25</f>
        <v>2357659</v>
      </c>
      <c r="F27" s="143">
        <f>SUM(F14:F18)+F25</f>
        <v>1007315</v>
      </c>
    </row>
    <row r="28" spans="1:24" ht="17.100000000000001" customHeight="1">
      <c r="A28" s="608">
        <v>15</v>
      </c>
      <c r="C28" s="364"/>
      <c r="D28" s="76"/>
      <c r="E28" s="71"/>
      <c r="F28" s="71"/>
    </row>
    <row r="29" spans="1:24" ht="17.100000000000001" customHeight="1">
      <c r="A29" s="608">
        <v>16</v>
      </c>
      <c r="C29" s="364" t="s">
        <v>764</v>
      </c>
      <c r="D29" s="76"/>
      <c r="E29" s="349">
        <v>0</v>
      </c>
      <c r="F29" s="349">
        <v>0</v>
      </c>
    </row>
    <row r="30" spans="1:24" ht="17.100000000000001" customHeight="1">
      <c r="A30" s="608">
        <v>17</v>
      </c>
      <c r="C30" s="364"/>
      <c r="D30" s="76"/>
      <c r="E30" s="71"/>
      <c r="F30" s="71"/>
      <c r="G30" s="392"/>
    </row>
    <row r="31" spans="1:24" ht="18.75" customHeight="1">
      <c r="A31" s="608">
        <v>18</v>
      </c>
      <c r="C31" s="376" t="s">
        <v>530</v>
      </c>
      <c r="D31" s="71"/>
      <c r="E31" s="733">
        <f>E27-E29</f>
        <v>2357659</v>
      </c>
      <c r="F31" s="733">
        <f>F27-F29</f>
        <v>1007315</v>
      </c>
    </row>
    <row r="32" spans="1:24" ht="17.100000000000001" customHeight="1"/>
    <row r="33" spans="3:3" ht="17.100000000000001" customHeight="1"/>
    <row r="34" spans="3:3" ht="17.100000000000001" customHeight="1">
      <c r="C34" s="578" t="s">
        <v>553</v>
      </c>
    </row>
    <row r="50" spans="3:4">
      <c r="C50" s="186"/>
      <c r="D50" s="186"/>
    </row>
  </sheetData>
  <phoneticPr fontId="55" type="noConversion"/>
  <pageMargins left="1" right="1" top="1" bottom="0.5" header="0.5" footer="0.5"/>
  <pageSetup scale="59" orientation="portrait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5">
    <tabColor theme="1"/>
    <pageSetUpPr fitToPage="1"/>
  </sheetPr>
  <dimension ref="A1:BC70"/>
  <sheetViews>
    <sheetView view="pageBreakPreview" zoomScale="70" zoomScaleNormal="80" zoomScaleSheetLayoutView="70" workbookViewId="0">
      <selection activeCell="E70" sqref="E70"/>
    </sheetView>
  </sheetViews>
  <sheetFormatPr defaultColWidth="8.77734375" defaultRowHeight="15"/>
  <cols>
    <col min="1" max="1" width="6.109375" style="9" customWidth="1"/>
    <col min="2" max="2" width="1.21875" style="9" customWidth="1"/>
    <col min="3" max="3" width="43.21875" style="9" customWidth="1"/>
    <col min="4" max="4" width="2.109375" style="9" customWidth="1"/>
    <col min="5" max="5" width="15.5546875" style="9" bestFit="1" customWidth="1"/>
    <col min="6" max="6" width="15.77734375" style="9" customWidth="1"/>
    <col min="7" max="7" width="3" style="9" customWidth="1"/>
    <col min="8" max="8" width="8.77734375" style="9"/>
    <col min="9" max="9" width="21.5546875" style="9" customWidth="1"/>
    <col min="10" max="10" width="11.21875" style="9" bestFit="1" customWidth="1"/>
    <col min="11" max="11" width="10.44140625" style="9" customWidth="1"/>
    <col min="12" max="12" width="16.21875" style="9" customWidth="1"/>
    <col min="13" max="13" width="10" style="9" customWidth="1"/>
    <col min="14" max="14" width="8.77734375" style="9"/>
    <col min="15" max="15" width="2.77734375" style="9" customWidth="1"/>
    <col min="16" max="17" width="8.77734375" style="9"/>
    <col min="18" max="18" width="2.5546875" style="9" customWidth="1"/>
    <col min="19" max="19" width="19.77734375" style="9" customWidth="1"/>
    <col min="20" max="22" width="8.77734375" style="9"/>
    <col min="23" max="23" width="10.44140625" style="9" customWidth="1"/>
    <col min="24" max="51" width="8.77734375" style="9"/>
    <col min="52" max="52" width="9.6640625" style="9" bestFit="1" customWidth="1"/>
    <col min="53" max="54" width="8.77734375" style="9"/>
    <col min="55" max="55" width="11.6640625" style="9" customWidth="1"/>
    <col min="56" max="16384" width="8.77734375" style="9"/>
  </cols>
  <sheetData>
    <row r="1" spans="1:55" ht="15.75">
      <c r="A1" s="355" t="str">
        <f>'P1 ADIT'!A1</f>
        <v>Duke Energy Ohio and Duke Energy Kentucky</v>
      </c>
      <c r="B1" s="70"/>
      <c r="C1" s="70"/>
      <c r="D1" s="354"/>
      <c r="E1" s="354"/>
      <c r="F1" s="354"/>
    </row>
    <row r="2" spans="1:55" ht="18">
      <c r="C2" s="352"/>
      <c r="D2" s="354"/>
      <c r="E2" s="354"/>
      <c r="F2" s="354"/>
      <c r="I2" s="949"/>
      <c r="J2" s="280"/>
    </row>
    <row r="3" spans="1:55" ht="15.75">
      <c r="C3" s="355"/>
      <c r="D3" s="354"/>
      <c r="E3" s="354"/>
      <c r="F3" s="261" t="s">
        <v>396</v>
      </c>
    </row>
    <row r="4" spans="1:55" ht="15.75">
      <c r="C4" s="355"/>
      <c r="D4" s="354"/>
      <c r="E4" s="354"/>
      <c r="F4" s="353" t="str">
        <f>"Page 5 of "&amp;Workpaper</f>
        <v>Page 5 of 18</v>
      </c>
    </row>
    <row r="5" spans="1:55" ht="15.75">
      <c r="C5" s="355"/>
      <c r="D5" s="354"/>
      <c r="E5" s="354"/>
      <c r="F5" s="61" t="str">
        <f>"For the 12 months ended: "&amp;TEXT(INPUT!$B$1,"mm/dd/yyyy")</f>
        <v>For the 12 months ended: 12/31/2020</v>
      </c>
    </row>
    <row r="6" spans="1:55" ht="15.75">
      <c r="C6" s="355"/>
      <c r="D6" s="354"/>
      <c r="E6" s="354"/>
      <c r="F6" s="61"/>
    </row>
    <row r="7" spans="1:55" ht="15.75">
      <c r="A7" s="355" t="s">
        <v>209</v>
      </c>
      <c r="B7" s="70"/>
      <c r="C7" s="70"/>
      <c r="D7" s="354"/>
      <c r="E7" s="354"/>
      <c r="F7" s="354"/>
    </row>
    <row r="8" spans="1:55" ht="15.75">
      <c r="C8" s="355"/>
      <c r="D8" s="354"/>
      <c r="E8" s="354"/>
      <c r="F8" s="354"/>
    </row>
    <row r="9" spans="1:55" ht="15.75">
      <c r="C9" s="72"/>
      <c r="D9" s="71"/>
      <c r="E9" s="71"/>
      <c r="F9" s="71"/>
    </row>
    <row r="10" spans="1:55" ht="20.25">
      <c r="A10" s="460" t="s">
        <v>8</v>
      </c>
      <c r="C10" s="71"/>
      <c r="D10" s="142"/>
      <c r="E10" s="73"/>
      <c r="F10" s="73"/>
    </row>
    <row r="11" spans="1:55" ht="20.25">
      <c r="A11" s="409" t="s">
        <v>10</v>
      </c>
      <c r="C11" s="380" t="s">
        <v>419</v>
      </c>
      <c r="D11" s="74"/>
      <c r="E11" s="74" t="s">
        <v>181</v>
      </c>
      <c r="F11" s="74" t="s">
        <v>182</v>
      </c>
    </row>
    <row r="12" spans="1:55" ht="20.25">
      <c r="C12" s="596"/>
      <c r="D12" s="74"/>
      <c r="E12" s="74"/>
      <c r="F12" s="74"/>
    </row>
    <row r="13" spans="1:55" ht="20.100000000000001" customHeight="1">
      <c r="A13" s="450">
        <v>1</v>
      </c>
      <c r="C13" s="569" t="s">
        <v>208</v>
      </c>
      <c r="D13" s="143"/>
      <c r="E13" s="853">
        <v>52322306</v>
      </c>
      <c r="F13" s="853">
        <v>23677182</v>
      </c>
      <c r="I13" s="460"/>
      <c r="J13" s="442"/>
      <c r="K13" s="70"/>
      <c r="R13" s="70"/>
      <c r="AZ13" s="848"/>
      <c r="BA13" s="849"/>
      <c r="BB13" s="850"/>
      <c r="BC13" s="848"/>
    </row>
    <row r="14" spans="1:55" ht="20.65" customHeight="1">
      <c r="A14" s="450"/>
      <c r="C14" s="78"/>
      <c r="D14" s="71"/>
      <c r="E14" s="71"/>
      <c r="F14" s="71"/>
      <c r="J14" s="409"/>
      <c r="K14" s="409"/>
      <c r="R14" s="409"/>
    </row>
    <row r="15" spans="1:55" ht="20.100000000000001" customHeight="1">
      <c r="A15" s="450">
        <v>2</v>
      </c>
      <c r="C15" s="575" t="s">
        <v>775</v>
      </c>
      <c r="D15" s="77"/>
      <c r="E15" s="853">
        <v>0</v>
      </c>
      <c r="F15" s="853">
        <v>32308</v>
      </c>
      <c r="J15" s="576"/>
      <c r="K15" s="576"/>
      <c r="R15" s="576"/>
    </row>
    <row r="16" spans="1:55" ht="20.100000000000001" customHeight="1">
      <c r="A16" s="450">
        <v>3</v>
      </c>
      <c r="C16" s="575" t="s">
        <v>933</v>
      </c>
      <c r="D16" s="77"/>
      <c r="E16" s="897">
        <f>499842+8630</f>
        <v>508472</v>
      </c>
      <c r="F16" s="897">
        <f>167577+2893</f>
        <v>170470</v>
      </c>
      <c r="J16" s="576"/>
      <c r="K16" s="576"/>
      <c r="R16" s="576"/>
    </row>
    <row r="17" spans="1:18" ht="20.100000000000001" customHeight="1">
      <c r="A17" s="450">
        <v>4</v>
      </c>
      <c r="C17" s="575" t="s">
        <v>929</v>
      </c>
      <c r="D17" s="77"/>
      <c r="E17" s="897">
        <v>1627</v>
      </c>
      <c r="F17" s="897">
        <v>1377</v>
      </c>
      <c r="J17" s="576"/>
      <c r="K17" s="576"/>
      <c r="R17" s="576"/>
    </row>
    <row r="18" spans="1:18" ht="20.100000000000001" customHeight="1">
      <c r="A18" s="450">
        <v>5</v>
      </c>
      <c r="C18" s="575" t="s">
        <v>981</v>
      </c>
      <c r="D18" s="77"/>
      <c r="E18" s="897">
        <f>676</f>
        <v>676</v>
      </c>
      <c r="F18" s="897">
        <v>130</v>
      </c>
      <c r="J18" s="576"/>
      <c r="K18" s="576"/>
      <c r="R18" s="576"/>
    </row>
    <row r="19" spans="1:18" ht="34.9" customHeight="1">
      <c r="A19" s="450">
        <v>6</v>
      </c>
      <c r="C19" s="365" t="s">
        <v>399</v>
      </c>
      <c r="D19" s="71"/>
      <c r="E19" s="846">
        <f>SUM(E15:E18)</f>
        <v>510775</v>
      </c>
      <c r="F19" s="846">
        <f>SUM(F15:F18)</f>
        <v>204285</v>
      </c>
      <c r="J19" s="576"/>
      <c r="K19" s="576"/>
      <c r="R19" s="576"/>
    </row>
    <row r="20" spans="1:18" ht="20.100000000000001" customHeight="1">
      <c r="A20" s="450"/>
      <c r="C20" s="365"/>
      <c r="D20" s="71"/>
      <c r="E20" s="71"/>
      <c r="F20" s="71"/>
      <c r="I20" s="631"/>
      <c r="J20" s="576"/>
      <c r="K20" s="576"/>
      <c r="R20" s="576"/>
    </row>
    <row r="21" spans="1:18" ht="20.100000000000001" customHeight="1">
      <c r="A21" s="450">
        <v>7</v>
      </c>
      <c r="C21" s="78" t="s">
        <v>400</v>
      </c>
      <c r="D21" s="83"/>
      <c r="E21" s="83">
        <f>E13-E19</f>
        <v>51811531</v>
      </c>
      <c r="F21" s="83">
        <f>F13-F19</f>
        <v>23472897</v>
      </c>
      <c r="I21" s="631"/>
      <c r="J21" s="576"/>
      <c r="K21" s="576"/>
      <c r="R21" s="576"/>
    </row>
    <row r="22" spans="1:18" ht="20.100000000000001" customHeight="1">
      <c r="C22" s="78"/>
      <c r="D22" s="83"/>
      <c r="E22" s="83"/>
      <c r="F22" s="83"/>
      <c r="J22" s="577"/>
      <c r="K22" s="577"/>
      <c r="R22" s="577"/>
    </row>
    <row r="23" spans="1:18" ht="20.100000000000001" customHeight="1">
      <c r="C23" s="78"/>
      <c r="D23" s="83"/>
      <c r="E23" s="83"/>
      <c r="F23" s="83"/>
    </row>
    <row r="24" spans="1:18" ht="20.100000000000001" customHeight="1">
      <c r="A24"/>
      <c r="C24" s="76"/>
      <c r="D24" s="71"/>
      <c r="E24" s="71"/>
      <c r="F24" s="71"/>
    </row>
    <row r="25" spans="1:18" ht="20.100000000000001" customHeight="1">
      <c r="C25" s="574"/>
      <c r="D25" s="71"/>
      <c r="E25" s="390"/>
      <c r="F25" s="390"/>
    </row>
    <row r="26" spans="1:18" ht="14.25" customHeight="1">
      <c r="C26" s="76"/>
      <c r="D26" s="143"/>
      <c r="E26" s="143"/>
      <c r="F26" s="143"/>
    </row>
    <row r="27" spans="1:18" ht="10.5" customHeight="1">
      <c r="D27" s="71"/>
      <c r="E27" s="71"/>
      <c r="F27" s="71"/>
    </row>
    <row r="28" spans="1:18" ht="17.25">
      <c r="C28" s="76"/>
      <c r="D28" s="80"/>
      <c r="E28" s="349"/>
      <c r="F28" s="349"/>
    </row>
    <row r="29" spans="1:18">
      <c r="C29" s="76"/>
      <c r="D29" s="71"/>
      <c r="E29" s="71"/>
      <c r="F29" s="71"/>
    </row>
    <row r="30" spans="1:18" ht="21" customHeight="1">
      <c r="C30" s="76"/>
      <c r="D30" s="83"/>
      <c r="E30" s="83"/>
      <c r="F30" s="83"/>
    </row>
    <row r="31" spans="1:18" ht="17.25">
      <c r="C31" s="76"/>
      <c r="D31" s="83"/>
      <c r="E31" s="83"/>
      <c r="F31" s="83"/>
    </row>
    <row r="32" spans="1:18" ht="54" customHeight="1">
      <c r="C32" s="76"/>
      <c r="D32" s="83"/>
      <c r="E32" s="83"/>
      <c r="F32" s="83"/>
    </row>
    <row r="33" spans="3:6">
      <c r="C33" s="76"/>
      <c r="D33" s="71"/>
      <c r="E33" s="71"/>
      <c r="F33" s="71"/>
    </row>
    <row r="34" spans="3:6" ht="27" customHeight="1">
      <c r="C34" s="76"/>
      <c r="D34" s="71"/>
      <c r="E34" s="71"/>
      <c r="F34" s="71"/>
    </row>
    <row r="35" spans="3:6" ht="14.25" customHeight="1">
      <c r="C35" s="76"/>
      <c r="D35" s="143"/>
      <c r="E35" s="533"/>
      <c r="F35" s="533"/>
    </row>
    <row r="36" spans="3:6" ht="10.5" customHeight="1">
      <c r="C36" s="76"/>
      <c r="D36" s="71"/>
      <c r="E36" s="71"/>
      <c r="F36" s="71"/>
    </row>
    <row r="37" spans="3:6" ht="17.25">
      <c r="C37" s="76"/>
      <c r="D37" s="80"/>
      <c r="E37" s="349"/>
      <c r="F37" s="349"/>
    </row>
    <row r="38" spans="3:6">
      <c r="C38" s="76"/>
      <c r="D38" s="71"/>
      <c r="E38" s="71"/>
      <c r="F38" s="71"/>
    </row>
    <row r="39" spans="3:6" ht="33.6" customHeight="1">
      <c r="C39" s="76"/>
      <c r="D39" s="83"/>
      <c r="E39" s="83"/>
      <c r="F39" s="83"/>
    </row>
    <row r="40" spans="3:6">
      <c r="C40" s="76"/>
      <c r="D40" s="71"/>
      <c r="E40" s="71"/>
      <c r="F40" s="71"/>
    </row>
    <row r="41" spans="3:6">
      <c r="C41" s="76"/>
      <c r="D41" s="71"/>
      <c r="E41" s="71"/>
      <c r="F41" s="71"/>
    </row>
    <row r="42" spans="3:6">
      <c r="C42" s="986"/>
      <c r="D42" s="986"/>
      <c r="E42" s="986"/>
      <c r="F42" s="986"/>
    </row>
    <row r="43" spans="3:6" ht="27" customHeight="1"/>
    <row r="46" spans="3:6" ht="39.75" customHeight="1"/>
    <row r="64" spans="9:9">
      <c r="I64" s="76"/>
    </row>
    <row r="70" spans="19:19">
      <c r="S70"/>
    </row>
  </sheetData>
  <mergeCells count="1">
    <mergeCell ref="C42:F42"/>
  </mergeCells>
  <phoneticPr fontId="0" type="noConversion"/>
  <pageMargins left="1" right="0.5" top="1" bottom="0.5" header="0.25" footer="0.25"/>
  <pageSetup scale="89" orientation="portrait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6">
    <tabColor theme="1"/>
    <pageSetUpPr fitToPage="1"/>
  </sheetPr>
  <dimension ref="A1:L44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5"/>
  <cols>
    <col min="1" max="1" width="6.77734375" style="9" customWidth="1"/>
    <col min="2" max="2" width="1" style="9" customWidth="1"/>
    <col min="3" max="3" width="21.5546875" style="9" bestFit="1" customWidth="1"/>
    <col min="4" max="4" width="15.44140625" style="9" customWidth="1"/>
    <col min="5" max="5" width="15.77734375" style="9" customWidth="1"/>
    <col min="6" max="6" width="17.21875" style="9" customWidth="1"/>
    <col min="7" max="16384" width="8.77734375" style="9"/>
  </cols>
  <sheetData>
    <row r="1" spans="1:12" ht="15.75">
      <c r="A1" s="69" t="str">
        <f>'P1 ADIT'!A1</f>
        <v>Duke Energy Ohio and Duke Energy Kentucky</v>
      </c>
      <c r="B1" s="70"/>
      <c r="C1" s="70"/>
      <c r="D1" s="70"/>
      <c r="E1" s="70"/>
      <c r="F1" s="70"/>
      <c r="I1"/>
      <c r="J1"/>
      <c r="K1"/>
      <c r="L1"/>
    </row>
    <row r="2" spans="1:12" ht="18">
      <c r="C2" s="79"/>
      <c r="D2" s="70"/>
      <c r="E2" s="70"/>
    </row>
    <row r="3" spans="1:12" ht="18">
      <c r="C3" s="79"/>
      <c r="D3" s="70"/>
      <c r="F3" s="261" t="s">
        <v>396</v>
      </c>
      <c r="I3" s="753"/>
      <c r="J3" s="475"/>
    </row>
    <row r="4" spans="1:12">
      <c r="F4" s="353" t="str">
        <f>"Page 6 of "&amp;Workpaper</f>
        <v>Page 6 of 18</v>
      </c>
    </row>
    <row r="5" spans="1:12">
      <c r="F5" s="61" t="str">
        <f>"For the 12 months ended: "&amp;TEXT(INPUT!$B$1,"mm/dd/yyyy")</f>
        <v>For the 12 months ended: 12/31/2020</v>
      </c>
      <c r="I5" s="186"/>
    </row>
    <row r="7" spans="1:12" ht="15.75">
      <c r="A7" s="69" t="s">
        <v>317</v>
      </c>
      <c r="B7" s="70"/>
      <c r="C7" s="70"/>
      <c r="D7" s="70"/>
      <c r="E7" s="70"/>
      <c r="F7" s="70"/>
    </row>
    <row r="9" spans="1:12">
      <c r="D9" s="67"/>
      <c r="E9" s="67"/>
    </row>
    <row r="10" spans="1:12" ht="15.75">
      <c r="A10" s="460" t="s">
        <v>8</v>
      </c>
      <c r="B10" s="71"/>
      <c r="C10" s="71"/>
      <c r="D10" s="67"/>
      <c r="E10" s="67"/>
    </row>
    <row r="11" spans="1:12" ht="20.25">
      <c r="A11" s="409" t="s">
        <v>10</v>
      </c>
      <c r="B11" s="71"/>
      <c r="C11" s="606" t="s">
        <v>419</v>
      </c>
      <c r="D11" s="74" t="s">
        <v>181</v>
      </c>
      <c r="E11" s="74" t="s">
        <v>182</v>
      </c>
      <c r="F11" s="239"/>
    </row>
    <row r="12" spans="1:12" ht="20.25" customHeight="1">
      <c r="A12" s="450">
        <v>1</v>
      </c>
      <c r="C12" s="9" t="s">
        <v>318</v>
      </c>
      <c r="D12" s="30">
        <f>DEO!J15</f>
        <v>166310920</v>
      </c>
      <c r="E12" s="30">
        <f>DEK!J15</f>
        <v>9347159</v>
      </c>
      <c r="F12" s="527"/>
    </row>
    <row r="13" spans="1:12" ht="20.25" customHeight="1">
      <c r="A13" s="450">
        <v>2</v>
      </c>
      <c r="C13" s="9" t="s">
        <v>319</v>
      </c>
      <c r="D13" s="896">
        <v>0</v>
      </c>
      <c r="E13" s="896">
        <v>0.05</v>
      </c>
      <c r="F13" s="528"/>
    </row>
    <row r="14" spans="1:12" ht="6" customHeight="1">
      <c r="A14" s="450"/>
      <c r="D14" s="528" t="s">
        <v>7</v>
      </c>
      <c r="E14" s="528" t="s">
        <v>7</v>
      </c>
      <c r="F14" s="528"/>
    </row>
    <row r="15" spans="1:12" ht="17.25" customHeight="1">
      <c r="A15" s="450">
        <v>3</v>
      </c>
      <c r="C15" s="9" t="s">
        <v>320</v>
      </c>
      <c r="D15" s="30">
        <f>ROUND(D13*D12,0)</f>
        <v>0</v>
      </c>
      <c r="E15" s="30">
        <f>ROUND(E13*E12,0)</f>
        <v>467358</v>
      </c>
      <c r="F15" s="527"/>
    </row>
    <row r="16" spans="1:12">
      <c r="A16" s="450"/>
    </row>
    <row r="17" spans="1:6">
      <c r="A17" s="450">
        <v>4</v>
      </c>
      <c r="C17" s="9" t="s">
        <v>321</v>
      </c>
      <c r="D17" s="93">
        <f>ROUND(D15/D12,4)</f>
        <v>0</v>
      </c>
      <c r="E17" s="93">
        <f>ROUND(E15/E12,4)</f>
        <v>0.05</v>
      </c>
      <c r="F17" s="93"/>
    </row>
    <row r="44" spans="3:3">
      <c r="C44" s="52"/>
    </row>
  </sheetData>
  <phoneticPr fontId="0" type="noConversion"/>
  <pageMargins left="1" right="0.75" top="1" bottom="0.5" header="1" footer="0.25"/>
  <pageSetup scale="92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2">
    <tabColor theme="1"/>
    <pageSetUpPr fitToPage="1"/>
  </sheetPr>
  <dimension ref="A1:J89"/>
  <sheetViews>
    <sheetView view="pageBreakPreview" topLeftCell="A4" zoomScale="70" zoomScaleNormal="90" zoomScaleSheetLayoutView="70" workbookViewId="0">
      <selection activeCell="E70" sqref="E70"/>
    </sheetView>
  </sheetViews>
  <sheetFormatPr defaultColWidth="7.109375" defaultRowHeight="15"/>
  <cols>
    <col min="1" max="1" width="7.109375" style="82"/>
    <col min="2" max="2" width="1.21875" style="82" customWidth="1"/>
    <col min="3" max="3" width="44" style="82" customWidth="1"/>
    <col min="4" max="5" width="14.77734375" style="82" customWidth="1"/>
    <col min="6" max="6" width="11.77734375" style="82" customWidth="1"/>
    <col min="7" max="12" width="16.21875" style="82" bestFit="1" customWidth="1"/>
    <col min="13" max="13" width="16.77734375" style="82" bestFit="1" customWidth="1"/>
    <col min="14" max="14" width="7.77734375" style="82" bestFit="1" customWidth="1"/>
    <col min="15" max="15" width="8.21875" style="82" bestFit="1" customWidth="1"/>
    <col min="16" max="16" width="9.77734375" style="82" bestFit="1" customWidth="1"/>
    <col min="17" max="17" width="6.21875" style="82" customWidth="1"/>
    <col min="18" max="18" width="9.77734375" style="82" bestFit="1" customWidth="1"/>
    <col min="19" max="19" width="6.21875" style="82" customWidth="1"/>
    <col min="20" max="20" width="9.77734375" style="82" bestFit="1" customWidth="1"/>
    <col min="21" max="22" width="6.21875" style="82" customWidth="1"/>
    <col min="23" max="23" width="9.77734375" style="82" bestFit="1" customWidth="1"/>
    <col min="24" max="24" width="6.21875" style="82" customWidth="1"/>
    <col min="25" max="25" width="9.77734375" style="82" bestFit="1" customWidth="1"/>
    <col min="26" max="26" width="6.21875" style="82" customWidth="1"/>
    <col min="27" max="27" width="9.77734375" style="82" bestFit="1" customWidth="1"/>
    <col min="28" max="28" width="6.21875" style="82" customWidth="1"/>
    <col min="29" max="29" width="9.77734375" style="82" bestFit="1" customWidth="1"/>
    <col min="30" max="30" width="8.21875" style="82" bestFit="1" customWidth="1"/>
    <col min="31" max="16384" width="7.109375" style="82"/>
  </cols>
  <sheetData>
    <row r="1" spans="1:10" ht="15.75">
      <c r="A1" s="69" t="str">
        <f>'P1 ADIT'!A1</f>
        <v>Duke Energy Ohio and Duke Energy Kentucky</v>
      </c>
      <c r="B1" s="620"/>
      <c r="C1" s="620"/>
      <c r="D1" s="70"/>
      <c r="E1" s="70"/>
      <c r="I1" s="273"/>
      <c r="J1" s="273"/>
    </row>
    <row r="2" spans="1:10" ht="18">
      <c r="C2" s="79"/>
      <c r="D2" s="70"/>
      <c r="E2" s="70"/>
      <c r="G2" s="949"/>
      <c r="H2" s="280"/>
    </row>
    <row r="3" spans="1:10" ht="18">
      <c r="C3" s="79"/>
      <c r="D3" s="70"/>
      <c r="E3" s="261" t="s">
        <v>396</v>
      </c>
    </row>
    <row r="4" spans="1:10" ht="15.75">
      <c r="C4" s="69"/>
      <c r="D4" s="70"/>
      <c r="E4" s="353" t="str">
        <f>"Page 7 of "&amp;Workpaper</f>
        <v>Page 7 of 18</v>
      </c>
      <c r="I4" s="9"/>
    </row>
    <row r="5" spans="1:10" ht="15.75">
      <c r="C5" s="69"/>
      <c r="D5" s="70"/>
      <c r="E5" s="61" t="str">
        <f>"For the 12 months ended: "&amp;TEXT(INPUT!$B$1,"mm/dd/yyyy")</f>
        <v>For the 12 months ended: 12/31/2020</v>
      </c>
    </row>
    <row r="6" spans="1:10" ht="15.75">
      <c r="C6" s="69"/>
      <c r="D6" s="70"/>
      <c r="E6" s="70"/>
    </row>
    <row r="7" spans="1:10" ht="15.75">
      <c r="A7" s="69" t="s">
        <v>316</v>
      </c>
      <c r="B7" s="620"/>
      <c r="C7" s="620"/>
      <c r="D7" s="70"/>
      <c r="E7" s="70"/>
    </row>
    <row r="8" spans="1:10" ht="15.75">
      <c r="C8" s="69"/>
      <c r="D8" s="70"/>
      <c r="E8" s="70"/>
    </row>
    <row r="9" spans="1:10">
      <c r="C9" s="9"/>
      <c r="D9" s="9"/>
      <c r="E9" s="9"/>
    </row>
    <row r="10" spans="1:10" ht="15.75">
      <c r="A10" s="460" t="s">
        <v>8</v>
      </c>
      <c r="B10" s="71"/>
      <c r="C10" s="71"/>
      <c r="D10" s="73"/>
      <c r="E10" s="73"/>
    </row>
    <row r="11" spans="1:10" ht="20.25">
      <c r="A11" s="756" t="s">
        <v>10</v>
      </c>
      <c r="B11" s="568"/>
      <c r="C11" s="757" t="s">
        <v>419</v>
      </c>
      <c r="D11" s="758" t="s">
        <v>181</v>
      </c>
      <c r="E11" s="758" t="s">
        <v>182</v>
      </c>
    </row>
    <row r="12" spans="1:10" ht="20.25">
      <c r="C12" s="71"/>
      <c r="D12" s="74"/>
      <c r="E12" s="74"/>
    </row>
    <row r="13" spans="1:10">
      <c r="A13" s="608">
        <v>1</v>
      </c>
      <c r="C13" s="82" t="s">
        <v>494</v>
      </c>
      <c r="D13" s="853">
        <v>0</v>
      </c>
      <c r="E13" s="853">
        <f>5838602+10592322</f>
        <v>16430924</v>
      </c>
    </row>
    <row r="14" spans="1:10" ht="17.25">
      <c r="A14" s="608">
        <v>2</v>
      </c>
      <c r="C14" s="75" t="s">
        <v>212</v>
      </c>
      <c r="D14" s="349">
        <v>0</v>
      </c>
      <c r="E14" s="349">
        <v>0</v>
      </c>
    </row>
    <row r="15" spans="1:10" ht="33.6" customHeight="1">
      <c r="A15" s="754">
        <v>3</v>
      </c>
      <c r="C15" s="755" t="s">
        <v>776</v>
      </c>
      <c r="D15" s="895">
        <f>SUM(D13:D14)</f>
        <v>0</v>
      </c>
      <c r="E15" s="895">
        <f>SUM(E13:E14)</f>
        <v>16430924</v>
      </c>
      <c r="F15" s="81"/>
    </row>
    <row r="16" spans="1:10">
      <c r="C16" s="71"/>
      <c r="D16" s="238"/>
      <c r="E16" s="238"/>
    </row>
    <row r="45" spans="5:5">
      <c r="E45" s="820"/>
    </row>
    <row r="46" spans="5:5">
      <c r="E46" s="820"/>
    </row>
    <row r="54" spans="4:5">
      <c r="D54" s="348"/>
      <c r="E54" s="348"/>
    </row>
    <row r="55" spans="4:5">
      <c r="D55" s="348"/>
      <c r="E55" s="348"/>
    </row>
    <row r="56" spans="4:5">
      <c r="D56" s="348"/>
      <c r="E56" s="348"/>
    </row>
    <row r="57" spans="4:5">
      <c r="D57" s="348"/>
      <c r="E57" s="348"/>
    </row>
    <row r="58" spans="4:5">
      <c r="D58" s="348"/>
      <c r="E58" s="348"/>
    </row>
    <row r="59" spans="4:5">
      <c r="D59" s="348"/>
      <c r="E59" s="348"/>
    </row>
    <row r="60" spans="4:5">
      <c r="D60" s="348"/>
      <c r="E60" s="348"/>
    </row>
    <row r="61" spans="4:5">
      <c r="D61" s="348"/>
      <c r="E61" s="348"/>
    </row>
    <row r="62" spans="4:5">
      <c r="D62" s="348"/>
      <c r="E62" s="348"/>
    </row>
    <row r="63" spans="4:5">
      <c r="D63" s="348"/>
      <c r="E63" s="348"/>
    </row>
    <row r="64" spans="4:5">
      <c r="D64" s="348"/>
      <c r="E64" s="348"/>
    </row>
    <row r="65" spans="4:5">
      <c r="D65" s="348"/>
      <c r="E65" s="348"/>
    </row>
    <row r="66" spans="4:5">
      <c r="D66" s="348"/>
      <c r="E66" s="348"/>
    </row>
    <row r="67" spans="4:5">
      <c r="D67" s="348"/>
      <c r="E67" s="348"/>
    </row>
    <row r="68" spans="4:5">
      <c r="D68" s="348"/>
      <c r="E68" s="348"/>
    </row>
    <row r="69" spans="4:5">
      <c r="D69" s="348"/>
      <c r="E69" s="348"/>
    </row>
    <row r="70" spans="4:5">
      <c r="D70" s="348"/>
      <c r="E70" s="348"/>
    </row>
    <row r="71" spans="4:5">
      <c r="D71" s="348"/>
      <c r="E71" s="348"/>
    </row>
    <row r="72" spans="4:5">
      <c r="D72" s="348"/>
      <c r="E72" s="348"/>
    </row>
    <row r="73" spans="4:5">
      <c r="D73" s="348"/>
      <c r="E73" s="348"/>
    </row>
    <row r="74" spans="4:5">
      <c r="D74" s="348"/>
      <c r="E74" s="348"/>
    </row>
    <row r="75" spans="4:5">
      <c r="D75" s="348"/>
      <c r="E75" s="347"/>
    </row>
    <row r="76" spans="4:5">
      <c r="D76" s="348"/>
      <c r="E76" s="347"/>
    </row>
    <row r="77" spans="4:5">
      <c r="D77" s="348"/>
      <c r="E77" s="347"/>
    </row>
    <row r="78" spans="4:5">
      <c r="D78" s="348"/>
      <c r="E78" s="347"/>
    </row>
    <row r="79" spans="4:5">
      <c r="D79" s="348"/>
      <c r="E79" s="347"/>
    </row>
    <row r="80" spans="4:5">
      <c r="D80" s="348"/>
      <c r="E80" s="347"/>
    </row>
    <row r="81" spans="4:5">
      <c r="D81" s="348"/>
      <c r="E81" s="347"/>
    </row>
    <row r="82" spans="4:5">
      <c r="D82" s="348"/>
      <c r="E82" s="347"/>
    </row>
    <row r="83" spans="4:5">
      <c r="D83" s="348"/>
      <c r="E83" s="347"/>
    </row>
    <row r="84" spans="4:5">
      <c r="D84" s="348"/>
      <c r="E84" s="347"/>
    </row>
    <row r="85" spans="4:5">
      <c r="D85" s="348"/>
      <c r="E85" s="347"/>
    </row>
    <row r="86" spans="4:5">
      <c r="D86" s="347"/>
      <c r="E86" s="347"/>
    </row>
    <row r="87" spans="4:5">
      <c r="D87" s="347"/>
      <c r="E87" s="347"/>
    </row>
    <row r="88" spans="4:5">
      <c r="D88" s="347"/>
      <c r="E88" s="347"/>
    </row>
    <row r="89" spans="4:5">
      <c r="D89" s="347"/>
      <c r="E89" s="347"/>
    </row>
  </sheetData>
  <pageMargins left="1" right="1" top="1" bottom="0.5" header="0.5" footer="0.5"/>
  <pageSetup scale="84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3">
    <tabColor rgb="FFFF0000"/>
    <pageSetUpPr fitToPage="1"/>
  </sheetPr>
  <dimension ref="A1:O186"/>
  <sheetViews>
    <sheetView view="pageBreakPreview" zoomScale="75" zoomScaleNormal="75" zoomScaleSheetLayoutView="75" zoomScalePageLayoutView="90" workbookViewId="0"/>
  </sheetViews>
  <sheetFormatPr defaultColWidth="8.77734375" defaultRowHeight="15"/>
  <cols>
    <col min="1" max="1" width="5.77734375" style="9" customWidth="1"/>
    <col min="2" max="2" width="1.44140625" style="9" customWidth="1"/>
    <col min="3" max="3" width="46.77734375" style="9" customWidth="1"/>
    <col min="4" max="4" width="22.21875" style="9" customWidth="1"/>
    <col min="5" max="5" width="13.21875" style="9" customWidth="1"/>
    <col min="6" max="6" width="18.77734375" style="9" customWidth="1"/>
    <col min="7" max="7" width="16.21875" style="9" customWidth="1"/>
    <col min="8" max="8" width="15.21875" style="9" customWidth="1"/>
    <col min="9" max="9" width="8.77734375" style="9"/>
    <col min="10" max="10" width="14.77734375" style="9" customWidth="1"/>
    <col min="11" max="11" width="13" style="9" customWidth="1"/>
    <col min="12" max="12" width="8.77734375" style="9"/>
    <col min="13" max="13" width="13.21875" style="9" bestFit="1" customWidth="1"/>
    <col min="14" max="14" width="8.77734375" style="9"/>
    <col min="15" max="15" width="14.5546875" style="9" bestFit="1" customWidth="1"/>
    <col min="16" max="16384" width="8.77734375" style="9"/>
  </cols>
  <sheetData>
    <row r="1" spans="1:15" ht="18">
      <c r="A1" s="157"/>
      <c r="C1" s="24"/>
      <c r="D1" s="24"/>
      <c r="F1" s="60"/>
      <c r="G1" s="50" t="s">
        <v>299</v>
      </c>
      <c r="H1" s="60"/>
    </row>
    <row r="2" spans="1:15">
      <c r="C2" s="24"/>
      <c r="D2" s="24"/>
      <c r="G2" s="50" t="s">
        <v>712</v>
      </c>
      <c r="H2" s="50"/>
    </row>
    <row r="3" spans="1:15">
      <c r="C3" s="24"/>
      <c r="D3" s="24"/>
      <c r="F3" s="1"/>
      <c r="H3" s="50"/>
    </row>
    <row r="4" spans="1:15">
      <c r="C4" s="24"/>
      <c r="D4" s="24"/>
      <c r="F4" s="1"/>
      <c r="H4" s="50"/>
    </row>
    <row r="5" spans="1:15">
      <c r="C5" s="24"/>
      <c r="D5" s="24"/>
      <c r="F5" s="1"/>
      <c r="H5" s="50"/>
    </row>
    <row r="6" spans="1:15">
      <c r="C6" s="24"/>
      <c r="D6" s="24"/>
      <c r="F6" s="1"/>
      <c r="G6" s="1"/>
      <c r="H6" s="1"/>
    </row>
    <row r="7" spans="1:15">
      <c r="C7" s="24" t="s">
        <v>6</v>
      </c>
      <c r="D7" s="24"/>
      <c r="F7" s="1"/>
      <c r="G7" s="61" t="str">
        <f>"For the 12 months ended: "&amp;TEXT(INPUT!B1,"mm/dd/yyyy")</f>
        <v>For the 12 months ended: 12/31/2020</v>
      </c>
      <c r="H7" s="1"/>
    </row>
    <row r="8" spans="1:15">
      <c r="A8" s="185" t="s">
        <v>257</v>
      </c>
      <c r="B8" s="70"/>
      <c r="C8" s="70"/>
      <c r="D8" s="144"/>
      <c r="E8" s="172"/>
      <c r="F8" s="146"/>
      <c r="G8" s="146"/>
      <c r="H8" s="1"/>
    </row>
    <row r="9" spans="1:15">
      <c r="A9" s="145" t="s">
        <v>270</v>
      </c>
      <c r="B9" s="70"/>
      <c r="C9" s="144"/>
      <c r="D9" s="145"/>
      <c r="E9" s="144"/>
      <c r="F9" s="146"/>
      <c r="G9" s="146"/>
      <c r="H9" s="1"/>
    </row>
    <row r="10" spans="1:15">
      <c r="A10" s="146"/>
      <c r="B10" s="70"/>
      <c r="C10" s="146"/>
      <c r="D10" s="146"/>
      <c r="E10" s="146"/>
      <c r="F10" s="146"/>
      <c r="G10" s="146"/>
      <c r="H10" s="1"/>
    </row>
    <row r="11" spans="1:15" ht="15.75">
      <c r="A11" s="263" t="s">
        <v>667</v>
      </c>
      <c r="B11" s="264"/>
      <c r="C11" s="265"/>
      <c r="D11" s="265"/>
      <c r="E11" s="265"/>
      <c r="F11" s="265"/>
      <c r="G11" s="265"/>
      <c r="H11" s="1"/>
    </row>
    <row r="12" spans="1:15" ht="15.75">
      <c r="A12" s="541"/>
      <c r="B12" s="70"/>
      <c r="C12" s="146"/>
      <c r="D12" s="146"/>
      <c r="E12" s="146"/>
      <c r="F12" s="146"/>
      <c r="G12" s="146"/>
      <c r="H12" s="1"/>
      <c r="J12" s="69"/>
      <c r="K12" s="69"/>
      <c r="O12" s="460"/>
    </row>
    <row r="13" spans="1:15">
      <c r="A13" s="26"/>
      <c r="C13" s="3" t="s">
        <v>18</v>
      </c>
      <c r="D13" s="3" t="s">
        <v>19</v>
      </c>
      <c r="E13" s="3" t="s">
        <v>20</v>
      </c>
      <c r="F13" s="542" t="s">
        <v>21</v>
      </c>
      <c r="G13" s="542" t="s">
        <v>22</v>
      </c>
      <c r="H13" s="1"/>
      <c r="J13" s="67"/>
      <c r="M13" s="67"/>
      <c r="O13" s="67"/>
    </row>
    <row r="14" spans="1:15">
      <c r="A14" s="26" t="s">
        <v>8</v>
      </c>
      <c r="C14" s="1"/>
      <c r="D14" s="1"/>
      <c r="F14" s="1"/>
      <c r="G14" s="26" t="s">
        <v>9</v>
      </c>
      <c r="H14" s="1"/>
      <c r="J14" s="815"/>
      <c r="M14" s="815"/>
      <c r="O14" s="815"/>
    </row>
    <row r="15" spans="1:15" ht="15.75">
      <c r="A15" s="180" t="s">
        <v>10</v>
      </c>
      <c r="B15" s="181"/>
      <c r="C15" s="184"/>
      <c r="D15" s="184"/>
      <c r="F15" s="1"/>
      <c r="G15" s="180" t="s">
        <v>11</v>
      </c>
      <c r="H15" s="1"/>
      <c r="J15" s="815"/>
      <c r="K15" s="409"/>
      <c r="M15" s="815"/>
      <c r="O15" s="815"/>
    </row>
    <row r="16" spans="1:15">
      <c r="A16" s="438">
        <v>1</v>
      </c>
      <c r="C16" s="1" t="s">
        <v>701</v>
      </c>
      <c r="D16" s="536" t="s">
        <v>702</v>
      </c>
      <c r="F16" s="1"/>
      <c r="G16" s="30">
        <f>DEO!J164+DEK!J164</f>
        <v>175658079</v>
      </c>
      <c r="H16" s="500"/>
      <c r="J16" s="816"/>
      <c r="K16" s="30"/>
      <c r="M16" s="816"/>
      <c r="O16" s="816"/>
    </row>
    <row r="17" spans="1:15">
      <c r="A17" s="438"/>
      <c r="C17" s="1"/>
      <c r="D17" s="537"/>
      <c r="F17" s="1"/>
      <c r="G17" s="2"/>
      <c r="H17" s="500"/>
      <c r="J17" s="358"/>
      <c r="K17" s="2"/>
      <c r="M17" s="358"/>
      <c r="O17" s="358"/>
    </row>
    <row r="18" spans="1:15">
      <c r="A18" s="438"/>
      <c r="C18" s="1"/>
      <c r="D18" s="537"/>
      <c r="F18" s="1"/>
      <c r="G18" s="2"/>
      <c r="H18" s="500"/>
      <c r="J18" s="358"/>
      <c r="K18" s="2"/>
      <c r="M18" s="358"/>
      <c r="O18" s="358"/>
    </row>
    <row r="19" spans="1:15">
      <c r="A19" s="438" t="s">
        <v>7</v>
      </c>
      <c r="C19" s="363" t="s">
        <v>89</v>
      </c>
      <c r="D19" s="538"/>
      <c r="F19" s="1"/>
      <c r="G19" s="2"/>
      <c r="H19" s="500"/>
      <c r="J19" s="358"/>
      <c r="K19" s="2"/>
      <c r="M19" s="358"/>
      <c r="O19" s="358"/>
    </row>
    <row r="20" spans="1:15">
      <c r="A20" s="438">
        <v>2</v>
      </c>
      <c r="C20" s="1" t="s">
        <v>346</v>
      </c>
      <c r="D20" s="536" t="s">
        <v>702</v>
      </c>
      <c r="F20" s="1"/>
      <c r="G20" s="30">
        <f>DEO!J19+DEK!J19</f>
        <v>377167</v>
      </c>
      <c r="H20" s="500"/>
      <c r="J20" s="816"/>
      <c r="K20" s="30"/>
      <c r="M20" s="816"/>
      <c r="O20" s="816"/>
    </row>
    <row r="21" spans="1:15" ht="17.649999999999999" customHeight="1">
      <c r="A21" s="438">
        <v>3</v>
      </c>
      <c r="C21" s="1" t="s">
        <v>369</v>
      </c>
      <c r="D21" s="536" t="s">
        <v>702</v>
      </c>
      <c r="F21" s="1"/>
      <c r="G21" s="231">
        <f>DEO!J20+DEK!J20</f>
        <v>1912424</v>
      </c>
      <c r="H21" s="500"/>
      <c r="J21" s="818"/>
      <c r="K21" s="231"/>
      <c r="M21" s="818"/>
      <c r="O21" s="818"/>
    </row>
    <row r="22" spans="1:15">
      <c r="A22" s="438" t="s">
        <v>292</v>
      </c>
      <c r="C22" s="2" t="s">
        <v>347</v>
      </c>
      <c r="D22" s="405"/>
      <c r="F22" s="1"/>
      <c r="G22" s="501">
        <f>DEO!J21+DEK!J21</f>
        <v>0</v>
      </c>
      <c r="H22" s="500"/>
      <c r="J22" s="818"/>
      <c r="K22" s="231"/>
      <c r="M22" s="818"/>
      <c r="O22" s="818"/>
    </row>
    <row r="23" spans="1:15">
      <c r="A23" s="438" t="s">
        <v>293</v>
      </c>
      <c r="C23" s="2" t="s">
        <v>401</v>
      </c>
      <c r="D23" s="405"/>
      <c r="F23" s="1"/>
      <c r="G23" s="501">
        <f>DEO!J22+DEK!J22</f>
        <v>0</v>
      </c>
      <c r="H23" s="500"/>
      <c r="J23" s="818"/>
      <c r="K23" s="231"/>
      <c r="M23" s="818"/>
      <c r="O23" s="818"/>
    </row>
    <row r="24" spans="1:15" ht="15.6" customHeight="1">
      <c r="A24" s="438">
        <v>5</v>
      </c>
      <c r="C24" s="2" t="s">
        <v>647</v>
      </c>
      <c r="D24" s="536" t="s">
        <v>702</v>
      </c>
      <c r="F24" s="1"/>
      <c r="G24" s="231">
        <f>DEO!J23+DEK!J23</f>
        <v>1406967</v>
      </c>
      <c r="H24" s="500"/>
      <c r="J24" s="818"/>
      <c r="K24" s="231"/>
      <c r="M24" s="818"/>
      <c r="O24" s="818"/>
    </row>
    <row r="25" spans="1:15">
      <c r="A25" s="438"/>
      <c r="C25" s="464" t="s">
        <v>987</v>
      </c>
      <c r="D25" s="536"/>
      <c r="F25" s="1"/>
      <c r="G25" s="465">
        <f>PriorYrCorr</f>
        <v>342091</v>
      </c>
      <c r="H25" s="500"/>
      <c r="J25" s="395"/>
      <c r="K25" s="231"/>
      <c r="M25" s="395"/>
      <c r="O25" s="395"/>
    </row>
    <row r="26" spans="1:15">
      <c r="A26" s="438">
        <v>6</v>
      </c>
      <c r="C26" s="1" t="s">
        <v>591</v>
      </c>
      <c r="D26" s="537"/>
      <c r="F26" s="1"/>
      <c r="G26" s="30">
        <f>SUM(G20:G25)</f>
        <v>4038649</v>
      </c>
      <c r="H26" s="500"/>
      <c r="J26" s="816"/>
      <c r="K26" s="30"/>
      <c r="M26" s="816"/>
      <c r="O26" s="816"/>
    </row>
    <row r="27" spans="1:15">
      <c r="A27" s="438"/>
      <c r="D27" s="537"/>
      <c r="F27" s="1"/>
      <c r="H27" s="1"/>
      <c r="J27" s="360"/>
      <c r="M27" s="360"/>
      <c r="O27" s="360"/>
    </row>
    <row r="28" spans="1:15">
      <c r="A28" s="438"/>
      <c r="C28" s="1"/>
      <c r="D28" s="537"/>
      <c r="F28" s="1"/>
      <c r="G28" s="2"/>
      <c r="H28" s="1"/>
      <c r="J28" s="358"/>
      <c r="K28" s="2"/>
      <c r="M28" s="358"/>
      <c r="O28" s="358"/>
    </row>
    <row r="29" spans="1:15" ht="15.75" thickBot="1">
      <c r="A29" s="438">
        <v>7</v>
      </c>
      <c r="C29" s="1" t="s">
        <v>15</v>
      </c>
      <c r="D29" s="539" t="s">
        <v>129</v>
      </c>
      <c r="F29" s="1"/>
      <c r="G29" s="39">
        <f>G16-G26</f>
        <v>171619430</v>
      </c>
      <c r="H29" s="1"/>
      <c r="J29" s="817"/>
      <c r="K29" s="961"/>
      <c r="M29" s="817"/>
      <c r="O29" s="817"/>
    </row>
    <row r="30" spans="1:15" ht="15.75" thickTop="1">
      <c r="A30" s="438"/>
      <c r="D30" s="521"/>
      <c r="F30" s="1"/>
      <c r="H30" s="1"/>
      <c r="J30" s="360"/>
      <c r="M30" s="360"/>
      <c r="O30" s="360"/>
    </row>
    <row r="31" spans="1:15">
      <c r="A31" s="438"/>
      <c r="D31" s="368"/>
      <c r="F31" s="1"/>
      <c r="G31" s="2"/>
      <c r="H31" s="1"/>
      <c r="J31" s="358"/>
      <c r="K31" s="2"/>
      <c r="M31" s="358"/>
      <c r="O31" s="358"/>
    </row>
    <row r="32" spans="1:15">
      <c r="A32" s="438"/>
      <c r="C32" s="1" t="s">
        <v>306</v>
      </c>
      <c r="D32" s="521"/>
      <c r="F32" s="1"/>
      <c r="G32" s="2"/>
      <c r="H32" s="1"/>
      <c r="J32" s="358"/>
      <c r="K32" s="2"/>
      <c r="M32" s="358"/>
      <c r="O32" s="358"/>
    </row>
    <row r="33" spans="1:15">
      <c r="A33" s="438">
        <v>8</v>
      </c>
      <c r="C33" s="252" t="s">
        <v>713</v>
      </c>
      <c r="D33" s="536" t="s">
        <v>702</v>
      </c>
      <c r="F33" s="1"/>
      <c r="G33" s="147">
        <f>MAX(PeakKW_DEOK)</f>
        <v>4959000</v>
      </c>
      <c r="H33" s="1"/>
      <c r="J33" s="395"/>
      <c r="K33" s="147"/>
      <c r="M33" s="395"/>
      <c r="O33" s="395"/>
    </row>
    <row r="34" spans="1:15">
      <c r="A34" s="438">
        <v>9</v>
      </c>
      <c r="C34" s="252" t="s">
        <v>714</v>
      </c>
      <c r="D34" s="536" t="s">
        <v>702</v>
      </c>
      <c r="F34" s="1"/>
      <c r="G34" s="147">
        <f>'P10 KW Demand'!D27</f>
        <v>4018083</v>
      </c>
      <c r="H34" s="1"/>
      <c r="J34" s="395"/>
      <c r="K34" s="147"/>
      <c r="M34" s="395"/>
      <c r="O34" s="395"/>
    </row>
    <row r="35" spans="1:15">
      <c r="A35" s="438"/>
      <c r="C35" s="1"/>
      <c r="D35" s="521"/>
      <c r="E35" s="147"/>
      <c r="F35" s="1"/>
      <c r="G35" s="1"/>
      <c r="H35" s="1"/>
      <c r="J35" s="395"/>
      <c r="K35" s="395"/>
      <c r="M35" s="395"/>
    </row>
    <row r="36" spans="1:15">
      <c r="A36" s="438">
        <v>10</v>
      </c>
      <c r="C36" s="1" t="s">
        <v>295</v>
      </c>
      <c r="D36" s="521"/>
      <c r="E36" s="30"/>
      <c r="F36" s="1"/>
      <c r="G36" s="1"/>
      <c r="H36" s="1"/>
      <c r="J36" s="395"/>
      <c r="K36" s="395"/>
      <c r="M36" s="395"/>
    </row>
    <row r="37" spans="1:15">
      <c r="A37" s="438">
        <v>11</v>
      </c>
      <c r="C37" s="1" t="s">
        <v>295</v>
      </c>
      <c r="D37" s="521"/>
      <c r="E37" s="30"/>
      <c r="F37" s="1"/>
      <c r="G37" s="1"/>
      <c r="H37" s="1"/>
      <c r="J37" s="360"/>
      <c r="M37" s="360"/>
    </row>
    <row r="38" spans="1:15">
      <c r="A38" s="438">
        <v>12</v>
      </c>
      <c r="C38" s="1" t="s">
        <v>295</v>
      </c>
      <c r="D38" s="521"/>
      <c r="E38" s="30"/>
      <c r="F38" s="1"/>
      <c r="G38" s="1"/>
      <c r="H38" s="1"/>
      <c r="J38" s="360"/>
      <c r="M38" s="360"/>
    </row>
    <row r="39" spans="1:15">
      <c r="A39" s="438">
        <v>13</v>
      </c>
      <c r="C39" s="1" t="s">
        <v>295</v>
      </c>
      <c r="D39" s="521"/>
      <c r="E39" s="30"/>
      <c r="F39" s="1"/>
      <c r="G39" s="1"/>
      <c r="H39" s="1"/>
      <c r="J39" s="360"/>
      <c r="M39" s="360"/>
    </row>
    <row r="40" spans="1:15">
      <c r="A40" s="438">
        <v>14</v>
      </c>
      <c r="C40" s="1" t="s">
        <v>295</v>
      </c>
      <c r="D40" s="521"/>
      <c r="E40" s="30"/>
      <c r="F40" s="1"/>
      <c r="G40" s="1"/>
      <c r="H40" s="1"/>
      <c r="J40" s="360"/>
      <c r="M40" s="360"/>
    </row>
    <row r="41" spans="1:15">
      <c r="A41" s="438"/>
      <c r="C41" s="1"/>
      <c r="D41" s="521"/>
      <c r="E41" s="30"/>
      <c r="F41" s="1"/>
      <c r="G41" s="1"/>
      <c r="H41" s="1"/>
      <c r="J41" s="360"/>
      <c r="M41" s="360"/>
    </row>
    <row r="42" spans="1:15">
      <c r="A42" s="438">
        <v>15</v>
      </c>
      <c r="C42" s="1" t="s">
        <v>273</v>
      </c>
      <c r="D42" s="520" t="s">
        <v>307</v>
      </c>
      <c r="E42" s="21">
        <f>IF(G33&gt;0,G29/G33,0)</f>
        <v>34.607668884855819</v>
      </c>
      <c r="F42" s="1"/>
      <c r="G42" s="1"/>
      <c r="H42" s="1"/>
      <c r="J42" s="819"/>
      <c r="K42" s="21"/>
      <c r="M42" s="819"/>
    </row>
    <row r="43" spans="1:15">
      <c r="A43" s="438"/>
      <c r="C43" s="1"/>
      <c r="D43" s="521"/>
      <c r="E43" s="21"/>
      <c r="F43" s="1"/>
      <c r="G43" s="1"/>
      <c r="H43" s="1"/>
      <c r="J43" s="819"/>
      <c r="K43" s="21"/>
      <c r="M43" s="819"/>
    </row>
    <row r="44" spans="1:15">
      <c r="A44" s="438">
        <v>16</v>
      </c>
      <c r="C44" s="1" t="s">
        <v>374</v>
      </c>
      <c r="D44" s="520" t="s">
        <v>375</v>
      </c>
      <c r="E44" s="21">
        <f>IF(G34&gt;0,G29/G34,0)</f>
        <v>42.711768273577228</v>
      </c>
      <c r="F44" s="1"/>
      <c r="G44" s="1"/>
      <c r="H44" s="1"/>
      <c r="J44" s="819"/>
      <c r="K44" s="21"/>
      <c r="M44" s="819"/>
    </row>
    <row r="45" spans="1:15">
      <c r="A45" s="438"/>
      <c r="C45" s="1"/>
      <c r="D45" s="521"/>
      <c r="E45" s="21"/>
      <c r="F45" s="1"/>
      <c r="G45" s="1"/>
      <c r="H45" s="1"/>
      <c r="J45" s="819"/>
      <c r="K45" s="21"/>
      <c r="M45" s="819"/>
    </row>
    <row r="46" spans="1:15">
      <c r="A46" s="438">
        <v>17</v>
      </c>
      <c r="C46" s="1" t="s">
        <v>376</v>
      </c>
      <c r="D46" s="520" t="s">
        <v>377</v>
      </c>
      <c r="E46" s="21">
        <f>ROUND(E42/12,9)</f>
        <v>2.8839724069999999</v>
      </c>
      <c r="F46" s="1"/>
      <c r="G46" s="1"/>
      <c r="H46" s="1"/>
      <c r="J46" s="819"/>
      <c r="K46" s="21"/>
      <c r="M46" s="819"/>
    </row>
    <row r="47" spans="1:15">
      <c r="A47" s="438"/>
      <c r="C47" s="1"/>
      <c r="D47" s="521"/>
      <c r="E47" s="21"/>
      <c r="F47" s="1"/>
      <c r="G47" s="1"/>
      <c r="H47" s="1"/>
      <c r="J47" s="819"/>
      <c r="K47" s="21"/>
      <c r="M47" s="819"/>
    </row>
    <row r="48" spans="1:15">
      <c r="A48" s="438" t="s">
        <v>373</v>
      </c>
      <c r="C48" s="1" t="s">
        <v>378</v>
      </c>
      <c r="D48" s="520" t="s">
        <v>379</v>
      </c>
      <c r="E48" s="21">
        <f>ROUND($E$44/12,9)</f>
        <v>3.5593140230000002</v>
      </c>
      <c r="F48" s="1"/>
      <c r="G48" s="1"/>
      <c r="H48" s="1"/>
      <c r="J48" s="819"/>
      <c r="K48" s="21"/>
      <c r="M48" s="819"/>
    </row>
    <row r="49" spans="1:8">
      <c r="A49" s="438"/>
      <c r="C49" s="1"/>
      <c r="D49" s="521"/>
      <c r="E49" s="30"/>
      <c r="F49" s="1"/>
      <c r="G49" s="1"/>
      <c r="H49" s="1"/>
    </row>
    <row r="50" spans="1:8">
      <c r="A50" s="438"/>
      <c r="C50" s="1"/>
      <c r="D50" s="521"/>
      <c r="E50" s="260" t="s">
        <v>385</v>
      </c>
      <c r="F50" s="1"/>
      <c r="G50" s="260" t="s">
        <v>386</v>
      </c>
      <c r="H50" s="1"/>
    </row>
    <row r="51" spans="1:8">
      <c r="A51" s="438"/>
      <c r="C51" s="1"/>
      <c r="D51" s="521"/>
      <c r="E51" s="260"/>
      <c r="F51" s="1"/>
      <c r="G51" s="1"/>
      <c r="H51" s="1"/>
    </row>
    <row r="52" spans="1:8">
      <c r="A52" s="438">
        <v>18</v>
      </c>
      <c r="C52" s="1" t="s">
        <v>380</v>
      </c>
      <c r="D52" s="520" t="s">
        <v>383</v>
      </c>
      <c r="E52" s="21">
        <f>ROUND($E$44/52,9)</f>
        <v>0.82138015900000005</v>
      </c>
      <c r="F52" s="1"/>
      <c r="G52" s="1"/>
      <c r="H52" s="1"/>
    </row>
    <row r="53" spans="1:8">
      <c r="A53" s="438"/>
      <c r="C53" s="1"/>
      <c r="D53" s="521"/>
      <c r="E53" s="30"/>
      <c r="F53" s="1"/>
      <c r="G53" s="1"/>
      <c r="H53" s="1"/>
    </row>
    <row r="54" spans="1:8">
      <c r="A54" s="438">
        <v>19</v>
      </c>
      <c r="C54" s="1" t="s">
        <v>381</v>
      </c>
      <c r="D54" s="520" t="s">
        <v>384</v>
      </c>
      <c r="E54" s="21">
        <f>ROUND($E$44/260,9)</f>
        <v>0.16427603199999999</v>
      </c>
      <c r="F54" s="1" t="s">
        <v>387</v>
      </c>
      <c r="G54" s="21">
        <f>ROUND($E$44/365,9)</f>
        <v>0.117018543</v>
      </c>
      <c r="H54" s="1"/>
    </row>
    <row r="55" spans="1:8">
      <c r="A55" s="438"/>
      <c r="C55" s="1"/>
      <c r="D55" s="521"/>
      <c r="E55" s="21"/>
      <c r="F55" s="1"/>
      <c r="G55" s="1"/>
      <c r="H55" s="1"/>
    </row>
    <row r="56" spans="1:8" ht="30">
      <c r="A56" s="515">
        <v>20</v>
      </c>
      <c r="B56" s="516"/>
      <c r="C56" s="517" t="s">
        <v>382</v>
      </c>
      <c r="D56" s="523" t="s">
        <v>788</v>
      </c>
      <c r="E56" s="518">
        <f>IF(ISERR(ROUND(($G$29/$G$34)/4160,4)=TRUE),0,ROUND(($G$29/$G$34)/4160,4))</f>
        <v>1.03E-2</v>
      </c>
      <c r="F56" s="519" t="s">
        <v>388</v>
      </c>
      <c r="G56" s="518">
        <f>IF(ISERR(ROUND(($G$29/$G$34)/8760*1000,4)=TRUE),0,ROUND(($G$29/$G$34)/8760*1000,4))</f>
        <v>4.8757999999999999</v>
      </c>
      <c r="H56" s="1"/>
    </row>
    <row r="57" spans="1:8">
      <c r="A57" s="439"/>
      <c r="C57" s="1"/>
      <c r="D57" s="1"/>
      <c r="F57" s="26"/>
      <c r="G57" s="61"/>
      <c r="H57" s="1"/>
    </row>
    <row r="58" spans="1:8">
      <c r="A58" s="439"/>
      <c r="C58" s="1"/>
      <c r="D58" s="1"/>
      <c r="F58" s="26"/>
      <c r="G58" s="61"/>
      <c r="H58" s="1"/>
    </row>
    <row r="59" spans="1:8">
      <c r="A59" s="439"/>
      <c r="C59" s="1"/>
      <c r="D59" s="1"/>
      <c r="F59" s="26"/>
      <c r="G59" s="61"/>
      <c r="H59" s="1"/>
    </row>
    <row r="60" spans="1:8">
      <c r="A60" s="439"/>
      <c r="C60" s="1"/>
      <c r="D60" s="1"/>
      <c r="F60" s="26"/>
      <c r="G60" s="61"/>
      <c r="H60" s="1"/>
    </row>
    <row r="61" spans="1:8">
      <c r="C61" s="52"/>
      <c r="D61" s="52"/>
      <c r="E61" s="52"/>
      <c r="F61" s="52"/>
      <c r="G61" s="52"/>
      <c r="H61" s="52"/>
    </row>
    <row r="62" spans="1:8">
      <c r="C62" s="52"/>
      <c r="D62" s="52"/>
      <c r="E62" s="52"/>
      <c r="F62" s="52"/>
      <c r="G62" s="52"/>
      <c r="H62" s="52"/>
    </row>
    <row r="63" spans="1:8">
      <c r="C63" s="52"/>
      <c r="D63" s="52"/>
      <c r="E63" s="52"/>
      <c r="F63" s="52"/>
      <c r="G63" s="52"/>
      <c r="H63" s="52"/>
    </row>
    <row r="64" spans="1:8">
      <c r="C64" s="52"/>
      <c r="D64" s="52"/>
      <c r="E64" s="52"/>
      <c r="F64" s="52"/>
      <c r="G64" s="52"/>
      <c r="H64" s="52"/>
    </row>
    <row r="65" spans="3:8">
      <c r="C65" s="52"/>
      <c r="D65" s="52"/>
      <c r="E65" s="52"/>
      <c r="F65" s="52"/>
      <c r="G65" s="52"/>
      <c r="H65" s="52"/>
    </row>
    <row r="66" spans="3:8">
      <c r="C66" s="52"/>
      <c r="D66" s="52"/>
      <c r="E66" s="52"/>
      <c r="F66" s="52"/>
      <c r="G66" s="52"/>
      <c r="H66" s="52"/>
    </row>
    <row r="67" spans="3:8">
      <c r="C67" s="52"/>
      <c r="D67" s="52"/>
      <c r="E67" s="52"/>
      <c r="F67" s="52"/>
      <c r="G67" s="52"/>
      <c r="H67" s="52"/>
    </row>
    <row r="68" spans="3:8">
      <c r="C68" s="52"/>
      <c r="D68" s="52"/>
      <c r="E68" s="52"/>
      <c r="F68" s="52"/>
      <c r="G68" s="52"/>
      <c r="H68" s="52"/>
    </row>
    <row r="69" spans="3:8">
      <c r="C69" s="52"/>
      <c r="D69" s="52"/>
      <c r="E69" s="52"/>
      <c r="F69" s="52"/>
      <c r="G69" s="52"/>
      <c r="H69" s="52"/>
    </row>
    <row r="70" spans="3:8">
      <c r="C70" s="52"/>
      <c r="D70" s="52"/>
      <c r="E70" s="52"/>
      <c r="F70" s="52"/>
      <c r="G70" s="52"/>
      <c r="H70" s="52"/>
    </row>
    <row r="71" spans="3:8">
      <c r="C71" s="52"/>
      <c r="D71" s="52"/>
      <c r="E71" s="52"/>
      <c r="F71" s="52"/>
      <c r="G71" s="52"/>
      <c r="H71" s="52"/>
    </row>
    <row r="72" spans="3:8">
      <c r="C72" s="52"/>
      <c r="D72" s="52"/>
      <c r="E72" s="52"/>
      <c r="F72" s="52"/>
      <c r="G72" s="52"/>
      <c r="H72" s="52"/>
    </row>
    <row r="73" spans="3:8">
      <c r="C73" s="52"/>
      <c r="D73" s="52"/>
      <c r="E73" s="52"/>
      <c r="F73" s="52"/>
      <c r="G73" s="52"/>
      <c r="H73" s="52"/>
    </row>
    <row r="74" spans="3:8">
      <c r="C74" s="52"/>
      <c r="D74" s="52"/>
      <c r="E74" s="52"/>
      <c r="F74" s="52"/>
      <c r="G74" s="52"/>
      <c r="H74" s="52"/>
    </row>
    <row r="75" spans="3:8">
      <c r="C75" s="52"/>
      <c r="D75" s="52"/>
      <c r="E75" s="52"/>
      <c r="F75" s="52"/>
      <c r="G75" s="52"/>
      <c r="H75" s="52"/>
    </row>
    <row r="76" spans="3:8">
      <c r="C76" s="52"/>
      <c r="D76" s="52"/>
      <c r="E76" s="52"/>
      <c r="F76" s="52"/>
      <c r="G76" s="52"/>
      <c r="H76" s="52"/>
    </row>
    <row r="77" spans="3:8">
      <c r="C77" s="52"/>
      <c r="D77" s="52"/>
      <c r="E77" s="52"/>
      <c r="F77" s="52"/>
      <c r="G77" s="52"/>
      <c r="H77" s="52"/>
    </row>
    <row r="78" spans="3:8">
      <c r="C78" s="52"/>
      <c r="D78" s="52"/>
      <c r="E78" s="52"/>
      <c r="F78" s="52"/>
      <c r="G78" s="52"/>
      <c r="H78" s="52"/>
    </row>
    <row r="79" spans="3:8">
      <c r="C79" s="52"/>
      <c r="D79" s="52"/>
      <c r="E79" s="52"/>
      <c r="F79" s="52"/>
      <c r="G79" s="52"/>
      <c r="H79" s="52"/>
    </row>
    <row r="80" spans="3:8">
      <c r="C80" s="52"/>
      <c r="D80" s="52"/>
      <c r="E80" s="52"/>
      <c r="F80" s="52"/>
      <c r="G80" s="52"/>
      <c r="H80" s="52"/>
    </row>
    <row r="81" spans="3:8">
      <c r="C81" s="52"/>
      <c r="D81" s="52"/>
      <c r="E81" s="52"/>
      <c r="F81" s="52"/>
      <c r="G81" s="52"/>
      <c r="H81" s="52"/>
    </row>
    <row r="82" spans="3:8">
      <c r="C82" s="52"/>
      <c r="D82" s="52"/>
      <c r="E82" s="52"/>
      <c r="F82" s="52"/>
      <c r="G82" s="52"/>
      <c r="H82" s="52"/>
    </row>
    <row r="83" spans="3:8">
      <c r="C83" s="52"/>
      <c r="D83" s="52"/>
      <c r="E83" s="52"/>
      <c r="F83" s="52"/>
      <c r="G83" s="52"/>
      <c r="H83" s="52"/>
    </row>
    <row r="84" spans="3:8">
      <c r="C84" s="52"/>
      <c r="D84" s="52"/>
      <c r="E84" s="52"/>
      <c r="F84" s="52"/>
      <c r="G84" s="52"/>
      <c r="H84" s="52"/>
    </row>
    <row r="85" spans="3:8">
      <c r="C85" s="52"/>
      <c r="D85" s="52"/>
      <c r="E85" s="52"/>
      <c r="F85" s="52"/>
      <c r="G85" s="52"/>
      <c r="H85" s="52"/>
    </row>
    <row r="86" spans="3:8">
      <c r="C86" s="52"/>
      <c r="D86" s="52"/>
      <c r="E86" s="52"/>
      <c r="F86" s="52"/>
      <c r="G86" s="52"/>
      <c r="H86" s="52"/>
    </row>
    <row r="87" spans="3:8">
      <c r="C87" s="52"/>
      <c r="D87" s="52"/>
      <c r="E87" s="52"/>
      <c r="F87" s="52"/>
      <c r="G87" s="52"/>
      <c r="H87" s="52"/>
    </row>
    <row r="88" spans="3:8">
      <c r="C88" s="52"/>
      <c r="D88" s="52"/>
      <c r="E88" s="52"/>
      <c r="F88" s="52"/>
      <c r="G88" s="52"/>
      <c r="H88" s="52"/>
    </row>
    <row r="89" spans="3:8">
      <c r="C89" s="52"/>
      <c r="D89" s="52"/>
      <c r="E89" s="52"/>
      <c r="F89" s="52"/>
      <c r="G89" s="52"/>
      <c r="H89" s="52"/>
    </row>
    <row r="90" spans="3:8">
      <c r="C90" s="52"/>
      <c r="D90" s="52"/>
      <c r="E90" s="52"/>
      <c r="F90" s="52"/>
      <c r="G90" s="52"/>
      <c r="H90" s="52"/>
    </row>
    <row r="91" spans="3:8">
      <c r="C91" s="52"/>
      <c r="D91" s="52"/>
      <c r="E91" s="52"/>
      <c r="F91" s="52"/>
      <c r="G91" s="52"/>
      <c r="H91" s="52"/>
    </row>
    <row r="92" spans="3:8">
      <c r="C92" s="52"/>
      <c r="D92" s="52"/>
      <c r="E92" s="52"/>
      <c r="F92" s="52"/>
      <c r="G92" s="52"/>
      <c r="H92" s="52"/>
    </row>
    <row r="93" spans="3:8">
      <c r="C93" s="52"/>
      <c r="D93" s="52"/>
      <c r="E93" s="52"/>
      <c r="F93" s="52"/>
      <c r="G93" s="52"/>
      <c r="H93" s="52"/>
    </row>
    <row r="94" spans="3:8">
      <c r="C94" s="52"/>
      <c r="D94" s="52"/>
      <c r="E94" s="52"/>
      <c r="F94" s="52"/>
      <c r="G94" s="52"/>
      <c r="H94" s="52"/>
    </row>
    <row r="95" spans="3:8">
      <c r="C95" s="52"/>
      <c r="D95" s="52"/>
      <c r="E95" s="52"/>
      <c r="F95" s="52"/>
      <c r="G95" s="52"/>
      <c r="H95" s="52"/>
    </row>
    <row r="96" spans="3:8">
      <c r="C96" s="52"/>
      <c r="D96" s="52"/>
      <c r="E96" s="52"/>
      <c r="F96" s="52"/>
      <c r="G96" s="52"/>
      <c r="H96" s="52"/>
    </row>
    <row r="97" spans="3:8">
      <c r="C97" s="52"/>
      <c r="D97" s="52"/>
      <c r="E97" s="52"/>
      <c r="F97" s="52"/>
      <c r="G97" s="52"/>
      <c r="H97" s="52"/>
    </row>
    <row r="98" spans="3:8">
      <c r="C98" s="52"/>
      <c r="D98" s="52"/>
      <c r="E98" s="52"/>
      <c r="F98" s="52"/>
      <c r="G98" s="52"/>
      <c r="H98" s="52"/>
    </row>
    <row r="99" spans="3:8">
      <c r="C99" s="52"/>
      <c r="D99" s="52"/>
      <c r="E99" s="52"/>
      <c r="F99" s="52"/>
      <c r="G99" s="52"/>
      <c r="H99" s="52"/>
    </row>
    <row r="100" spans="3:8">
      <c r="C100" s="52"/>
      <c r="D100" s="52"/>
      <c r="E100" s="52"/>
      <c r="F100" s="52"/>
      <c r="G100" s="52"/>
      <c r="H100" s="52"/>
    </row>
    <row r="101" spans="3:8">
      <c r="C101" s="52"/>
      <c r="D101" s="52"/>
      <c r="E101" s="52"/>
      <c r="F101" s="52"/>
      <c r="G101" s="52"/>
      <c r="H101" s="52"/>
    </row>
    <row r="102" spans="3:8">
      <c r="C102" s="52"/>
      <c r="D102" s="52"/>
      <c r="E102" s="52"/>
      <c r="F102" s="52"/>
      <c r="G102" s="52"/>
      <c r="H102" s="52"/>
    </row>
    <row r="103" spans="3:8">
      <c r="C103" s="52"/>
      <c r="D103" s="52"/>
      <c r="E103" s="52"/>
      <c r="F103" s="52"/>
      <c r="G103" s="52"/>
      <c r="H103" s="52"/>
    </row>
    <row r="104" spans="3:8">
      <c r="C104" s="52"/>
      <c r="D104" s="52"/>
      <c r="E104" s="52"/>
      <c r="F104" s="52"/>
      <c r="G104" s="52"/>
      <c r="H104" s="52"/>
    </row>
    <row r="105" spans="3:8">
      <c r="C105" s="52"/>
      <c r="D105" s="52"/>
      <c r="E105" s="52"/>
      <c r="F105" s="52"/>
      <c r="G105" s="52"/>
      <c r="H105" s="52"/>
    </row>
    <row r="106" spans="3:8">
      <c r="C106" s="52"/>
      <c r="D106" s="52"/>
      <c r="E106" s="52"/>
      <c r="F106" s="52"/>
      <c r="G106" s="52"/>
      <c r="H106" s="52"/>
    </row>
    <row r="107" spans="3:8">
      <c r="C107" s="52"/>
      <c r="D107" s="52"/>
      <c r="E107" s="52"/>
      <c r="F107" s="52"/>
      <c r="G107" s="52"/>
      <c r="H107" s="52"/>
    </row>
    <row r="108" spans="3:8">
      <c r="C108" s="52"/>
      <c r="D108" s="52"/>
      <c r="E108" s="52"/>
      <c r="F108" s="52"/>
      <c r="G108" s="52"/>
      <c r="H108" s="52"/>
    </row>
    <row r="109" spans="3:8">
      <c r="C109" s="52"/>
      <c r="D109" s="52"/>
      <c r="E109" s="52"/>
      <c r="F109" s="52"/>
      <c r="G109" s="52"/>
      <c r="H109" s="52"/>
    </row>
    <row r="110" spans="3:8">
      <c r="C110" s="52"/>
      <c r="D110" s="52"/>
      <c r="E110" s="52"/>
      <c r="F110" s="52"/>
      <c r="G110" s="52"/>
      <c r="H110" s="52"/>
    </row>
    <row r="111" spans="3:8">
      <c r="C111" s="52"/>
      <c r="D111" s="52"/>
      <c r="E111" s="52"/>
      <c r="F111" s="52"/>
      <c r="G111" s="52"/>
      <c r="H111" s="52"/>
    </row>
    <row r="112" spans="3:8">
      <c r="C112" s="52"/>
      <c r="D112" s="52"/>
      <c r="E112" s="52"/>
      <c r="F112" s="52"/>
      <c r="G112" s="52"/>
      <c r="H112" s="52"/>
    </row>
    <row r="113" spans="3:8">
      <c r="C113" s="52"/>
      <c r="D113" s="52"/>
      <c r="E113" s="52"/>
      <c r="F113" s="52"/>
      <c r="G113" s="52"/>
      <c r="H113" s="52"/>
    </row>
    <row r="114" spans="3:8">
      <c r="C114" s="52"/>
      <c r="D114" s="52"/>
      <c r="E114" s="52"/>
      <c r="F114" s="52"/>
      <c r="G114" s="52"/>
      <c r="H114" s="52"/>
    </row>
    <row r="115" spans="3:8">
      <c r="C115" s="52"/>
      <c r="D115" s="52"/>
      <c r="E115" s="52"/>
      <c r="F115" s="52"/>
      <c r="G115" s="52"/>
      <c r="H115" s="52"/>
    </row>
    <row r="116" spans="3:8">
      <c r="C116" s="52"/>
      <c r="D116" s="52"/>
      <c r="E116" s="52"/>
      <c r="F116" s="52"/>
      <c r="G116" s="52"/>
      <c r="H116" s="52"/>
    </row>
    <row r="117" spans="3:8">
      <c r="C117" s="52"/>
      <c r="D117" s="52"/>
      <c r="E117" s="52"/>
      <c r="F117" s="52"/>
      <c r="G117" s="52"/>
      <c r="H117" s="52"/>
    </row>
    <row r="118" spans="3:8">
      <c r="C118" s="52"/>
      <c r="D118" s="52"/>
      <c r="E118" s="52"/>
      <c r="F118" s="52"/>
      <c r="G118" s="52"/>
      <c r="H118" s="52"/>
    </row>
    <row r="119" spans="3:8">
      <c r="C119" s="52"/>
      <c r="D119" s="52"/>
      <c r="E119" s="52"/>
      <c r="F119" s="52"/>
      <c r="G119" s="52"/>
      <c r="H119" s="52"/>
    </row>
    <row r="120" spans="3:8">
      <c r="C120" s="52"/>
      <c r="D120" s="52"/>
      <c r="E120" s="52"/>
      <c r="F120" s="52"/>
      <c r="G120" s="52"/>
      <c r="H120" s="52"/>
    </row>
    <row r="121" spans="3:8">
      <c r="C121" s="52"/>
      <c r="D121" s="52"/>
      <c r="E121" s="52"/>
      <c r="F121" s="52"/>
      <c r="G121" s="52"/>
      <c r="H121" s="52"/>
    </row>
    <row r="122" spans="3:8">
      <c r="C122" s="52"/>
      <c r="D122" s="52"/>
      <c r="E122" s="52"/>
      <c r="F122" s="52"/>
      <c r="G122" s="52"/>
      <c r="H122" s="52"/>
    </row>
    <row r="123" spans="3:8">
      <c r="C123" s="52"/>
      <c r="D123" s="52"/>
      <c r="E123" s="52"/>
      <c r="F123" s="52"/>
      <c r="G123" s="52"/>
      <c r="H123" s="52"/>
    </row>
    <row r="124" spans="3:8">
      <c r="C124" s="52"/>
      <c r="D124" s="52"/>
      <c r="E124" s="52"/>
      <c r="F124" s="52"/>
      <c r="G124" s="52"/>
      <c r="H124" s="52"/>
    </row>
    <row r="125" spans="3:8">
      <c r="C125" s="52"/>
      <c r="D125" s="52"/>
      <c r="E125" s="52"/>
      <c r="F125" s="52"/>
      <c r="G125" s="52"/>
      <c r="H125" s="52"/>
    </row>
    <row r="126" spans="3:8">
      <c r="C126" s="52"/>
      <c r="D126" s="52"/>
      <c r="E126" s="52"/>
      <c r="F126" s="52"/>
      <c r="G126" s="52"/>
      <c r="H126" s="52"/>
    </row>
    <row r="127" spans="3:8">
      <c r="C127" s="52"/>
      <c r="D127" s="52"/>
      <c r="E127" s="52"/>
      <c r="F127" s="52"/>
      <c r="G127" s="52"/>
      <c r="H127" s="52"/>
    </row>
    <row r="128" spans="3:8">
      <c r="C128" s="52"/>
      <c r="D128" s="52"/>
      <c r="E128" s="52"/>
      <c r="F128" s="52"/>
      <c r="G128" s="52"/>
      <c r="H128" s="52"/>
    </row>
    <row r="129" spans="3:8">
      <c r="C129" s="52"/>
      <c r="D129" s="52"/>
      <c r="E129" s="52"/>
      <c r="F129" s="52"/>
      <c r="G129" s="52"/>
      <c r="H129" s="52"/>
    </row>
    <row r="130" spans="3:8">
      <c r="C130" s="52"/>
      <c r="D130" s="52"/>
      <c r="E130" s="52"/>
      <c r="F130" s="52"/>
      <c r="G130" s="52"/>
      <c r="H130" s="52"/>
    </row>
    <row r="131" spans="3:8">
      <c r="C131" s="52"/>
      <c r="D131" s="52"/>
      <c r="E131" s="52"/>
      <c r="F131" s="52"/>
      <c r="G131" s="52"/>
      <c r="H131" s="52"/>
    </row>
    <row r="132" spans="3:8">
      <c r="C132" s="52"/>
      <c r="D132" s="52"/>
      <c r="E132" s="52"/>
      <c r="F132" s="52"/>
      <c r="G132" s="52"/>
      <c r="H132" s="52"/>
    </row>
    <row r="133" spans="3:8">
      <c r="C133" s="52"/>
      <c r="D133" s="52"/>
      <c r="E133" s="52"/>
      <c r="F133" s="52"/>
      <c r="G133" s="52"/>
      <c r="H133" s="52"/>
    </row>
    <row r="134" spans="3:8">
      <c r="C134" s="52"/>
      <c r="D134" s="52"/>
      <c r="E134" s="52"/>
      <c r="F134" s="52"/>
      <c r="G134" s="52"/>
      <c r="H134" s="52"/>
    </row>
    <row r="135" spans="3:8">
      <c r="C135" s="52"/>
      <c r="D135" s="52"/>
      <c r="E135" s="52"/>
      <c r="F135" s="52"/>
      <c r="G135" s="52"/>
      <c r="H135" s="52"/>
    </row>
    <row r="136" spans="3:8">
      <c r="C136" s="52"/>
      <c r="D136" s="52"/>
      <c r="E136" s="52"/>
      <c r="F136" s="52"/>
      <c r="G136" s="52"/>
      <c r="H136" s="52"/>
    </row>
    <row r="137" spans="3:8">
      <c r="C137" s="52"/>
      <c r="D137" s="52"/>
      <c r="E137" s="52"/>
      <c r="F137" s="52"/>
      <c r="G137" s="52"/>
      <c r="H137" s="52"/>
    </row>
    <row r="138" spans="3:8">
      <c r="C138" s="52"/>
      <c r="D138" s="52"/>
      <c r="E138" s="52"/>
      <c r="F138" s="52"/>
      <c r="G138" s="52"/>
      <c r="H138" s="52"/>
    </row>
    <row r="139" spans="3:8">
      <c r="C139" s="52"/>
      <c r="D139" s="52"/>
      <c r="E139" s="52"/>
      <c r="F139" s="52"/>
      <c r="G139" s="52"/>
      <c r="H139" s="52"/>
    </row>
    <row r="140" spans="3:8">
      <c r="C140" s="52"/>
      <c r="D140" s="52"/>
      <c r="E140" s="52"/>
      <c r="F140" s="52"/>
      <c r="G140" s="52"/>
      <c r="H140" s="52"/>
    </row>
    <row r="141" spans="3:8">
      <c r="C141" s="52"/>
      <c r="D141" s="52"/>
      <c r="E141" s="52"/>
      <c r="F141" s="52"/>
      <c r="G141" s="52"/>
      <c r="H141" s="52"/>
    </row>
    <row r="142" spans="3:8">
      <c r="C142" s="52"/>
      <c r="D142" s="52"/>
      <c r="E142" s="52"/>
      <c r="F142" s="52"/>
      <c r="G142" s="52"/>
      <c r="H142" s="52"/>
    </row>
    <row r="143" spans="3:8">
      <c r="C143" s="52"/>
      <c r="D143" s="52"/>
      <c r="E143" s="52"/>
      <c r="F143" s="52"/>
      <c r="G143" s="52"/>
      <c r="H143" s="52"/>
    </row>
    <row r="144" spans="3:8">
      <c r="C144" s="52"/>
      <c r="D144" s="52"/>
      <c r="E144" s="52"/>
      <c r="F144" s="52"/>
      <c r="G144" s="52"/>
      <c r="H144" s="52"/>
    </row>
    <row r="145" spans="3:8">
      <c r="C145" s="52"/>
      <c r="D145" s="52"/>
      <c r="E145" s="52"/>
      <c r="F145" s="52"/>
      <c r="G145" s="52"/>
      <c r="H145" s="52"/>
    </row>
    <row r="146" spans="3:8">
      <c r="C146" s="52"/>
      <c r="D146" s="52"/>
      <c r="E146" s="52"/>
      <c r="F146" s="52"/>
      <c r="G146" s="52"/>
      <c r="H146" s="52"/>
    </row>
    <row r="147" spans="3:8">
      <c r="C147" s="52"/>
      <c r="D147" s="52"/>
      <c r="E147" s="52"/>
      <c r="F147" s="52"/>
      <c r="G147" s="52"/>
      <c r="H147" s="52"/>
    </row>
    <row r="148" spans="3:8">
      <c r="C148" s="52"/>
      <c r="D148" s="52"/>
      <c r="E148" s="52"/>
      <c r="F148" s="52"/>
      <c r="G148" s="52"/>
      <c r="H148" s="52"/>
    </row>
    <row r="149" spans="3:8">
      <c r="C149" s="52"/>
      <c r="D149" s="52"/>
      <c r="E149" s="52"/>
      <c r="F149" s="52"/>
      <c r="G149" s="52"/>
      <c r="H149" s="52"/>
    </row>
    <row r="150" spans="3:8">
      <c r="C150" s="52"/>
      <c r="D150" s="52"/>
      <c r="E150" s="52"/>
      <c r="F150" s="52"/>
      <c r="G150" s="52"/>
      <c r="H150" s="52"/>
    </row>
    <row r="151" spans="3:8">
      <c r="C151" s="52"/>
      <c r="D151" s="52"/>
      <c r="E151" s="52"/>
      <c r="F151" s="52"/>
      <c r="G151" s="52"/>
      <c r="H151" s="52"/>
    </row>
    <row r="152" spans="3:8">
      <c r="C152" s="52"/>
      <c r="D152" s="52"/>
      <c r="E152" s="52"/>
      <c r="F152" s="52"/>
      <c r="G152" s="52"/>
      <c r="H152" s="52"/>
    </row>
    <row r="153" spans="3:8">
      <c r="C153" s="52"/>
      <c r="D153" s="52"/>
      <c r="E153" s="52"/>
      <c r="F153" s="52"/>
      <c r="G153" s="52"/>
      <c r="H153" s="52"/>
    </row>
    <row r="154" spans="3:8">
      <c r="C154" s="52"/>
      <c r="D154" s="52"/>
      <c r="E154" s="52"/>
      <c r="F154" s="52"/>
      <c r="G154" s="52"/>
      <c r="H154" s="52"/>
    </row>
    <row r="155" spans="3:8">
      <c r="C155" s="52"/>
      <c r="D155" s="52"/>
      <c r="E155" s="52"/>
      <c r="F155" s="52"/>
      <c r="G155" s="52"/>
      <c r="H155" s="52"/>
    </row>
    <row r="156" spans="3:8">
      <c r="C156" s="52"/>
      <c r="D156" s="52"/>
      <c r="E156" s="52"/>
      <c r="F156" s="52"/>
      <c r="G156" s="52"/>
      <c r="H156" s="52"/>
    </row>
    <row r="157" spans="3:8">
      <c r="C157" s="52"/>
      <c r="D157" s="52"/>
      <c r="E157" s="52"/>
      <c r="F157" s="52"/>
      <c r="G157" s="52"/>
      <c r="H157" s="52"/>
    </row>
    <row r="158" spans="3:8">
      <c r="C158" s="52"/>
      <c r="D158" s="52"/>
      <c r="E158" s="52"/>
      <c r="F158" s="52"/>
      <c r="G158" s="52"/>
      <c r="H158" s="52"/>
    </row>
    <row r="159" spans="3:8">
      <c r="C159" s="52"/>
      <c r="D159" s="52"/>
      <c r="E159" s="52"/>
      <c r="F159" s="52"/>
      <c r="G159" s="52"/>
      <c r="H159" s="52"/>
    </row>
    <row r="160" spans="3:8">
      <c r="C160" s="52"/>
      <c r="D160" s="52"/>
      <c r="E160" s="52"/>
      <c r="F160" s="52"/>
      <c r="G160" s="52"/>
      <c r="H160" s="52"/>
    </row>
    <row r="161" spans="3:8">
      <c r="C161" s="52"/>
      <c r="D161" s="52"/>
      <c r="E161" s="52"/>
      <c r="F161" s="52"/>
      <c r="G161" s="52"/>
      <c r="H161" s="52"/>
    </row>
    <row r="162" spans="3:8">
      <c r="C162" s="52"/>
      <c r="D162" s="52"/>
      <c r="E162" s="52"/>
      <c r="F162" s="52"/>
      <c r="G162" s="52"/>
      <c r="H162" s="52"/>
    </row>
    <row r="163" spans="3:8">
      <c r="C163" s="52"/>
      <c r="D163" s="52"/>
      <c r="E163" s="52"/>
      <c r="F163" s="52"/>
      <c r="G163" s="52"/>
      <c r="H163" s="52"/>
    </row>
    <row r="164" spans="3:8">
      <c r="C164" s="52"/>
      <c r="D164" s="52"/>
      <c r="E164" s="52"/>
      <c r="F164" s="52"/>
      <c r="G164" s="52"/>
      <c r="H164" s="52"/>
    </row>
    <row r="165" spans="3:8">
      <c r="C165" s="52"/>
      <c r="D165" s="52"/>
      <c r="E165" s="52"/>
      <c r="F165" s="52"/>
      <c r="G165" s="52"/>
      <c r="H165" s="52"/>
    </row>
    <row r="166" spans="3:8">
      <c r="C166" s="52"/>
      <c r="D166" s="52"/>
      <c r="E166" s="52"/>
      <c r="F166" s="52"/>
      <c r="G166" s="52"/>
      <c r="H166" s="52"/>
    </row>
    <row r="167" spans="3:8">
      <c r="C167" s="52"/>
      <c r="D167" s="52"/>
      <c r="E167" s="52"/>
      <c r="F167" s="52"/>
      <c r="G167" s="52"/>
      <c r="H167" s="52"/>
    </row>
    <row r="168" spans="3:8">
      <c r="C168" s="52"/>
      <c r="D168" s="52"/>
      <c r="E168" s="52"/>
      <c r="F168" s="52"/>
      <c r="G168" s="52"/>
      <c r="H168" s="52"/>
    </row>
    <row r="169" spans="3:8">
      <c r="C169" s="52"/>
      <c r="D169" s="52"/>
      <c r="E169" s="52"/>
      <c r="F169" s="52"/>
      <c r="G169" s="52"/>
      <c r="H169" s="52"/>
    </row>
    <row r="170" spans="3:8">
      <c r="C170" s="52"/>
      <c r="D170" s="52"/>
      <c r="E170" s="52"/>
      <c r="F170" s="52"/>
      <c r="G170" s="52"/>
      <c r="H170" s="52"/>
    </row>
    <row r="171" spans="3:8">
      <c r="C171" s="52"/>
      <c r="D171" s="52"/>
      <c r="E171" s="52"/>
      <c r="F171" s="52"/>
      <c r="G171" s="52"/>
      <c r="H171" s="52"/>
    </row>
    <row r="172" spans="3:8">
      <c r="C172" s="52"/>
      <c r="D172" s="52"/>
      <c r="E172" s="52"/>
      <c r="F172" s="52"/>
      <c r="G172" s="52"/>
      <c r="H172" s="52"/>
    </row>
    <row r="173" spans="3:8">
      <c r="C173" s="52"/>
      <c r="D173" s="52"/>
      <c r="E173" s="52"/>
      <c r="F173" s="52"/>
      <c r="G173" s="52"/>
      <c r="H173" s="52"/>
    </row>
    <row r="174" spans="3:8">
      <c r="C174" s="52"/>
      <c r="D174" s="52"/>
      <c r="E174" s="52"/>
      <c r="F174" s="52"/>
      <c r="G174" s="52"/>
      <c r="H174" s="52"/>
    </row>
    <row r="175" spans="3:8">
      <c r="C175" s="52"/>
      <c r="D175" s="52"/>
      <c r="E175" s="52"/>
      <c r="F175" s="52"/>
      <c r="G175" s="52"/>
      <c r="H175" s="52"/>
    </row>
    <row r="176" spans="3:8">
      <c r="C176" s="52"/>
      <c r="D176" s="52"/>
      <c r="E176" s="52"/>
      <c r="F176" s="52"/>
      <c r="G176" s="52"/>
      <c r="H176" s="52"/>
    </row>
    <row r="177" spans="3:8">
      <c r="C177" s="52"/>
      <c r="D177" s="52"/>
      <c r="E177" s="52"/>
      <c r="F177" s="52"/>
      <c r="G177" s="52"/>
      <c r="H177" s="52"/>
    </row>
    <row r="178" spans="3:8">
      <c r="C178" s="52"/>
      <c r="D178" s="52"/>
      <c r="E178" s="52"/>
      <c r="F178" s="52"/>
      <c r="G178" s="52"/>
      <c r="H178" s="52"/>
    </row>
    <row r="179" spans="3:8">
      <c r="C179" s="52"/>
      <c r="D179" s="52"/>
      <c r="E179" s="52"/>
      <c r="F179" s="52"/>
      <c r="G179" s="52"/>
      <c r="H179" s="52"/>
    </row>
    <row r="180" spans="3:8">
      <c r="C180" s="52"/>
      <c r="D180" s="52"/>
      <c r="E180" s="52"/>
      <c r="F180" s="52"/>
      <c r="G180" s="52"/>
      <c r="H180" s="52"/>
    </row>
    <row r="181" spans="3:8">
      <c r="C181" s="52"/>
      <c r="D181" s="52"/>
      <c r="E181" s="52"/>
      <c r="F181" s="52"/>
      <c r="G181" s="52"/>
      <c r="H181" s="52"/>
    </row>
    <row r="182" spans="3:8">
      <c r="C182" s="52"/>
      <c r="D182" s="52"/>
      <c r="E182" s="52"/>
      <c r="F182" s="52"/>
      <c r="G182" s="52"/>
      <c r="H182" s="52"/>
    </row>
    <row r="183" spans="3:8">
      <c r="C183" s="52"/>
      <c r="D183" s="52"/>
      <c r="E183" s="52"/>
      <c r="F183" s="52"/>
      <c r="G183" s="52"/>
      <c r="H183" s="52"/>
    </row>
    <row r="184" spans="3:8">
      <c r="C184" s="52"/>
      <c r="D184" s="52"/>
      <c r="E184" s="52"/>
      <c r="F184" s="52"/>
      <c r="G184" s="52"/>
      <c r="H184" s="52"/>
    </row>
    <row r="185" spans="3:8">
      <c r="C185" s="52"/>
      <c r="D185" s="52"/>
      <c r="E185" s="52"/>
      <c r="F185" s="52"/>
      <c r="G185" s="52"/>
      <c r="H185" s="52"/>
    </row>
    <row r="186" spans="3:8">
      <c r="C186" s="52"/>
      <c r="D186" s="52"/>
      <c r="E186" s="52"/>
      <c r="F186" s="52"/>
      <c r="G186" s="52"/>
      <c r="H186" s="52"/>
    </row>
  </sheetData>
  <printOptions horizontalCentered="1"/>
  <pageMargins left="0.75" right="0.75" top="0.75" bottom="0.5" header="0.25" footer="0.25"/>
  <pageSetup scale="6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0">
    <tabColor theme="1"/>
    <pageSetUpPr fitToPage="1"/>
  </sheetPr>
  <dimension ref="A1:AO88"/>
  <sheetViews>
    <sheetView view="pageBreakPreview" zoomScale="70" zoomScaleNormal="80" zoomScaleSheetLayoutView="70" workbookViewId="0">
      <selection activeCell="E70" sqref="E70"/>
    </sheetView>
  </sheetViews>
  <sheetFormatPr defaultColWidth="7.109375" defaultRowHeight="15"/>
  <cols>
    <col min="1" max="1" width="7.109375" style="71"/>
    <col min="2" max="2" width="0.77734375" style="71" customWidth="1"/>
    <col min="3" max="3" width="58.21875" style="71" customWidth="1"/>
    <col min="4" max="4" width="1.77734375" style="71" customWidth="1"/>
    <col min="5" max="5" width="14.5546875" style="71" customWidth="1"/>
    <col min="6" max="6" width="2" style="71" customWidth="1"/>
    <col min="7" max="7" width="15.109375" style="71" customWidth="1"/>
    <col min="8" max="8" width="2" style="71" customWidth="1"/>
    <col min="9" max="10" width="7.44140625" style="71" customWidth="1"/>
    <col min="11" max="11" width="11.77734375" style="71" customWidth="1"/>
    <col min="12" max="12" width="16.77734375" style="71" customWidth="1"/>
    <col min="13" max="13" width="12.109375" style="71" customWidth="1"/>
    <col min="14" max="14" width="4.5546875" style="71" customWidth="1"/>
    <col min="15" max="32" width="7.109375" style="71"/>
    <col min="33" max="33" width="15.44140625" style="71" bestFit="1" customWidth="1"/>
    <col min="34" max="34" width="13.21875" style="71" customWidth="1"/>
    <col min="35" max="35" width="14.5546875" style="71" bestFit="1" customWidth="1"/>
    <col min="36" max="36" width="13.5546875" style="71" bestFit="1" customWidth="1"/>
    <col min="37" max="16384" width="7.109375" style="71"/>
  </cols>
  <sheetData>
    <row r="1" spans="1:14" s="9" customFormat="1" ht="15.75">
      <c r="A1" s="69" t="str">
        <f>'P1 ADIT'!A1</f>
        <v>Duke Energy Ohio and Duke Energy Kentucky</v>
      </c>
      <c r="B1" s="70"/>
      <c r="C1" s="70"/>
      <c r="D1" s="69"/>
      <c r="E1" s="70"/>
      <c r="F1" s="70"/>
      <c r="G1" s="70"/>
      <c r="H1" s="71"/>
      <c r="I1" s="61"/>
      <c r="L1" s="18"/>
      <c r="M1" s="18"/>
    </row>
    <row r="2" spans="1:14" s="9" customFormat="1" ht="15.75">
      <c r="C2" s="69"/>
      <c r="D2" s="69"/>
      <c r="E2" s="70"/>
      <c r="F2" s="70"/>
      <c r="G2" s="70"/>
      <c r="H2" s="71"/>
      <c r="I2" s="61"/>
      <c r="K2" s="56"/>
      <c r="L2" s="56"/>
      <c r="M2" s="56"/>
      <c r="N2" s="56"/>
    </row>
    <row r="3" spans="1:14" s="9" customFormat="1" ht="15.75">
      <c r="C3" s="69"/>
      <c r="D3" s="69"/>
      <c r="E3" s="70"/>
      <c r="F3" s="70"/>
      <c r="G3" s="261" t="s">
        <v>396</v>
      </c>
      <c r="H3" s="71"/>
      <c r="K3" s="949"/>
      <c r="L3" s="280"/>
      <c r="M3" s="18"/>
    </row>
    <row r="4" spans="1:14" s="9" customFormat="1" ht="15.75">
      <c r="C4" s="69"/>
      <c r="D4" s="69"/>
      <c r="E4" s="70"/>
      <c r="F4" s="70"/>
      <c r="G4" s="353" t="str">
        <f>"Page 8 of "&amp;Workpaper</f>
        <v>Page 8 of 18</v>
      </c>
      <c r="H4" s="71"/>
      <c r="L4" s="18"/>
      <c r="M4" s="18"/>
    </row>
    <row r="5" spans="1:14" s="9" customFormat="1" ht="15.75">
      <c r="C5" s="69"/>
      <c r="D5" s="69"/>
      <c r="E5" s="70"/>
      <c r="F5" s="70"/>
      <c r="G5" s="61" t="str">
        <f>"For the 12 months ended: "&amp;TEXT(INPUT!$B$1,"mm/dd/yyyy")</f>
        <v>For the 12 months ended: 12/31/2020</v>
      </c>
      <c r="H5" s="71"/>
      <c r="L5" s="18"/>
      <c r="M5" s="18"/>
    </row>
    <row r="6" spans="1:14" s="9" customFormat="1" ht="15.75">
      <c r="C6" s="69"/>
      <c r="D6" s="69"/>
      <c r="E6" s="70"/>
      <c r="F6" s="70"/>
      <c r="G6" s="70"/>
      <c r="H6" s="71"/>
      <c r="L6" s="18"/>
      <c r="M6" s="18"/>
    </row>
    <row r="7" spans="1:14" s="9" customFormat="1" ht="15.75">
      <c r="A7" s="69" t="s">
        <v>772</v>
      </c>
      <c r="B7" s="70"/>
      <c r="C7" s="70"/>
      <c r="D7" s="69"/>
      <c r="E7" s="70"/>
      <c r="F7" s="70"/>
      <c r="G7" s="70"/>
      <c r="H7" s="71"/>
      <c r="L7" s="18"/>
      <c r="M7" s="18"/>
    </row>
    <row r="8" spans="1:14" s="9" customFormat="1" ht="15.75">
      <c r="C8" s="69"/>
      <c r="D8" s="69"/>
      <c r="E8" s="70"/>
      <c r="F8" s="70"/>
      <c r="G8" s="70"/>
      <c r="H8" s="71"/>
      <c r="L8" s="18"/>
      <c r="M8" s="18"/>
    </row>
    <row r="9" spans="1:14" s="9" customFormat="1">
      <c r="H9" s="71"/>
      <c r="L9" s="18"/>
      <c r="M9" s="18"/>
    </row>
    <row r="10" spans="1:14">
      <c r="K10" s="9"/>
      <c r="L10" s="18"/>
      <c r="M10" s="840"/>
    </row>
    <row r="11" spans="1:14" ht="20.25">
      <c r="C11" s="72"/>
      <c r="D11" s="72"/>
      <c r="H11" s="74"/>
      <c r="K11" s="9"/>
      <c r="L11" s="18"/>
      <c r="M11" s="840"/>
    </row>
    <row r="12" spans="1:14" ht="20.25">
      <c r="A12" s="460" t="s">
        <v>8</v>
      </c>
      <c r="E12" s="142" t="s">
        <v>116</v>
      </c>
      <c r="F12" s="142"/>
      <c r="G12" s="142"/>
      <c r="H12" s="74"/>
      <c r="I12" s="233"/>
      <c r="K12" s="9"/>
      <c r="L12" s="18"/>
      <c r="M12" s="840"/>
    </row>
    <row r="13" spans="1:14" ht="20.25">
      <c r="A13" s="409" t="s">
        <v>10</v>
      </c>
      <c r="C13" s="606" t="s">
        <v>419</v>
      </c>
      <c r="E13" s="74" t="s">
        <v>181</v>
      </c>
      <c r="F13" s="74"/>
      <c r="G13" s="74" t="s">
        <v>182</v>
      </c>
      <c r="H13" s="74"/>
      <c r="I13" s="234"/>
      <c r="K13" s="9"/>
      <c r="L13" s="9"/>
    </row>
    <row r="14" spans="1:14">
      <c r="A14" s="607">
        <v>1</v>
      </c>
      <c r="C14" s="569" t="s">
        <v>777</v>
      </c>
      <c r="D14" s="235"/>
      <c r="E14" s="341">
        <v>13453545</v>
      </c>
      <c r="F14" s="341"/>
      <c r="G14" s="341">
        <v>1329087</v>
      </c>
      <c r="H14" s="342"/>
      <c r="K14" s="522"/>
      <c r="L14" s="522"/>
    </row>
    <row r="15" spans="1:14">
      <c r="A15" s="607">
        <v>2</v>
      </c>
      <c r="C15" s="568"/>
      <c r="E15" s="343"/>
      <c r="F15" s="343"/>
      <c r="G15" s="343"/>
      <c r="H15" s="343"/>
      <c r="K15" s="568"/>
      <c r="L15" s="568"/>
    </row>
    <row r="16" spans="1:14">
      <c r="A16" s="607">
        <v>3</v>
      </c>
      <c r="C16" s="568" t="s">
        <v>844</v>
      </c>
      <c r="E16" s="893">
        <f>7972413+(2235080-E22)</f>
        <v>10207493</v>
      </c>
      <c r="F16" s="343"/>
      <c r="G16" s="893">
        <f>-700+(976897-G22)</f>
        <v>897153</v>
      </c>
      <c r="H16" s="343"/>
      <c r="K16" s="568"/>
      <c r="L16" s="568"/>
    </row>
    <row r="17" spans="1:41">
      <c r="A17" s="607">
        <v>4</v>
      </c>
      <c r="C17" s="568"/>
      <c r="E17" s="843"/>
      <c r="F17" s="343"/>
      <c r="G17" s="843"/>
      <c r="H17" s="343"/>
      <c r="K17" s="568"/>
      <c r="L17" s="568"/>
    </row>
    <row r="18" spans="1:41">
      <c r="A18" s="607">
        <v>5</v>
      </c>
      <c r="C18" s="568" t="s">
        <v>837</v>
      </c>
      <c r="E18" s="732">
        <f>E14-E16</f>
        <v>3246052</v>
      </c>
      <c r="F18" s="343"/>
      <c r="G18" s="732">
        <f>G14-G16</f>
        <v>431934</v>
      </c>
      <c r="H18" s="343"/>
      <c r="K18" s="568"/>
      <c r="L18" s="568"/>
    </row>
    <row r="19" spans="1:41">
      <c r="A19" s="607">
        <v>6</v>
      </c>
      <c r="C19" s="568"/>
      <c r="E19" s="343"/>
      <c r="F19" s="343"/>
      <c r="G19" s="343"/>
      <c r="H19" s="343"/>
      <c r="K19" s="568"/>
      <c r="L19" s="568"/>
    </row>
    <row r="20" spans="1:41">
      <c r="A20" s="607">
        <v>7</v>
      </c>
      <c r="C20" s="568" t="s">
        <v>842</v>
      </c>
      <c r="E20" s="341">
        <v>97369</v>
      </c>
      <c r="F20" s="343"/>
      <c r="G20" s="341">
        <v>12742</v>
      </c>
      <c r="H20" s="379"/>
      <c r="K20" s="568"/>
      <c r="L20" s="568"/>
    </row>
    <row r="21" spans="1:41">
      <c r="A21" s="607">
        <v>8</v>
      </c>
      <c r="C21" s="568"/>
      <c r="E21" s="343"/>
      <c r="F21" s="343"/>
      <c r="G21" s="343"/>
      <c r="H21" s="343"/>
      <c r="K21" s="568"/>
      <c r="L21" s="568"/>
    </row>
    <row r="22" spans="1:41">
      <c r="A22" s="607">
        <v>9</v>
      </c>
      <c r="C22" s="568" t="s">
        <v>952</v>
      </c>
      <c r="E22" s="341">
        <v>0</v>
      </c>
      <c r="F22" s="343"/>
      <c r="G22" s="341">
        <v>79044</v>
      </c>
      <c r="H22" s="379"/>
      <c r="K22" s="568"/>
      <c r="L22" s="568"/>
    </row>
    <row r="23" spans="1:41">
      <c r="A23" s="607">
        <v>10</v>
      </c>
      <c r="C23" s="568"/>
      <c r="E23" s="343"/>
      <c r="F23" s="343"/>
      <c r="G23" s="343"/>
      <c r="H23" s="343"/>
      <c r="K23" s="568"/>
      <c r="L23" s="568"/>
    </row>
    <row r="24" spans="1:41">
      <c r="A24" s="607">
        <v>11</v>
      </c>
      <c r="C24" s="568" t="s">
        <v>843</v>
      </c>
      <c r="E24" s="732">
        <f>E18-E20-E22</f>
        <v>3148683</v>
      </c>
      <c r="F24" s="343"/>
      <c r="G24" s="732">
        <f>G18-G20-G22</f>
        <v>340148</v>
      </c>
      <c r="H24" s="344"/>
      <c r="K24" s="568"/>
      <c r="L24" s="568"/>
    </row>
    <row r="25" spans="1:41" ht="17.25">
      <c r="A25" s="607">
        <v>12</v>
      </c>
      <c r="C25" s="568" t="s">
        <v>770</v>
      </c>
      <c r="E25" s="844">
        <f>'P15 Pole Counts'!E19</f>
        <v>5.8700000000000002E-2</v>
      </c>
      <c r="F25" s="844"/>
      <c r="G25" s="844">
        <f>'P15 Pole Counts'!I19</f>
        <v>6.8199999999999997E-2</v>
      </c>
      <c r="H25" s="477"/>
      <c r="K25" s="568"/>
      <c r="L25" s="568"/>
      <c r="AI25" s="841"/>
      <c r="AJ25" s="841"/>
      <c r="AK25" s="841"/>
      <c r="AL25" s="841"/>
      <c r="AM25" s="841"/>
      <c r="AN25" s="841"/>
      <c r="AO25" s="841"/>
    </row>
    <row r="26" spans="1:41" ht="17.25">
      <c r="A26" s="607">
        <v>13</v>
      </c>
      <c r="C26" s="78" t="s">
        <v>706</v>
      </c>
      <c r="D26" s="236"/>
      <c r="E26" s="845">
        <f>ROUND(E24*E25,0)</f>
        <v>184828</v>
      </c>
      <c r="F26" s="143"/>
      <c r="G26" s="845">
        <f>ROUND(G24*G25,0)</f>
        <v>23198</v>
      </c>
      <c r="H26" s="237"/>
      <c r="K26" s="568"/>
      <c r="L26" s="568"/>
      <c r="AI26" s="842"/>
      <c r="AJ26" s="842"/>
      <c r="AK26" s="841"/>
      <c r="AL26" s="841"/>
      <c r="AM26" s="841"/>
      <c r="AN26" s="841"/>
      <c r="AO26" s="841"/>
    </row>
    <row r="27" spans="1:41" ht="17.25">
      <c r="A27" s="607">
        <v>14</v>
      </c>
      <c r="C27" s="78"/>
      <c r="D27" s="236"/>
      <c r="E27" s="237"/>
      <c r="F27" s="237"/>
      <c r="G27" s="237"/>
      <c r="H27" s="237"/>
      <c r="K27" s="568"/>
      <c r="L27" s="568"/>
      <c r="AI27" s="842"/>
      <c r="AJ27" s="842"/>
      <c r="AK27" s="841"/>
      <c r="AL27" s="841"/>
      <c r="AM27" s="841"/>
      <c r="AN27" s="841"/>
      <c r="AO27" s="841"/>
    </row>
    <row r="28" spans="1:41" ht="17.25">
      <c r="A28" s="607">
        <v>15</v>
      </c>
      <c r="C28" s="569" t="s">
        <v>523</v>
      </c>
      <c r="D28" s="236"/>
      <c r="E28" s="237">
        <f>E26+E20+E22</f>
        <v>282197</v>
      </c>
      <c r="F28" s="237"/>
      <c r="G28" s="237">
        <f>G26+G20+G22</f>
        <v>114984</v>
      </c>
      <c r="H28" s="237"/>
      <c r="K28" s="78"/>
      <c r="L28" s="568"/>
      <c r="AI28" s="842"/>
      <c r="AJ28" s="842"/>
      <c r="AK28" s="841"/>
      <c r="AL28" s="841"/>
      <c r="AM28" s="841"/>
      <c r="AN28" s="841"/>
      <c r="AO28" s="841"/>
    </row>
    <row r="29" spans="1:41">
      <c r="A29" s="607">
        <v>16</v>
      </c>
      <c r="C29" s="568"/>
      <c r="E29" s="238"/>
      <c r="F29" s="238"/>
      <c r="G29" s="238"/>
      <c r="H29" s="238"/>
      <c r="K29" s="568"/>
      <c r="L29" s="568"/>
      <c r="AI29" s="842"/>
      <c r="AJ29" s="842"/>
      <c r="AK29" s="841"/>
      <c r="AL29" s="841"/>
      <c r="AM29" s="841"/>
      <c r="AN29" s="841"/>
      <c r="AO29" s="841"/>
    </row>
    <row r="30" spans="1:41" ht="15.75">
      <c r="A30" s="607">
        <v>17</v>
      </c>
      <c r="C30" s="570"/>
      <c r="D30" s="72"/>
      <c r="K30" s="568"/>
      <c r="L30" s="568"/>
      <c r="AI30" s="842"/>
      <c r="AJ30" s="842"/>
      <c r="AK30" s="841"/>
      <c r="AL30" s="841"/>
      <c r="AM30" s="841"/>
      <c r="AN30" s="841"/>
      <c r="AO30" s="841"/>
    </row>
    <row r="31" spans="1:41" ht="20.25">
      <c r="A31" s="607">
        <v>18</v>
      </c>
      <c r="C31" s="568"/>
      <c r="E31" s="142" t="s">
        <v>771</v>
      </c>
      <c r="F31" s="142"/>
      <c r="G31" s="73"/>
      <c r="H31" s="74"/>
      <c r="I31" s="233"/>
      <c r="K31" s="568"/>
      <c r="L31" s="568"/>
      <c r="AI31" s="842"/>
      <c r="AJ31" s="842"/>
      <c r="AK31" s="841"/>
      <c r="AL31" s="841"/>
      <c r="AM31" s="841"/>
      <c r="AN31" s="841"/>
      <c r="AO31" s="841"/>
    </row>
    <row r="32" spans="1:41" ht="20.25">
      <c r="A32" s="607">
        <v>19</v>
      </c>
      <c r="C32" s="568"/>
      <c r="E32" s="74" t="s">
        <v>181</v>
      </c>
      <c r="F32" s="74"/>
      <c r="G32" s="74" t="s">
        <v>182</v>
      </c>
      <c r="H32" s="74"/>
      <c r="I32" s="633"/>
      <c r="J32" s="634"/>
      <c r="K32" s="635"/>
      <c r="L32" s="635"/>
      <c r="AI32" s="842"/>
      <c r="AJ32" s="842"/>
      <c r="AK32" s="841"/>
      <c r="AL32" s="841"/>
      <c r="AM32" s="841"/>
      <c r="AN32" s="841"/>
      <c r="AO32" s="841"/>
    </row>
    <row r="33" spans="1:41">
      <c r="A33" s="607">
        <v>20</v>
      </c>
      <c r="C33" s="375" t="s">
        <v>778</v>
      </c>
      <c r="D33" s="75"/>
      <c r="E33" s="341">
        <v>30133587</v>
      </c>
      <c r="F33" s="341"/>
      <c r="G33" s="341">
        <v>1187925</v>
      </c>
      <c r="H33" s="341"/>
      <c r="I33" s="341"/>
      <c r="K33" s="568"/>
      <c r="L33" s="568"/>
      <c r="AI33" s="842"/>
      <c r="AJ33" s="842"/>
      <c r="AK33" s="841"/>
      <c r="AL33" s="841"/>
      <c r="AM33" s="841"/>
      <c r="AN33" s="841"/>
      <c r="AO33" s="841"/>
    </row>
    <row r="34" spans="1:41" ht="17.25">
      <c r="A34" s="607">
        <v>21</v>
      </c>
      <c r="C34" s="375"/>
      <c r="D34" s="75"/>
      <c r="E34" s="237"/>
      <c r="F34" s="237"/>
      <c r="G34" s="237"/>
      <c r="H34" s="237"/>
      <c r="K34" s="568"/>
      <c r="L34" s="568"/>
      <c r="AI34" s="842"/>
      <c r="AJ34" s="842"/>
      <c r="AK34" s="841"/>
      <c r="AL34" s="841"/>
      <c r="AM34" s="841"/>
      <c r="AN34" s="841"/>
      <c r="AO34" s="841"/>
    </row>
    <row r="35" spans="1:41">
      <c r="A35" s="607">
        <v>22</v>
      </c>
      <c r="C35" s="572" t="s">
        <v>521</v>
      </c>
      <c r="D35" s="235"/>
      <c r="E35" s="344"/>
      <c r="F35" s="344"/>
      <c r="G35" s="344"/>
      <c r="H35" s="344"/>
      <c r="K35" s="573"/>
      <c r="L35" s="573"/>
      <c r="AI35" s="842"/>
      <c r="AJ35" s="842"/>
      <c r="AK35" s="841"/>
      <c r="AL35" s="841"/>
      <c r="AM35" s="841"/>
      <c r="AN35" s="841"/>
      <c r="AO35" s="841"/>
    </row>
    <row r="36" spans="1:41">
      <c r="A36" s="607">
        <v>23</v>
      </c>
      <c r="C36" s="376" t="s">
        <v>513</v>
      </c>
      <c r="D36" s="235"/>
      <c r="E36" s="341">
        <v>-6162</v>
      </c>
      <c r="F36" s="341"/>
      <c r="G36" s="341">
        <v>0</v>
      </c>
      <c r="H36" s="379"/>
      <c r="I36" s="589"/>
      <c r="J36" s="589"/>
      <c r="K36" s="568"/>
      <c r="L36" s="568"/>
      <c r="AI36" s="842"/>
      <c r="AJ36" s="842"/>
      <c r="AK36" s="841"/>
      <c r="AL36" s="841"/>
      <c r="AM36" s="841"/>
      <c r="AN36" s="841"/>
      <c r="AO36" s="841"/>
    </row>
    <row r="37" spans="1:41">
      <c r="A37" s="607">
        <v>24</v>
      </c>
      <c r="C37" s="376" t="s">
        <v>514</v>
      </c>
      <c r="E37" s="589">
        <v>-2412</v>
      </c>
      <c r="F37" s="589"/>
      <c r="G37" s="589">
        <v>0</v>
      </c>
      <c r="H37" s="379"/>
      <c r="I37" s="589"/>
      <c r="J37" s="589"/>
      <c r="K37" s="568"/>
      <c r="L37" s="568"/>
      <c r="AI37" s="842"/>
      <c r="AJ37" s="842"/>
      <c r="AK37" s="841"/>
      <c r="AL37" s="841"/>
      <c r="AM37" s="841"/>
      <c r="AN37" s="841"/>
      <c r="AO37" s="841"/>
    </row>
    <row r="38" spans="1:41" ht="15.6" customHeight="1">
      <c r="A38" s="607">
        <v>25</v>
      </c>
      <c r="C38" s="376" t="s">
        <v>515</v>
      </c>
      <c r="E38" s="589">
        <v>88401</v>
      </c>
      <c r="F38" s="589"/>
      <c r="G38" s="589">
        <v>15852</v>
      </c>
      <c r="H38" s="379"/>
      <c r="I38" s="589"/>
      <c r="J38" s="589"/>
      <c r="K38" s="568"/>
      <c r="L38" s="568"/>
      <c r="AI38" s="842"/>
      <c r="AJ38" s="842"/>
      <c r="AK38" s="841"/>
      <c r="AL38" s="841"/>
      <c r="AM38" s="841"/>
      <c r="AN38" s="841"/>
      <c r="AO38" s="841"/>
    </row>
    <row r="39" spans="1:41">
      <c r="A39" s="607">
        <v>26</v>
      </c>
      <c r="C39" s="376" t="s">
        <v>516</v>
      </c>
      <c r="E39" s="589">
        <v>26699700</v>
      </c>
      <c r="F39" s="589"/>
      <c r="G39" s="589">
        <v>0</v>
      </c>
      <c r="H39" s="379"/>
      <c r="I39" s="589"/>
      <c r="J39" s="589"/>
      <c r="K39" s="568"/>
      <c r="L39" s="568"/>
      <c r="AI39" s="842"/>
      <c r="AJ39" s="842"/>
      <c r="AK39" s="841"/>
      <c r="AL39" s="841"/>
      <c r="AM39" s="841"/>
      <c r="AN39" s="841"/>
      <c r="AO39" s="841"/>
    </row>
    <row r="40" spans="1:41">
      <c r="A40" s="607">
        <v>27</v>
      </c>
      <c r="C40" s="376" t="s">
        <v>955</v>
      </c>
      <c r="E40" s="589">
        <v>1406967</v>
      </c>
      <c r="F40" s="589"/>
      <c r="G40" s="589">
        <v>0</v>
      </c>
      <c r="H40" s="379"/>
      <c r="I40" s="589"/>
      <c r="J40" s="589"/>
      <c r="K40" s="568"/>
      <c r="L40" s="568"/>
      <c r="AI40" s="842"/>
      <c r="AJ40" s="842"/>
      <c r="AK40" s="841"/>
      <c r="AL40" s="841"/>
      <c r="AM40" s="841"/>
      <c r="AN40" s="841"/>
      <c r="AO40" s="841"/>
    </row>
    <row r="41" spans="1:41">
      <c r="A41" s="607">
        <v>28</v>
      </c>
      <c r="C41" s="376" t="s">
        <v>517</v>
      </c>
      <c r="E41" s="589">
        <v>-83895</v>
      </c>
      <c r="F41" s="589"/>
      <c r="G41" s="589">
        <v>0</v>
      </c>
      <c r="H41" s="379"/>
      <c r="I41" s="589"/>
      <c r="J41" s="589"/>
      <c r="K41" s="568"/>
      <c r="L41" s="568"/>
      <c r="AI41" s="842"/>
      <c r="AJ41" s="842"/>
      <c r="AK41" s="841"/>
      <c r="AL41" s="841"/>
      <c r="AM41" s="841"/>
      <c r="AN41" s="841"/>
      <c r="AO41" s="841"/>
    </row>
    <row r="42" spans="1:41">
      <c r="A42" s="607">
        <v>29</v>
      </c>
      <c r="C42" s="376" t="s">
        <v>518</v>
      </c>
      <c r="E42" s="589">
        <v>175993</v>
      </c>
      <c r="F42" s="589"/>
      <c r="G42" s="589">
        <v>53887</v>
      </c>
      <c r="H42" s="379"/>
      <c r="I42" s="589"/>
      <c r="J42" s="589"/>
      <c r="K42" s="568"/>
      <c r="L42" s="568"/>
      <c r="AI42" s="841"/>
      <c r="AJ42" s="841"/>
      <c r="AK42" s="841"/>
      <c r="AL42" s="841"/>
      <c r="AM42" s="841"/>
      <c r="AN42" s="841"/>
      <c r="AO42" s="841"/>
    </row>
    <row r="43" spans="1:41">
      <c r="A43" s="607">
        <v>30</v>
      </c>
      <c r="C43" s="376" t="s">
        <v>519</v>
      </c>
      <c r="E43" s="589">
        <v>0</v>
      </c>
      <c r="F43" s="589"/>
      <c r="G43" s="589">
        <v>1048605</v>
      </c>
      <c r="H43" s="379"/>
      <c r="I43" s="589"/>
      <c r="J43" s="589"/>
      <c r="K43" s="568"/>
      <c r="L43" s="568"/>
      <c r="AI43" s="841"/>
      <c r="AJ43" s="841"/>
      <c r="AK43" s="841"/>
      <c r="AL43" s="841"/>
      <c r="AM43" s="841"/>
      <c r="AN43" s="841"/>
      <c r="AO43" s="841"/>
    </row>
    <row r="44" spans="1:41" ht="17.25">
      <c r="A44" s="607">
        <v>31</v>
      </c>
      <c r="C44" s="376" t="s">
        <v>559</v>
      </c>
      <c r="D44" s="235"/>
      <c r="E44" s="590">
        <v>41</v>
      </c>
      <c r="F44" s="590"/>
      <c r="G44" s="590">
        <v>0</v>
      </c>
      <c r="H44" s="377"/>
      <c r="I44" s="590"/>
      <c r="J44" s="590"/>
      <c r="K44" s="568"/>
      <c r="L44" s="568"/>
      <c r="AI44" s="841"/>
      <c r="AJ44" s="841"/>
      <c r="AK44" s="841"/>
      <c r="AL44" s="841"/>
      <c r="AM44" s="841"/>
      <c r="AN44" s="841"/>
      <c r="AO44" s="841"/>
    </row>
    <row r="45" spans="1:41" ht="17.25">
      <c r="A45" s="607">
        <v>32</v>
      </c>
      <c r="C45" s="572" t="s">
        <v>522</v>
      </c>
      <c r="D45" s="235"/>
      <c r="E45" s="237">
        <f>SUM(E36:E44)</f>
        <v>28278633</v>
      </c>
      <c r="F45" s="237"/>
      <c r="G45" s="237">
        <f>SUM(G36:G44)</f>
        <v>1118344</v>
      </c>
      <c r="H45" s="237"/>
      <c r="I45" s="237"/>
      <c r="J45" s="341"/>
      <c r="K45" s="568"/>
      <c r="L45" s="568"/>
      <c r="AI45" s="841"/>
      <c r="AJ45" s="841"/>
      <c r="AK45" s="841"/>
      <c r="AL45" s="841"/>
      <c r="AM45" s="841"/>
      <c r="AN45" s="841"/>
      <c r="AO45" s="841"/>
    </row>
    <row r="46" spans="1:41">
      <c r="A46" s="607">
        <v>33</v>
      </c>
      <c r="C46" s="571"/>
      <c r="D46" s="235"/>
      <c r="I46" s="283"/>
      <c r="K46" s="568"/>
      <c r="L46" s="568"/>
      <c r="AI46" s="841"/>
      <c r="AJ46" s="841"/>
      <c r="AK46" s="841"/>
      <c r="AL46" s="841"/>
      <c r="AM46" s="841"/>
      <c r="AN46" s="841"/>
      <c r="AO46" s="841"/>
    </row>
    <row r="47" spans="1:41" ht="18" thickBot="1">
      <c r="A47" s="607">
        <v>34</v>
      </c>
      <c r="C47" s="375" t="s">
        <v>520</v>
      </c>
      <c r="E47" s="882">
        <f>E33-E45</f>
        <v>1854954</v>
      </c>
      <c r="F47" s="894"/>
      <c r="G47" s="882">
        <f>G33-G45</f>
        <v>69581</v>
      </c>
      <c r="H47" s="237"/>
      <c r="I47" s="143"/>
      <c r="K47" s="568"/>
      <c r="L47" s="568"/>
      <c r="AI47" s="841"/>
      <c r="AJ47" s="841"/>
      <c r="AK47" s="841"/>
      <c r="AL47" s="841"/>
      <c r="AM47" s="841"/>
      <c r="AN47" s="841"/>
      <c r="AO47" s="841"/>
    </row>
    <row r="48" spans="1:41" ht="21" thickTop="1">
      <c r="E48" s="74"/>
      <c r="F48" s="74"/>
      <c r="G48" s="74"/>
      <c r="H48" s="74"/>
      <c r="K48" s="568"/>
      <c r="L48" s="568"/>
      <c r="AI48" s="841"/>
      <c r="AJ48" s="841"/>
      <c r="AK48" s="841"/>
      <c r="AL48" s="841"/>
      <c r="AM48" s="841"/>
      <c r="AN48" s="841"/>
      <c r="AO48" s="841"/>
    </row>
    <row r="49" spans="3:41">
      <c r="C49" s="283"/>
      <c r="D49" s="283"/>
      <c r="K49" s="568"/>
      <c r="L49" s="568"/>
      <c r="AI49" s="841"/>
      <c r="AJ49" s="841"/>
      <c r="AK49" s="841"/>
      <c r="AL49" s="841"/>
      <c r="AM49" s="841"/>
      <c r="AN49" s="841"/>
      <c r="AO49" s="841"/>
    </row>
    <row r="50" spans="3:41">
      <c r="C50" s="283"/>
      <c r="D50" s="283"/>
      <c r="E50" s="284"/>
      <c r="F50" s="284"/>
      <c r="G50" s="284"/>
      <c r="H50" s="284"/>
      <c r="I50" s="284"/>
      <c r="K50" s="568"/>
      <c r="L50" s="568"/>
      <c r="AI50" s="841"/>
      <c r="AJ50" s="841"/>
      <c r="AK50" s="841"/>
      <c r="AL50" s="841"/>
      <c r="AM50" s="841"/>
      <c r="AN50" s="841"/>
      <c r="AO50" s="841"/>
    </row>
    <row r="51" spans="3:41">
      <c r="C51" s="283"/>
      <c r="D51" s="283"/>
      <c r="E51" s="284"/>
      <c r="F51" s="284"/>
      <c r="G51" s="284"/>
      <c r="H51" s="284"/>
      <c r="K51" s="568"/>
      <c r="L51" s="568"/>
      <c r="AI51" s="841"/>
      <c r="AJ51" s="841"/>
      <c r="AK51" s="841"/>
      <c r="AL51" s="841"/>
      <c r="AM51" s="841"/>
      <c r="AN51" s="841"/>
      <c r="AO51" s="841"/>
    </row>
    <row r="52" spans="3:41">
      <c r="C52" s="283"/>
      <c r="D52" s="283"/>
      <c r="E52" s="288"/>
      <c r="F52" s="288"/>
      <c r="G52" s="288"/>
      <c r="H52" s="284"/>
      <c r="I52" s="288"/>
      <c r="K52" s="568"/>
      <c r="L52" s="568"/>
      <c r="AI52" s="841"/>
      <c r="AJ52" s="841"/>
      <c r="AK52" s="841"/>
      <c r="AL52" s="841"/>
      <c r="AM52" s="841"/>
      <c r="AN52" s="841"/>
      <c r="AO52" s="841"/>
    </row>
    <row r="53" spans="3:41">
      <c r="C53" s="76"/>
      <c r="D53" s="283"/>
      <c r="E53" s="284"/>
      <c r="F53" s="284"/>
      <c r="G53" s="284"/>
      <c r="H53" s="284"/>
      <c r="K53" s="568"/>
      <c r="L53" s="568"/>
      <c r="AI53" s="841"/>
      <c r="AJ53" s="841"/>
      <c r="AK53" s="841"/>
      <c r="AL53" s="841"/>
      <c r="AM53" s="841"/>
      <c r="AN53" s="841"/>
      <c r="AO53" s="841"/>
    </row>
    <row r="54" spans="3:41">
      <c r="C54" s="283"/>
      <c r="D54" s="283"/>
      <c r="E54" s="284"/>
      <c r="F54" s="284"/>
      <c r="G54" s="284"/>
      <c r="H54" s="284"/>
      <c r="K54" s="568"/>
      <c r="L54" s="568"/>
      <c r="AI54" s="841"/>
      <c r="AJ54" s="841"/>
      <c r="AK54" s="841"/>
      <c r="AL54" s="841"/>
      <c r="AM54" s="841"/>
      <c r="AN54" s="841"/>
      <c r="AO54" s="841"/>
    </row>
    <row r="55" spans="3:41">
      <c r="C55" s="76"/>
      <c r="D55" s="283"/>
      <c r="E55" s="284"/>
      <c r="F55" s="284"/>
      <c r="G55" s="284"/>
      <c r="H55" s="284"/>
      <c r="K55" s="568"/>
      <c r="L55" s="568"/>
      <c r="AI55" s="841"/>
      <c r="AJ55" s="841"/>
      <c r="AK55" s="841"/>
      <c r="AL55" s="841"/>
      <c r="AM55" s="841"/>
      <c r="AN55" s="841"/>
      <c r="AO55" s="841"/>
    </row>
    <row r="56" spans="3:41">
      <c r="E56" s="284"/>
      <c r="F56" s="284"/>
      <c r="G56" s="285"/>
      <c r="H56" s="285"/>
      <c r="K56" s="568"/>
      <c r="L56" s="568"/>
      <c r="AI56" s="841"/>
      <c r="AJ56" s="841"/>
      <c r="AK56" s="841"/>
      <c r="AL56" s="841"/>
      <c r="AM56" s="841"/>
      <c r="AN56" s="841"/>
      <c r="AO56" s="841"/>
    </row>
    <row r="57" spans="3:41">
      <c r="C57" s="76"/>
      <c r="D57" s="283"/>
      <c r="E57" s="286"/>
      <c r="F57" s="286"/>
      <c r="G57" s="286"/>
      <c r="H57" s="286"/>
      <c r="K57" s="568"/>
      <c r="L57" s="568"/>
      <c r="AI57" s="841"/>
      <c r="AJ57" s="841"/>
      <c r="AK57" s="841"/>
      <c r="AL57" s="841"/>
      <c r="AM57" s="841"/>
      <c r="AN57" s="841"/>
      <c r="AO57" s="841"/>
    </row>
    <row r="58" spans="3:41">
      <c r="C58" s="283"/>
      <c r="D58" s="283"/>
      <c r="E58" s="285"/>
      <c r="F58" s="285"/>
      <c r="G58" s="285"/>
      <c r="H58" s="285"/>
      <c r="K58" s="568"/>
      <c r="L58" s="568"/>
      <c r="AI58" s="841"/>
      <c r="AJ58" s="841"/>
      <c r="AK58" s="841"/>
      <c r="AL58" s="841"/>
      <c r="AM58" s="841"/>
      <c r="AN58" s="841"/>
      <c r="AO58" s="841"/>
    </row>
    <row r="59" spans="3:41">
      <c r="C59" s="283"/>
      <c r="D59" s="283"/>
      <c r="E59" s="284"/>
      <c r="F59" s="284"/>
      <c r="G59" s="284"/>
      <c r="H59" s="284"/>
      <c r="K59" s="568"/>
      <c r="L59" s="568"/>
      <c r="AI59" s="841"/>
      <c r="AJ59" s="841"/>
      <c r="AK59" s="841"/>
      <c r="AL59" s="841"/>
      <c r="AM59" s="841"/>
      <c r="AN59" s="841"/>
      <c r="AO59" s="841"/>
    </row>
    <row r="60" spans="3:41" ht="17.25">
      <c r="C60" s="283"/>
      <c r="D60" s="283"/>
      <c r="E60" s="287"/>
      <c r="F60" s="287"/>
      <c r="G60" s="287"/>
      <c r="H60" s="287"/>
      <c r="K60" s="568"/>
      <c r="L60" s="568"/>
      <c r="AI60" s="841"/>
      <c r="AJ60" s="841"/>
      <c r="AK60" s="841"/>
      <c r="AL60" s="841"/>
      <c r="AM60" s="841"/>
      <c r="AN60" s="841"/>
      <c r="AO60" s="841"/>
    </row>
    <row r="61" spans="3:41">
      <c r="C61" s="283"/>
      <c r="D61" s="283"/>
      <c r="E61" s="288"/>
      <c r="F61" s="288"/>
      <c r="G61" s="288"/>
      <c r="H61" s="288"/>
      <c r="K61" s="568"/>
      <c r="L61" s="568"/>
      <c r="AI61" s="841"/>
      <c r="AJ61" s="841"/>
      <c r="AK61" s="841"/>
      <c r="AL61" s="841"/>
      <c r="AM61" s="841"/>
      <c r="AN61" s="841"/>
      <c r="AO61" s="841"/>
    </row>
    <row r="62" spans="3:41">
      <c r="E62" s="288"/>
      <c r="F62" s="288"/>
      <c r="G62" s="288"/>
      <c r="H62" s="288"/>
      <c r="K62" s="568"/>
      <c r="L62" s="568"/>
      <c r="AI62" s="841"/>
      <c r="AJ62" s="841"/>
      <c r="AK62" s="841"/>
      <c r="AL62" s="841"/>
      <c r="AM62" s="841"/>
      <c r="AN62" s="841"/>
      <c r="AO62" s="841"/>
    </row>
    <row r="63" spans="3:41">
      <c r="E63" s="288"/>
      <c r="F63" s="288"/>
      <c r="G63" s="288"/>
      <c r="H63" s="288"/>
      <c r="K63" s="568"/>
      <c r="L63" s="568"/>
      <c r="AI63" s="841"/>
      <c r="AJ63" s="841"/>
      <c r="AK63" s="841"/>
      <c r="AL63" s="841"/>
      <c r="AM63" s="841"/>
      <c r="AN63" s="841"/>
      <c r="AO63" s="841"/>
    </row>
    <row r="64" spans="3:41">
      <c r="G64" s="288"/>
      <c r="H64" s="288"/>
      <c r="K64" s="568"/>
      <c r="L64" s="568"/>
      <c r="AI64" s="841"/>
      <c r="AJ64" s="841"/>
      <c r="AK64" s="841"/>
      <c r="AL64" s="841"/>
      <c r="AM64" s="841"/>
      <c r="AN64" s="841"/>
      <c r="AO64" s="841"/>
    </row>
    <row r="65" spans="3:41">
      <c r="C65" s="283"/>
      <c r="D65" s="283"/>
      <c r="E65" s="284"/>
      <c r="F65" s="284"/>
      <c r="G65" s="284"/>
      <c r="H65" s="284"/>
      <c r="K65" s="568"/>
      <c r="L65" s="568"/>
      <c r="AI65" s="841"/>
      <c r="AJ65" s="841"/>
      <c r="AK65" s="841"/>
      <c r="AL65" s="841"/>
      <c r="AM65" s="841"/>
      <c r="AN65" s="841"/>
      <c r="AO65" s="841"/>
    </row>
    <row r="66" spans="3:41">
      <c r="C66" s="283"/>
      <c r="D66" s="283"/>
      <c r="E66" s="284"/>
      <c r="F66" s="284"/>
      <c r="G66" s="284"/>
      <c r="H66" s="284"/>
      <c r="K66" s="568"/>
      <c r="L66" s="568"/>
      <c r="AI66" s="841"/>
      <c r="AJ66" s="841"/>
      <c r="AK66" s="841"/>
      <c r="AL66" s="841"/>
      <c r="AM66" s="841"/>
      <c r="AN66" s="841"/>
      <c r="AO66" s="841"/>
    </row>
    <row r="67" spans="3:41">
      <c r="C67" s="283"/>
      <c r="D67" s="283"/>
      <c r="E67" s="288"/>
      <c r="F67" s="284"/>
      <c r="G67" s="288"/>
      <c r="H67" s="288"/>
      <c r="K67" s="568"/>
      <c r="L67" s="568"/>
      <c r="AI67" s="841"/>
      <c r="AJ67" s="841"/>
      <c r="AK67" s="841"/>
      <c r="AL67" s="841"/>
      <c r="AM67" s="841"/>
      <c r="AN67" s="841"/>
      <c r="AO67" s="841"/>
    </row>
    <row r="68" spans="3:41">
      <c r="C68" s="283"/>
      <c r="D68" s="283"/>
      <c r="E68" s="284"/>
      <c r="F68" s="284"/>
      <c r="G68" s="284"/>
      <c r="H68" s="284"/>
      <c r="K68" s="568"/>
      <c r="L68" s="568"/>
      <c r="AI68" s="841"/>
      <c r="AJ68" s="841"/>
      <c r="AK68" s="841"/>
      <c r="AL68" s="841"/>
      <c r="AM68" s="841"/>
      <c r="AN68" s="841"/>
      <c r="AO68" s="841"/>
    </row>
    <row r="69" spans="3:41">
      <c r="C69" s="283"/>
      <c r="D69" s="283"/>
      <c r="E69" s="284"/>
      <c r="F69" s="284"/>
      <c r="G69" s="284"/>
      <c r="H69" s="284"/>
      <c r="K69" s="568"/>
      <c r="L69" s="568"/>
      <c r="AI69" s="841"/>
      <c r="AJ69" s="841"/>
      <c r="AK69" s="841"/>
      <c r="AL69" s="841"/>
      <c r="AM69" s="841"/>
      <c r="AN69" s="841"/>
      <c r="AO69" s="841"/>
    </row>
    <row r="70" spans="3:41">
      <c r="C70" s="283"/>
      <c r="D70" s="283"/>
      <c r="E70" s="284"/>
      <c r="F70" s="284"/>
      <c r="G70" s="284"/>
      <c r="H70" s="284"/>
      <c r="K70" s="568"/>
      <c r="L70" s="568"/>
      <c r="AI70" s="841"/>
      <c r="AJ70" s="841"/>
      <c r="AK70" s="841"/>
      <c r="AL70" s="841"/>
      <c r="AM70" s="841"/>
      <c r="AN70" s="841"/>
      <c r="AO70" s="841"/>
    </row>
    <row r="71" spans="3:41" ht="17.25">
      <c r="C71" s="283"/>
      <c r="D71" s="283"/>
      <c r="E71" s="289"/>
      <c r="F71" s="289"/>
      <c r="G71" s="289"/>
      <c r="H71" s="289"/>
      <c r="K71" s="568"/>
      <c r="L71" s="568"/>
      <c r="AI71" s="841"/>
      <c r="AJ71" s="841"/>
      <c r="AK71" s="841"/>
      <c r="AL71" s="841"/>
      <c r="AM71" s="841"/>
      <c r="AN71" s="841"/>
      <c r="AO71" s="841"/>
    </row>
    <row r="72" spans="3:41">
      <c r="C72" s="283"/>
      <c r="D72" s="283"/>
      <c r="E72" s="286"/>
      <c r="F72" s="286"/>
      <c r="G72" s="286"/>
      <c r="H72" s="286"/>
      <c r="K72" s="568"/>
      <c r="L72" s="568"/>
      <c r="AI72" s="841"/>
      <c r="AJ72" s="841"/>
      <c r="AK72" s="841"/>
      <c r="AL72" s="841"/>
      <c r="AM72" s="841"/>
      <c r="AN72" s="841"/>
      <c r="AO72" s="841"/>
    </row>
    <row r="73" spans="3:41">
      <c r="K73" s="568"/>
      <c r="L73" s="568"/>
      <c r="AI73" s="841"/>
      <c r="AJ73" s="841"/>
      <c r="AK73" s="841"/>
      <c r="AL73" s="841"/>
      <c r="AM73" s="841"/>
      <c r="AN73" s="841"/>
      <c r="AO73" s="841"/>
    </row>
    <row r="74" spans="3:41">
      <c r="K74" s="568"/>
      <c r="L74" s="568"/>
      <c r="AI74" s="841"/>
      <c r="AJ74" s="841"/>
      <c r="AK74" s="841"/>
      <c r="AL74" s="841"/>
      <c r="AM74" s="841"/>
      <c r="AN74" s="841"/>
      <c r="AO74" s="841"/>
    </row>
    <row r="75" spans="3:41">
      <c r="E75" s="286"/>
      <c r="K75" s="568"/>
      <c r="L75" s="568"/>
      <c r="AI75" s="841"/>
      <c r="AJ75" s="841"/>
      <c r="AK75" s="841"/>
      <c r="AL75" s="841"/>
      <c r="AM75" s="841"/>
      <c r="AN75" s="841"/>
      <c r="AO75" s="841"/>
    </row>
    <row r="76" spans="3:41">
      <c r="K76" s="568"/>
      <c r="L76" s="568"/>
    </row>
    <row r="77" spans="3:41">
      <c r="K77" s="568"/>
      <c r="L77" s="568"/>
    </row>
    <row r="78" spans="3:41">
      <c r="K78" s="568"/>
      <c r="L78" s="568"/>
    </row>
    <row r="79" spans="3:41">
      <c r="K79" s="568"/>
      <c r="L79" s="568"/>
    </row>
    <row r="80" spans="3:41">
      <c r="K80" s="568"/>
      <c r="L80" s="568"/>
    </row>
    <row r="88" spans="3:3">
      <c r="C88"/>
    </row>
  </sheetData>
  <phoneticPr fontId="55" type="noConversion"/>
  <pageMargins left="1" right="1" top="1" bottom="1" header="0.5" footer="0.5"/>
  <pageSetup scale="69" orientation="portrait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5">
    <tabColor theme="1"/>
    <pageSetUpPr fitToPage="1"/>
  </sheetPr>
  <dimension ref="A1:K25"/>
  <sheetViews>
    <sheetView view="pageBreakPreview" zoomScale="70" zoomScaleNormal="90" zoomScaleSheetLayoutView="70" workbookViewId="0">
      <selection activeCell="E70" sqref="E70"/>
    </sheetView>
  </sheetViews>
  <sheetFormatPr defaultRowHeight="14.25"/>
  <cols>
    <col min="1" max="1" width="5.77734375" style="170" customWidth="1"/>
    <col min="2" max="2" width="1.21875" style="170" customWidth="1"/>
    <col min="3" max="3" width="57" style="170" customWidth="1"/>
    <col min="4" max="4" width="1.77734375" style="170" customWidth="1"/>
    <col min="5" max="5" width="16" style="170" bestFit="1" customWidth="1"/>
    <col min="6" max="6" width="2.77734375" style="170" customWidth="1"/>
    <col min="7" max="7" width="5.77734375" style="170" customWidth="1"/>
    <col min="8" max="8" width="5.44140625" style="170" customWidth="1"/>
    <col min="9" max="9" width="8.77734375" style="170"/>
    <col min="10" max="10" width="10.77734375" style="170" bestFit="1" customWidth="1"/>
    <col min="11" max="11" width="10.21875" style="170" customWidth="1"/>
    <col min="12" max="248" width="8.77734375" style="170"/>
    <col min="249" max="249" width="54.77734375" style="170" customWidth="1"/>
    <col min="250" max="250" width="13.77734375" style="170" customWidth="1"/>
    <col min="251" max="251" width="0" style="170" hidden="1" customWidth="1"/>
    <col min="252" max="252" width="6.77734375" style="170" customWidth="1"/>
    <col min="253" max="253" width="15" style="170" customWidth="1"/>
    <col min="254" max="254" width="3.77734375" style="170" bestFit="1" customWidth="1"/>
    <col min="255" max="255" width="15.44140625" style="170" bestFit="1" customWidth="1"/>
    <col min="256" max="256" width="3.77734375" style="170" customWidth="1"/>
    <col min="257" max="257" width="11.21875" style="170" bestFit="1" customWidth="1"/>
    <col min="258" max="258" width="3.77734375" style="170" customWidth="1"/>
    <col min="259" max="259" width="13.5546875" style="170" customWidth="1"/>
    <col min="260" max="260" width="1" style="170" customWidth="1"/>
    <col min="261" max="261" width="14.21875" style="170" bestFit="1" customWidth="1"/>
    <col min="262" max="262" width="3.21875" style="170" customWidth="1"/>
    <col min="263" max="263" width="20.44140625" style="170" customWidth="1"/>
    <col min="264" max="504" width="8.77734375" style="170"/>
    <col min="505" max="505" width="54.77734375" style="170" customWidth="1"/>
    <col min="506" max="506" width="13.77734375" style="170" customWidth="1"/>
    <col min="507" max="507" width="0" style="170" hidden="1" customWidth="1"/>
    <col min="508" max="508" width="6.77734375" style="170" customWidth="1"/>
    <col min="509" max="509" width="15" style="170" customWidth="1"/>
    <col min="510" max="510" width="3.77734375" style="170" bestFit="1" customWidth="1"/>
    <col min="511" max="511" width="15.44140625" style="170" bestFit="1" customWidth="1"/>
    <col min="512" max="512" width="3.77734375" style="170" customWidth="1"/>
    <col min="513" max="513" width="11.21875" style="170" bestFit="1" customWidth="1"/>
    <col min="514" max="514" width="3.77734375" style="170" customWidth="1"/>
    <col min="515" max="515" width="13.5546875" style="170" customWidth="1"/>
    <col min="516" max="516" width="1" style="170" customWidth="1"/>
    <col min="517" max="517" width="14.21875" style="170" bestFit="1" customWidth="1"/>
    <col min="518" max="518" width="3.21875" style="170" customWidth="1"/>
    <col min="519" max="519" width="20.44140625" style="170" customWidth="1"/>
    <col min="520" max="760" width="8.77734375" style="170"/>
    <col min="761" max="761" width="54.77734375" style="170" customWidth="1"/>
    <col min="762" max="762" width="13.77734375" style="170" customWidth="1"/>
    <col min="763" max="763" width="0" style="170" hidden="1" customWidth="1"/>
    <col min="764" max="764" width="6.77734375" style="170" customWidth="1"/>
    <col min="765" max="765" width="15" style="170" customWidth="1"/>
    <col min="766" max="766" width="3.77734375" style="170" bestFit="1" customWidth="1"/>
    <col min="767" max="767" width="15.44140625" style="170" bestFit="1" customWidth="1"/>
    <col min="768" max="768" width="3.77734375" style="170" customWidth="1"/>
    <col min="769" max="769" width="11.21875" style="170" bestFit="1" customWidth="1"/>
    <col min="770" max="770" width="3.77734375" style="170" customWidth="1"/>
    <col min="771" max="771" width="13.5546875" style="170" customWidth="1"/>
    <col min="772" max="772" width="1" style="170" customWidth="1"/>
    <col min="773" max="773" width="14.21875" style="170" bestFit="1" customWidth="1"/>
    <col min="774" max="774" width="3.21875" style="170" customWidth="1"/>
    <col min="775" max="775" width="20.44140625" style="170" customWidth="1"/>
    <col min="776" max="1016" width="8.77734375" style="170"/>
    <col min="1017" max="1017" width="54.77734375" style="170" customWidth="1"/>
    <col min="1018" max="1018" width="13.77734375" style="170" customWidth="1"/>
    <col min="1019" max="1019" width="0" style="170" hidden="1" customWidth="1"/>
    <col min="1020" max="1020" width="6.77734375" style="170" customWidth="1"/>
    <col min="1021" max="1021" width="15" style="170" customWidth="1"/>
    <col min="1022" max="1022" width="3.77734375" style="170" bestFit="1" customWidth="1"/>
    <col min="1023" max="1023" width="15.44140625" style="170" bestFit="1" customWidth="1"/>
    <col min="1024" max="1024" width="3.77734375" style="170" customWidth="1"/>
    <col min="1025" max="1025" width="11.21875" style="170" bestFit="1" customWidth="1"/>
    <col min="1026" max="1026" width="3.77734375" style="170" customWidth="1"/>
    <col min="1027" max="1027" width="13.5546875" style="170" customWidth="1"/>
    <col min="1028" max="1028" width="1" style="170" customWidth="1"/>
    <col min="1029" max="1029" width="14.21875" style="170" bestFit="1" customWidth="1"/>
    <col min="1030" max="1030" width="3.21875" style="170" customWidth="1"/>
    <col min="1031" max="1031" width="20.44140625" style="170" customWidth="1"/>
    <col min="1032" max="1272" width="8.77734375" style="170"/>
    <col min="1273" max="1273" width="54.77734375" style="170" customWidth="1"/>
    <col min="1274" max="1274" width="13.77734375" style="170" customWidth="1"/>
    <col min="1275" max="1275" width="0" style="170" hidden="1" customWidth="1"/>
    <col min="1276" max="1276" width="6.77734375" style="170" customWidth="1"/>
    <col min="1277" max="1277" width="15" style="170" customWidth="1"/>
    <col min="1278" max="1278" width="3.77734375" style="170" bestFit="1" customWidth="1"/>
    <col min="1279" max="1279" width="15.44140625" style="170" bestFit="1" customWidth="1"/>
    <col min="1280" max="1280" width="3.77734375" style="170" customWidth="1"/>
    <col min="1281" max="1281" width="11.21875" style="170" bestFit="1" customWidth="1"/>
    <col min="1282" max="1282" width="3.77734375" style="170" customWidth="1"/>
    <col min="1283" max="1283" width="13.5546875" style="170" customWidth="1"/>
    <col min="1284" max="1284" width="1" style="170" customWidth="1"/>
    <col min="1285" max="1285" width="14.21875" style="170" bestFit="1" customWidth="1"/>
    <col min="1286" max="1286" width="3.21875" style="170" customWidth="1"/>
    <col min="1287" max="1287" width="20.44140625" style="170" customWidth="1"/>
    <col min="1288" max="1528" width="8.77734375" style="170"/>
    <col min="1529" max="1529" width="54.77734375" style="170" customWidth="1"/>
    <col min="1530" max="1530" width="13.77734375" style="170" customWidth="1"/>
    <col min="1531" max="1531" width="0" style="170" hidden="1" customWidth="1"/>
    <col min="1532" max="1532" width="6.77734375" style="170" customWidth="1"/>
    <col min="1533" max="1533" width="15" style="170" customWidth="1"/>
    <col min="1534" max="1534" width="3.77734375" style="170" bestFit="1" customWidth="1"/>
    <col min="1535" max="1535" width="15.44140625" style="170" bestFit="1" customWidth="1"/>
    <col min="1536" max="1536" width="3.77734375" style="170" customWidth="1"/>
    <col min="1537" max="1537" width="11.21875" style="170" bestFit="1" customWidth="1"/>
    <col min="1538" max="1538" width="3.77734375" style="170" customWidth="1"/>
    <col min="1539" max="1539" width="13.5546875" style="170" customWidth="1"/>
    <col min="1540" max="1540" width="1" style="170" customWidth="1"/>
    <col min="1541" max="1541" width="14.21875" style="170" bestFit="1" customWidth="1"/>
    <col min="1542" max="1542" width="3.21875" style="170" customWidth="1"/>
    <col min="1543" max="1543" width="20.44140625" style="170" customWidth="1"/>
    <col min="1544" max="1784" width="8.77734375" style="170"/>
    <col min="1785" max="1785" width="54.77734375" style="170" customWidth="1"/>
    <col min="1786" max="1786" width="13.77734375" style="170" customWidth="1"/>
    <col min="1787" max="1787" width="0" style="170" hidden="1" customWidth="1"/>
    <col min="1788" max="1788" width="6.77734375" style="170" customWidth="1"/>
    <col min="1789" max="1789" width="15" style="170" customWidth="1"/>
    <col min="1790" max="1790" width="3.77734375" style="170" bestFit="1" customWidth="1"/>
    <col min="1791" max="1791" width="15.44140625" style="170" bestFit="1" customWidth="1"/>
    <col min="1792" max="1792" width="3.77734375" style="170" customWidth="1"/>
    <col min="1793" max="1793" width="11.21875" style="170" bestFit="1" customWidth="1"/>
    <col min="1794" max="1794" width="3.77734375" style="170" customWidth="1"/>
    <col min="1795" max="1795" width="13.5546875" style="170" customWidth="1"/>
    <col min="1796" max="1796" width="1" style="170" customWidth="1"/>
    <col min="1797" max="1797" width="14.21875" style="170" bestFit="1" customWidth="1"/>
    <col min="1798" max="1798" width="3.21875" style="170" customWidth="1"/>
    <col min="1799" max="1799" width="20.44140625" style="170" customWidth="1"/>
    <col min="1800" max="2040" width="8.77734375" style="170"/>
    <col min="2041" max="2041" width="54.77734375" style="170" customWidth="1"/>
    <col min="2042" max="2042" width="13.77734375" style="170" customWidth="1"/>
    <col min="2043" max="2043" width="0" style="170" hidden="1" customWidth="1"/>
    <col min="2044" max="2044" width="6.77734375" style="170" customWidth="1"/>
    <col min="2045" max="2045" width="15" style="170" customWidth="1"/>
    <col min="2046" max="2046" width="3.77734375" style="170" bestFit="1" customWidth="1"/>
    <col min="2047" max="2047" width="15.44140625" style="170" bestFit="1" customWidth="1"/>
    <col min="2048" max="2048" width="3.77734375" style="170" customWidth="1"/>
    <col min="2049" max="2049" width="11.21875" style="170" bestFit="1" customWidth="1"/>
    <col min="2050" max="2050" width="3.77734375" style="170" customWidth="1"/>
    <col min="2051" max="2051" width="13.5546875" style="170" customWidth="1"/>
    <col min="2052" max="2052" width="1" style="170" customWidth="1"/>
    <col min="2053" max="2053" width="14.21875" style="170" bestFit="1" customWidth="1"/>
    <col min="2054" max="2054" width="3.21875" style="170" customWidth="1"/>
    <col min="2055" max="2055" width="20.44140625" style="170" customWidth="1"/>
    <col min="2056" max="2296" width="8.77734375" style="170"/>
    <col min="2297" max="2297" width="54.77734375" style="170" customWidth="1"/>
    <col min="2298" max="2298" width="13.77734375" style="170" customWidth="1"/>
    <col min="2299" max="2299" width="0" style="170" hidden="1" customWidth="1"/>
    <col min="2300" max="2300" width="6.77734375" style="170" customWidth="1"/>
    <col min="2301" max="2301" width="15" style="170" customWidth="1"/>
    <col min="2302" max="2302" width="3.77734375" style="170" bestFit="1" customWidth="1"/>
    <col min="2303" max="2303" width="15.44140625" style="170" bestFit="1" customWidth="1"/>
    <col min="2304" max="2304" width="3.77734375" style="170" customWidth="1"/>
    <col min="2305" max="2305" width="11.21875" style="170" bestFit="1" customWidth="1"/>
    <col min="2306" max="2306" width="3.77734375" style="170" customWidth="1"/>
    <col min="2307" max="2307" width="13.5546875" style="170" customWidth="1"/>
    <col min="2308" max="2308" width="1" style="170" customWidth="1"/>
    <col min="2309" max="2309" width="14.21875" style="170" bestFit="1" customWidth="1"/>
    <col min="2310" max="2310" width="3.21875" style="170" customWidth="1"/>
    <col min="2311" max="2311" width="20.44140625" style="170" customWidth="1"/>
    <col min="2312" max="2552" width="8.77734375" style="170"/>
    <col min="2553" max="2553" width="54.77734375" style="170" customWidth="1"/>
    <col min="2554" max="2554" width="13.77734375" style="170" customWidth="1"/>
    <col min="2555" max="2555" width="0" style="170" hidden="1" customWidth="1"/>
    <col min="2556" max="2556" width="6.77734375" style="170" customWidth="1"/>
    <col min="2557" max="2557" width="15" style="170" customWidth="1"/>
    <col min="2558" max="2558" width="3.77734375" style="170" bestFit="1" customWidth="1"/>
    <col min="2559" max="2559" width="15.44140625" style="170" bestFit="1" customWidth="1"/>
    <col min="2560" max="2560" width="3.77734375" style="170" customWidth="1"/>
    <col min="2561" max="2561" width="11.21875" style="170" bestFit="1" customWidth="1"/>
    <col min="2562" max="2562" width="3.77734375" style="170" customWidth="1"/>
    <col min="2563" max="2563" width="13.5546875" style="170" customWidth="1"/>
    <col min="2564" max="2564" width="1" style="170" customWidth="1"/>
    <col min="2565" max="2565" width="14.21875" style="170" bestFit="1" customWidth="1"/>
    <col min="2566" max="2566" width="3.21875" style="170" customWidth="1"/>
    <col min="2567" max="2567" width="20.44140625" style="170" customWidth="1"/>
    <col min="2568" max="2808" width="8.77734375" style="170"/>
    <col min="2809" max="2809" width="54.77734375" style="170" customWidth="1"/>
    <col min="2810" max="2810" width="13.77734375" style="170" customWidth="1"/>
    <col min="2811" max="2811" width="0" style="170" hidden="1" customWidth="1"/>
    <col min="2812" max="2812" width="6.77734375" style="170" customWidth="1"/>
    <col min="2813" max="2813" width="15" style="170" customWidth="1"/>
    <col min="2814" max="2814" width="3.77734375" style="170" bestFit="1" customWidth="1"/>
    <col min="2815" max="2815" width="15.44140625" style="170" bestFit="1" customWidth="1"/>
    <col min="2816" max="2816" width="3.77734375" style="170" customWidth="1"/>
    <col min="2817" max="2817" width="11.21875" style="170" bestFit="1" customWidth="1"/>
    <col min="2818" max="2818" width="3.77734375" style="170" customWidth="1"/>
    <col min="2819" max="2819" width="13.5546875" style="170" customWidth="1"/>
    <col min="2820" max="2820" width="1" style="170" customWidth="1"/>
    <col min="2821" max="2821" width="14.21875" style="170" bestFit="1" customWidth="1"/>
    <col min="2822" max="2822" width="3.21875" style="170" customWidth="1"/>
    <col min="2823" max="2823" width="20.44140625" style="170" customWidth="1"/>
    <col min="2824" max="3064" width="8.77734375" style="170"/>
    <col min="3065" max="3065" width="54.77734375" style="170" customWidth="1"/>
    <col min="3066" max="3066" width="13.77734375" style="170" customWidth="1"/>
    <col min="3067" max="3067" width="0" style="170" hidden="1" customWidth="1"/>
    <col min="3068" max="3068" width="6.77734375" style="170" customWidth="1"/>
    <col min="3069" max="3069" width="15" style="170" customWidth="1"/>
    <col min="3070" max="3070" width="3.77734375" style="170" bestFit="1" customWidth="1"/>
    <col min="3071" max="3071" width="15.44140625" style="170" bestFit="1" customWidth="1"/>
    <col min="3072" max="3072" width="3.77734375" style="170" customWidth="1"/>
    <col min="3073" max="3073" width="11.21875" style="170" bestFit="1" customWidth="1"/>
    <col min="3074" max="3074" width="3.77734375" style="170" customWidth="1"/>
    <col min="3075" max="3075" width="13.5546875" style="170" customWidth="1"/>
    <col min="3076" max="3076" width="1" style="170" customWidth="1"/>
    <col min="3077" max="3077" width="14.21875" style="170" bestFit="1" customWidth="1"/>
    <col min="3078" max="3078" width="3.21875" style="170" customWidth="1"/>
    <col min="3079" max="3079" width="20.44140625" style="170" customWidth="1"/>
    <col min="3080" max="3320" width="8.77734375" style="170"/>
    <col min="3321" max="3321" width="54.77734375" style="170" customWidth="1"/>
    <col min="3322" max="3322" width="13.77734375" style="170" customWidth="1"/>
    <col min="3323" max="3323" width="0" style="170" hidden="1" customWidth="1"/>
    <col min="3324" max="3324" width="6.77734375" style="170" customWidth="1"/>
    <col min="3325" max="3325" width="15" style="170" customWidth="1"/>
    <col min="3326" max="3326" width="3.77734375" style="170" bestFit="1" customWidth="1"/>
    <col min="3327" max="3327" width="15.44140625" style="170" bestFit="1" customWidth="1"/>
    <col min="3328" max="3328" width="3.77734375" style="170" customWidth="1"/>
    <col min="3329" max="3329" width="11.21875" style="170" bestFit="1" customWidth="1"/>
    <col min="3330" max="3330" width="3.77734375" style="170" customWidth="1"/>
    <col min="3331" max="3331" width="13.5546875" style="170" customWidth="1"/>
    <col min="3332" max="3332" width="1" style="170" customWidth="1"/>
    <col min="3333" max="3333" width="14.21875" style="170" bestFit="1" customWidth="1"/>
    <col min="3334" max="3334" width="3.21875" style="170" customWidth="1"/>
    <col min="3335" max="3335" width="20.44140625" style="170" customWidth="1"/>
    <col min="3336" max="3576" width="8.77734375" style="170"/>
    <col min="3577" max="3577" width="54.77734375" style="170" customWidth="1"/>
    <col min="3578" max="3578" width="13.77734375" style="170" customWidth="1"/>
    <col min="3579" max="3579" width="0" style="170" hidden="1" customWidth="1"/>
    <col min="3580" max="3580" width="6.77734375" style="170" customWidth="1"/>
    <col min="3581" max="3581" width="15" style="170" customWidth="1"/>
    <col min="3582" max="3582" width="3.77734375" style="170" bestFit="1" customWidth="1"/>
    <col min="3583" max="3583" width="15.44140625" style="170" bestFit="1" customWidth="1"/>
    <col min="3584" max="3584" width="3.77734375" style="170" customWidth="1"/>
    <col min="3585" max="3585" width="11.21875" style="170" bestFit="1" customWidth="1"/>
    <col min="3586" max="3586" width="3.77734375" style="170" customWidth="1"/>
    <col min="3587" max="3587" width="13.5546875" style="170" customWidth="1"/>
    <col min="3588" max="3588" width="1" style="170" customWidth="1"/>
    <col min="3589" max="3589" width="14.21875" style="170" bestFit="1" customWidth="1"/>
    <col min="3590" max="3590" width="3.21875" style="170" customWidth="1"/>
    <col min="3591" max="3591" width="20.44140625" style="170" customWidth="1"/>
    <col min="3592" max="3832" width="8.77734375" style="170"/>
    <col min="3833" max="3833" width="54.77734375" style="170" customWidth="1"/>
    <col min="3834" max="3834" width="13.77734375" style="170" customWidth="1"/>
    <col min="3835" max="3835" width="0" style="170" hidden="1" customWidth="1"/>
    <col min="3836" max="3836" width="6.77734375" style="170" customWidth="1"/>
    <col min="3837" max="3837" width="15" style="170" customWidth="1"/>
    <col min="3838" max="3838" width="3.77734375" style="170" bestFit="1" customWidth="1"/>
    <col min="3839" max="3839" width="15.44140625" style="170" bestFit="1" customWidth="1"/>
    <col min="3840" max="3840" width="3.77734375" style="170" customWidth="1"/>
    <col min="3841" max="3841" width="11.21875" style="170" bestFit="1" customWidth="1"/>
    <col min="3842" max="3842" width="3.77734375" style="170" customWidth="1"/>
    <col min="3843" max="3843" width="13.5546875" style="170" customWidth="1"/>
    <col min="3844" max="3844" width="1" style="170" customWidth="1"/>
    <col min="3845" max="3845" width="14.21875" style="170" bestFit="1" customWidth="1"/>
    <col min="3846" max="3846" width="3.21875" style="170" customWidth="1"/>
    <col min="3847" max="3847" width="20.44140625" style="170" customWidth="1"/>
    <col min="3848" max="4088" width="8.77734375" style="170"/>
    <col min="4089" max="4089" width="54.77734375" style="170" customWidth="1"/>
    <col min="4090" max="4090" width="13.77734375" style="170" customWidth="1"/>
    <col min="4091" max="4091" width="0" style="170" hidden="1" customWidth="1"/>
    <col min="4092" max="4092" width="6.77734375" style="170" customWidth="1"/>
    <col min="4093" max="4093" width="15" style="170" customWidth="1"/>
    <col min="4094" max="4094" width="3.77734375" style="170" bestFit="1" customWidth="1"/>
    <col min="4095" max="4095" width="15.44140625" style="170" bestFit="1" customWidth="1"/>
    <col min="4096" max="4096" width="3.77734375" style="170" customWidth="1"/>
    <col min="4097" max="4097" width="11.21875" style="170" bestFit="1" customWidth="1"/>
    <col min="4098" max="4098" width="3.77734375" style="170" customWidth="1"/>
    <col min="4099" max="4099" width="13.5546875" style="170" customWidth="1"/>
    <col min="4100" max="4100" width="1" style="170" customWidth="1"/>
    <col min="4101" max="4101" width="14.21875" style="170" bestFit="1" customWidth="1"/>
    <col min="4102" max="4102" width="3.21875" style="170" customWidth="1"/>
    <col min="4103" max="4103" width="20.44140625" style="170" customWidth="1"/>
    <col min="4104" max="4344" width="8.77734375" style="170"/>
    <col min="4345" max="4345" width="54.77734375" style="170" customWidth="1"/>
    <col min="4346" max="4346" width="13.77734375" style="170" customWidth="1"/>
    <col min="4347" max="4347" width="0" style="170" hidden="1" customWidth="1"/>
    <col min="4348" max="4348" width="6.77734375" style="170" customWidth="1"/>
    <col min="4349" max="4349" width="15" style="170" customWidth="1"/>
    <col min="4350" max="4350" width="3.77734375" style="170" bestFit="1" customWidth="1"/>
    <col min="4351" max="4351" width="15.44140625" style="170" bestFit="1" customWidth="1"/>
    <col min="4352" max="4352" width="3.77734375" style="170" customWidth="1"/>
    <col min="4353" max="4353" width="11.21875" style="170" bestFit="1" customWidth="1"/>
    <col min="4354" max="4354" width="3.77734375" style="170" customWidth="1"/>
    <col min="4355" max="4355" width="13.5546875" style="170" customWidth="1"/>
    <col min="4356" max="4356" width="1" style="170" customWidth="1"/>
    <col min="4357" max="4357" width="14.21875" style="170" bestFit="1" customWidth="1"/>
    <col min="4358" max="4358" width="3.21875" style="170" customWidth="1"/>
    <col min="4359" max="4359" width="20.44140625" style="170" customWidth="1"/>
    <col min="4360" max="4600" width="8.77734375" style="170"/>
    <col min="4601" max="4601" width="54.77734375" style="170" customWidth="1"/>
    <col min="4602" max="4602" width="13.77734375" style="170" customWidth="1"/>
    <col min="4603" max="4603" width="0" style="170" hidden="1" customWidth="1"/>
    <col min="4604" max="4604" width="6.77734375" style="170" customWidth="1"/>
    <col min="4605" max="4605" width="15" style="170" customWidth="1"/>
    <col min="4606" max="4606" width="3.77734375" style="170" bestFit="1" customWidth="1"/>
    <col min="4607" max="4607" width="15.44140625" style="170" bestFit="1" customWidth="1"/>
    <col min="4608" max="4608" width="3.77734375" style="170" customWidth="1"/>
    <col min="4609" max="4609" width="11.21875" style="170" bestFit="1" customWidth="1"/>
    <col min="4610" max="4610" width="3.77734375" style="170" customWidth="1"/>
    <col min="4611" max="4611" width="13.5546875" style="170" customWidth="1"/>
    <col min="4612" max="4612" width="1" style="170" customWidth="1"/>
    <col min="4613" max="4613" width="14.21875" style="170" bestFit="1" customWidth="1"/>
    <col min="4614" max="4614" width="3.21875" style="170" customWidth="1"/>
    <col min="4615" max="4615" width="20.44140625" style="170" customWidth="1"/>
    <col min="4616" max="4856" width="8.77734375" style="170"/>
    <col min="4857" max="4857" width="54.77734375" style="170" customWidth="1"/>
    <col min="4858" max="4858" width="13.77734375" style="170" customWidth="1"/>
    <col min="4859" max="4859" width="0" style="170" hidden="1" customWidth="1"/>
    <col min="4860" max="4860" width="6.77734375" style="170" customWidth="1"/>
    <col min="4861" max="4861" width="15" style="170" customWidth="1"/>
    <col min="4862" max="4862" width="3.77734375" style="170" bestFit="1" customWidth="1"/>
    <col min="4863" max="4863" width="15.44140625" style="170" bestFit="1" customWidth="1"/>
    <col min="4864" max="4864" width="3.77734375" style="170" customWidth="1"/>
    <col min="4865" max="4865" width="11.21875" style="170" bestFit="1" customWidth="1"/>
    <col min="4866" max="4866" width="3.77734375" style="170" customWidth="1"/>
    <col min="4867" max="4867" width="13.5546875" style="170" customWidth="1"/>
    <col min="4868" max="4868" width="1" style="170" customWidth="1"/>
    <col min="4869" max="4869" width="14.21875" style="170" bestFit="1" customWidth="1"/>
    <col min="4870" max="4870" width="3.21875" style="170" customWidth="1"/>
    <col min="4871" max="4871" width="20.44140625" style="170" customWidth="1"/>
    <col min="4872" max="5112" width="8.77734375" style="170"/>
    <col min="5113" max="5113" width="54.77734375" style="170" customWidth="1"/>
    <col min="5114" max="5114" width="13.77734375" style="170" customWidth="1"/>
    <col min="5115" max="5115" width="0" style="170" hidden="1" customWidth="1"/>
    <col min="5116" max="5116" width="6.77734375" style="170" customWidth="1"/>
    <col min="5117" max="5117" width="15" style="170" customWidth="1"/>
    <col min="5118" max="5118" width="3.77734375" style="170" bestFit="1" customWidth="1"/>
    <col min="5119" max="5119" width="15.44140625" style="170" bestFit="1" customWidth="1"/>
    <col min="5120" max="5120" width="3.77734375" style="170" customWidth="1"/>
    <col min="5121" max="5121" width="11.21875" style="170" bestFit="1" customWidth="1"/>
    <col min="5122" max="5122" width="3.77734375" style="170" customWidth="1"/>
    <col min="5123" max="5123" width="13.5546875" style="170" customWidth="1"/>
    <col min="5124" max="5124" width="1" style="170" customWidth="1"/>
    <col min="5125" max="5125" width="14.21875" style="170" bestFit="1" customWidth="1"/>
    <col min="5126" max="5126" width="3.21875" style="170" customWidth="1"/>
    <col min="5127" max="5127" width="20.44140625" style="170" customWidth="1"/>
    <col min="5128" max="5368" width="8.77734375" style="170"/>
    <col min="5369" max="5369" width="54.77734375" style="170" customWidth="1"/>
    <col min="5370" max="5370" width="13.77734375" style="170" customWidth="1"/>
    <col min="5371" max="5371" width="0" style="170" hidden="1" customWidth="1"/>
    <col min="5372" max="5372" width="6.77734375" style="170" customWidth="1"/>
    <col min="5373" max="5373" width="15" style="170" customWidth="1"/>
    <col min="5374" max="5374" width="3.77734375" style="170" bestFit="1" customWidth="1"/>
    <col min="5375" max="5375" width="15.44140625" style="170" bestFit="1" customWidth="1"/>
    <col min="5376" max="5376" width="3.77734375" style="170" customWidth="1"/>
    <col min="5377" max="5377" width="11.21875" style="170" bestFit="1" customWidth="1"/>
    <col min="5378" max="5378" width="3.77734375" style="170" customWidth="1"/>
    <col min="5379" max="5379" width="13.5546875" style="170" customWidth="1"/>
    <col min="5380" max="5380" width="1" style="170" customWidth="1"/>
    <col min="5381" max="5381" width="14.21875" style="170" bestFit="1" customWidth="1"/>
    <col min="5382" max="5382" width="3.21875" style="170" customWidth="1"/>
    <col min="5383" max="5383" width="20.44140625" style="170" customWidth="1"/>
    <col min="5384" max="5624" width="8.77734375" style="170"/>
    <col min="5625" max="5625" width="54.77734375" style="170" customWidth="1"/>
    <col min="5626" max="5626" width="13.77734375" style="170" customWidth="1"/>
    <col min="5627" max="5627" width="0" style="170" hidden="1" customWidth="1"/>
    <col min="5628" max="5628" width="6.77734375" style="170" customWidth="1"/>
    <col min="5629" max="5629" width="15" style="170" customWidth="1"/>
    <col min="5630" max="5630" width="3.77734375" style="170" bestFit="1" customWidth="1"/>
    <col min="5631" max="5631" width="15.44140625" style="170" bestFit="1" customWidth="1"/>
    <col min="5632" max="5632" width="3.77734375" style="170" customWidth="1"/>
    <col min="5633" max="5633" width="11.21875" style="170" bestFit="1" customWidth="1"/>
    <col min="5634" max="5634" width="3.77734375" style="170" customWidth="1"/>
    <col min="5635" max="5635" width="13.5546875" style="170" customWidth="1"/>
    <col min="5636" max="5636" width="1" style="170" customWidth="1"/>
    <col min="5637" max="5637" width="14.21875" style="170" bestFit="1" customWidth="1"/>
    <col min="5638" max="5638" width="3.21875" style="170" customWidth="1"/>
    <col min="5639" max="5639" width="20.44140625" style="170" customWidth="1"/>
    <col min="5640" max="5880" width="8.77734375" style="170"/>
    <col min="5881" max="5881" width="54.77734375" style="170" customWidth="1"/>
    <col min="5882" max="5882" width="13.77734375" style="170" customWidth="1"/>
    <col min="5883" max="5883" width="0" style="170" hidden="1" customWidth="1"/>
    <col min="5884" max="5884" width="6.77734375" style="170" customWidth="1"/>
    <col min="5885" max="5885" width="15" style="170" customWidth="1"/>
    <col min="5886" max="5886" width="3.77734375" style="170" bestFit="1" customWidth="1"/>
    <col min="5887" max="5887" width="15.44140625" style="170" bestFit="1" customWidth="1"/>
    <col min="5888" max="5888" width="3.77734375" style="170" customWidth="1"/>
    <col min="5889" max="5889" width="11.21875" style="170" bestFit="1" customWidth="1"/>
    <col min="5890" max="5890" width="3.77734375" style="170" customWidth="1"/>
    <col min="5891" max="5891" width="13.5546875" style="170" customWidth="1"/>
    <col min="5892" max="5892" width="1" style="170" customWidth="1"/>
    <col min="5893" max="5893" width="14.21875" style="170" bestFit="1" customWidth="1"/>
    <col min="5894" max="5894" width="3.21875" style="170" customWidth="1"/>
    <col min="5895" max="5895" width="20.44140625" style="170" customWidth="1"/>
    <col min="5896" max="6136" width="8.77734375" style="170"/>
    <col min="6137" max="6137" width="54.77734375" style="170" customWidth="1"/>
    <col min="6138" max="6138" width="13.77734375" style="170" customWidth="1"/>
    <col min="6139" max="6139" width="0" style="170" hidden="1" customWidth="1"/>
    <col min="6140" max="6140" width="6.77734375" style="170" customWidth="1"/>
    <col min="6141" max="6141" width="15" style="170" customWidth="1"/>
    <col min="6142" max="6142" width="3.77734375" style="170" bestFit="1" customWidth="1"/>
    <col min="6143" max="6143" width="15.44140625" style="170" bestFit="1" customWidth="1"/>
    <col min="6144" max="6144" width="3.77734375" style="170" customWidth="1"/>
    <col min="6145" max="6145" width="11.21875" style="170" bestFit="1" customWidth="1"/>
    <col min="6146" max="6146" width="3.77734375" style="170" customWidth="1"/>
    <col min="6147" max="6147" width="13.5546875" style="170" customWidth="1"/>
    <col min="6148" max="6148" width="1" style="170" customWidth="1"/>
    <col min="6149" max="6149" width="14.21875" style="170" bestFit="1" customWidth="1"/>
    <col min="6150" max="6150" width="3.21875" style="170" customWidth="1"/>
    <col min="6151" max="6151" width="20.44140625" style="170" customWidth="1"/>
    <col min="6152" max="6392" width="8.77734375" style="170"/>
    <col min="6393" max="6393" width="54.77734375" style="170" customWidth="1"/>
    <col min="6394" max="6394" width="13.77734375" style="170" customWidth="1"/>
    <col min="6395" max="6395" width="0" style="170" hidden="1" customWidth="1"/>
    <col min="6396" max="6396" width="6.77734375" style="170" customWidth="1"/>
    <col min="6397" max="6397" width="15" style="170" customWidth="1"/>
    <col min="6398" max="6398" width="3.77734375" style="170" bestFit="1" customWidth="1"/>
    <col min="6399" max="6399" width="15.44140625" style="170" bestFit="1" customWidth="1"/>
    <col min="6400" max="6400" width="3.77734375" style="170" customWidth="1"/>
    <col min="6401" max="6401" width="11.21875" style="170" bestFit="1" customWidth="1"/>
    <col min="6402" max="6402" width="3.77734375" style="170" customWidth="1"/>
    <col min="6403" max="6403" width="13.5546875" style="170" customWidth="1"/>
    <col min="6404" max="6404" width="1" style="170" customWidth="1"/>
    <col min="6405" max="6405" width="14.21875" style="170" bestFit="1" customWidth="1"/>
    <col min="6406" max="6406" width="3.21875" style="170" customWidth="1"/>
    <col min="6407" max="6407" width="20.44140625" style="170" customWidth="1"/>
    <col min="6408" max="6648" width="8.77734375" style="170"/>
    <col min="6649" max="6649" width="54.77734375" style="170" customWidth="1"/>
    <col min="6650" max="6650" width="13.77734375" style="170" customWidth="1"/>
    <col min="6651" max="6651" width="0" style="170" hidden="1" customWidth="1"/>
    <col min="6652" max="6652" width="6.77734375" style="170" customWidth="1"/>
    <col min="6653" max="6653" width="15" style="170" customWidth="1"/>
    <col min="6654" max="6654" width="3.77734375" style="170" bestFit="1" customWidth="1"/>
    <col min="6655" max="6655" width="15.44140625" style="170" bestFit="1" customWidth="1"/>
    <col min="6656" max="6656" width="3.77734375" style="170" customWidth="1"/>
    <col min="6657" max="6657" width="11.21875" style="170" bestFit="1" customWidth="1"/>
    <col min="6658" max="6658" width="3.77734375" style="170" customWidth="1"/>
    <col min="6659" max="6659" width="13.5546875" style="170" customWidth="1"/>
    <col min="6660" max="6660" width="1" style="170" customWidth="1"/>
    <col min="6661" max="6661" width="14.21875" style="170" bestFit="1" customWidth="1"/>
    <col min="6662" max="6662" width="3.21875" style="170" customWidth="1"/>
    <col min="6663" max="6663" width="20.44140625" style="170" customWidth="1"/>
    <col min="6664" max="6904" width="8.77734375" style="170"/>
    <col min="6905" max="6905" width="54.77734375" style="170" customWidth="1"/>
    <col min="6906" max="6906" width="13.77734375" style="170" customWidth="1"/>
    <col min="6907" max="6907" width="0" style="170" hidden="1" customWidth="1"/>
    <col min="6908" max="6908" width="6.77734375" style="170" customWidth="1"/>
    <col min="6909" max="6909" width="15" style="170" customWidth="1"/>
    <col min="6910" max="6910" width="3.77734375" style="170" bestFit="1" customWidth="1"/>
    <col min="6911" max="6911" width="15.44140625" style="170" bestFit="1" customWidth="1"/>
    <col min="6912" max="6912" width="3.77734375" style="170" customWidth="1"/>
    <col min="6913" max="6913" width="11.21875" style="170" bestFit="1" customWidth="1"/>
    <col min="6914" max="6914" width="3.77734375" style="170" customWidth="1"/>
    <col min="6915" max="6915" width="13.5546875" style="170" customWidth="1"/>
    <col min="6916" max="6916" width="1" style="170" customWidth="1"/>
    <col min="6917" max="6917" width="14.21875" style="170" bestFit="1" customWidth="1"/>
    <col min="6918" max="6918" width="3.21875" style="170" customWidth="1"/>
    <col min="6919" max="6919" width="20.44140625" style="170" customWidth="1"/>
    <col min="6920" max="7160" width="8.77734375" style="170"/>
    <col min="7161" max="7161" width="54.77734375" style="170" customWidth="1"/>
    <col min="7162" max="7162" width="13.77734375" style="170" customWidth="1"/>
    <col min="7163" max="7163" width="0" style="170" hidden="1" customWidth="1"/>
    <col min="7164" max="7164" width="6.77734375" style="170" customWidth="1"/>
    <col min="7165" max="7165" width="15" style="170" customWidth="1"/>
    <col min="7166" max="7166" width="3.77734375" style="170" bestFit="1" customWidth="1"/>
    <col min="7167" max="7167" width="15.44140625" style="170" bestFit="1" customWidth="1"/>
    <col min="7168" max="7168" width="3.77734375" style="170" customWidth="1"/>
    <col min="7169" max="7169" width="11.21875" style="170" bestFit="1" customWidth="1"/>
    <col min="7170" max="7170" width="3.77734375" style="170" customWidth="1"/>
    <col min="7171" max="7171" width="13.5546875" style="170" customWidth="1"/>
    <col min="7172" max="7172" width="1" style="170" customWidth="1"/>
    <col min="7173" max="7173" width="14.21875" style="170" bestFit="1" customWidth="1"/>
    <col min="7174" max="7174" width="3.21875" style="170" customWidth="1"/>
    <col min="7175" max="7175" width="20.44140625" style="170" customWidth="1"/>
    <col min="7176" max="7416" width="8.77734375" style="170"/>
    <col min="7417" max="7417" width="54.77734375" style="170" customWidth="1"/>
    <col min="7418" max="7418" width="13.77734375" style="170" customWidth="1"/>
    <col min="7419" max="7419" width="0" style="170" hidden="1" customWidth="1"/>
    <col min="7420" max="7420" width="6.77734375" style="170" customWidth="1"/>
    <col min="7421" max="7421" width="15" style="170" customWidth="1"/>
    <col min="7422" max="7422" width="3.77734375" style="170" bestFit="1" customWidth="1"/>
    <col min="7423" max="7423" width="15.44140625" style="170" bestFit="1" customWidth="1"/>
    <col min="7424" max="7424" width="3.77734375" style="170" customWidth="1"/>
    <col min="7425" max="7425" width="11.21875" style="170" bestFit="1" customWidth="1"/>
    <col min="7426" max="7426" width="3.77734375" style="170" customWidth="1"/>
    <col min="7427" max="7427" width="13.5546875" style="170" customWidth="1"/>
    <col min="7428" max="7428" width="1" style="170" customWidth="1"/>
    <col min="7429" max="7429" width="14.21875" style="170" bestFit="1" customWidth="1"/>
    <col min="7430" max="7430" width="3.21875" style="170" customWidth="1"/>
    <col min="7431" max="7431" width="20.44140625" style="170" customWidth="1"/>
    <col min="7432" max="7672" width="8.77734375" style="170"/>
    <col min="7673" max="7673" width="54.77734375" style="170" customWidth="1"/>
    <col min="7674" max="7674" width="13.77734375" style="170" customWidth="1"/>
    <col min="7675" max="7675" width="0" style="170" hidden="1" customWidth="1"/>
    <col min="7676" max="7676" width="6.77734375" style="170" customWidth="1"/>
    <col min="7677" max="7677" width="15" style="170" customWidth="1"/>
    <col min="7678" max="7678" width="3.77734375" style="170" bestFit="1" customWidth="1"/>
    <col min="7679" max="7679" width="15.44140625" style="170" bestFit="1" customWidth="1"/>
    <col min="7680" max="7680" width="3.77734375" style="170" customWidth="1"/>
    <col min="7681" max="7681" width="11.21875" style="170" bestFit="1" customWidth="1"/>
    <col min="7682" max="7682" width="3.77734375" style="170" customWidth="1"/>
    <col min="7683" max="7683" width="13.5546875" style="170" customWidth="1"/>
    <col min="7684" max="7684" width="1" style="170" customWidth="1"/>
    <col min="7685" max="7685" width="14.21875" style="170" bestFit="1" customWidth="1"/>
    <col min="7686" max="7686" width="3.21875" style="170" customWidth="1"/>
    <col min="7687" max="7687" width="20.44140625" style="170" customWidth="1"/>
    <col min="7688" max="7928" width="8.77734375" style="170"/>
    <col min="7929" max="7929" width="54.77734375" style="170" customWidth="1"/>
    <col min="7930" max="7930" width="13.77734375" style="170" customWidth="1"/>
    <col min="7931" max="7931" width="0" style="170" hidden="1" customWidth="1"/>
    <col min="7932" max="7932" width="6.77734375" style="170" customWidth="1"/>
    <col min="7933" max="7933" width="15" style="170" customWidth="1"/>
    <col min="7934" max="7934" width="3.77734375" style="170" bestFit="1" customWidth="1"/>
    <col min="7935" max="7935" width="15.44140625" style="170" bestFit="1" customWidth="1"/>
    <col min="7936" max="7936" width="3.77734375" style="170" customWidth="1"/>
    <col min="7937" max="7937" width="11.21875" style="170" bestFit="1" customWidth="1"/>
    <col min="7938" max="7938" width="3.77734375" style="170" customWidth="1"/>
    <col min="7939" max="7939" width="13.5546875" style="170" customWidth="1"/>
    <col min="7940" max="7940" width="1" style="170" customWidth="1"/>
    <col min="7941" max="7941" width="14.21875" style="170" bestFit="1" customWidth="1"/>
    <col min="7942" max="7942" width="3.21875" style="170" customWidth="1"/>
    <col min="7943" max="7943" width="20.44140625" style="170" customWidth="1"/>
    <col min="7944" max="8184" width="8.77734375" style="170"/>
    <col min="8185" max="8185" width="54.77734375" style="170" customWidth="1"/>
    <col min="8186" max="8186" width="13.77734375" style="170" customWidth="1"/>
    <col min="8187" max="8187" width="0" style="170" hidden="1" customWidth="1"/>
    <col min="8188" max="8188" width="6.77734375" style="170" customWidth="1"/>
    <col min="8189" max="8189" width="15" style="170" customWidth="1"/>
    <col min="8190" max="8190" width="3.77734375" style="170" bestFit="1" customWidth="1"/>
    <col min="8191" max="8191" width="15.44140625" style="170" bestFit="1" customWidth="1"/>
    <col min="8192" max="8192" width="3.77734375" style="170" customWidth="1"/>
    <col min="8193" max="8193" width="11.21875" style="170" bestFit="1" customWidth="1"/>
    <col min="8194" max="8194" width="3.77734375" style="170" customWidth="1"/>
    <col min="8195" max="8195" width="13.5546875" style="170" customWidth="1"/>
    <col min="8196" max="8196" width="1" style="170" customWidth="1"/>
    <col min="8197" max="8197" width="14.21875" style="170" bestFit="1" customWidth="1"/>
    <col min="8198" max="8198" width="3.21875" style="170" customWidth="1"/>
    <col min="8199" max="8199" width="20.44140625" style="170" customWidth="1"/>
    <col min="8200" max="8440" width="8.77734375" style="170"/>
    <col min="8441" max="8441" width="54.77734375" style="170" customWidth="1"/>
    <col min="8442" max="8442" width="13.77734375" style="170" customWidth="1"/>
    <col min="8443" max="8443" width="0" style="170" hidden="1" customWidth="1"/>
    <col min="8444" max="8444" width="6.77734375" style="170" customWidth="1"/>
    <col min="8445" max="8445" width="15" style="170" customWidth="1"/>
    <col min="8446" max="8446" width="3.77734375" style="170" bestFit="1" customWidth="1"/>
    <col min="8447" max="8447" width="15.44140625" style="170" bestFit="1" customWidth="1"/>
    <col min="8448" max="8448" width="3.77734375" style="170" customWidth="1"/>
    <col min="8449" max="8449" width="11.21875" style="170" bestFit="1" customWidth="1"/>
    <col min="8450" max="8450" width="3.77734375" style="170" customWidth="1"/>
    <col min="8451" max="8451" width="13.5546875" style="170" customWidth="1"/>
    <col min="8452" max="8452" width="1" style="170" customWidth="1"/>
    <col min="8453" max="8453" width="14.21875" style="170" bestFit="1" customWidth="1"/>
    <col min="8454" max="8454" width="3.21875" style="170" customWidth="1"/>
    <col min="8455" max="8455" width="20.44140625" style="170" customWidth="1"/>
    <col min="8456" max="8696" width="8.77734375" style="170"/>
    <col min="8697" max="8697" width="54.77734375" style="170" customWidth="1"/>
    <col min="8698" max="8698" width="13.77734375" style="170" customWidth="1"/>
    <col min="8699" max="8699" width="0" style="170" hidden="1" customWidth="1"/>
    <col min="8700" max="8700" width="6.77734375" style="170" customWidth="1"/>
    <col min="8701" max="8701" width="15" style="170" customWidth="1"/>
    <col min="8702" max="8702" width="3.77734375" style="170" bestFit="1" customWidth="1"/>
    <col min="8703" max="8703" width="15.44140625" style="170" bestFit="1" customWidth="1"/>
    <col min="8704" max="8704" width="3.77734375" style="170" customWidth="1"/>
    <col min="8705" max="8705" width="11.21875" style="170" bestFit="1" customWidth="1"/>
    <col min="8706" max="8706" width="3.77734375" style="170" customWidth="1"/>
    <col min="8707" max="8707" width="13.5546875" style="170" customWidth="1"/>
    <col min="8708" max="8708" width="1" style="170" customWidth="1"/>
    <col min="8709" max="8709" width="14.21875" style="170" bestFit="1" customWidth="1"/>
    <col min="8710" max="8710" width="3.21875" style="170" customWidth="1"/>
    <col min="8711" max="8711" width="20.44140625" style="170" customWidth="1"/>
    <col min="8712" max="8952" width="8.77734375" style="170"/>
    <col min="8953" max="8953" width="54.77734375" style="170" customWidth="1"/>
    <col min="8954" max="8954" width="13.77734375" style="170" customWidth="1"/>
    <col min="8955" max="8955" width="0" style="170" hidden="1" customWidth="1"/>
    <col min="8956" max="8956" width="6.77734375" style="170" customWidth="1"/>
    <col min="8957" max="8957" width="15" style="170" customWidth="1"/>
    <col min="8958" max="8958" width="3.77734375" style="170" bestFit="1" customWidth="1"/>
    <col min="8959" max="8959" width="15.44140625" style="170" bestFit="1" customWidth="1"/>
    <col min="8960" max="8960" width="3.77734375" style="170" customWidth="1"/>
    <col min="8961" max="8961" width="11.21875" style="170" bestFit="1" customWidth="1"/>
    <col min="8962" max="8962" width="3.77734375" style="170" customWidth="1"/>
    <col min="8963" max="8963" width="13.5546875" style="170" customWidth="1"/>
    <col min="8964" max="8964" width="1" style="170" customWidth="1"/>
    <col min="8965" max="8965" width="14.21875" style="170" bestFit="1" customWidth="1"/>
    <col min="8966" max="8966" width="3.21875" style="170" customWidth="1"/>
    <col min="8967" max="8967" width="20.44140625" style="170" customWidth="1"/>
    <col min="8968" max="9208" width="8.77734375" style="170"/>
    <col min="9209" max="9209" width="54.77734375" style="170" customWidth="1"/>
    <col min="9210" max="9210" width="13.77734375" style="170" customWidth="1"/>
    <col min="9211" max="9211" width="0" style="170" hidden="1" customWidth="1"/>
    <col min="9212" max="9212" width="6.77734375" style="170" customWidth="1"/>
    <col min="9213" max="9213" width="15" style="170" customWidth="1"/>
    <col min="9214" max="9214" width="3.77734375" style="170" bestFit="1" customWidth="1"/>
    <col min="9215" max="9215" width="15.44140625" style="170" bestFit="1" customWidth="1"/>
    <col min="9216" max="9216" width="3.77734375" style="170" customWidth="1"/>
    <col min="9217" max="9217" width="11.21875" style="170" bestFit="1" customWidth="1"/>
    <col min="9218" max="9218" width="3.77734375" style="170" customWidth="1"/>
    <col min="9219" max="9219" width="13.5546875" style="170" customWidth="1"/>
    <col min="9220" max="9220" width="1" style="170" customWidth="1"/>
    <col min="9221" max="9221" width="14.21875" style="170" bestFit="1" customWidth="1"/>
    <col min="9222" max="9222" width="3.21875" style="170" customWidth="1"/>
    <col min="9223" max="9223" width="20.44140625" style="170" customWidth="1"/>
    <col min="9224" max="9464" width="8.77734375" style="170"/>
    <col min="9465" max="9465" width="54.77734375" style="170" customWidth="1"/>
    <col min="9466" max="9466" width="13.77734375" style="170" customWidth="1"/>
    <col min="9467" max="9467" width="0" style="170" hidden="1" customWidth="1"/>
    <col min="9468" max="9468" width="6.77734375" style="170" customWidth="1"/>
    <col min="9469" max="9469" width="15" style="170" customWidth="1"/>
    <col min="9470" max="9470" width="3.77734375" style="170" bestFit="1" customWidth="1"/>
    <col min="9471" max="9471" width="15.44140625" style="170" bestFit="1" customWidth="1"/>
    <col min="9472" max="9472" width="3.77734375" style="170" customWidth="1"/>
    <col min="9473" max="9473" width="11.21875" style="170" bestFit="1" customWidth="1"/>
    <col min="9474" max="9474" width="3.77734375" style="170" customWidth="1"/>
    <col min="9475" max="9475" width="13.5546875" style="170" customWidth="1"/>
    <col min="9476" max="9476" width="1" style="170" customWidth="1"/>
    <col min="9477" max="9477" width="14.21875" style="170" bestFit="1" customWidth="1"/>
    <col min="9478" max="9478" width="3.21875" style="170" customWidth="1"/>
    <col min="9479" max="9479" width="20.44140625" style="170" customWidth="1"/>
    <col min="9480" max="9720" width="8.77734375" style="170"/>
    <col min="9721" max="9721" width="54.77734375" style="170" customWidth="1"/>
    <col min="9722" max="9722" width="13.77734375" style="170" customWidth="1"/>
    <col min="9723" max="9723" width="0" style="170" hidden="1" customWidth="1"/>
    <col min="9724" max="9724" width="6.77734375" style="170" customWidth="1"/>
    <col min="9725" max="9725" width="15" style="170" customWidth="1"/>
    <col min="9726" max="9726" width="3.77734375" style="170" bestFit="1" customWidth="1"/>
    <col min="9727" max="9727" width="15.44140625" style="170" bestFit="1" customWidth="1"/>
    <col min="9728" max="9728" width="3.77734375" style="170" customWidth="1"/>
    <col min="9729" max="9729" width="11.21875" style="170" bestFit="1" customWidth="1"/>
    <col min="9730" max="9730" width="3.77734375" style="170" customWidth="1"/>
    <col min="9731" max="9731" width="13.5546875" style="170" customWidth="1"/>
    <col min="9732" max="9732" width="1" style="170" customWidth="1"/>
    <col min="9733" max="9733" width="14.21875" style="170" bestFit="1" customWidth="1"/>
    <col min="9734" max="9734" width="3.21875" style="170" customWidth="1"/>
    <col min="9735" max="9735" width="20.44140625" style="170" customWidth="1"/>
    <col min="9736" max="9976" width="8.77734375" style="170"/>
    <col min="9977" max="9977" width="54.77734375" style="170" customWidth="1"/>
    <col min="9978" max="9978" width="13.77734375" style="170" customWidth="1"/>
    <col min="9979" max="9979" width="0" style="170" hidden="1" customWidth="1"/>
    <col min="9980" max="9980" width="6.77734375" style="170" customWidth="1"/>
    <col min="9981" max="9981" width="15" style="170" customWidth="1"/>
    <col min="9982" max="9982" width="3.77734375" style="170" bestFit="1" customWidth="1"/>
    <col min="9983" max="9983" width="15.44140625" style="170" bestFit="1" customWidth="1"/>
    <col min="9984" max="9984" width="3.77734375" style="170" customWidth="1"/>
    <col min="9985" max="9985" width="11.21875" style="170" bestFit="1" customWidth="1"/>
    <col min="9986" max="9986" width="3.77734375" style="170" customWidth="1"/>
    <col min="9987" max="9987" width="13.5546875" style="170" customWidth="1"/>
    <col min="9988" max="9988" width="1" style="170" customWidth="1"/>
    <col min="9989" max="9989" width="14.21875" style="170" bestFit="1" customWidth="1"/>
    <col min="9990" max="9990" width="3.21875" style="170" customWidth="1"/>
    <col min="9991" max="9991" width="20.44140625" style="170" customWidth="1"/>
    <col min="9992" max="10232" width="8.77734375" style="170"/>
    <col min="10233" max="10233" width="54.77734375" style="170" customWidth="1"/>
    <col min="10234" max="10234" width="13.77734375" style="170" customWidth="1"/>
    <col min="10235" max="10235" width="0" style="170" hidden="1" customWidth="1"/>
    <col min="10236" max="10236" width="6.77734375" style="170" customWidth="1"/>
    <col min="10237" max="10237" width="15" style="170" customWidth="1"/>
    <col min="10238" max="10238" width="3.77734375" style="170" bestFit="1" customWidth="1"/>
    <col min="10239" max="10239" width="15.44140625" style="170" bestFit="1" customWidth="1"/>
    <col min="10240" max="10240" width="3.77734375" style="170" customWidth="1"/>
    <col min="10241" max="10241" width="11.21875" style="170" bestFit="1" customWidth="1"/>
    <col min="10242" max="10242" width="3.77734375" style="170" customWidth="1"/>
    <col min="10243" max="10243" width="13.5546875" style="170" customWidth="1"/>
    <col min="10244" max="10244" width="1" style="170" customWidth="1"/>
    <col min="10245" max="10245" width="14.21875" style="170" bestFit="1" customWidth="1"/>
    <col min="10246" max="10246" width="3.21875" style="170" customWidth="1"/>
    <col min="10247" max="10247" width="20.44140625" style="170" customWidth="1"/>
    <col min="10248" max="10488" width="8.77734375" style="170"/>
    <col min="10489" max="10489" width="54.77734375" style="170" customWidth="1"/>
    <col min="10490" max="10490" width="13.77734375" style="170" customWidth="1"/>
    <col min="10491" max="10491" width="0" style="170" hidden="1" customWidth="1"/>
    <col min="10492" max="10492" width="6.77734375" style="170" customWidth="1"/>
    <col min="10493" max="10493" width="15" style="170" customWidth="1"/>
    <col min="10494" max="10494" width="3.77734375" style="170" bestFit="1" customWidth="1"/>
    <col min="10495" max="10495" width="15.44140625" style="170" bestFit="1" customWidth="1"/>
    <col min="10496" max="10496" width="3.77734375" style="170" customWidth="1"/>
    <col min="10497" max="10497" width="11.21875" style="170" bestFit="1" customWidth="1"/>
    <col min="10498" max="10498" width="3.77734375" style="170" customWidth="1"/>
    <col min="10499" max="10499" width="13.5546875" style="170" customWidth="1"/>
    <col min="10500" max="10500" width="1" style="170" customWidth="1"/>
    <col min="10501" max="10501" width="14.21875" style="170" bestFit="1" customWidth="1"/>
    <col min="10502" max="10502" width="3.21875" style="170" customWidth="1"/>
    <col min="10503" max="10503" width="20.44140625" style="170" customWidth="1"/>
    <col min="10504" max="10744" width="8.77734375" style="170"/>
    <col min="10745" max="10745" width="54.77734375" style="170" customWidth="1"/>
    <col min="10746" max="10746" width="13.77734375" style="170" customWidth="1"/>
    <col min="10747" max="10747" width="0" style="170" hidden="1" customWidth="1"/>
    <col min="10748" max="10748" width="6.77734375" style="170" customWidth="1"/>
    <col min="10749" max="10749" width="15" style="170" customWidth="1"/>
    <col min="10750" max="10750" width="3.77734375" style="170" bestFit="1" customWidth="1"/>
    <col min="10751" max="10751" width="15.44140625" style="170" bestFit="1" customWidth="1"/>
    <col min="10752" max="10752" width="3.77734375" style="170" customWidth="1"/>
    <col min="10753" max="10753" width="11.21875" style="170" bestFit="1" customWidth="1"/>
    <col min="10754" max="10754" width="3.77734375" style="170" customWidth="1"/>
    <col min="10755" max="10755" width="13.5546875" style="170" customWidth="1"/>
    <col min="10756" max="10756" width="1" style="170" customWidth="1"/>
    <col min="10757" max="10757" width="14.21875" style="170" bestFit="1" customWidth="1"/>
    <col min="10758" max="10758" width="3.21875" style="170" customWidth="1"/>
    <col min="10759" max="10759" width="20.44140625" style="170" customWidth="1"/>
    <col min="10760" max="11000" width="8.77734375" style="170"/>
    <col min="11001" max="11001" width="54.77734375" style="170" customWidth="1"/>
    <col min="11002" max="11002" width="13.77734375" style="170" customWidth="1"/>
    <col min="11003" max="11003" width="0" style="170" hidden="1" customWidth="1"/>
    <col min="11004" max="11004" width="6.77734375" style="170" customWidth="1"/>
    <col min="11005" max="11005" width="15" style="170" customWidth="1"/>
    <col min="11006" max="11006" width="3.77734375" style="170" bestFit="1" customWidth="1"/>
    <col min="11007" max="11007" width="15.44140625" style="170" bestFit="1" customWidth="1"/>
    <col min="11008" max="11008" width="3.77734375" style="170" customWidth="1"/>
    <col min="11009" max="11009" width="11.21875" style="170" bestFit="1" customWidth="1"/>
    <col min="11010" max="11010" width="3.77734375" style="170" customWidth="1"/>
    <col min="11011" max="11011" width="13.5546875" style="170" customWidth="1"/>
    <col min="11012" max="11012" width="1" style="170" customWidth="1"/>
    <col min="11013" max="11013" width="14.21875" style="170" bestFit="1" customWidth="1"/>
    <col min="11014" max="11014" width="3.21875" style="170" customWidth="1"/>
    <col min="11015" max="11015" width="20.44140625" style="170" customWidth="1"/>
    <col min="11016" max="11256" width="8.77734375" style="170"/>
    <col min="11257" max="11257" width="54.77734375" style="170" customWidth="1"/>
    <col min="11258" max="11258" width="13.77734375" style="170" customWidth="1"/>
    <col min="11259" max="11259" width="0" style="170" hidden="1" customWidth="1"/>
    <col min="11260" max="11260" width="6.77734375" style="170" customWidth="1"/>
    <col min="11261" max="11261" width="15" style="170" customWidth="1"/>
    <col min="11262" max="11262" width="3.77734375" style="170" bestFit="1" customWidth="1"/>
    <col min="11263" max="11263" width="15.44140625" style="170" bestFit="1" customWidth="1"/>
    <col min="11264" max="11264" width="3.77734375" style="170" customWidth="1"/>
    <col min="11265" max="11265" width="11.21875" style="170" bestFit="1" customWidth="1"/>
    <col min="11266" max="11266" width="3.77734375" style="170" customWidth="1"/>
    <col min="11267" max="11267" width="13.5546875" style="170" customWidth="1"/>
    <col min="11268" max="11268" width="1" style="170" customWidth="1"/>
    <col min="11269" max="11269" width="14.21875" style="170" bestFit="1" customWidth="1"/>
    <col min="11270" max="11270" width="3.21875" style="170" customWidth="1"/>
    <col min="11271" max="11271" width="20.44140625" style="170" customWidth="1"/>
    <col min="11272" max="11512" width="8.77734375" style="170"/>
    <col min="11513" max="11513" width="54.77734375" style="170" customWidth="1"/>
    <col min="11514" max="11514" width="13.77734375" style="170" customWidth="1"/>
    <col min="11515" max="11515" width="0" style="170" hidden="1" customWidth="1"/>
    <col min="11516" max="11516" width="6.77734375" style="170" customWidth="1"/>
    <col min="11517" max="11517" width="15" style="170" customWidth="1"/>
    <col min="11518" max="11518" width="3.77734375" style="170" bestFit="1" customWidth="1"/>
    <col min="11519" max="11519" width="15.44140625" style="170" bestFit="1" customWidth="1"/>
    <col min="11520" max="11520" width="3.77734375" style="170" customWidth="1"/>
    <col min="11521" max="11521" width="11.21875" style="170" bestFit="1" customWidth="1"/>
    <col min="11522" max="11522" width="3.77734375" style="170" customWidth="1"/>
    <col min="11523" max="11523" width="13.5546875" style="170" customWidth="1"/>
    <col min="11524" max="11524" width="1" style="170" customWidth="1"/>
    <col min="11525" max="11525" width="14.21875" style="170" bestFit="1" customWidth="1"/>
    <col min="11526" max="11526" width="3.21875" style="170" customWidth="1"/>
    <col min="11527" max="11527" width="20.44140625" style="170" customWidth="1"/>
    <col min="11528" max="11768" width="8.77734375" style="170"/>
    <col min="11769" max="11769" width="54.77734375" style="170" customWidth="1"/>
    <col min="11770" max="11770" width="13.77734375" style="170" customWidth="1"/>
    <col min="11771" max="11771" width="0" style="170" hidden="1" customWidth="1"/>
    <col min="11772" max="11772" width="6.77734375" style="170" customWidth="1"/>
    <col min="11773" max="11773" width="15" style="170" customWidth="1"/>
    <col min="11774" max="11774" width="3.77734375" style="170" bestFit="1" customWidth="1"/>
    <col min="11775" max="11775" width="15.44140625" style="170" bestFit="1" customWidth="1"/>
    <col min="11776" max="11776" width="3.77734375" style="170" customWidth="1"/>
    <col min="11777" max="11777" width="11.21875" style="170" bestFit="1" customWidth="1"/>
    <col min="11778" max="11778" width="3.77734375" style="170" customWidth="1"/>
    <col min="11779" max="11779" width="13.5546875" style="170" customWidth="1"/>
    <col min="11780" max="11780" width="1" style="170" customWidth="1"/>
    <col min="11781" max="11781" width="14.21875" style="170" bestFit="1" customWidth="1"/>
    <col min="11782" max="11782" width="3.21875" style="170" customWidth="1"/>
    <col min="11783" max="11783" width="20.44140625" style="170" customWidth="1"/>
    <col min="11784" max="12024" width="8.77734375" style="170"/>
    <col min="12025" max="12025" width="54.77734375" style="170" customWidth="1"/>
    <col min="12026" max="12026" width="13.77734375" style="170" customWidth="1"/>
    <col min="12027" max="12027" width="0" style="170" hidden="1" customWidth="1"/>
    <col min="12028" max="12028" width="6.77734375" style="170" customWidth="1"/>
    <col min="12029" max="12029" width="15" style="170" customWidth="1"/>
    <col min="12030" max="12030" width="3.77734375" style="170" bestFit="1" customWidth="1"/>
    <col min="12031" max="12031" width="15.44140625" style="170" bestFit="1" customWidth="1"/>
    <col min="12032" max="12032" width="3.77734375" style="170" customWidth="1"/>
    <col min="12033" max="12033" width="11.21875" style="170" bestFit="1" customWidth="1"/>
    <col min="12034" max="12034" width="3.77734375" style="170" customWidth="1"/>
    <col min="12035" max="12035" width="13.5546875" style="170" customWidth="1"/>
    <col min="12036" max="12036" width="1" style="170" customWidth="1"/>
    <col min="12037" max="12037" width="14.21875" style="170" bestFit="1" customWidth="1"/>
    <col min="12038" max="12038" width="3.21875" style="170" customWidth="1"/>
    <col min="12039" max="12039" width="20.44140625" style="170" customWidth="1"/>
    <col min="12040" max="12280" width="8.77734375" style="170"/>
    <col min="12281" max="12281" width="54.77734375" style="170" customWidth="1"/>
    <col min="12282" max="12282" width="13.77734375" style="170" customWidth="1"/>
    <col min="12283" max="12283" width="0" style="170" hidden="1" customWidth="1"/>
    <col min="12284" max="12284" width="6.77734375" style="170" customWidth="1"/>
    <col min="12285" max="12285" width="15" style="170" customWidth="1"/>
    <col min="12286" max="12286" width="3.77734375" style="170" bestFit="1" customWidth="1"/>
    <col min="12287" max="12287" width="15.44140625" style="170" bestFit="1" customWidth="1"/>
    <col min="12288" max="12288" width="3.77734375" style="170" customWidth="1"/>
    <col min="12289" max="12289" width="11.21875" style="170" bestFit="1" customWidth="1"/>
    <col min="12290" max="12290" width="3.77734375" style="170" customWidth="1"/>
    <col min="12291" max="12291" width="13.5546875" style="170" customWidth="1"/>
    <col min="12292" max="12292" width="1" style="170" customWidth="1"/>
    <col min="12293" max="12293" width="14.21875" style="170" bestFit="1" customWidth="1"/>
    <col min="12294" max="12294" width="3.21875" style="170" customWidth="1"/>
    <col min="12295" max="12295" width="20.44140625" style="170" customWidth="1"/>
    <col min="12296" max="12536" width="8.77734375" style="170"/>
    <col min="12537" max="12537" width="54.77734375" style="170" customWidth="1"/>
    <col min="12538" max="12538" width="13.77734375" style="170" customWidth="1"/>
    <col min="12539" max="12539" width="0" style="170" hidden="1" customWidth="1"/>
    <col min="12540" max="12540" width="6.77734375" style="170" customWidth="1"/>
    <col min="12541" max="12541" width="15" style="170" customWidth="1"/>
    <col min="12542" max="12542" width="3.77734375" style="170" bestFit="1" customWidth="1"/>
    <col min="12543" max="12543" width="15.44140625" style="170" bestFit="1" customWidth="1"/>
    <col min="12544" max="12544" width="3.77734375" style="170" customWidth="1"/>
    <col min="12545" max="12545" width="11.21875" style="170" bestFit="1" customWidth="1"/>
    <col min="12546" max="12546" width="3.77734375" style="170" customWidth="1"/>
    <col min="12547" max="12547" width="13.5546875" style="170" customWidth="1"/>
    <col min="12548" max="12548" width="1" style="170" customWidth="1"/>
    <col min="12549" max="12549" width="14.21875" style="170" bestFit="1" customWidth="1"/>
    <col min="12550" max="12550" width="3.21875" style="170" customWidth="1"/>
    <col min="12551" max="12551" width="20.44140625" style="170" customWidth="1"/>
    <col min="12552" max="12792" width="8.77734375" style="170"/>
    <col min="12793" max="12793" width="54.77734375" style="170" customWidth="1"/>
    <col min="12794" max="12794" width="13.77734375" style="170" customWidth="1"/>
    <col min="12795" max="12795" width="0" style="170" hidden="1" customWidth="1"/>
    <col min="12796" max="12796" width="6.77734375" style="170" customWidth="1"/>
    <col min="12797" max="12797" width="15" style="170" customWidth="1"/>
    <col min="12798" max="12798" width="3.77734375" style="170" bestFit="1" customWidth="1"/>
    <col min="12799" max="12799" width="15.44140625" style="170" bestFit="1" customWidth="1"/>
    <col min="12800" max="12800" width="3.77734375" style="170" customWidth="1"/>
    <col min="12801" max="12801" width="11.21875" style="170" bestFit="1" customWidth="1"/>
    <col min="12802" max="12802" width="3.77734375" style="170" customWidth="1"/>
    <col min="12803" max="12803" width="13.5546875" style="170" customWidth="1"/>
    <col min="12804" max="12804" width="1" style="170" customWidth="1"/>
    <col min="12805" max="12805" width="14.21875" style="170" bestFit="1" customWidth="1"/>
    <col min="12806" max="12806" width="3.21875" style="170" customWidth="1"/>
    <col min="12807" max="12807" width="20.44140625" style="170" customWidth="1"/>
    <col min="12808" max="13048" width="8.77734375" style="170"/>
    <col min="13049" max="13049" width="54.77734375" style="170" customWidth="1"/>
    <col min="13050" max="13050" width="13.77734375" style="170" customWidth="1"/>
    <col min="13051" max="13051" width="0" style="170" hidden="1" customWidth="1"/>
    <col min="13052" max="13052" width="6.77734375" style="170" customWidth="1"/>
    <col min="13053" max="13053" width="15" style="170" customWidth="1"/>
    <col min="13054" max="13054" width="3.77734375" style="170" bestFit="1" customWidth="1"/>
    <col min="13055" max="13055" width="15.44140625" style="170" bestFit="1" customWidth="1"/>
    <col min="13056" max="13056" width="3.77734375" style="170" customWidth="1"/>
    <col min="13057" max="13057" width="11.21875" style="170" bestFit="1" customWidth="1"/>
    <col min="13058" max="13058" width="3.77734375" style="170" customWidth="1"/>
    <col min="13059" max="13059" width="13.5546875" style="170" customWidth="1"/>
    <col min="13060" max="13060" width="1" style="170" customWidth="1"/>
    <col min="13061" max="13061" width="14.21875" style="170" bestFit="1" customWidth="1"/>
    <col min="13062" max="13062" width="3.21875" style="170" customWidth="1"/>
    <col min="13063" max="13063" width="20.44140625" style="170" customWidth="1"/>
    <col min="13064" max="13304" width="8.77734375" style="170"/>
    <col min="13305" max="13305" width="54.77734375" style="170" customWidth="1"/>
    <col min="13306" max="13306" width="13.77734375" style="170" customWidth="1"/>
    <col min="13307" max="13307" width="0" style="170" hidden="1" customWidth="1"/>
    <col min="13308" max="13308" width="6.77734375" style="170" customWidth="1"/>
    <col min="13309" max="13309" width="15" style="170" customWidth="1"/>
    <col min="13310" max="13310" width="3.77734375" style="170" bestFit="1" customWidth="1"/>
    <col min="13311" max="13311" width="15.44140625" style="170" bestFit="1" customWidth="1"/>
    <col min="13312" max="13312" width="3.77734375" style="170" customWidth="1"/>
    <col min="13313" max="13313" width="11.21875" style="170" bestFit="1" customWidth="1"/>
    <col min="13314" max="13314" width="3.77734375" style="170" customWidth="1"/>
    <col min="13315" max="13315" width="13.5546875" style="170" customWidth="1"/>
    <col min="13316" max="13316" width="1" style="170" customWidth="1"/>
    <col min="13317" max="13317" width="14.21875" style="170" bestFit="1" customWidth="1"/>
    <col min="13318" max="13318" width="3.21875" style="170" customWidth="1"/>
    <col min="13319" max="13319" width="20.44140625" style="170" customWidth="1"/>
    <col min="13320" max="13560" width="8.77734375" style="170"/>
    <col min="13561" max="13561" width="54.77734375" style="170" customWidth="1"/>
    <col min="13562" max="13562" width="13.77734375" style="170" customWidth="1"/>
    <col min="13563" max="13563" width="0" style="170" hidden="1" customWidth="1"/>
    <col min="13564" max="13564" width="6.77734375" style="170" customWidth="1"/>
    <col min="13565" max="13565" width="15" style="170" customWidth="1"/>
    <col min="13566" max="13566" width="3.77734375" style="170" bestFit="1" customWidth="1"/>
    <col min="13567" max="13567" width="15.44140625" style="170" bestFit="1" customWidth="1"/>
    <col min="13568" max="13568" width="3.77734375" style="170" customWidth="1"/>
    <col min="13569" max="13569" width="11.21875" style="170" bestFit="1" customWidth="1"/>
    <col min="13570" max="13570" width="3.77734375" style="170" customWidth="1"/>
    <col min="13571" max="13571" width="13.5546875" style="170" customWidth="1"/>
    <col min="13572" max="13572" width="1" style="170" customWidth="1"/>
    <col min="13573" max="13573" width="14.21875" style="170" bestFit="1" customWidth="1"/>
    <col min="13574" max="13574" width="3.21875" style="170" customWidth="1"/>
    <col min="13575" max="13575" width="20.44140625" style="170" customWidth="1"/>
    <col min="13576" max="13816" width="8.77734375" style="170"/>
    <col min="13817" max="13817" width="54.77734375" style="170" customWidth="1"/>
    <col min="13818" max="13818" width="13.77734375" style="170" customWidth="1"/>
    <col min="13819" max="13819" width="0" style="170" hidden="1" customWidth="1"/>
    <col min="13820" max="13820" width="6.77734375" style="170" customWidth="1"/>
    <col min="13821" max="13821" width="15" style="170" customWidth="1"/>
    <col min="13822" max="13822" width="3.77734375" style="170" bestFit="1" customWidth="1"/>
    <col min="13823" max="13823" width="15.44140625" style="170" bestFit="1" customWidth="1"/>
    <col min="13824" max="13824" width="3.77734375" style="170" customWidth="1"/>
    <col min="13825" max="13825" width="11.21875" style="170" bestFit="1" customWidth="1"/>
    <col min="13826" max="13826" width="3.77734375" style="170" customWidth="1"/>
    <col min="13827" max="13827" width="13.5546875" style="170" customWidth="1"/>
    <col min="13828" max="13828" width="1" style="170" customWidth="1"/>
    <col min="13829" max="13829" width="14.21875" style="170" bestFit="1" customWidth="1"/>
    <col min="13830" max="13830" width="3.21875" style="170" customWidth="1"/>
    <col min="13831" max="13831" width="20.44140625" style="170" customWidth="1"/>
    <col min="13832" max="14072" width="8.77734375" style="170"/>
    <col min="14073" max="14073" width="54.77734375" style="170" customWidth="1"/>
    <col min="14074" max="14074" width="13.77734375" style="170" customWidth="1"/>
    <col min="14075" max="14075" width="0" style="170" hidden="1" customWidth="1"/>
    <col min="14076" max="14076" width="6.77734375" style="170" customWidth="1"/>
    <col min="14077" max="14077" width="15" style="170" customWidth="1"/>
    <col min="14078" max="14078" width="3.77734375" style="170" bestFit="1" customWidth="1"/>
    <col min="14079" max="14079" width="15.44140625" style="170" bestFit="1" customWidth="1"/>
    <col min="14080" max="14080" width="3.77734375" style="170" customWidth="1"/>
    <col min="14081" max="14081" width="11.21875" style="170" bestFit="1" customWidth="1"/>
    <col min="14082" max="14082" width="3.77734375" style="170" customWidth="1"/>
    <col min="14083" max="14083" width="13.5546875" style="170" customWidth="1"/>
    <col min="14084" max="14084" width="1" style="170" customWidth="1"/>
    <col min="14085" max="14085" width="14.21875" style="170" bestFit="1" customWidth="1"/>
    <col min="14086" max="14086" width="3.21875" style="170" customWidth="1"/>
    <col min="14087" max="14087" width="20.44140625" style="170" customWidth="1"/>
    <col min="14088" max="14328" width="8.77734375" style="170"/>
    <col min="14329" max="14329" width="54.77734375" style="170" customWidth="1"/>
    <col min="14330" max="14330" width="13.77734375" style="170" customWidth="1"/>
    <col min="14331" max="14331" width="0" style="170" hidden="1" customWidth="1"/>
    <col min="14332" max="14332" width="6.77734375" style="170" customWidth="1"/>
    <col min="14333" max="14333" width="15" style="170" customWidth="1"/>
    <col min="14334" max="14334" width="3.77734375" style="170" bestFit="1" customWidth="1"/>
    <col min="14335" max="14335" width="15.44140625" style="170" bestFit="1" customWidth="1"/>
    <col min="14336" max="14336" width="3.77734375" style="170" customWidth="1"/>
    <col min="14337" max="14337" width="11.21875" style="170" bestFit="1" customWidth="1"/>
    <col min="14338" max="14338" width="3.77734375" style="170" customWidth="1"/>
    <col min="14339" max="14339" width="13.5546875" style="170" customWidth="1"/>
    <col min="14340" max="14340" width="1" style="170" customWidth="1"/>
    <col min="14341" max="14341" width="14.21875" style="170" bestFit="1" customWidth="1"/>
    <col min="14342" max="14342" width="3.21875" style="170" customWidth="1"/>
    <col min="14343" max="14343" width="20.44140625" style="170" customWidth="1"/>
    <col min="14344" max="14584" width="8.77734375" style="170"/>
    <col min="14585" max="14585" width="54.77734375" style="170" customWidth="1"/>
    <col min="14586" max="14586" width="13.77734375" style="170" customWidth="1"/>
    <col min="14587" max="14587" width="0" style="170" hidden="1" customWidth="1"/>
    <col min="14588" max="14588" width="6.77734375" style="170" customWidth="1"/>
    <col min="14589" max="14589" width="15" style="170" customWidth="1"/>
    <col min="14590" max="14590" width="3.77734375" style="170" bestFit="1" customWidth="1"/>
    <col min="14591" max="14591" width="15.44140625" style="170" bestFit="1" customWidth="1"/>
    <col min="14592" max="14592" width="3.77734375" style="170" customWidth="1"/>
    <col min="14593" max="14593" width="11.21875" style="170" bestFit="1" customWidth="1"/>
    <col min="14594" max="14594" width="3.77734375" style="170" customWidth="1"/>
    <col min="14595" max="14595" width="13.5546875" style="170" customWidth="1"/>
    <col min="14596" max="14596" width="1" style="170" customWidth="1"/>
    <col min="14597" max="14597" width="14.21875" style="170" bestFit="1" customWidth="1"/>
    <col min="14598" max="14598" width="3.21875" style="170" customWidth="1"/>
    <col min="14599" max="14599" width="20.44140625" style="170" customWidth="1"/>
    <col min="14600" max="14840" width="8.77734375" style="170"/>
    <col min="14841" max="14841" width="54.77734375" style="170" customWidth="1"/>
    <col min="14842" max="14842" width="13.77734375" style="170" customWidth="1"/>
    <col min="14843" max="14843" width="0" style="170" hidden="1" customWidth="1"/>
    <col min="14844" max="14844" width="6.77734375" style="170" customWidth="1"/>
    <col min="14845" max="14845" width="15" style="170" customWidth="1"/>
    <col min="14846" max="14846" width="3.77734375" style="170" bestFit="1" customWidth="1"/>
    <col min="14847" max="14847" width="15.44140625" style="170" bestFit="1" customWidth="1"/>
    <col min="14848" max="14848" width="3.77734375" style="170" customWidth="1"/>
    <col min="14849" max="14849" width="11.21875" style="170" bestFit="1" customWidth="1"/>
    <col min="14850" max="14850" width="3.77734375" style="170" customWidth="1"/>
    <col min="14851" max="14851" width="13.5546875" style="170" customWidth="1"/>
    <col min="14852" max="14852" width="1" style="170" customWidth="1"/>
    <col min="14853" max="14853" width="14.21875" style="170" bestFit="1" customWidth="1"/>
    <col min="14854" max="14854" width="3.21875" style="170" customWidth="1"/>
    <col min="14855" max="14855" width="20.44140625" style="170" customWidth="1"/>
    <col min="14856" max="15096" width="8.77734375" style="170"/>
    <col min="15097" max="15097" width="54.77734375" style="170" customWidth="1"/>
    <col min="15098" max="15098" width="13.77734375" style="170" customWidth="1"/>
    <col min="15099" max="15099" width="0" style="170" hidden="1" customWidth="1"/>
    <col min="15100" max="15100" width="6.77734375" style="170" customWidth="1"/>
    <col min="15101" max="15101" width="15" style="170" customWidth="1"/>
    <col min="15102" max="15102" width="3.77734375" style="170" bestFit="1" customWidth="1"/>
    <col min="15103" max="15103" width="15.44140625" style="170" bestFit="1" customWidth="1"/>
    <col min="15104" max="15104" width="3.77734375" style="170" customWidth="1"/>
    <col min="15105" max="15105" width="11.21875" style="170" bestFit="1" customWidth="1"/>
    <col min="15106" max="15106" width="3.77734375" style="170" customWidth="1"/>
    <col min="15107" max="15107" width="13.5546875" style="170" customWidth="1"/>
    <col min="15108" max="15108" width="1" style="170" customWidth="1"/>
    <col min="15109" max="15109" width="14.21875" style="170" bestFit="1" customWidth="1"/>
    <col min="15110" max="15110" width="3.21875" style="170" customWidth="1"/>
    <col min="15111" max="15111" width="20.44140625" style="170" customWidth="1"/>
    <col min="15112" max="15352" width="8.77734375" style="170"/>
    <col min="15353" max="15353" width="54.77734375" style="170" customWidth="1"/>
    <col min="15354" max="15354" width="13.77734375" style="170" customWidth="1"/>
    <col min="15355" max="15355" width="0" style="170" hidden="1" customWidth="1"/>
    <col min="15356" max="15356" width="6.77734375" style="170" customWidth="1"/>
    <col min="15357" max="15357" width="15" style="170" customWidth="1"/>
    <col min="15358" max="15358" width="3.77734375" style="170" bestFit="1" customWidth="1"/>
    <col min="15359" max="15359" width="15.44140625" style="170" bestFit="1" customWidth="1"/>
    <col min="15360" max="15360" width="3.77734375" style="170" customWidth="1"/>
    <col min="15361" max="15361" width="11.21875" style="170" bestFit="1" customWidth="1"/>
    <col min="15362" max="15362" width="3.77734375" style="170" customWidth="1"/>
    <col min="15363" max="15363" width="13.5546875" style="170" customWidth="1"/>
    <col min="15364" max="15364" width="1" style="170" customWidth="1"/>
    <col min="15365" max="15365" width="14.21875" style="170" bestFit="1" customWidth="1"/>
    <col min="15366" max="15366" width="3.21875" style="170" customWidth="1"/>
    <col min="15367" max="15367" width="20.44140625" style="170" customWidth="1"/>
    <col min="15368" max="15608" width="8.77734375" style="170"/>
    <col min="15609" max="15609" width="54.77734375" style="170" customWidth="1"/>
    <col min="15610" max="15610" width="13.77734375" style="170" customWidth="1"/>
    <col min="15611" max="15611" width="0" style="170" hidden="1" customWidth="1"/>
    <col min="15612" max="15612" width="6.77734375" style="170" customWidth="1"/>
    <col min="15613" max="15613" width="15" style="170" customWidth="1"/>
    <col min="15614" max="15614" width="3.77734375" style="170" bestFit="1" customWidth="1"/>
    <col min="15615" max="15615" width="15.44140625" style="170" bestFit="1" customWidth="1"/>
    <col min="15616" max="15616" width="3.77734375" style="170" customWidth="1"/>
    <col min="15617" max="15617" width="11.21875" style="170" bestFit="1" customWidth="1"/>
    <col min="15618" max="15618" width="3.77734375" style="170" customWidth="1"/>
    <col min="15619" max="15619" width="13.5546875" style="170" customWidth="1"/>
    <col min="15620" max="15620" width="1" style="170" customWidth="1"/>
    <col min="15621" max="15621" width="14.21875" style="170" bestFit="1" customWidth="1"/>
    <col min="15622" max="15622" width="3.21875" style="170" customWidth="1"/>
    <col min="15623" max="15623" width="20.44140625" style="170" customWidth="1"/>
    <col min="15624" max="15864" width="8.77734375" style="170"/>
    <col min="15865" max="15865" width="54.77734375" style="170" customWidth="1"/>
    <col min="15866" max="15866" width="13.77734375" style="170" customWidth="1"/>
    <col min="15867" max="15867" width="0" style="170" hidden="1" customWidth="1"/>
    <col min="15868" max="15868" width="6.77734375" style="170" customWidth="1"/>
    <col min="15869" max="15869" width="15" style="170" customWidth="1"/>
    <col min="15870" max="15870" width="3.77734375" style="170" bestFit="1" customWidth="1"/>
    <col min="15871" max="15871" width="15.44140625" style="170" bestFit="1" customWidth="1"/>
    <col min="15872" max="15872" width="3.77734375" style="170" customWidth="1"/>
    <col min="15873" max="15873" width="11.21875" style="170" bestFit="1" customWidth="1"/>
    <col min="15874" max="15874" width="3.77734375" style="170" customWidth="1"/>
    <col min="15875" max="15875" width="13.5546875" style="170" customWidth="1"/>
    <col min="15876" max="15876" width="1" style="170" customWidth="1"/>
    <col min="15877" max="15877" width="14.21875" style="170" bestFit="1" customWidth="1"/>
    <col min="15878" max="15878" width="3.21875" style="170" customWidth="1"/>
    <col min="15879" max="15879" width="20.44140625" style="170" customWidth="1"/>
    <col min="15880" max="16120" width="8.77734375" style="170"/>
    <col min="16121" max="16121" width="54.77734375" style="170" customWidth="1"/>
    <col min="16122" max="16122" width="13.77734375" style="170" customWidth="1"/>
    <col min="16123" max="16123" width="0" style="170" hidden="1" customWidth="1"/>
    <col min="16124" max="16124" width="6.77734375" style="170" customWidth="1"/>
    <col min="16125" max="16125" width="15" style="170" customWidth="1"/>
    <col min="16126" max="16126" width="3.77734375" style="170" bestFit="1" customWidth="1"/>
    <col min="16127" max="16127" width="15.44140625" style="170" bestFit="1" customWidth="1"/>
    <col min="16128" max="16128" width="3.77734375" style="170" customWidth="1"/>
    <col min="16129" max="16129" width="11.21875" style="170" bestFit="1" customWidth="1"/>
    <col min="16130" max="16130" width="3.77734375" style="170" customWidth="1"/>
    <col min="16131" max="16131" width="13.5546875" style="170" customWidth="1"/>
    <col min="16132" max="16132" width="1" style="170" customWidth="1"/>
    <col min="16133" max="16133" width="14.21875" style="170" bestFit="1" customWidth="1"/>
    <col min="16134" max="16134" width="3.21875" style="170" customWidth="1"/>
    <col min="16135" max="16135" width="20.44140625" style="170" customWidth="1"/>
    <col min="16136" max="16374" width="8.77734375" style="170"/>
    <col min="16375" max="16384" width="8.77734375" style="170" customWidth="1"/>
  </cols>
  <sheetData>
    <row r="1" spans="1:11" s="273" customFormat="1" ht="20.25">
      <c r="A1" s="550" t="str">
        <f>'P1 ADIT'!A1</f>
        <v>Duke Energy Ohio and Duke Energy Kentucky</v>
      </c>
      <c r="B1" s="621"/>
      <c r="C1" s="621"/>
      <c r="D1" s="550"/>
      <c r="E1" s="293"/>
      <c r="F1" s="418"/>
      <c r="G1" s="419"/>
      <c r="I1" s="170"/>
      <c r="J1" s="170"/>
      <c r="K1" s="170"/>
    </row>
    <row r="2" spans="1:11" s="273" customFormat="1" ht="15.75">
      <c r="C2" s="487"/>
      <c r="D2" s="487"/>
      <c r="E2" s="487"/>
      <c r="F2" s="418"/>
      <c r="G2" s="419"/>
      <c r="I2" s="170"/>
      <c r="J2" s="170"/>
      <c r="K2" s="170"/>
    </row>
    <row r="3" spans="1:11" s="273" customFormat="1" ht="15.75">
      <c r="C3" s="411"/>
      <c r="D3" s="411"/>
      <c r="E3" s="261" t="s">
        <v>396</v>
      </c>
      <c r="F3" s="418"/>
      <c r="G3" s="419"/>
      <c r="H3" s="412"/>
      <c r="I3" s="170"/>
      <c r="J3" s="170"/>
      <c r="K3" s="170"/>
    </row>
    <row r="4" spans="1:11" s="273" customFormat="1" ht="15.75">
      <c r="C4" s="411"/>
      <c r="D4" s="411"/>
      <c r="E4" s="353" t="str">
        <f>"Page 9 of "&amp;Workpaper</f>
        <v>Page 9 of 18</v>
      </c>
      <c r="F4" s="418"/>
      <c r="G4" s="419"/>
      <c r="H4" s="412"/>
      <c r="I4" s="949"/>
      <c r="J4" s="280"/>
      <c r="K4" s="170"/>
    </row>
    <row r="5" spans="1:11" ht="15.75">
      <c r="C5" s="413"/>
      <c r="D5" s="413"/>
      <c r="E5" s="61" t="str">
        <f>"For the 12 months ended: "&amp;TEXT(INPUT!$B$1,"mm/dd/yyyy")</f>
        <v>For the 12 months ended: 12/31/2020</v>
      </c>
      <c r="F5" s="418"/>
      <c r="G5" s="419"/>
      <c r="H5" s="413"/>
    </row>
    <row r="6" spans="1:11" ht="15.75">
      <c r="C6" s="413"/>
      <c r="D6" s="413"/>
      <c r="E6" s="413"/>
      <c r="F6" s="418"/>
      <c r="G6" s="419"/>
      <c r="H6" s="413"/>
    </row>
    <row r="7" spans="1:11" ht="15.75">
      <c r="A7" s="551" t="s">
        <v>4</v>
      </c>
      <c r="B7" s="622"/>
      <c r="C7" s="622"/>
      <c r="D7" s="551"/>
      <c r="E7" s="414"/>
      <c r="F7" s="418"/>
      <c r="G7" s="419"/>
      <c r="H7" s="413"/>
    </row>
    <row r="8" spans="1:11" ht="15.75">
      <c r="A8" s="552" t="s">
        <v>5</v>
      </c>
      <c r="B8" s="622"/>
      <c r="C8" s="622"/>
      <c r="D8" s="552"/>
      <c r="E8" s="414"/>
      <c r="F8" s="418"/>
      <c r="G8" s="419"/>
      <c r="H8" s="413"/>
    </row>
    <row r="9" spans="1:11" ht="15.75">
      <c r="A9" s="553" t="s">
        <v>956</v>
      </c>
      <c r="B9" s="622"/>
      <c r="C9" s="622"/>
      <c r="D9" s="553"/>
      <c r="E9" s="415"/>
      <c r="F9" s="418"/>
      <c r="G9" s="419"/>
      <c r="H9" s="413"/>
    </row>
    <row r="10" spans="1:11" ht="15.75">
      <c r="A10" s="554" t="s">
        <v>260</v>
      </c>
      <c r="B10" s="622"/>
      <c r="C10" s="622"/>
      <c r="D10" s="554"/>
      <c r="E10" s="416"/>
      <c r="F10" s="418"/>
      <c r="G10" s="419"/>
      <c r="H10" s="413"/>
    </row>
    <row r="11" spans="1:11" ht="15.75">
      <c r="C11" s="417"/>
      <c r="D11" s="417"/>
      <c r="E11" s="417"/>
      <c r="F11" s="418"/>
      <c r="G11" s="419"/>
      <c r="H11" s="413"/>
    </row>
    <row r="12" spans="1:11" ht="15.75">
      <c r="A12" s="460" t="s">
        <v>8</v>
      </c>
      <c r="C12" s="413"/>
      <c r="D12" s="413"/>
      <c r="E12" s="557" t="s">
        <v>545</v>
      </c>
      <c r="F12" s="418"/>
      <c r="G12" s="419"/>
      <c r="H12" s="418"/>
      <c r="I12" s="387"/>
    </row>
    <row r="13" spans="1:11" ht="20.25">
      <c r="A13" s="756" t="s">
        <v>10</v>
      </c>
      <c r="B13" s="762"/>
      <c r="C13" s="757" t="s">
        <v>419</v>
      </c>
      <c r="D13" s="757"/>
      <c r="E13" s="757" t="s">
        <v>546</v>
      </c>
      <c r="F13" s="418"/>
      <c r="G13" s="419"/>
      <c r="H13" s="418"/>
      <c r="J13" s="831"/>
    </row>
    <row r="14" spans="1:11" s="171" customFormat="1" ht="15.6" customHeight="1">
      <c r="C14" s="396"/>
      <c r="D14" s="396"/>
      <c r="E14" s="420"/>
      <c r="F14" s="420"/>
      <c r="G14" s="420"/>
      <c r="H14" s="421"/>
      <c r="I14" s="170"/>
      <c r="J14" s="831"/>
    </row>
    <row r="15" spans="1:11" ht="15">
      <c r="A15" s="759">
        <v>1</v>
      </c>
      <c r="C15" s="75" t="s">
        <v>789</v>
      </c>
      <c r="D15" s="75"/>
      <c r="E15" s="853">
        <v>3945835987</v>
      </c>
      <c r="F15" s="423"/>
      <c r="G15" s="424"/>
      <c r="H15" s="413"/>
      <c r="J15" s="831"/>
    </row>
    <row r="16" spans="1:11" ht="15.75">
      <c r="A16" s="759"/>
      <c r="C16" s="760"/>
      <c r="D16" s="760"/>
      <c r="E16" s="422"/>
      <c r="F16" s="425"/>
      <c r="G16" s="422"/>
      <c r="H16" s="413"/>
      <c r="J16" s="831"/>
    </row>
    <row r="17" spans="1:10" ht="15">
      <c r="A17" s="759">
        <v>2</v>
      </c>
      <c r="C17" s="734" t="s">
        <v>790</v>
      </c>
      <c r="D17" s="734"/>
      <c r="E17" s="853">
        <v>746918647</v>
      </c>
      <c r="F17" s="427"/>
      <c r="G17" s="426"/>
      <c r="H17" s="413"/>
      <c r="J17" s="831"/>
    </row>
    <row r="18" spans="1:10" ht="15.75">
      <c r="A18" s="759"/>
      <c r="C18" s="734"/>
      <c r="D18" s="734"/>
      <c r="E18" s="426"/>
      <c r="F18" s="427"/>
      <c r="G18" s="426"/>
      <c r="H18" s="413"/>
      <c r="I18" s="597"/>
      <c r="J18" s="831"/>
    </row>
    <row r="19" spans="1:10" ht="16.5" thickBot="1">
      <c r="A19" s="759">
        <v>3</v>
      </c>
      <c r="C19" s="761" t="s">
        <v>262</v>
      </c>
      <c r="D19" s="761"/>
      <c r="E19" s="892">
        <f>E15-E17</f>
        <v>3198917340</v>
      </c>
      <c r="F19" s="428"/>
      <c r="G19" s="429"/>
      <c r="H19" s="413"/>
      <c r="J19" s="831"/>
    </row>
    <row r="20" spans="1:10" ht="16.5" thickTop="1">
      <c r="C20" s="386"/>
      <c r="D20" s="386"/>
      <c r="E20" s="290"/>
      <c r="F20" s="291"/>
      <c r="G20" s="389"/>
      <c r="J20" s="831"/>
    </row>
    <row r="21" spans="1:10" ht="15.75">
      <c r="C21" s="388"/>
      <c r="D21" s="388"/>
      <c r="F21" s="292"/>
      <c r="G21" s="292"/>
      <c r="H21" s="385"/>
      <c r="J21" s="831"/>
    </row>
    <row r="22" spans="1:10" ht="15">
      <c r="C22" s="170" t="s">
        <v>7</v>
      </c>
      <c r="J22" s="831"/>
    </row>
    <row r="23" spans="1:10" ht="15">
      <c r="J23" s="831"/>
    </row>
    <row r="24" spans="1:10" ht="15">
      <c r="J24" s="831"/>
    </row>
    <row r="25" spans="1:10" ht="15">
      <c r="J25" s="831"/>
    </row>
  </sheetData>
  <phoneticPr fontId="55" type="noConversion"/>
  <pageMargins left="1" right="1" top="1" bottom="1" header="0.5" footer="0.5"/>
  <pageSetup scale="84" orientation="portrait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>
    <tabColor theme="1"/>
    <pageSetUpPr fitToPage="1"/>
  </sheetPr>
  <dimension ref="A1:R54"/>
  <sheetViews>
    <sheetView view="pageBreakPreview" zoomScale="85" zoomScaleNormal="100" zoomScaleSheetLayoutView="85" workbookViewId="0">
      <selection activeCell="E70" sqref="E70"/>
    </sheetView>
  </sheetViews>
  <sheetFormatPr defaultColWidth="7.109375" defaultRowHeight="12.75"/>
  <cols>
    <col min="1" max="1" width="7.109375" style="57"/>
    <col min="2" max="2" width="1.77734375" style="57" customWidth="1"/>
    <col min="3" max="3" width="10.77734375" style="57" customWidth="1"/>
    <col min="4" max="4" width="10.21875" style="57" customWidth="1"/>
    <col min="5" max="5" width="9.77734375" style="57" customWidth="1"/>
    <col min="6" max="6" width="7.5546875" style="57" customWidth="1"/>
    <col min="7" max="7" width="9.5546875" style="57" bestFit="1" customWidth="1"/>
    <col min="8" max="17" width="7.109375" style="57"/>
    <col min="18" max="18" width="9" style="57" bestFit="1" customWidth="1"/>
    <col min="19" max="16384" width="7.109375" style="57"/>
  </cols>
  <sheetData>
    <row r="1" spans="1:14" ht="15.75">
      <c r="A1" s="276" t="str">
        <f>'P1 ADIT'!A1</f>
        <v>Duke Energy Ohio and Duke Energy Kentucky</v>
      </c>
      <c r="B1" s="623"/>
      <c r="C1" s="623"/>
      <c r="D1" s="62"/>
      <c r="E1" s="62"/>
      <c r="F1" s="62"/>
      <c r="G1" s="623"/>
      <c r="H1" s="623"/>
      <c r="K1" s="179"/>
      <c r="N1" s="179"/>
    </row>
    <row r="2" spans="1:14" ht="15.75">
      <c r="A2" s="625"/>
      <c r="C2" s="62"/>
      <c r="D2" s="62"/>
      <c r="E2" s="62"/>
      <c r="F2" s="62"/>
      <c r="I2" s="261"/>
      <c r="K2" s="949"/>
      <c r="L2" s="280"/>
    </row>
    <row r="3" spans="1:14" ht="15.75">
      <c r="A3" s="625"/>
      <c r="C3" s="62"/>
      <c r="D3" s="62"/>
      <c r="E3" s="62"/>
      <c r="H3" s="161" t="s">
        <v>396</v>
      </c>
      <c r="I3" s="261"/>
    </row>
    <row r="4" spans="1:14" ht="15.75">
      <c r="A4" s="625"/>
      <c r="C4" s="62"/>
      <c r="D4" s="62"/>
      <c r="E4" s="62"/>
      <c r="H4" s="351" t="str">
        <f>"Page 10 of "&amp;Workpaper</f>
        <v>Page 10 of 18</v>
      </c>
      <c r="I4" s="261"/>
    </row>
    <row r="5" spans="1:14" ht="15.75">
      <c r="A5" s="625"/>
      <c r="C5" s="62"/>
      <c r="D5" s="62"/>
      <c r="E5" s="62"/>
      <c r="H5" s="410" t="str">
        <f>"For the 12 months ended: "&amp;TEXT(INPUT!$B$1,"mm/dd/yyyy")</f>
        <v>For the 12 months ended: 12/31/2020</v>
      </c>
    </row>
    <row r="6" spans="1:14">
      <c r="A6" s="625"/>
    </row>
    <row r="7" spans="1:14">
      <c r="A7" s="627" t="str">
        <f>CONCATENATE(TEXT(RIGHT(DEOK!G7,10),"YYYY")," DEOK MONTHLY TRANSMISSION SYSTEM PEAKS")</f>
        <v>2020 DEOK MONTHLY TRANSMISSION SYSTEM PEAKS</v>
      </c>
      <c r="B7" s="623"/>
      <c r="C7" s="623"/>
      <c r="D7" s="63"/>
      <c r="E7" s="63"/>
      <c r="F7" s="63"/>
      <c r="G7" s="623"/>
      <c r="H7" s="623"/>
    </row>
    <row r="8" spans="1:14">
      <c r="A8" s="627" t="s">
        <v>809</v>
      </c>
      <c r="B8" s="623"/>
      <c r="C8" s="626"/>
      <c r="D8" s="626"/>
      <c r="E8" s="626"/>
      <c r="F8" s="626"/>
      <c r="G8" s="623"/>
      <c r="H8" s="623"/>
    </row>
    <row r="9" spans="1:14">
      <c r="C9" s="58"/>
      <c r="D9" s="58"/>
      <c r="E9" s="58"/>
      <c r="F9" s="58"/>
    </row>
    <row r="10" spans="1:14">
      <c r="A10" s="603" t="s">
        <v>8</v>
      </c>
      <c r="D10" s="624" t="s">
        <v>805</v>
      </c>
      <c r="E10" s="624"/>
    </row>
    <row r="11" spans="1:14" ht="19.5">
      <c r="A11" s="604" t="s">
        <v>10</v>
      </c>
      <c r="C11" s="59" t="s">
        <v>673</v>
      </c>
      <c r="D11" s="59" t="s">
        <v>810</v>
      </c>
      <c r="E11" s="59"/>
      <c r="F11" s="59"/>
      <c r="G11" s="59"/>
    </row>
    <row r="12" spans="1:14" ht="15">
      <c r="D12" s="59"/>
      <c r="E12" s="59"/>
      <c r="F12" s="59"/>
      <c r="G12" s="59"/>
    </row>
    <row r="13" spans="1:14">
      <c r="A13" s="605">
        <v>1</v>
      </c>
      <c r="C13" s="329" t="s">
        <v>156</v>
      </c>
      <c r="D13" s="529">
        <v>4015000</v>
      </c>
      <c r="E13" s="529"/>
      <c r="F13" s="529"/>
    </row>
    <row r="14" spans="1:14">
      <c r="A14" s="605">
        <v>2</v>
      </c>
      <c r="C14" s="57" t="s">
        <v>157</v>
      </c>
      <c r="D14" s="529">
        <v>4019000</v>
      </c>
      <c r="E14" s="397"/>
      <c r="F14" s="397"/>
      <c r="G14" s="397"/>
    </row>
    <row r="15" spans="1:14">
      <c r="A15" s="605">
        <v>3</v>
      </c>
      <c r="C15" s="57" t="s">
        <v>158</v>
      </c>
      <c r="D15" s="529">
        <v>3383000</v>
      </c>
      <c r="E15" s="397"/>
      <c r="F15" s="397"/>
      <c r="G15" s="397"/>
    </row>
    <row r="16" spans="1:14">
      <c r="A16" s="605">
        <v>4</v>
      </c>
      <c r="C16" s="57" t="s">
        <v>159</v>
      </c>
      <c r="D16" s="529">
        <v>3001000</v>
      </c>
      <c r="E16" s="397"/>
      <c r="F16" s="397"/>
      <c r="G16" s="397"/>
    </row>
    <row r="17" spans="1:7">
      <c r="A17" s="605">
        <v>5</v>
      </c>
      <c r="C17" s="57" t="s">
        <v>265</v>
      </c>
      <c r="D17" s="529">
        <v>4164000</v>
      </c>
      <c r="E17" s="397"/>
      <c r="F17" s="397"/>
      <c r="G17" s="397"/>
    </row>
    <row r="18" spans="1:7">
      <c r="A18" s="605">
        <v>6</v>
      </c>
      <c r="C18" s="57" t="s">
        <v>160</v>
      </c>
      <c r="D18" s="529">
        <v>4633000</v>
      </c>
      <c r="E18" s="397"/>
      <c r="F18" s="397"/>
      <c r="G18" s="397"/>
    </row>
    <row r="19" spans="1:7">
      <c r="A19" s="605">
        <v>7</v>
      </c>
      <c r="C19" s="57" t="s">
        <v>266</v>
      </c>
      <c r="D19" s="529">
        <v>4959000</v>
      </c>
      <c r="E19" s="830"/>
      <c r="F19" s="397"/>
      <c r="G19" s="397"/>
    </row>
    <row r="20" spans="1:7">
      <c r="A20" s="605">
        <v>8</v>
      </c>
      <c r="C20" s="57" t="s">
        <v>161</v>
      </c>
      <c r="D20" s="529">
        <v>4943000</v>
      </c>
      <c r="E20" s="397"/>
      <c r="F20" s="397"/>
      <c r="G20" s="639"/>
    </row>
    <row r="21" spans="1:7">
      <c r="A21" s="605">
        <v>9</v>
      </c>
      <c r="C21" s="57" t="s">
        <v>267</v>
      </c>
      <c r="D21" s="529">
        <v>4679000</v>
      </c>
      <c r="E21" s="397"/>
      <c r="F21" s="397"/>
      <c r="G21" s="397"/>
    </row>
    <row r="22" spans="1:7">
      <c r="A22" s="605">
        <v>10</v>
      </c>
      <c r="C22" s="57" t="s">
        <v>268</v>
      </c>
      <c r="D22" s="529">
        <v>3133000</v>
      </c>
      <c r="E22" s="397"/>
      <c r="F22" s="397"/>
      <c r="G22" s="397"/>
    </row>
    <row r="23" spans="1:7">
      <c r="A23" s="605">
        <v>11</v>
      </c>
      <c r="C23" s="57" t="s">
        <v>269</v>
      </c>
      <c r="D23" s="529">
        <v>3583000</v>
      </c>
      <c r="E23" s="397"/>
      <c r="F23" s="397"/>
      <c r="G23" s="397"/>
    </row>
    <row r="24" spans="1:7" ht="15">
      <c r="A24" s="605">
        <v>12</v>
      </c>
      <c r="C24" s="57" t="s">
        <v>162</v>
      </c>
      <c r="D24" s="708">
        <v>3705000</v>
      </c>
      <c r="E24" s="397"/>
      <c r="F24" s="397"/>
      <c r="G24" s="397"/>
    </row>
    <row r="25" spans="1:7">
      <c r="A25" s="605">
        <v>13</v>
      </c>
      <c r="C25" s="57" t="s">
        <v>12</v>
      </c>
      <c r="D25" s="397">
        <f>SUM(D13:D24)</f>
        <v>48217000</v>
      </c>
      <c r="E25" s="397"/>
      <c r="F25" s="397"/>
      <c r="G25" s="397"/>
    </row>
    <row r="26" spans="1:7">
      <c r="A26" s="605"/>
      <c r="D26" s="397"/>
      <c r="E26" s="397"/>
      <c r="F26" s="397"/>
      <c r="G26" s="397"/>
    </row>
    <row r="27" spans="1:7" ht="15">
      <c r="A27" s="605">
        <v>14</v>
      </c>
      <c r="C27" s="57" t="s">
        <v>163</v>
      </c>
      <c r="D27" s="806">
        <f>ROUND(D25/12,0)</f>
        <v>4018083</v>
      </c>
      <c r="E27" s="397"/>
      <c r="F27" s="397"/>
      <c r="G27" s="397"/>
    </row>
    <row r="28" spans="1:7">
      <c r="A28" s="605"/>
      <c r="D28" s="397"/>
      <c r="E28" s="397"/>
      <c r="F28" s="397"/>
      <c r="G28" s="397"/>
    </row>
    <row r="30" spans="1:7" ht="15">
      <c r="A30" s="57" t="s">
        <v>164</v>
      </c>
      <c r="D30" s="337"/>
      <c r="E30" s="338"/>
      <c r="F30" s="59"/>
      <c r="G30" s="59"/>
    </row>
    <row r="31" spans="1:7">
      <c r="A31" s="322" t="s">
        <v>806</v>
      </c>
    </row>
    <row r="32" spans="1:7">
      <c r="A32" s="179" t="s">
        <v>807</v>
      </c>
      <c r="C32" s="366"/>
    </row>
    <row r="33" spans="1:11" ht="13.15" customHeight="1">
      <c r="A33" s="179" t="s">
        <v>808</v>
      </c>
      <c r="C33" s="24"/>
    </row>
    <row r="34" spans="1:11">
      <c r="C34" s="179"/>
    </row>
    <row r="35" spans="1:11">
      <c r="F35" s="951"/>
      <c r="G35" s="952"/>
      <c r="H35" s="952"/>
      <c r="I35" s="952"/>
      <c r="K35" s="179"/>
    </row>
    <row r="36" spans="1:11" ht="15">
      <c r="F36" s="952"/>
      <c r="G36" s="952"/>
      <c r="H36"/>
      <c r="I36"/>
      <c r="K36" s="179"/>
    </row>
    <row r="40" spans="1:11">
      <c r="C40" s="179"/>
    </row>
    <row r="49" spans="18:18">
      <c r="R49" s="529"/>
    </row>
    <row r="50" spans="18:18">
      <c r="R50" s="529"/>
    </row>
    <row r="51" spans="18:18">
      <c r="R51" s="529"/>
    </row>
    <row r="52" spans="18:18">
      <c r="R52" s="529"/>
    </row>
    <row r="53" spans="18:18">
      <c r="R53" s="529"/>
    </row>
    <row r="54" spans="18:18">
      <c r="R54" s="638"/>
    </row>
  </sheetData>
  <phoneticPr fontId="47" type="noConversion"/>
  <pageMargins left="1" right="0.5" top="1" bottom="0.5" header="0.25" footer="0.25"/>
  <pageSetup fitToHeight="2" orientation="portrait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">
    <tabColor theme="1"/>
    <pageSetUpPr fitToPage="1"/>
  </sheetPr>
  <dimension ref="B1:N48"/>
  <sheetViews>
    <sheetView view="pageBreakPreview" topLeftCell="B1" zoomScale="70" zoomScaleNormal="70" zoomScaleSheetLayoutView="70" workbookViewId="0">
      <selection activeCell="E70" sqref="E70"/>
    </sheetView>
  </sheetViews>
  <sheetFormatPr defaultColWidth="7.44140625" defaultRowHeight="15"/>
  <cols>
    <col min="1" max="1" width="7.44140625" style="451"/>
    <col min="2" max="2" width="5.21875" style="451" customWidth="1"/>
    <col min="3" max="3" width="8.5546875" style="451" customWidth="1"/>
    <col min="4" max="4" width="61.21875" style="451" customWidth="1"/>
    <col min="5" max="5" width="1.21875" style="451" customWidth="1"/>
    <col min="6" max="6" width="12.5546875" style="451" customWidth="1"/>
    <col min="7" max="7" width="13.44140625" style="451" customWidth="1"/>
    <col min="8" max="8" width="13" style="451" bestFit="1" customWidth="1"/>
    <col min="9" max="9" width="1.21875" style="451" customWidth="1"/>
    <col min="10" max="10" width="63.77734375" style="451" customWidth="1"/>
    <col min="11" max="11" width="11.77734375" style="451" customWidth="1"/>
    <col min="12" max="12" width="2.21875" style="451" customWidth="1"/>
    <col min="13" max="16384" width="7.44140625" style="451"/>
  </cols>
  <sheetData>
    <row r="1" spans="2:14" ht="15.75">
      <c r="B1" s="452" t="s">
        <v>177</v>
      </c>
      <c r="C1" s="452"/>
      <c r="D1" s="452"/>
      <c r="E1" s="452"/>
      <c r="F1" s="452"/>
      <c r="G1" s="452"/>
      <c r="H1" s="452"/>
      <c r="I1" s="452"/>
      <c r="J1" s="452"/>
      <c r="K1" s="452"/>
    </row>
    <row r="2" spans="2:14" ht="15.75">
      <c r="B2" s="636" t="s">
        <v>934</v>
      </c>
      <c r="C2" s="452"/>
      <c r="D2" s="452"/>
      <c r="E2" s="452"/>
      <c r="F2" s="452"/>
      <c r="G2" s="452"/>
      <c r="H2" s="452"/>
      <c r="I2" s="452"/>
      <c r="J2" s="452"/>
      <c r="K2" s="452"/>
    </row>
    <row r="3" spans="2:14" ht="15.75">
      <c r="B3" s="452" t="s">
        <v>608</v>
      </c>
      <c r="C3" s="452"/>
      <c r="D3" s="452"/>
      <c r="E3" s="452"/>
      <c r="F3" s="452"/>
      <c r="G3" s="452"/>
      <c r="H3" s="452"/>
      <c r="I3" s="452"/>
      <c r="J3" s="452"/>
      <c r="K3" s="452"/>
      <c r="M3" s="949"/>
      <c r="N3" s="280"/>
    </row>
    <row r="4" spans="2:14" ht="15.75">
      <c r="B4" s="636" t="s">
        <v>935</v>
      </c>
      <c r="C4" s="452"/>
      <c r="D4" s="452"/>
      <c r="E4" s="452"/>
      <c r="F4" s="452"/>
      <c r="G4" s="452"/>
      <c r="H4" s="452"/>
      <c r="I4" s="452"/>
      <c r="J4" s="452"/>
      <c r="K4" s="452"/>
    </row>
    <row r="5" spans="2:14" ht="15.75">
      <c r="B5" s="452"/>
      <c r="C5" s="452"/>
      <c r="D5" s="452"/>
      <c r="E5" s="452"/>
      <c r="F5" s="452"/>
      <c r="G5" s="452"/>
      <c r="H5" s="452"/>
      <c r="I5" s="452"/>
      <c r="J5" s="452"/>
      <c r="K5" s="261" t="s">
        <v>396</v>
      </c>
    </row>
    <row r="6" spans="2:14" ht="15.75">
      <c r="B6" s="452"/>
      <c r="C6" s="452"/>
      <c r="D6" s="452"/>
      <c r="E6" s="452"/>
      <c r="F6" s="452"/>
      <c r="G6" s="452"/>
      <c r="H6" s="452"/>
      <c r="I6" s="452"/>
      <c r="J6" s="452"/>
      <c r="K6" s="353" t="str">
        <f>"Page 11 of "&amp;Workpaper</f>
        <v>Page 11 of 18</v>
      </c>
    </row>
    <row r="7" spans="2:14" ht="15.75">
      <c r="B7" s="452"/>
      <c r="C7" s="452"/>
      <c r="D7" s="452"/>
      <c r="E7" s="452"/>
      <c r="F7" s="452"/>
      <c r="G7" s="452"/>
      <c r="H7" s="452"/>
      <c r="I7" s="452"/>
      <c r="J7" s="452"/>
      <c r="K7" s="61" t="str">
        <f>"For the 12 months ended: "&amp;TEXT(INPUT!$B$1,"mm/dd/yyyy")</f>
        <v>For the 12 months ended: 12/31/2020</v>
      </c>
    </row>
    <row r="9" spans="2:14" ht="15.75">
      <c r="B9" s="763"/>
      <c r="C9" s="764" t="s">
        <v>609</v>
      </c>
      <c r="D9" s="765"/>
      <c r="E9" s="765"/>
      <c r="F9" s="765"/>
      <c r="G9" s="765"/>
      <c r="H9" s="765"/>
      <c r="I9" s="765"/>
      <c r="J9" s="765"/>
      <c r="K9" s="766"/>
    </row>
    <row r="10" spans="2:14" ht="34.5" customHeight="1">
      <c r="B10" s="767" t="s">
        <v>8</v>
      </c>
      <c r="C10" s="768" t="s">
        <v>610</v>
      </c>
      <c r="D10" s="765" t="s">
        <v>611</v>
      </c>
      <c r="E10" s="765"/>
      <c r="F10" s="765"/>
      <c r="G10" s="765"/>
      <c r="H10" s="765"/>
      <c r="I10" s="769"/>
      <c r="J10" s="764" t="s">
        <v>618</v>
      </c>
      <c r="K10" s="770"/>
    </row>
    <row r="11" spans="2:14" ht="15.75">
      <c r="B11" s="771"/>
      <c r="C11" s="772"/>
      <c r="D11" s="773"/>
      <c r="E11" s="773"/>
      <c r="F11" s="774"/>
      <c r="G11" s="774"/>
      <c r="H11" s="774"/>
      <c r="I11" s="453"/>
      <c r="J11" s="775"/>
      <c r="K11" s="776"/>
      <c r="L11" s="453"/>
    </row>
    <row r="12" spans="2:14" ht="61.15" customHeight="1">
      <c r="B12" s="777">
        <v>1</v>
      </c>
      <c r="C12" s="778">
        <v>926</v>
      </c>
      <c r="E12" s="453"/>
      <c r="F12" s="874" t="s">
        <v>612</v>
      </c>
      <c r="G12" s="874" t="s">
        <v>613</v>
      </c>
      <c r="H12" s="874" t="s">
        <v>614</v>
      </c>
      <c r="I12" s="453"/>
      <c r="J12" s="779"/>
      <c r="K12" s="776"/>
      <c r="L12" s="453"/>
    </row>
    <row r="13" spans="2:14">
      <c r="B13" s="777">
        <f t="shared" ref="B13:B41" si="0">B12+1</f>
        <v>2</v>
      </c>
      <c r="C13" s="771"/>
      <c r="D13" s="780" t="s">
        <v>615</v>
      </c>
      <c r="E13" s="453"/>
      <c r="F13" s="453"/>
      <c r="G13" s="453"/>
      <c r="H13" s="453"/>
      <c r="I13" s="453"/>
      <c r="J13" s="779"/>
      <c r="K13" s="776"/>
      <c r="L13" s="453"/>
    </row>
    <row r="14" spans="2:14" ht="45">
      <c r="B14" s="781">
        <f t="shared" si="0"/>
        <v>3</v>
      </c>
      <c r="C14" s="782"/>
      <c r="D14" s="783" t="s">
        <v>781</v>
      </c>
      <c r="E14" s="784"/>
      <c r="F14" s="875">
        <v>266360</v>
      </c>
      <c r="G14" s="875">
        <v>1308691</v>
      </c>
      <c r="H14" s="876"/>
      <c r="I14" s="453"/>
      <c r="J14" s="877" t="s">
        <v>944</v>
      </c>
      <c r="K14" s="878" t="s">
        <v>780</v>
      </c>
      <c r="L14" s="453"/>
    </row>
    <row r="15" spans="2:14">
      <c r="B15" s="777">
        <f t="shared" si="0"/>
        <v>4</v>
      </c>
      <c r="C15" s="771"/>
      <c r="D15" s="785" t="s">
        <v>782</v>
      </c>
      <c r="E15" s="453"/>
      <c r="F15" s="456"/>
      <c r="G15" s="456"/>
      <c r="H15" s="786"/>
      <c r="I15" s="453"/>
      <c r="J15" s="787"/>
      <c r="K15" s="788"/>
      <c r="L15" s="453"/>
    </row>
    <row r="16" spans="2:14" ht="45.6" customHeight="1">
      <c r="B16" s="781">
        <f t="shared" si="0"/>
        <v>5</v>
      </c>
      <c r="C16" s="782"/>
      <c r="D16" s="783" t="s">
        <v>936</v>
      </c>
      <c r="E16" s="784"/>
      <c r="F16" s="879">
        <v>-296562</v>
      </c>
      <c r="G16" s="879">
        <v>1289461</v>
      </c>
      <c r="H16" s="880"/>
      <c r="I16" s="784"/>
      <c r="J16" s="877" t="s">
        <v>982</v>
      </c>
      <c r="K16" s="878" t="s">
        <v>983</v>
      </c>
      <c r="L16" s="453"/>
    </row>
    <row r="17" spans="2:12">
      <c r="B17" s="781">
        <f t="shared" si="0"/>
        <v>6</v>
      </c>
      <c r="C17" s="771"/>
      <c r="D17" s="785" t="s">
        <v>783</v>
      </c>
      <c r="E17" s="453"/>
      <c r="F17" s="881">
        <v>1705000</v>
      </c>
      <c r="G17" s="881">
        <v>5115000</v>
      </c>
      <c r="H17" s="786"/>
      <c r="I17" s="453"/>
      <c r="J17" s="787" t="s">
        <v>848</v>
      </c>
      <c r="K17" s="788"/>
      <c r="L17" s="453"/>
    </row>
    <row r="18" spans="2:12">
      <c r="B18" s="781">
        <f t="shared" si="0"/>
        <v>7</v>
      </c>
      <c r="C18" s="771"/>
      <c r="D18" s="453"/>
      <c r="E18" s="453"/>
      <c r="F18" s="456"/>
      <c r="G18" s="456"/>
      <c r="H18" s="453"/>
      <c r="I18" s="453"/>
      <c r="J18" s="779"/>
      <c r="K18" s="788"/>
      <c r="L18" s="453"/>
    </row>
    <row r="19" spans="2:12" ht="15.75" thickBot="1">
      <c r="B19" s="781">
        <f t="shared" si="0"/>
        <v>8</v>
      </c>
      <c r="C19" s="771"/>
      <c r="D19" s="785" t="s">
        <v>784</v>
      </c>
      <c r="E19" s="453"/>
      <c r="F19" s="882">
        <f>SUM(F14:F18)</f>
        <v>1674798</v>
      </c>
      <c r="G19" s="882">
        <f>SUM(G14:G18)</f>
        <v>7713152</v>
      </c>
      <c r="H19" s="786"/>
      <c r="I19" s="453"/>
      <c r="J19" s="779"/>
      <c r="K19" s="788"/>
      <c r="L19" s="453"/>
    </row>
    <row r="20" spans="2:12" ht="15.75" thickTop="1">
      <c r="B20" s="781">
        <f t="shared" si="0"/>
        <v>9</v>
      </c>
      <c r="C20" s="771"/>
      <c r="D20" s="785"/>
      <c r="E20" s="453"/>
      <c r="F20" s="786"/>
      <c r="G20" s="786"/>
      <c r="H20" s="786"/>
      <c r="I20" s="453"/>
      <c r="J20" s="779"/>
      <c r="K20" s="788"/>
      <c r="L20" s="453"/>
    </row>
    <row r="21" spans="2:12">
      <c r="B21" s="781">
        <f t="shared" si="0"/>
        <v>10</v>
      </c>
      <c r="C21" s="771"/>
      <c r="D21" s="780" t="s">
        <v>845</v>
      </c>
      <c r="E21" s="784"/>
      <c r="F21" s="883">
        <v>0.4738</v>
      </c>
      <c r="G21" s="883">
        <v>1</v>
      </c>
      <c r="H21" s="786"/>
      <c r="I21" s="453"/>
      <c r="J21" s="877" t="s">
        <v>937</v>
      </c>
      <c r="K21" s="788"/>
      <c r="L21" s="453"/>
    </row>
    <row r="22" spans="2:12" ht="21.6" customHeight="1">
      <c r="B22" s="781">
        <f t="shared" si="0"/>
        <v>11</v>
      </c>
      <c r="C22" s="782"/>
      <c r="D22" s="783" t="s">
        <v>846</v>
      </c>
      <c r="E22" s="784"/>
      <c r="F22" s="883">
        <v>0.7340000000000001</v>
      </c>
      <c r="G22" s="884"/>
      <c r="H22" s="880"/>
      <c r="I22" s="784"/>
      <c r="J22" s="888" t="s">
        <v>938</v>
      </c>
      <c r="K22" s="788"/>
      <c r="L22" s="453"/>
    </row>
    <row r="23" spans="2:12">
      <c r="B23" s="781">
        <f t="shared" si="0"/>
        <v>12</v>
      </c>
      <c r="C23" s="771"/>
      <c r="D23" s="785" t="s">
        <v>785</v>
      </c>
      <c r="E23" s="453"/>
      <c r="F23" s="456"/>
      <c r="G23" s="885">
        <v>9.9599999999999994E-2</v>
      </c>
      <c r="H23" s="786"/>
      <c r="I23" s="453"/>
      <c r="J23" s="787" t="s">
        <v>943</v>
      </c>
      <c r="K23" s="788"/>
      <c r="L23" s="453"/>
    </row>
    <row r="24" spans="2:12">
      <c r="B24" s="781">
        <f t="shared" si="0"/>
        <v>13</v>
      </c>
      <c r="C24" s="771"/>
      <c r="D24" s="453" t="s">
        <v>786</v>
      </c>
      <c r="E24" s="453"/>
      <c r="F24" s="786"/>
      <c r="G24" s="786"/>
      <c r="H24" s="875">
        <v>-171722</v>
      </c>
      <c r="I24" s="453"/>
      <c r="J24" s="779"/>
      <c r="K24" s="788"/>
      <c r="L24" s="453"/>
    </row>
    <row r="25" spans="2:12">
      <c r="B25" s="781">
        <f t="shared" si="0"/>
        <v>14</v>
      </c>
      <c r="C25" s="771"/>
      <c r="I25" s="453"/>
      <c r="J25" s="779"/>
      <c r="K25" s="788"/>
      <c r="L25" s="453"/>
    </row>
    <row r="26" spans="2:12">
      <c r="B26" s="781">
        <f t="shared" si="0"/>
        <v>15</v>
      </c>
      <c r="C26" s="771"/>
      <c r="D26" s="785" t="s">
        <v>939</v>
      </c>
      <c r="E26" s="453"/>
      <c r="F26" s="886">
        <f>ROUND((F19*F21*F22),0)</f>
        <v>582443</v>
      </c>
      <c r="G26" s="886">
        <f>ROUND(G19*G21*G23,0)</f>
        <v>768230</v>
      </c>
      <c r="H26" s="143">
        <f>SUM(F26:G26)</f>
        <v>1350673</v>
      </c>
      <c r="I26" s="453"/>
      <c r="J26" s="779"/>
      <c r="K26" s="788"/>
      <c r="L26" s="453"/>
    </row>
    <row r="27" spans="2:12">
      <c r="B27" s="781">
        <f t="shared" si="0"/>
        <v>16</v>
      </c>
      <c r="C27" s="771"/>
      <c r="D27" s="453"/>
      <c r="E27" s="453"/>
      <c r="F27" s="786"/>
      <c r="G27" s="786"/>
      <c r="H27" s="453"/>
      <c r="I27" s="453"/>
      <c r="J27" s="779"/>
      <c r="K27" s="788"/>
      <c r="L27" s="453"/>
    </row>
    <row r="28" spans="2:12">
      <c r="B28" s="781">
        <f t="shared" si="0"/>
        <v>17</v>
      </c>
      <c r="C28" s="771"/>
      <c r="D28" s="453" t="s">
        <v>787</v>
      </c>
      <c r="E28" s="453"/>
      <c r="F28" s="786"/>
      <c r="G28" s="786"/>
      <c r="H28" s="887">
        <f>H24+H26</f>
        <v>1178951</v>
      </c>
      <c r="I28" s="453"/>
      <c r="J28" s="779"/>
      <c r="K28" s="788"/>
      <c r="L28" s="453"/>
    </row>
    <row r="29" spans="2:12">
      <c r="B29" s="781">
        <f t="shared" si="0"/>
        <v>18</v>
      </c>
      <c r="C29" s="771"/>
      <c r="D29" s="453"/>
      <c r="E29" s="453"/>
      <c r="F29" s="786"/>
      <c r="G29" s="786"/>
      <c r="H29" s="453"/>
      <c r="I29" s="453"/>
      <c r="J29" s="779"/>
      <c r="K29" s="788"/>
      <c r="L29" s="453"/>
    </row>
    <row r="30" spans="2:12">
      <c r="B30" s="781">
        <f t="shared" si="0"/>
        <v>19</v>
      </c>
      <c r="C30" s="771"/>
      <c r="D30" s="785" t="s">
        <v>615</v>
      </c>
      <c r="E30" s="453"/>
      <c r="F30" s="786"/>
      <c r="G30" s="786"/>
      <c r="H30" s="453"/>
      <c r="I30" s="453"/>
      <c r="J30" s="779"/>
      <c r="K30" s="788"/>
      <c r="L30" s="453"/>
    </row>
    <row r="31" spans="2:12" ht="45">
      <c r="B31" s="781">
        <f t="shared" si="0"/>
        <v>20</v>
      </c>
      <c r="C31" s="782"/>
      <c r="D31" s="783" t="s">
        <v>847</v>
      </c>
      <c r="E31" s="784"/>
      <c r="F31" s="875">
        <v>167698</v>
      </c>
      <c r="G31" s="875">
        <v>-1609622</v>
      </c>
      <c r="H31" s="453"/>
      <c r="I31" s="453"/>
      <c r="J31" s="877" t="s">
        <v>944</v>
      </c>
      <c r="K31" s="878" t="s">
        <v>780</v>
      </c>
      <c r="L31" s="453"/>
    </row>
    <row r="32" spans="2:12">
      <c r="B32" s="781">
        <f t="shared" si="0"/>
        <v>21</v>
      </c>
      <c r="C32" s="771"/>
      <c r="D32" s="785" t="s">
        <v>945</v>
      </c>
      <c r="E32" s="453"/>
      <c r="F32" s="881">
        <v>1250961</v>
      </c>
      <c r="G32" s="881"/>
      <c r="H32" s="453"/>
      <c r="I32" s="453"/>
      <c r="J32" s="787" t="s">
        <v>849</v>
      </c>
      <c r="K32" s="789"/>
      <c r="L32" s="453"/>
    </row>
    <row r="33" spans="2:14">
      <c r="B33" s="781">
        <f t="shared" si="0"/>
        <v>22</v>
      </c>
      <c r="C33" s="771"/>
      <c r="D33" s="785" t="s">
        <v>946</v>
      </c>
      <c r="E33" s="453"/>
      <c r="F33" s="887">
        <f>F31+F32</f>
        <v>1418659</v>
      </c>
      <c r="G33" s="887">
        <f>G31+G32</f>
        <v>-1609622</v>
      </c>
      <c r="H33" s="453"/>
      <c r="I33" s="453"/>
      <c r="J33" s="779"/>
      <c r="K33" s="788"/>
      <c r="L33" s="453"/>
    </row>
    <row r="34" spans="2:14">
      <c r="B34" s="781">
        <f t="shared" si="0"/>
        <v>23</v>
      </c>
      <c r="C34" s="771"/>
      <c r="D34" s="453"/>
      <c r="E34" s="453"/>
      <c r="F34" s="786"/>
      <c r="G34" s="786"/>
      <c r="H34" s="453"/>
      <c r="I34" s="453"/>
      <c r="J34" s="779"/>
      <c r="K34" s="788"/>
      <c r="L34" s="453"/>
    </row>
    <row r="35" spans="2:14">
      <c r="B35" s="781">
        <f t="shared" si="0"/>
        <v>24</v>
      </c>
      <c r="C35" s="771"/>
      <c r="D35" s="783" t="s">
        <v>846</v>
      </c>
      <c r="E35" s="453"/>
      <c r="F35" s="883">
        <v>0.7340000000000001</v>
      </c>
      <c r="G35" s="883"/>
      <c r="H35" s="453"/>
      <c r="I35" s="453"/>
      <c r="J35" s="888" t="str">
        <f>J22</f>
        <v>DEO 2020 Allocation Stat Percentages Table</v>
      </c>
      <c r="K35" s="788"/>
      <c r="L35" s="453"/>
      <c r="N35"/>
    </row>
    <row r="36" spans="2:14">
      <c r="B36" s="781">
        <f t="shared" si="0"/>
        <v>25</v>
      </c>
      <c r="C36" s="771"/>
      <c r="D36" s="785" t="s">
        <v>785</v>
      </c>
      <c r="E36" s="453"/>
      <c r="F36" s="883"/>
      <c r="G36" s="883">
        <v>3.4599999999999999E-2</v>
      </c>
      <c r="H36" s="453"/>
      <c r="I36" s="453"/>
      <c r="J36" s="787" t="s">
        <v>943</v>
      </c>
      <c r="K36" s="788"/>
      <c r="L36" s="453"/>
    </row>
    <row r="37" spans="2:14">
      <c r="B37" s="781">
        <f t="shared" si="0"/>
        <v>26</v>
      </c>
      <c r="C37" s="771"/>
      <c r="D37" s="785"/>
      <c r="E37" s="453"/>
      <c r="F37" s="889"/>
      <c r="G37" s="889"/>
      <c r="H37" s="453"/>
      <c r="I37" s="453"/>
      <c r="J37" s="779"/>
      <c r="K37" s="788"/>
      <c r="L37" s="453"/>
    </row>
    <row r="38" spans="2:14" ht="30">
      <c r="B38" s="781">
        <f t="shared" si="0"/>
        <v>27</v>
      </c>
      <c r="C38" s="771"/>
      <c r="D38" s="567" t="s">
        <v>947</v>
      </c>
      <c r="E38" s="453"/>
      <c r="F38" s="886">
        <f>ROUND((F33*F35),0)</f>
        <v>1041296</v>
      </c>
      <c r="G38" s="886">
        <f>ROUND((G33*G36),0)</f>
        <v>-55693</v>
      </c>
      <c r="H38" s="890">
        <f>F38+G38</f>
        <v>985603</v>
      </c>
      <c r="I38" s="453"/>
      <c r="J38" s="779"/>
      <c r="K38" s="788"/>
      <c r="L38" s="453"/>
    </row>
    <row r="39" spans="2:14">
      <c r="B39" s="781">
        <f t="shared" si="0"/>
        <v>28</v>
      </c>
      <c r="C39" s="771"/>
      <c r="D39" s="785"/>
      <c r="E39" s="453"/>
      <c r="F39" s="786"/>
      <c r="G39" s="786"/>
      <c r="H39" s="453"/>
      <c r="I39" s="453"/>
      <c r="J39" s="779"/>
      <c r="K39" s="788"/>
      <c r="L39" s="453"/>
    </row>
    <row r="40" spans="2:14">
      <c r="B40" s="781">
        <f t="shared" si="0"/>
        <v>29</v>
      </c>
      <c r="C40" s="771"/>
      <c r="D40" s="453"/>
      <c r="E40" s="453"/>
      <c r="F40" s="786"/>
      <c r="G40" s="786"/>
      <c r="H40" s="453"/>
      <c r="I40" s="453"/>
      <c r="J40" s="779"/>
      <c r="K40" s="788"/>
      <c r="L40" s="453"/>
    </row>
    <row r="41" spans="2:14" ht="16.5" thickBot="1">
      <c r="B41" s="777">
        <f t="shared" si="0"/>
        <v>30</v>
      </c>
      <c r="C41" s="771"/>
      <c r="D41" s="790" t="s">
        <v>802</v>
      </c>
      <c r="E41" s="453"/>
      <c r="F41" s="786"/>
      <c r="G41" s="786"/>
      <c r="H41" s="891">
        <f>H28+H38</f>
        <v>2164554</v>
      </c>
      <c r="I41" s="453"/>
      <c r="J41" s="779"/>
      <c r="K41" s="788"/>
      <c r="L41" s="453"/>
    </row>
    <row r="42" spans="2:14" ht="15.75" thickTop="1">
      <c r="B42" s="777"/>
      <c r="C42" s="791"/>
      <c r="D42" s="453"/>
      <c r="E42" s="453"/>
      <c r="F42" s="453"/>
      <c r="G42" s="792"/>
      <c r="H42" s="786"/>
      <c r="I42" s="453"/>
      <c r="J42" s="779"/>
      <c r="K42" s="793"/>
      <c r="L42" s="453"/>
    </row>
    <row r="43" spans="2:14">
      <c r="B43" s="455"/>
      <c r="D43" s="455"/>
      <c r="E43" s="455"/>
      <c r="F43" s="455"/>
      <c r="H43" s="455"/>
      <c r="I43" s="455"/>
      <c r="J43" s="455"/>
      <c r="K43" s="455"/>
      <c r="L43" s="453"/>
    </row>
    <row r="44" spans="2:14">
      <c r="B44" s="453"/>
      <c r="D44" s="453"/>
      <c r="E44" s="453"/>
      <c r="F44" s="453"/>
      <c r="H44" s="453"/>
      <c r="I44" s="453"/>
      <c r="J44" s="453"/>
      <c r="K44" s="453"/>
      <c r="L44" s="453"/>
    </row>
    <row r="45" spans="2:14">
      <c r="H45" s="456"/>
    </row>
    <row r="46" spans="2:14">
      <c r="H46" s="457"/>
    </row>
    <row r="47" spans="2:14">
      <c r="F47" s="454"/>
      <c r="G47" s="454"/>
    </row>
    <row r="48" spans="2:14">
      <c r="F48" s="456"/>
      <c r="K48" s="474"/>
    </row>
  </sheetData>
  <printOptions horizontalCentered="1"/>
  <pageMargins left="0.45" right="0.45" top="1" bottom="0.75" header="0.3" footer="0.3"/>
  <pageSetup scale="5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0">
    <tabColor theme="1"/>
    <pageSetUpPr fitToPage="1"/>
  </sheetPr>
  <dimension ref="B1:N53"/>
  <sheetViews>
    <sheetView view="pageBreakPreview" topLeftCell="B1" zoomScale="70" zoomScaleNormal="70" zoomScaleSheetLayoutView="70" workbookViewId="0">
      <selection activeCell="E70" sqref="E70"/>
    </sheetView>
  </sheetViews>
  <sheetFormatPr defaultColWidth="7.44140625" defaultRowHeight="15"/>
  <cols>
    <col min="1" max="1" width="7.44140625" style="451"/>
    <col min="2" max="2" width="5.21875" style="451" customWidth="1"/>
    <col min="3" max="3" width="8.5546875" style="451" customWidth="1"/>
    <col min="4" max="4" width="60.77734375" style="451" customWidth="1"/>
    <col min="5" max="5" width="1.21875" style="451" customWidth="1"/>
    <col min="6" max="6" width="12.5546875" style="451" customWidth="1"/>
    <col min="7" max="7" width="13.44140625" style="451" customWidth="1"/>
    <col min="8" max="8" width="13" style="451" bestFit="1" customWidth="1"/>
    <col min="9" max="9" width="1.21875" style="451" customWidth="1"/>
    <col min="10" max="10" width="63.77734375" style="451" customWidth="1"/>
    <col min="11" max="11" width="11.77734375" style="451" customWidth="1"/>
    <col min="12" max="12" width="2.21875" style="451" customWidth="1"/>
    <col min="13" max="16384" width="7.44140625" style="451"/>
  </cols>
  <sheetData>
    <row r="1" spans="2:14" ht="15.75">
      <c r="B1" s="452" t="s">
        <v>178</v>
      </c>
      <c r="C1" s="452"/>
      <c r="D1" s="452"/>
      <c r="E1" s="452"/>
      <c r="F1" s="452"/>
      <c r="G1" s="452"/>
      <c r="H1" s="452"/>
      <c r="I1" s="452"/>
      <c r="J1" s="452"/>
      <c r="K1" s="452"/>
    </row>
    <row r="2" spans="2:14" ht="15.75">
      <c r="B2" s="452" t="str">
        <f>'P11 PBOP - DEO'!B2</f>
        <v>2020 OATT Annual Update</v>
      </c>
      <c r="C2" s="452"/>
      <c r="D2" s="452"/>
      <c r="E2" s="452"/>
      <c r="F2" s="452"/>
      <c r="G2" s="452"/>
      <c r="H2" s="452"/>
      <c r="I2" s="452"/>
      <c r="J2" s="452"/>
      <c r="K2" s="452"/>
    </row>
    <row r="3" spans="2:14" ht="15.75">
      <c r="B3" s="452" t="s">
        <v>608</v>
      </c>
      <c r="C3" s="452"/>
      <c r="D3" s="452"/>
      <c r="E3" s="452"/>
      <c r="F3" s="452"/>
      <c r="G3" s="452"/>
      <c r="H3" s="452"/>
      <c r="I3" s="452"/>
      <c r="J3" s="452"/>
      <c r="K3" s="452"/>
      <c r="M3" s="949"/>
      <c r="N3" s="280"/>
    </row>
    <row r="4" spans="2:14" ht="15.75">
      <c r="B4" s="452" t="str">
        <f>'P11 PBOP - DEO'!B4</f>
        <v>Included in 2020 FERC Form 1 Data</v>
      </c>
      <c r="C4" s="452"/>
      <c r="D4" s="452"/>
      <c r="E4" s="452"/>
      <c r="F4" s="452"/>
      <c r="G4" s="452"/>
      <c r="H4" s="452"/>
      <c r="I4" s="452"/>
      <c r="J4" s="452"/>
      <c r="K4" s="452"/>
    </row>
    <row r="5" spans="2:14" ht="15.75">
      <c r="B5" s="452"/>
      <c r="C5" s="452"/>
      <c r="D5" s="452"/>
      <c r="E5" s="452"/>
      <c r="F5" s="452"/>
      <c r="G5" s="452"/>
      <c r="H5" s="452"/>
      <c r="I5" s="452"/>
      <c r="J5" s="452"/>
      <c r="K5" s="261" t="s">
        <v>396</v>
      </c>
    </row>
    <row r="6" spans="2:14" ht="15.75">
      <c r="B6" s="452"/>
      <c r="C6" s="452"/>
      <c r="D6" s="452"/>
      <c r="E6" s="452"/>
      <c r="F6" s="452"/>
      <c r="G6" s="452"/>
      <c r="H6" s="452"/>
      <c r="I6" s="452"/>
      <c r="J6" s="452"/>
      <c r="K6" s="353" t="str">
        <f>"Page 12 of "&amp;Workpaper</f>
        <v>Page 12 of 18</v>
      </c>
    </row>
    <row r="7" spans="2:14" ht="15.75">
      <c r="B7" s="452"/>
      <c r="C7" s="452"/>
      <c r="D7" s="452"/>
      <c r="E7" s="452"/>
      <c r="F7" s="452"/>
      <c r="G7" s="452"/>
      <c r="H7" s="452"/>
      <c r="I7" s="452"/>
      <c r="J7" s="452"/>
      <c r="K7" s="61" t="str">
        <f>"For the 12 months ended: "&amp;TEXT(INPUT!$B$1,"mm/dd/yyyy")</f>
        <v>For the 12 months ended: 12/31/2020</v>
      </c>
    </row>
    <row r="9" spans="2:14" ht="15.75">
      <c r="B9" s="763"/>
      <c r="C9" s="764" t="s">
        <v>609</v>
      </c>
      <c r="D9" s="765"/>
      <c r="E9" s="765"/>
      <c r="F9" s="765"/>
      <c r="G9" s="765"/>
      <c r="H9" s="765"/>
      <c r="I9" s="765"/>
      <c r="J9" s="765"/>
      <c r="K9" s="766"/>
    </row>
    <row r="10" spans="2:14" ht="34.5" customHeight="1">
      <c r="B10" s="767" t="s">
        <v>8</v>
      </c>
      <c r="C10" s="768" t="s">
        <v>610</v>
      </c>
      <c r="D10" s="765" t="s">
        <v>611</v>
      </c>
      <c r="E10" s="765"/>
      <c r="F10" s="765"/>
      <c r="G10" s="765"/>
      <c r="H10" s="765"/>
      <c r="I10" s="769"/>
      <c r="J10" s="764" t="s">
        <v>618</v>
      </c>
      <c r="K10" s="770"/>
    </row>
    <row r="11" spans="2:14" ht="15.75">
      <c r="B11" s="771"/>
      <c r="C11" s="772"/>
      <c r="D11" s="773"/>
      <c r="E11" s="773"/>
      <c r="F11" s="774"/>
      <c r="G11" s="774"/>
      <c r="H11" s="774"/>
      <c r="I11" s="453"/>
      <c r="J11" s="775"/>
      <c r="K11" s="776"/>
    </row>
    <row r="12" spans="2:14" ht="63.75" customHeight="1">
      <c r="B12" s="777">
        <v>1</v>
      </c>
      <c r="C12" s="778">
        <v>926</v>
      </c>
      <c r="E12" s="453"/>
      <c r="F12" s="874" t="s">
        <v>616</v>
      </c>
      <c r="G12" s="874" t="s">
        <v>613</v>
      </c>
      <c r="H12" s="874" t="s">
        <v>617</v>
      </c>
      <c r="I12" s="453"/>
      <c r="J12" s="779"/>
      <c r="K12" s="776"/>
    </row>
    <row r="13" spans="2:14">
      <c r="B13" s="777">
        <f t="shared" ref="B13:B41" si="0">B12+1</f>
        <v>2</v>
      </c>
      <c r="C13" s="771"/>
      <c r="D13" s="780" t="s">
        <v>615</v>
      </c>
      <c r="E13" s="453"/>
      <c r="F13" s="453"/>
      <c r="G13" s="453"/>
      <c r="H13" s="453"/>
      <c r="I13" s="453"/>
      <c r="J13" s="779"/>
      <c r="K13" s="776"/>
    </row>
    <row r="14" spans="2:14" ht="45">
      <c r="B14" s="781">
        <f t="shared" si="0"/>
        <v>3</v>
      </c>
      <c r="C14" s="782"/>
      <c r="D14" s="783" t="s">
        <v>781</v>
      </c>
      <c r="E14" s="784"/>
      <c r="F14" s="875">
        <v>132874</v>
      </c>
      <c r="G14" s="875">
        <v>1308691</v>
      </c>
      <c r="H14" s="876"/>
      <c r="I14" s="453"/>
      <c r="J14" s="877" t="s">
        <v>944</v>
      </c>
      <c r="K14" s="878" t="s">
        <v>780</v>
      </c>
    </row>
    <row r="15" spans="2:14">
      <c r="B15" s="777">
        <f t="shared" si="0"/>
        <v>4</v>
      </c>
      <c r="C15" s="771"/>
      <c r="D15" s="785" t="s">
        <v>782</v>
      </c>
      <c r="E15" s="453"/>
      <c r="F15" s="456"/>
      <c r="G15" s="456"/>
      <c r="H15" s="786"/>
      <c r="I15" s="453"/>
      <c r="J15" s="787"/>
      <c r="K15" s="788"/>
    </row>
    <row r="16" spans="2:14" ht="48.6" customHeight="1">
      <c r="B16" s="781">
        <f t="shared" si="0"/>
        <v>5</v>
      </c>
      <c r="C16" s="782"/>
      <c r="D16" s="783" t="s">
        <v>936</v>
      </c>
      <c r="E16" s="784"/>
      <c r="F16" s="879">
        <v>552139</v>
      </c>
      <c r="G16" s="879">
        <v>1289461</v>
      </c>
      <c r="H16" s="880"/>
      <c r="I16" s="784"/>
      <c r="J16" s="877" t="s">
        <v>982</v>
      </c>
      <c r="K16" s="878" t="s">
        <v>984</v>
      </c>
    </row>
    <row r="17" spans="2:11">
      <c r="B17" s="781">
        <f t="shared" si="0"/>
        <v>6</v>
      </c>
      <c r="C17" s="771"/>
      <c r="D17" s="785" t="s">
        <v>783</v>
      </c>
      <c r="E17" s="453"/>
      <c r="F17" s="881">
        <v>465000</v>
      </c>
      <c r="G17" s="881">
        <v>5115000</v>
      </c>
      <c r="H17" s="786"/>
      <c r="I17" s="453"/>
      <c r="J17" s="787" t="s">
        <v>646</v>
      </c>
      <c r="K17" s="788"/>
    </row>
    <row r="18" spans="2:11">
      <c r="B18" s="781">
        <f t="shared" si="0"/>
        <v>7</v>
      </c>
      <c r="C18" s="771"/>
      <c r="D18" s="453"/>
      <c r="E18" s="453"/>
      <c r="F18" s="456"/>
      <c r="G18" s="456"/>
      <c r="H18" s="453"/>
      <c r="I18" s="453"/>
      <c r="J18" s="779"/>
      <c r="K18" s="788"/>
    </row>
    <row r="19" spans="2:11" ht="15.75" thickBot="1">
      <c r="B19" s="781">
        <f t="shared" si="0"/>
        <v>8</v>
      </c>
      <c r="C19" s="771"/>
      <c r="D19" s="785" t="s">
        <v>784</v>
      </c>
      <c r="E19" s="453"/>
      <c r="F19" s="882">
        <f>SUM(F14:F18)</f>
        <v>1150013</v>
      </c>
      <c r="G19" s="882">
        <f t="shared" ref="G19" si="1">SUM(G14:G18)</f>
        <v>7713152</v>
      </c>
      <c r="H19" s="786"/>
      <c r="I19" s="453"/>
      <c r="J19" s="779"/>
      <c r="K19" s="788"/>
    </row>
    <row r="20" spans="2:11" ht="15.75" thickTop="1">
      <c r="B20" s="781">
        <f t="shared" si="0"/>
        <v>9</v>
      </c>
      <c r="C20" s="771"/>
      <c r="D20" s="785"/>
      <c r="E20" s="453"/>
      <c r="F20" s="786"/>
      <c r="G20" s="786"/>
      <c r="H20" s="786"/>
      <c r="I20" s="453"/>
      <c r="J20" s="779"/>
      <c r="K20" s="788"/>
    </row>
    <row r="21" spans="2:11">
      <c r="B21" s="781">
        <f t="shared" si="0"/>
        <v>10</v>
      </c>
      <c r="C21" s="771"/>
      <c r="D21" s="780" t="s">
        <v>845</v>
      </c>
      <c r="E21" s="784"/>
      <c r="F21" s="883">
        <v>0.68049999999999999</v>
      </c>
      <c r="G21" s="883">
        <v>1</v>
      </c>
      <c r="H21" s="786"/>
      <c r="I21" s="453"/>
      <c r="J21" s="877" t="s">
        <v>937</v>
      </c>
      <c r="K21" s="788"/>
    </row>
    <row r="22" spans="2:11" ht="18" customHeight="1">
      <c r="B22" s="781">
        <f t="shared" si="0"/>
        <v>11</v>
      </c>
      <c r="C22" s="782"/>
      <c r="D22" s="783" t="s">
        <v>846</v>
      </c>
      <c r="E22" s="784"/>
      <c r="F22" s="883">
        <v>0.73439999999999994</v>
      </c>
      <c r="G22" s="884"/>
      <c r="H22" s="880"/>
      <c r="I22" s="784"/>
      <c r="J22" s="877" t="s">
        <v>941</v>
      </c>
      <c r="K22" s="788"/>
    </row>
    <row r="23" spans="2:11" ht="18.75" customHeight="1">
      <c r="B23" s="781">
        <f t="shared" si="0"/>
        <v>12</v>
      </c>
      <c r="C23" s="771"/>
      <c r="D23" s="785" t="s">
        <v>904</v>
      </c>
      <c r="E23" s="453"/>
      <c r="F23" s="456"/>
      <c r="G23" s="885">
        <v>3.1699999999999999E-2</v>
      </c>
      <c r="H23" s="786"/>
      <c r="I23" s="453"/>
      <c r="J23" s="877" t="s">
        <v>942</v>
      </c>
      <c r="K23" s="788"/>
    </row>
    <row r="24" spans="2:11" ht="15.75" customHeight="1">
      <c r="B24" s="781">
        <f t="shared" si="0"/>
        <v>13</v>
      </c>
      <c r="C24" s="771"/>
      <c r="D24" s="453" t="s">
        <v>786</v>
      </c>
      <c r="E24" s="453"/>
      <c r="F24" s="786"/>
      <c r="G24" s="786"/>
      <c r="H24" s="875">
        <v>1401</v>
      </c>
      <c r="I24" s="453"/>
      <c r="J24" s="779"/>
      <c r="K24" s="788"/>
    </row>
    <row r="25" spans="2:11">
      <c r="B25" s="781">
        <f t="shared" si="0"/>
        <v>14</v>
      </c>
      <c r="C25" s="771"/>
      <c r="I25" s="453"/>
      <c r="J25" s="779"/>
      <c r="K25" s="788"/>
    </row>
    <row r="26" spans="2:11">
      <c r="B26" s="781">
        <f t="shared" si="0"/>
        <v>15</v>
      </c>
      <c r="C26" s="771"/>
      <c r="D26" s="785" t="s">
        <v>940</v>
      </c>
      <c r="E26" s="453"/>
      <c r="F26" s="886">
        <f>ROUND((F19*F21*F22),0)</f>
        <v>574730</v>
      </c>
      <c r="G26" s="886">
        <f>ROUND(G19*G21*G23,0)</f>
        <v>244507</v>
      </c>
      <c r="H26" s="143">
        <f>SUM(F26:G26)</f>
        <v>819237</v>
      </c>
      <c r="I26" s="453"/>
      <c r="J26" s="779"/>
      <c r="K26" s="788"/>
    </row>
    <row r="27" spans="2:11">
      <c r="B27" s="781">
        <f t="shared" si="0"/>
        <v>16</v>
      </c>
      <c r="C27" s="771"/>
      <c r="D27" s="453"/>
      <c r="E27" s="453"/>
      <c r="F27" s="786"/>
      <c r="G27" s="786"/>
      <c r="H27" s="453"/>
      <c r="I27" s="453"/>
      <c r="J27" s="779"/>
      <c r="K27" s="788"/>
    </row>
    <row r="28" spans="2:11">
      <c r="B28" s="781">
        <f t="shared" si="0"/>
        <v>17</v>
      </c>
      <c r="C28" s="771"/>
      <c r="D28" s="453" t="s">
        <v>905</v>
      </c>
      <c r="E28" s="453"/>
      <c r="F28" s="786"/>
      <c r="G28" s="786"/>
      <c r="H28" s="887">
        <f>H24+H26</f>
        <v>820638</v>
      </c>
      <c r="I28" s="453"/>
      <c r="J28" s="779"/>
      <c r="K28" s="788"/>
    </row>
    <row r="29" spans="2:11">
      <c r="B29" s="781">
        <f t="shared" si="0"/>
        <v>18</v>
      </c>
      <c r="C29" s="771"/>
      <c r="D29" s="453"/>
      <c r="E29" s="453"/>
      <c r="F29" s="786"/>
      <c r="G29" s="786"/>
      <c r="H29" s="453"/>
      <c r="I29" s="453"/>
      <c r="J29" s="779"/>
      <c r="K29" s="788"/>
    </row>
    <row r="30" spans="2:11">
      <c r="B30" s="781">
        <f t="shared" si="0"/>
        <v>19</v>
      </c>
      <c r="C30" s="771"/>
      <c r="D30" s="785" t="s">
        <v>615</v>
      </c>
      <c r="E30" s="453"/>
      <c r="F30" s="786"/>
      <c r="G30" s="786"/>
      <c r="H30" s="453"/>
      <c r="I30" s="453"/>
      <c r="J30" s="779"/>
      <c r="K30" s="788"/>
    </row>
    <row r="31" spans="2:11" ht="45">
      <c r="B31" s="781">
        <f t="shared" si="0"/>
        <v>20</v>
      </c>
      <c r="C31" s="782"/>
      <c r="D31" s="783" t="s">
        <v>847</v>
      </c>
      <c r="E31" s="784"/>
      <c r="F31" s="875">
        <v>-116753</v>
      </c>
      <c r="G31" s="875">
        <v>-1609622</v>
      </c>
      <c r="H31" s="453"/>
      <c r="I31" s="453"/>
      <c r="J31" s="877" t="s">
        <v>944</v>
      </c>
      <c r="K31" s="878" t="s">
        <v>780</v>
      </c>
    </row>
    <row r="32" spans="2:11">
      <c r="B32" s="781">
        <f t="shared" si="0"/>
        <v>21</v>
      </c>
      <c r="C32" s="771"/>
      <c r="D32" s="785" t="s">
        <v>945</v>
      </c>
      <c r="E32" s="453"/>
      <c r="F32" s="881">
        <v>208600</v>
      </c>
      <c r="G32" s="881"/>
      <c r="H32" s="453"/>
      <c r="I32" s="453"/>
      <c r="J32" s="787" t="s">
        <v>804</v>
      </c>
      <c r="K32" s="789"/>
    </row>
    <row r="33" spans="2:11">
      <c r="B33" s="781">
        <f t="shared" si="0"/>
        <v>22</v>
      </c>
      <c r="C33" s="771"/>
      <c r="D33" s="785" t="s">
        <v>946</v>
      </c>
      <c r="E33" s="453"/>
      <c r="F33" s="887">
        <f>F31+F32</f>
        <v>91847</v>
      </c>
      <c r="G33" s="887">
        <f>G31+G32</f>
        <v>-1609622</v>
      </c>
      <c r="H33" s="453"/>
      <c r="I33" s="453"/>
      <c r="J33" s="779"/>
      <c r="K33" s="788"/>
    </row>
    <row r="34" spans="2:11">
      <c r="B34" s="781">
        <f t="shared" si="0"/>
        <v>23</v>
      </c>
      <c r="C34" s="771"/>
      <c r="D34" s="453"/>
      <c r="E34" s="453"/>
      <c r="F34" s="786"/>
      <c r="G34" s="786"/>
      <c r="H34" s="453"/>
      <c r="I34" s="453"/>
      <c r="J34" s="779"/>
      <c r="K34" s="788"/>
    </row>
    <row r="35" spans="2:11">
      <c r="B35" s="781">
        <f t="shared" si="0"/>
        <v>24</v>
      </c>
      <c r="C35" s="771"/>
      <c r="D35" s="783" t="s">
        <v>846</v>
      </c>
      <c r="E35" s="453"/>
      <c r="F35" s="883">
        <v>0.73439999999999994</v>
      </c>
      <c r="G35" s="883"/>
      <c r="H35" s="453"/>
      <c r="I35" s="453"/>
      <c r="J35" s="888" t="str">
        <f>J22</f>
        <v>DEK 2020 Allocation Stat Percentages Table</v>
      </c>
      <c r="K35" s="788"/>
    </row>
    <row r="36" spans="2:11">
      <c r="B36" s="781">
        <f t="shared" si="0"/>
        <v>25</v>
      </c>
      <c r="C36" s="771"/>
      <c r="D36" s="785" t="s">
        <v>904</v>
      </c>
      <c r="E36" s="453"/>
      <c r="F36" s="883"/>
      <c r="G36" s="883">
        <v>1.1599999999999999E-2</v>
      </c>
      <c r="H36" s="453"/>
      <c r="I36" s="453"/>
      <c r="J36" s="787" t="s">
        <v>942</v>
      </c>
      <c r="K36" s="788"/>
    </row>
    <row r="37" spans="2:11">
      <c r="B37" s="781">
        <f t="shared" si="0"/>
        <v>26</v>
      </c>
      <c r="C37" s="771"/>
      <c r="D37" s="785"/>
      <c r="E37" s="453"/>
      <c r="F37" s="889"/>
      <c r="G37" s="889"/>
      <c r="H37" s="453"/>
      <c r="I37" s="453"/>
      <c r="J37" s="779"/>
      <c r="K37" s="788"/>
    </row>
    <row r="38" spans="2:11" ht="30">
      <c r="B38" s="781">
        <f t="shared" si="0"/>
        <v>27</v>
      </c>
      <c r="C38" s="771"/>
      <c r="D38" s="567" t="s">
        <v>948</v>
      </c>
      <c r="E38" s="453"/>
      <c r="F38" s="886">
        <f>ROUND((F33*F35),0)</f>
        <v>67452</v>
      </c>
      <c r="G38" s="886">
        <f>ROUND((G33*G36),0)</f>
        <v>-18672</v>
      </c>
      <c r="H38" s="890">
        <f>F38+G38</f>
        <v>48780</v>
      </c>
      <c r="I38" s="453"/>
      <c r="J38" s="779"/>
      <c r="K38" s="788"/>
    </row>
    <row r="39" spans="2:11">
      <c r="B39" s="781">
        <f t="shared" si="0"/>
        <v>28</v>
      </c>
      <c r="C39" s="771"/>
      <c r="D39" s="785"/>
      <c r="E39" s="453"/>
      <c r="F39" s="786"/>
      <c r="G39" s="786"/>
      <c r="H39" s="453"/>
      <c r="I39" s="453"/>
      <c r="J39" s="779"/>
      <c r="K39" s="788"/>
    </row>
    <row r="40" spans="2:11">
      <c r="B40" s="781">
        <f t="shared" si="0"/>
        <v>29</v>
      </c>
      <c r="C40" s="771"/>
      <c r="D40" s="453"/>
      <c r="E40" s="453"/>
      <c r="F40" s="786"/>
      <c r="G40" s="786"/>
      <c r="H40" s="453"/>
      <c r="I40" s="453"/>
      <c r="J40" s="779"/>
      <c r="K40" s="788"/>
    </row>
    <row r="41" spans="2:11" ht="16.5" thickBot="1">
      <c r="B41" s="781">
        <f t="shared" si="0"/>
        <v>30</v>
      </c>
      <c r="C41" s="771"/>
      <c r="D41" s="790" t="s">
        <v>906</v>
      </c>
      <c r="E41" s="453"/>
      <c r="F41" s="786"/>
      <c r="G41" s="786"/>
      <c r="H41" s="891">
        <f>H28+H38</f>
        <v>869418</v>
      </c>
      <c r="I41" s="453"/>
      <c r="J41" s="779"/>
      <c r="K41" s="788"/>
    </row>
    <row r="42" spans="2:11" ht="15.75" thickTop="1">
      <c r="B42" s="777"/>
      <c r="C42" s="791"/>
      <c r="D42" s="453"/>
      <c r="E42" s="453"/>
      <c r="F42" s="792"/>
      <c r="G42" s="792"/>
      <c r="H42" s="786"/>
      <c r="I42" s="453"/>
      <c r="J42" s="779"/>
      <c r="K42" s="793"/>
    </row>
    <row r="43" spans="2:11">
      <c r="B43" s="455"/>
      <c r="D43" s="455"/>
      <c r="E43" s="455"/>
      <c r="F43" s="453"/>
      <c r="H43" s="455"/>
      <c r="I43" s="455"/>
      <c r="J43" s="455"/>
      <c r="K43" s="455"/>
    </row>
    <row r="44" spans="2:11">
      <c r="H44" s="456"/>
    </row>
    <row r="45" spans="2:11">
      <c r="H45" s="457"/>
    </row>
    <row r="46" spans="2:11">
      <c r="F46" s="454"/>
      <c r="G46" s="454"/>
    </row>
    <row r="49" spans="10:11">
      <c r="K49" s="474"/>
    </row>
    <row r="53" spans="10:11">
      <c r="J53" s="567"/>
    </row>
  </sheetData>
  <printOptions horizontalCentered="1"/>
  <pageMargins left="0.45" right="0.45" top="1" bottom="0.75" header="0.3" footer="0.3"/>
  <pageSetup scale="5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3">
    <tabColor theme="1"/>
    <pageSetUpPr fitToPage="1"/>
  </sheetPr>
  <dimension ref="A1:M48"/>
  <sheetViews>
    <sheetView view="pageBreakPreview" zoomScale="70" zoomScaleNormal="80" zoomScaleSheetLayoutView="70" workbookViewId="0">
      <selection activeCell="E70" sqref="E70"/>
    </sheetView>
  </sheetViews>
  <sheetFormatPr defaultColWidth="8.77734375" defaultRowHeight="15"/>
  <cols>
    <col min="1" max="1" width="6.77734375" customWidth="1"/>
    <col min="2" max="2" width="1.77734375" customWidth="1"/>
    <col min="3" max="3" width="31" customWidth="1"/>
    <col min="4" max="4" width="11.77734375" customWidth="1"/>
    <col min="5" max="5" width="15.21875" customWidth="1"/>
    <col min="7" max="7" width="11.77734375" bestFit="1" customWidth="1"/>
    <col min="12" max="12" width="11.21875" customWidth="1"/>
  </cols>
  <sheetData>
    <row r="1" spans="1:13" ht="18">
      <c r="A1" s="355" t="str">
        <f>'P1 ADIT'!A1</f>
        <v>Duke Energy Ohio and Duke Energy Kentucky</v>
      </c>
      <c r="B1" s="174"/>
      <c r="C1" s="174"/>
      <c r="D1" s="352"/>
      <c r="E1" s="352"/>
      <c r="F1" s="352"/>
      <c r="G1" s="352"/>
    </row>
    <row r="2" spans="1:13" ht="18">
      <c r="A2" s="352"/>
      <c r="B2" s="352"/>
      <c r="C2" s="354"/>
      <c r="D2" s="354"/>
      <c r="I2" s="9"/>
    </row>
    <row r="3" spans="1:13">
      <c r="C3" s="354"/>
      <c r="D3" s="354"/>
      <c r="G3" s="261" t="s">
        <v>396</v>
      </c>
    </row>
    <row r="4" spans="1:13">
      <c r="C4" s="354"/>
      <c r="D4" s="354"/>
      <c r="G4" s="353" t="str">
        <f>"Page 13 of "&amp;Workpaper</f>
        <v>Page 13 of 18</v>
      </c>
      <c r="I4" s="949"/>
      <c r="J4" s="280"/>
      <c r="K4" s="451"/>
    </row>
    <row r="5" spans="1:13">
      <c r="C5" s="354"/>
      <c r="D5" s="354"/>
      <c r="G5" s="61" t="str">
        <f>"For the 12 months ended: "&amp;TEXT(INPUT!$B$1,"mm/dd/yyyy")</f>
        <v>For the 12 months ended: 12/31/2020</v>
      </c>
    </row>
    <row r="7" spans="1:13" ht="15.75">
      <c r="A7" s="534" t="s">
        <v>707</v>
      </c>
      <c r="B7" s="174"/>
      <c r="C7" s="174"/>
      <c r="D7" s="174"/>
      <c r="E7" s="174"/>
      <c r="F7" s="174"/>
      <c r="G7" s="174"/>
    </row>
    <row r="10" spans="1:13" ht="15.75">
      <c r="A10" s="460" t="s">
        <v>8</v>
      </c>
    </row>
    <row r="11" spans="1:13" ht="20.25">
      <c r="A11" s="409" t="s">
        <v>10</v>
      </c>
      <c r="C11" s="74" t="s">
        <v>633</v>
      </c>
      <c r="D11" s="74" t="s">
        <v>632</v>
      </c>
      <c r="E11" s="74" t="s">
        <v>276</v>
      </c>
    </row>
    <row r="12" spans="1:13">
      <c r="A12" s="602">
        <v>1</v>
      </c>
      <c r="C12" s="9" t="s">
        <v>631</v>
      </c>
      <c r="D12" s="9" t="s">
        <v>761</v>
      </c>
      <c r="E12" s="395">
        <v>-77407.500052000003</v>
      </c>
    </row>
    <row r="13" spans="1:13">
      <c r="A13" s="602">
        <v>2</v>
      </c>
      <c r="C13" s="9"/>
      <c r="D13" s="9" t="s">
        <v>762</v>
      </c>
      <c r="E13" s="395">
        <v>-267874.68874700001</v>
      </c>
    </row>
    <row r="14" spans="1:13">
      <c r="A14" s="602">
        <v>3</v>
      </c>
      <c r="C14" s="9"/>
      <c r="D14" s="9" t="s">
        <v>763</v>
      </c>
      <c r="E14" s="395">
        <v>-296493.09439000004</v>
      </c>
    </row>
    <row r="15" spans="1:13">
      <c r="A15" s="602">
        <v>4</v>
      </c>
      <c r="C15" s="9"/>
      <c r="D15" s="9" t="s">
        <v>630</v>
      </c>
      <c r="E15" s="395">
        <v>-1561895.3839470001</v>
      </c>
    </row>
    <row r="16" spans="1:13">
      <c r="A16" s="602">
        <v>5</v>
      </c>
      <c r="C16" s="9"/>
      <c r="D16" s="9" t="s">
        <v>629</v>
      </c>
      <c r="E16" s="395">
        <v>-458341.87744000001</v>
      </c>
    </row>
    <row r="17" spans="1:5">
      <c r="A17" s="602">
        <v>6</v>
      </c>
      <c r="C17" s="9"/>
      <c r="D17" s="9" t="s">
        <v>828</v>
      </c>
      <c r="E17" s="395">
        <v>-419040.66237799992</v>
      </c>
    </row>
    <row r="18" spans="1:5">
      <c r="A18" s="602">
        <v>7</v>
      </c>
      <c r="C18" s="9"/>
      <c r="D18" s="9" t="s">
        <v>829</v>
      </c>
      <c r="E18" s="395">
        <v>-295240.25164199999</v>
      </c>
    </row>
    <row r="19" spans="1:5">
      <c r="A19" s="602">
        <v>8</v>
      </c>
      <c r="C19" s="9"/>
      <c r="D19" s="9" t="s">
        <v>925</v>
      </c>
      <c r="E19" s="395">
        <v>-128541.18879000001</v>
      </c>
    </row>
    <row r="20" spans="1:5">
      <c r="A20" s="602">
        <v>9</v>
      </c>
      <c r="C20" s="9"/>
      <c r="D20" s="9" t="s">
        <v>926</v>
      </c>
      <c r="E20" s="395">
        <v>-85694.125834000006</v>
      </c>
    </row>
    <row r="21" spans="1:5">
      <c r="A21" s="602">
        <v>10</v>
      </c>
      <c r="C21" s="9"/>
      <c r="D21" s="9" t="s">
        <v>927</v>
      </c>
      <c r="E21" s="395">
        <v>-41165.918108000005</v>
      </c>
    </row>
    <row r="22" spans="1:5">
      <c r="A22" s="602">
        <v>11</v>
      </c>
      <c r="C22" s="9"/>
      <c r="D22" s="9" t="s">
        <v>928</v>
      </c>
      <c r="E22" s="395">
        <v>-58808.454500000007</v>
      </c>
    </row>
    <row r="23" spans="1:5">
      <c r="A23" s="602">
        <v>12</v>
      </c>
      <c r="C23" s="463" t="s">
        <v>796</v>
      </c>
      <c r="D23" s="591"/>
      <c r="E23" s="870">
        <f>SUM(E12:E22)</f>
        <v>-3690503.1458280003</v>
      </c>
    </row>
    <row r="24" spans="1:5">
      <c r="A24" s="602">
        <v>13</v>
      </c>
      <c r="C24" s="463"/>
      <c r="D24" s="591"/>
      <c r="E24" s="871"/>
    </row>
    <row r="25" spans="1:5">
      <c r="A25" s="602">
        <v>14</v>
      </c>
      <c r="C25" s="463" t="s">
        <v>797</v>
      </c>
      <c r="D25" s="591"/>
      <c r="E25" s="395">
        <v>-265126.3</v>
      </c>
    </row>
    <row r="26" spans="1:5">
      <c r="A26" s="602">
        <v>15</v>
      </c>
      <c r="C26" s="463"/>
      <c r="D26" s="591"/>
      <c r="E26" s="395"/>
    </row>
    <row r="27" spans="1:5">
      <c r="A27" s="602">
        <v>16</v>
      </c>
      <c r="C27" s="463" t="s">
        <v>798</v>
      </c>
      <c r="D27" s="591"/>
      <c r="E27" s="872">
        <v>-16303632.750467002</v>
      </c>
    </row>
    <row r="28" spans="1:5">
      <c r="A28" s="602">
        <v>17</v>
      </c>
      <c r="C28" s="463"/>
      <c r="D28" s="591"/>
      <c r="E28" s="395"/>
    </row>
    <row r="29" spans="1:5">
      <c r="A29" s="602">
        <v>18</v>
      </c>
      <c r="C29" s="9" t="s">
        <v>628</v>
      </c>
      <c r="D29" s="9" t="s">
        <v>627</v>
      </c>
      <c r="E29" s="395">
        <v>-578756.81572399999</v>
      </c>
    </row>
    <row r="30" spans="1:5">
      <c r="A30" s="602">
        <v>19</v>
      </c>
      <c r="C30" s="9"/>
      <c r="D30" s="9" t="s">
        <v>626</v>
      </c>
      <c r="E30" s="395">
        <v>-64312.511574999997</v>
      </c>
    </row>
    <row r="31" spans="1:5">
      <c r="A31" s="602">
        <v>20</v>
      </c>
      <c r="C31" s="9"/>
      <c r="D31" s="9" t="s">
        <v>625</v>
      </c>
      <c r="E31" s="395">
        <v>-386596.86759200005</v>
      </c>
    </row>
    <row r="32" spans="1:5">
      <c r="A32" s="602">
        <v>21</v>
      </c>
      <c r="C32" s="9"/>
      <c r="D32" s="9" t="s">
        <v>624</v>
      </c>
      <c r="E32" s="395">
        <v>-6031.0014070000007</v>
      </c>
    </row>
    <row r="33" spans="1:5">
      <c r="A33" s="602">
        <v>22</v>
      </c>
      <c r="C33" s="9"/>
      <c r="D33" s="9" t="s">
        <v>634</v>
      </c>
      <c r="E33" s="395">
        <v>-26951.630669999999</v>
      </c>
    </row>
    <row r="34" spans="1:5">
      <c r="A34" s="602">
        <v>23</v>
      </c>
      <c r="C34" s="9"/>
      <c r="D34" s="9" t="s">
        <v>182</v>
      </c>
      <c r="E34" s="395">
        <v>-17535.748189000002</v>
      </c>
    </row>
    <row r="35" spans="1:5">
      <c r="A35" s="602">
        <v>24</v>
      </c>
      <c r="C35" s="9"/>
      <c r="D35" s="9" t="s">
        <v>623</v>
      </c>
      <c r="E35" s="395">
        <v>-48590.304313000008</v>
      </c>
    </row>
    <row r="36" spans="1:5">
      <c r="A36" s="602">
        <v>25</v>
      </c>
      <c r="C36" s="9"/>
      <c r="D36" s="9" t="s">
        <v>622</v>
      </c>
      <c r="E36" s="395">
        <v>-251355.74380699996</v>
      </c>
    </row>
    <row r="37" spans="1:5">
      <c r="A37" s="602">
        <v>26</v>
      </c>
      <c r="C37" s="9"/>
      <c r="D37" s="9" t="s">
        <v>621</v>
      </c>
      <c r="E37" s="395">
        <v>-41406.647163999995</v>
      </c>
    </row>
    <row r="38" spans="1:5">
      <c r="A38" s="602">
        <v>27</v>
      </c>
      <c r="C38" s="9"/>
      <c r="D38" s="9" t="s">
        <v>620</v>
      </c>
      <c r="E38" s="395">
        <v>-3914485.3103189999</v>
      </c>
    </row>
    <row r="39" spans="1:5">
      <c r="A39" s="602">
        <v>28</v>
      </c>
      <c r="C39" s="9"/>
      <c r="D39" s="9" t="s">
        <v>619</v>
      </c>
      <c r="E39" s="395">
        <v>-134117.90114099998</v>
      </c>
    </row>
    <row r="40" spans="1:5">
      <c r="A40" s="602">
        <v>29</v>
      </c>
      <c r="C40" s="463" t="s">
        <v>799</v>
      </c>
      <c r="D40" s="463"/>
      <c r="E40" s="870">
        <f>SUM(E29:E39)</f>
        <v>-5470140.4819010003</v>
      </c>
    </row>
    <row r="41" spans="1:5">
      <c r="A41" s="602">
        <v>30</v>
      </c>
      <c r="C41" s="463"/>
      <c r="D41" s="463"/>
      <c r="E41" s="871"/>
    </row>
    <row r="42" spans="1:5" ht="15.75" thickBot="1">
      <c r="A42" s="602">
        <v>31</v>
      </c>
      <c r="C42" s="9" t="s">
        <v>779</v>
      </c>
      <c r="D42" s="9"/>
      <c r="E42" s="873">
        <f>E23+E25+E27+E40</f>
        <v>-25729402.678196002</v>
      </c>
    </row>
    <row r="43" spans="1:5" ht="15.75" thickTop="1">
      <c r="C43" s="52"/>
      <c r="D43" s="52"/>
      <c r="E43" s="52"/>
    </row>
    <row r="44" spans="1:5">
      <c r="C44" s="52"/>
      <c r="D44" s="52"/>
      <c r="E44" s="52"/>
    </row>
    <row r="45" spans="1:5">
      <c r="C45" s="52"/>
      <c r="D45" s="52"/>
      <c r="E45" s="52"/>
    </row>
    <row r="46" spans="1:5">
      <c r="C46" s="794" t="s">
        <v>636</v>
      </c>
    </row>
    <row r="47" spans="1:5">
      <c r="C47" s="794" t="s">
        <v>759</v>
      </c>
    </row>
    <row r="48" spans="1:5">
      <c r="C48" s="794" t="s">
        <v>760</v>
      </c>
    </row>
  </sheetData>
  <pageMargins left="1" right="1" top="1" bottom="0.75" header="0.3" footer="0.3"/>
  <pageSetup scale="79"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theme="1"/>
    <pageSetUpPr fitToPage="1"/>
  </sheetPr>
  <dimension ref="A1:R33"/>
  <sheetViews>
    <sheetView view="pageBreakPreview" zoomScale="70" zoomScaleNormal="80" zoomScaleSheetLayoutView="70" workbookViewId="0">
      <selection activeCell="E70" sqref="E70"/>
    </sheetView>
  </sheetViews>
  <sheetFormatPr defaultRowHeight="15"/>
  <cols>
    <col min="1" max="1" width="7.21875" customWidth="1"/>
    <col min="2" max="2" width="1.109375" customWidth="1"/>
    <col min="3" max="3" width="16.109375" customWidth="1"/>
    <col min="4" max="4" width="13.77734375" customWidth="1"/>
    <col min="5" max="5" width="14" customWidth="1"/>
    <col min="6" max="6" width="13.77734375" customWidth="1"/>
    <col min="7" max="7" width="14.109375" customWidth="1"/>
    <col min="8" max="8" width="13.77734375" customWidth="1"/>
    <col min="9" max="9" width="8.77734375" customWidth="1"/>
  </cols>
  <sheetData>
    <row r="1" spans="1:18" ht="15.75">
      <c r="A1" s="504" t="str">
        <f>'P1 ADIT'!A1</f>
        <v>Duke Energy Ohio and Duke Energy Kentucky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8" ht="18">
      <c r="C2" s="503"/>
      <c r="D2" s="174"/>
      <c r="E2" s="174"/>
      <c r="F2" s="174"/>
      <c r="G2" s="174"/>
      <c r="H2" s="174"/>
      <c r="I2" s="174"/>
      <c r="J2" s="174"/>
    </row>
    <row r="3" spans="1:18" ht="18">
      <c r="C3" s="503"/>
      <c r="D3" s="174"/>
      <c r="E3" s="174"/>
      <c r="F3" s="174"/>
      <c r="G3" s="174"/>
      <c r="H3" s="174"/>
      <c r="I3" s="174"/>
      <c r="J3" s="261" t="s">
        <v>396</v>
      </c>
      <c r="L3" s="949"/>
      <c r="M3" s="280"/>
      <c r="N3" s="451"/>
    </row>
    <row r="4" spans="1:18" ht="18">
      <c r="C4" s="503"/>
      <c r="D4" s="174"/>
      <c r="E4" s="174"/>
      <c r="F4" s="174"/>
      <c r="G4" s="174"/>
      <c r="H4" s="174"/>
      <c r="I4" s="174"/>
      <c r="J4" s="353" t="str">
        <f>"Page 14 of "&amp;Workpaper</f>
        <v>Page 14 of 18</v>
      </c>
    </row>
    <row r="5" spans="1:18" ht="15.75">
      <c r="C5" s="504"/>
      <c r="D5" s="505"/>
      <c r="E5" s="505"/>
      <c r="F5" s="505"/>
      <c r="G5" s="505"/>
      <c r="H5" s="505"/>
      <c r="I5" s="505"/>
      <c r="J5" s="61" t="str">
        <f>"For the 12 months ended: "&amp;TEXT(INPUT!$B$1,"mm/dd/yyyy")</f>
        <v>For the 12 months ended: 12/31/2020</v>
      </c>
    </row>
    <row r="6" spans="1:18" ht="15.75">
      <c r="C6" s="504"/>
      <c r="D6" s="505"/>
      <c r="E6" s="505"/>
      <c r="F6" s="505"/>
      <c r="G6" s="505"/>
      <c r="H6" s="505"/>
      <c r="I6" s="505"/>
      <c r="J6" s="261"/>
    </row>
    <row r="7" spans="1:18" ht="15.75">
      <c r="A7" s="506" t="s">
        <v>669</v>
      </c>
      <c r="B7" s="174"/>
      <c r="C7" s="174"/>
      <c r="D7" s="505"/>
      <c r="E7" s="505"/>
      <c r="F7" s="505"/>
      <c r="G7" s="505"/>
      <c r="H7" s="505"/>
      <c r="I7" s="505"/>
      <c r="J7" s="505"/>
      <c r="R7" s="187"/>
    </row>
    <row r="8" spans="1:18" ht="15.75">
      <c r="A8" s="506" t="s">
        <v>670</v>
      </c>
      <c r="B8" s="174"/>
      <c r="C8" s="174"/>
      <c r="D8" s="505"/>
      <c r="E8" s="505"/>
      <c r="F8" s="506"/>
      <c r="G8" s="505"/>
      <c r="H8" s="505"/>
      <c r="I8" s="505"/>
      <c r="J8" s="505"/>
      <c r="R8" s="187"/>
    </row>
    <row r="9" spans="1:18">
      <c r="C9" s="463"/>
      <c r="D9" s="463"/>
      <c r="E9" s="463"/>
      <c r="F9" s="463"/>
      <c r="G9" s="463"/>
      <c r="H9" s="463"/>
      <c r="I9" s="463"/>
      <c r="J9" s="463"/>
    </row>
    <row r="10" spans="1:18">
      <c r="C10" s="463"/>
      <c r="D10" s="463"/>
      <c r="E10" s="463"/>
      <c r="F10" s="463"/>
      <c r="G10" s="463"/>
      <c r="H10" s="463"/>
      <c r="I10" s="463"/>
      <c r="J10" s="463"/>
    </row>
    <row r="11" spans="1:18" ht="15.75">
      <c r="C11" s="463"/>
      <c r="D11" s="463"/>
      <c r="E11" s="556" t="s">
        <v>671</v>
      </c>
      <c r="F11" s="556" t="s">
        <v>671</v>
      </c>
      <c r="G11" s="463"/>
      <c r="H11" s="463"/>
      <c r="I11" s="463"/>
      <c r="J11" s="463"/>
    </row>
    <row r="12" spans="1:18" ht="15.75">
      <c r="A12" s="460" t="s">
        <v>8</v>
      </c>
      <c r="C12" s="556" t="s">
        <v>672</v>
      </c>
      <c r="D12" s="556" t="s">
        <v>673</v>
      </c>
      <c r="E12" s="556" t="s">
        <v>674</v>
      </c>
      <c r="F12" s="556" t="s">
        <v>675</v>
      </c>
      <c r="G12" s="463"/>
      <c r="H12" s="556" t="s">
        <v>672</v>
      </c>
      <c r="I12" s="591"/>
      <c r="J12" s="556" t="s">
        <v>676</v>
      </c>
    </row>
    <row r="13" spans="1:18" ht="20.25">
      <c r="A13" s="758" t="s">
        <v>10</v>
      </c>
      <c r="B13" s="758"/>
      <c r="C13" s="758" t="s">
        <v>677</v>
      </c>
      <c r="D13" s="758" t="s">
        <v>678</v>
      </c>
      <c r="E13" s="758" t="s">
        <v>679</v>
      </c>
      <c r="F13" s="758" t="s">
        <v>679</v>
      </c>
      <c r="G13" s="758" t="s">
        <v>12</v>
      </c>
      <c r="H13" s="758" t="s">
        <v>677</v>
      </c>
      <c r="I13" s="758" t="s">
        <v>560</v>
      </c>
      <c r="J13" s="758" t="s">
        <v>680</v>
      </c>
    </row>
    <row r="14" spans="1:18" ht="15.75">
      <c r="C14" s="593"/>
      <c r="D14" s="593"/>
      <c r="E14" s="591"/>
      <c r="F14" s="591"/>
      <c r="G14" s="593"/>
      <c r="H14" s="592"/>
      <c r="I14" s="593"/>
      <c r="J14" s="593"/>
    </row>
    <row r="15" spans="1:18">
      <c r="A15" s="602">
        <v>1</v>
      </c>
      <c r="C15" s="866" t="s">
        <v>923</v>
      </c>
      <c r="D15" s="866" t="s">
        <v>924</v>
      </c>
      <c r="E15" s="867">
        <v>-351060.24</v>
      </c>
      <c r="F15" s="867">
        <v>-10528.88</v>
      </c>
      <c r="G15" s="527">
        <f>E15+F15</f>
        <v>-361589.12</v>
      </c>
      <c r="H15" s="867">
        <v>-361589.12</v>
      </c>
      <c r="I15" s="795">
        <f t="shared" ref="I15:I26" si="0">H15-G15</f>
        <v>0</v>
      </c>
      <c r="J15" s="795">
        <f>SUM($I$15:I15)</f>
        <v>0</v>
      </c>
    </row>
    <row r="16" spans="1:18">
      <c r="A16" s="602">
        <v>2</v>
      </c>
      <c r="C16" s="866" t="s">
        <v>924</v>
      </c>
      <c r="D16" s="463" t="s">
        <v>681</v>
      </c>
      <c r="E16" s="796">
        <v>-356052.47999999998</v>
      </c>
      <c r="F16" s="796">
        <v>-10111.620000000001</v>
      </c>
      <c r="G16" s="868">
        <f t="shared" ref="G16:G26" si="1">E16+F16</f>
        <v>-366164.1</v>
      </c>
      <c r="H16" s="796">
        <v>-366164.1</v>
      </c>
      <c r="I16" s="795">
        <f t="shared" si="0"/>
        <v>0</v>
      </c>
      <c r="J16" s="795">
        <f>SUM($I$15:I16)</f>
        <v>0</v>
      </c>
    </row>
    <row r="17" spans="1:10">
      <c r="A17" s="602">
        <v>3</v>
      </c>
      <c r="C17" s="463" t="s">
        <v>681</v>
      </c>
      <c r="D17" s="463" t="s">
        <v>682</v>
      </c>
      <c r="E17" s="796">
        <v>-338951.48</v>
      </c>
      <c r="F17" s="796">
        <v>-9293.58</v>
      </c>
      <c r="G17" s="868">
        <f t="shared" si="1"/>
        <v>-348245.06</v>
      </c>
      <c r="H17" s="796">
        <v>-348245.06</v>
      </c>
      <c r="I17" s="795">
        <f t="shared" si="0"/>
        <v>0</v>
      </c>
      <c r="J17" s="795">
        <f>SUM($I$15:I17)</f>
        <v>0</v>
      </c>
    </row>
    <row r="18" spans="1:10">
      <c r="A18" s="602">
        <v>4</v>
      </c>
      <c r="C18" s="463" t="s">
        <v>682</v>
      </c>
      <c r="D18" s="463" t="s">
        <v>683</v>
      </c>
      <c r="E18" s="796">
        <v>-313607.83</v>
      </c>
      <c r="F18" s="796">
        <v>-12304.24</v>
      </c>
      <c r="G18" s="868">
        <f t="shared" si="1"/>
        <v>-325912.07</v>
      </c>
      <c r="H18" s="796">
        <v>-325912.07</v>
      </c>
      <c r="I18" s="795">
        <f t="shared" si="0"/>
        <v>0</v>
      </c>
      <c r="J18" s="795">
        <f>SUM($I$15:I18)</f>
        <v>0</v>
      </c>
    </row>
    <row r="19" spans="1:10">
      <c r="A19" s="602">
        <v>5</v>
      </c>
      <c r="C19" s="463" t="s">
        <v>683</v>
      </c>
      <c r="D19" s="463" t="s">
        <v>265</v>
      </c>
      <c r="E19" s="796">
        <v>-271751.11</v>
      </c>
      <c r="F19" s="796">
        <v>-12534.11</v>
      </c>
      <c r="G19" s="868">
        <f t="shared" si="1"/>
        <v>-284285.21999999997</v>
      </c>
      <c r="H19" s="796">
        <v>-284285.21999999997</v>
      </c>
      <c r="I19" s="795">
        <f t="shared" si="0"/>
        <v>0</v>
      </c>
      <c r="J19" s="795">
        <f>SUM($I$15:I19)</f>
        <v>0</v>
      </c>
    </row>
    <row r="20" spans="1:10">
      <c r="A20" s="602">
        <v>6</v>
      </c>
      <c r="C20" s="463" t="s">
        <v>265</v>
      </c>
      <c r="D20" s="463" t="s">
        <v>684</v>
      </c>
      <c r="E20" s="796">
        <v>-296269.89</v>
      </c>
      <c r="F20" s="796">
        <v>-13662.81</v>
      </c>
      <c r="G20" s="868">
        <f t="shared" si="1"/>
        <v>-309932.7</v>
      </c>
      <c r="H20" s="796">
        <v>-309932.7</v>
      </c>
      <c r="I20" s="795">
        <f t="shared" si="0"/>
        <v>0</v>
      </c>
      <c r="J20" s="795">
        <f>SUM($I$15:I20)</f>
        <v>0</v>
      </c>
    </row>
    <row r="21" spans="1:10">
      <c r="A21" s="602">
        <v>7</v>
      </c>
      <c r="C21" s="463" t="s">
        <v>684</v>
      </c>
      <c r="D21" s="463" t="s">
        <v>685</v>
      </c>
      <c r="E21" s="796">
        <v>-412490.85</v>
      </c>
      <c r="F21" s="796">
        <v>-15919.93</v>
      </c>
      <c r="G21" s="868">
        <f t="shared" si="1"/>
        <v>-428410.77999999997</v>
      </c>
      <c r="H21" s="796">
        <v>-428410.81</v>
      </c>
      <c r="I21" s="795">
        <f t="shared" si="0"/>
        <v>-3.0000000027939677E-2</v>
      </c>
      <c r="J21" s="795">
        <f>SUM($I$15:I21)</f>
        <v>-3.0000000027939677E-2</v>
      </c>
    </row>
    <row r="22" spans="1:10">
      <c r="A22" s="602">
        <v>8</v>
      </c>
      <c r="C22" s="463" t="s">
        <v>685</v>
      </c>
      <c r="D22" s="463" t="s">
        <v>686</v>
      </c>
      <c r="E22" s="796">
        <v>-496512.96</v>
      </c>
      <c r="F22" s="796">
        <v>-15939.9</v>
      </c>
      <c r="G22" s="868">
        <f t="shared" si="1"/>
        <v>-512452.86000000004</v>
      </c>
      <c r="H22" s="796">
        <v>-512436.38</v>
      </c>
      <c r="I22" s="795">
        <f t="shared" si="0"/>
        <v>16.480000000039581</v>
      </c>
      <c r="J22" s="795">
        <f>SUM($I$15:I22)</f>
        <v>16.450000000011642</v>
      </c>
    </row>
    <row r="23" spans="1:10">
      <c r="A23" s="602">
        <v>9</v>
      </c>
      <c r="C23" s="463" t="s">
        <v>686</v>
      </c>
      <c r="D23" s="463" t="s">
        <v>687</v>
      </c>
      <c r="E23" s="796">
        <v>-451147.6</v>
      </c>
      <c r="F23" s="796">
        <v>-15823.46</v>
      </c>
      <c r="G23" s="868">
        <f t="shared" si="1"/>
        <v>-466971.06</v>
      </c>
      <c r="H23" s="796">
        <v>-466991.1</v>
      </c>
      <c r="I23" s="795">
        <f t="shared" si="0"/>
        <v>-20.039999999979045</v>
      </c>
      <c r="J23" s="795">
        <f>SUM($I$15:I23)</f>
        <v>-3.5899999999674037</v>
      </c>
    </row>
    <row r="24" spans="1:10">
      <c r="A24" s="602">
        <v>10</v>
      </c>
      <c r="C24" s="463" t="s">
        <v>687</v>
      </c>
      <c r="D24" s="463" t="s">
        <v>688</v>
      </c>
      <c r="E24" s="796">
        <v>-381532.94</v>
      </c>
      <c r="F24" s="796">
        <v>-14740.65</v>
      </c>
      <c r="G24" s="868">
        <f t="shared" si="1"/>
        <v>-396273.59</v>
      </c>
      <c r="H24" s="796">
        <v>-396273.59</v>
      </c>
      <c r="I24" s="795">
        <f t="shared" si="0"/>
        <v>0</v>
      </c>
      <c r="J24" s="795">
        <f>SUM($I$15:I24)</f>
        <v>-3.5899999999674037</v>
      </c>
    </row>
    <row r="25" spans="1:10">
      <c r="A25" s="602">
        <v>11</v>
      </c>
      <c r="C25" s="463" t="s">
        <v>688</v>
      </c>
      <c r="D25" s="463" t="s">
        <v>689</v>
      </c>
      <c r="E25" s="796">
        <v>-343602.77</v>
      </c>
      <c r="F25" s="796">
        <v>-13453.87</v>
      </c>
      <c r="G25" s="868">
        <f t="shared" si="1"/>
        <v>-357056.64</v>
      </c>
      <c r="H25" s="796">
        <v>-357053.05</v>
      </c>
      <c r="I25" s="795">
        <f t="shared" si="0"/>
        <v>3.5900000000256114</v>
      </c>
      <c r="J25" s="795">
        <f>SUM($I$15:I25)</f>
        <v>5.8207660913467407E-11</v>
      </c>
    </row>
    <row r="26" spans="1:10">
      <c r="A26" s="602">
        <v>12</v>
      </c>
      <c r="C26" s="463" t="s">
        <v>689</v>
      </c>
      <c r="D26" s="463" t="s">
        <v>690</v>
      </c>
      <c r="E26" s="867">
        <v>-345449.06</v>
      </c>
      <c r="F26" s="867">
        <v>-14326.28</v>
      </c>
      <c r="G26" s="527">
        <f t="shared" si="1"/>
        <v>-359775.34</v>
      </c>
      <c r="H26" s="867">
        <v>-359775.7</v>
      </c>
      <c r="I26" s="795">
        <f t="shared" si="0"/>
        <v>-0.35999999998603016</v>
      </c>
      <c r="J26" s="795">
        <f>SUM($I$15:I26)</f>
        <v>-0.3599999999278225</v>
      </c>
    </row>
    <row r="27" spans="1:10">
      <c r="A27" s="602">
        <v>13</v>
      </c>
      <c r="C27" s="463"/>
      <c r="D27" s="463"/>
      <c r="E27" s="867"/>
      <c r="F27" s="867"/>
      <c r="G27" s="795"/>
      <c r="H27" s="867"/>
      <c r="I27" s="795"/>
      <c r="J27" s="795"/>
    </row>
    <row r="28" spans="1:10" ht="15.75">
      <c r="A28" s="602">
        <v>14</v>
      </c>
      <c r="C28" s="797" t="s">
        <v>691</v>
      </c>
      <c r="D28" s="463"/>
      <c r="E28" s="796"/>
      <c r="F28" s="869">
        <f>SUM(F15:F26)</f>
        <v>-158639.32999999999</v>
      </c>
      <c r="G28" s="795"/>
      <c r="H28" s="463"/>
      <c r="I28" s="795"/>
      <c r="J28" s="795"/>
    </row>
    <row r="29" spans="1:10" ht="15.75">
      <c r="C29" s="797"/>
      <c r="D29" s="463"/>
      <c r="E29" s="796"/>
      <c r="F29" s="798"/>
      <c r="G29" s="795"/>
      <c r="H29" s="463"/>
      <c r="I29" s="795"/>
      <c r="J29" s="795"/>
    </row>
    <row r="30" spans="1:10" ht="15.75">
      <c r="C30" s="797"/>
      <c r="D30" s="463"/>
      <c r="E30" s="796"/>
      <c r="F30" s="798"/>
      <c r="G30" s="795"/>
      <c r="H30" s="796"/>
      <c r="I30" s="795"/>
      <c r="J30" s="795"/>
    </row>
    <row r="31" spans="1:10" ht="15.75">
      <c r="C31" s="463" t="s">
        <v>636</v>
      </c>
      <c r="D31" s="463"/>
      <c r="E31" s="796"/>
      <c r="F31" s="798"/>
      <c r="G31" s="795"/>
      <c r="H31" s="796"/>
      <c r="I31" s="795"/>
      <c r="J31" s="463"/>
    </row>
    <row r="32" spans="1:10" ht="15.75">
      <c r="C32" t="s">
        <v>635</v>
      </c>
      <c r="D32" s="463"/>
      <c r="E32" s="796"/>
      <c r="F32" s="798"/>
      <c r="G32" s="795"/>
      <c r="H32" s="796"/>
      <c r="I32" s="795"/>
    </row>
    <row r="33" spans="3:9" ht="15.75">
      <c r="C33" t="s">
        <v>637</v>
      </c>
      <c r="D33" s="463"/>
      <c r="E33" s="796"/>
      <c r="F33" s="798"/>
      <c r="G33" s="795"/>
      <c r="H33" s="796"/>
      <c r="I33" s="795"/>
    </row>
  </sheetData>
  <pageMargins left="1" right="1" top="1" bottom="0.75" header="0.3" footer="0.3"/>
  <pageSetup scale="6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>
    <tabColor theme="1" tint="4.9989318521683403E-2"/>
    <pageSetUpPr fitToPage="1"/>
  </sheetPr>
  <dimension ref="A1:AF43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5"/>
  <cols>
    <col min="1" max="1" width="6.21875" style="475" customWidth="1"/>
    <col min="2" max="2" width="1.109375" style="475" customWidth="1"/>
    <col min="3" max="3" width="30.77734375" style="475" customWidth="1"/>
    <col min="4" max="4" width="1.21875" style="475" customWidth="1"/>
    <col min="5" max="5" width="12.77734375" style="475" customWidth="1"/>
    <col min="6" max="6" width="2.109375" style="475" customWidth="1"/>
    <col min="7" max="7" width="12.21875" style="475" customWidth="1"/>
    <col min="8" max="8" width="2" style="475" customWidth="1"/>
    <col min="9" max="9" width="12.109375" style="475" customWidth="1"/>
    <col min="10" max="10" width="2.109375" style="475" customWidth="1"/>
    <col min="11" max="11" width="11.77734375" style="475" customWidth="1"/>
    <col min="12" max="12" width="2" style="475" customWidth="1"/>
    <col min="13" max="13" width="8.77734375" style="475"/>
    <col min="14" max="14" width="16.77734375" style="475" customWidth="1"/>
    <col min="15" max="15" width="12.77734375" style="475" customWidth="1"/>
    <col min="16" max="16" width="1.5546875" style="475" customWidth="1"/>
    <col min="17" max="17" width="17.77734375" style="475" customWidth="1"/>
    <col min="18" max="18" width="9.77734375" style="476" customWidth="1"/>
    <col min="19" max="21" width="1.77734375" style="475" customWidth="1"/>
    <col min="22" max="22" width="10.21875" style="475" customWidth="1"/>
    <col min="23" max="23" width="9.77734375" style="475" customWidth="1"/>
    <col min="24" max="24" width="2.21875" style="475" customWidth="1"/>
    <col min="25" max="25" width="11.77734375" style="475" customWidth="1"/>
    <col min="26" max="26" width="10.21875" style="475" customWidth="1"/>
    <col min="27" max="27" width="1.21875" style="475" customWidth="1"/>
    <col min="28" max="28" width="10.21875" style="475" customWidth="1"/>
    <col min="29" max="29" width="9.77734375" style="475" customWidth="1"/>
    <col min="30" max="30" width="1.44140625" style="475" customWidth="1"/>
    <col min="31" max="32" width="11" style="475" customWidth="1"/>
    <col min="33" max="16384" width="8.77734375" style="475"/>
  </cols>
  <sheetData>
    <row r="1" spans="1:29" ht="15.75">
      <c r="A1" s="69" t="str">
        <f>'P1 ADIT'!A1</f>
        <v>Duke Energy Ohio and Duke Energy Kentucky</v>
      </c>
      <c r="B1" s="480"/>
      <c r="C1" s="480"/>
      <c r="D1" s="69"/>
      <c r="E1" s="70"/>
      <c r="F1" s="70"/>
      <c r="G1" s="70"/>
      <c r="H1" s="70"/>
      <c r="I1" s="70"/>
      <c r="J1" s="70"/>
      <c r="K1" s="70"/>
      <c r="L1" s="71"/>
      <c r="N1"/>
      <c r="P1"/>
      <c r="Q1"/>
      <c r="R1"/>
      <c r="S1"/>
    </row>
    <row r="2" spans="1:29" ht="15.75">
      <c r="C2" s="69"/>
      <c r="D2" s="69"/>
      <c r="E2" s="70"/>
      <c r="F2" s="70"/>
      <c r="G2" s="70"/>
      <c r="H2" s="70"/>
      <c r="I2" s="70"/>
      <c r="J2" s="70"/>
      <c r="K2" s="70"/>
      <c r="L2" s="71"/>
      <c r="N2"/>
      <c r="P2" s="950"/>
    </row>
    <row r="3" spans="1:29" ht="15.75">
      <c r="C3" s="69"/>
      <c r="D3" s="69"/>
      <c r="E3" s="70"/>
      <c r="F3" s="70"/>
      <c r="G3" s="70"/>
      <c r="H3" s="70"/>
      <c r="I3" s="70"/>
      <c r="J3" s="70"/>
      <c r="K3" s="261" t="s">
        <v>396</v>
      </c>
      <c r="L3" s="71"/>
      <c r="N3"/>
      <c r="O3" s="294"/>
      <c r="P3" s="949"/>
      <c r="Q3" s="280"/>
      <c r="R3" s="451"/>
      <c r="AB3" s="823"/>
    </row>
    <row r="4" spans="1:29" ht="15.75">
      <c r="C4" s="69"/>
      <c r="D4" s="69"/>
      <c r="E4" s="70"/>
      <c r="F4" s="70"/>
      <c r="G4" s="70"/>
      <c r="H4" s="70"/>
      <c r="I4" s="70"/>
      <c r="J4" s="70"/>
      <c r="K4" s="353" t="str">
        <f>"Page 15 of "&amp;Workpaper</f>
        <v>Page 15 of 18</v>
      </c>
      <c r="L4" s="71"/>
    </row>
    <row r="5" spans="1:29" ht="15.75">
      <c r="C5" s="69"/>
      <c r="D5" s="69"/>
      <c r="E5" s="70"/>
      <c r="F5" s="70"/>
      <c r="G5" s="70"/>
      <c r="H5" s="70"/>
      <c r="I5" s="70"/>
      <c r="J5" s="70"/>
      <c r="K5" s="61" t="str">
        <f>"For the 12 months ended: "&amp;TEXT(INPUT!$B$1,"mm/dd/yyyy")</f>
        <v>For the 12 months ended: 12/31/2020</v>
      </c>
      <c r="L5" s="71"/>
      <c r="N5" s="560"/>
      <c r="O5" s="560"/>
      <c r="Y5" s="478"/>
    </row>
    <row r="6" spans="1:29" ht="15.75">
      <c r="C6" s="69"/>
      <c r="D6" s="69"/>
      <c r="E6" s="70"/>
      <c r="F6" s="70"/>
      <c r="G6" s="70"/>
      <c r="H6" s="70"/>
      <c r="I6" s="70"/>
      <c r="J6" s="70"/>
      <c r="K6" s="261"/>
      <c r="L6" s="71"/>
      <c r="N6" s="821"/>
      <c r="O6" s="484"/>
      <c r="Q6" s="561"/>
      <c r="R6" s="484"/>
      <c r="V6" s="479"/>
      <c r="W6" s="480"/>
      <c r="Y6" s="479"/>
      <c r="Z6" s="480"/>
      <c r="AB6" s="479"/>
      <c r="AC6" s="480"/>
    </row>
    <row r="7" spans="1:29" ht="15.75">
      <c r="A7" s="69" t="s">
        <v>650</v>
      </c>
      <c r="B7" s="480"/>
      <c r="C7" s="480"/>
      <c r="D7" s="69"/>
      <c r="E7" s="70"/>
      <c r="F7" s="70"/>
      <c r="G7" s="70"/>
      <c r="H7" s="70"/>
      <c r="I7" s="70"/>
      <c r="J7" s="70"/>
      <c r="K7" s="70"/>
      <c r="L7" s="71"/>
      <c r="N7" s="562"/>
      <c r="O7" s="484"/>
      <c r="Q7" s="561"/>
      <c r="R7" s="484"/>
    </row>
    <row r="8" spans="1:29" ht="15.75">
      <c r="A8" s="69" t="s">
        <v>654</v>
      </c>
      <c r="B8" s="480"/>
      <c r="C8" s="480"/>
      <c r="D8" s="69"/>
      <c r="E8" s="70"/>
      <c r="F8" s="70"/>
      <c r="G8" s="70"/>
      <c r="H8" s="70"/>
      <c r="I8" s="70"/>
      <c r="J8" s="70"/>
      <c r="K8" s="70"/>
      <c r="L8" s="71"/>
      <c r="N8" s="563"/>
      <c r="O8" s="484"/>
      <c r="Q8" s="561"/>
      <c r="R8" s="484"/>
      <c r="V8" s="481"/>
      <c r="W8" s="481"/>
      <c r="Y8" s="481"/>
      <c r="Z8" s="481"/>
      <c r="AB8" s="481"/>
      <c r="AC8" s="481"/>
    </row>
    <row r="9" spans="1:29" ht="15.75">
      <c r="C9" s="9"/>
      <c r="D9" s="9"/>
      <c r="E9" s="9"/>
      <c r="F9" s="9"/>
      <c r="G9" s="9"/>
      <c r="H9" s="9"/>
      <c r="I9" s="9"/>
      <c r="J9" s="9"/>
      <c r="K9" s="9"/>
      <c r="L9" s="71"/>
      <c r="N9" s="563"/>
      <c r="O9" s="484"/>
      <c r="R9" s="484"/>
      <c r="V9" s="482"/>
      <c r="W9" s="482"/>
      <c r="Y9" s="482"/>
      <c r="Z9" s="482"/>
      <c r="AB9" s="482"/>
      <c r="AC9" s="482"/>
    </row>
    <row r="10" spans="1:29" ht="15.75">
      <c r="C10" s="71"/>
      <c r="D10" s="71"/>
      <c r="E10" s="71"/>
      <c r="F10" s="71"/>
      <c r="G10" s="71"/>
      <c r="H10" s="71"/>
      <c r="I10" s="71"/>
      <c r="J10" s="71"/>
      <c r="K10" s="71"/>
      <c r="L10" s="71"/>
      <c r="N10" s="562"/>
      <c r="O10" s="484"/>
      <c r="R10" s="484"/>
    </row>
    <row r="11" spans="1:29" ht="15.75">
      <c r="C11" s="72"/>
      <c r="D11" s="72"/>
      <c r="E11" s="71"/>
      <c r="F11" s="71"/>
      <c r="G11" s="71"/>
      <c r="H11" s="71"/>
      <c r="I11" s="71"/>
      <c r="J11" s="71"/>
      <c r="K11" s="71"/>
      <c r="L11" s="71"/>
      <c r="N11" s="563"/>
      <c r="O11" s="484"/>
      <c r="Q11" s="561"/>
      <c r="R11" s="484"/>
      <c r="V11" s="483"/>
      <c r="W11" s="483"/>
      <c r="Y11" s="483"/>
      <c r="Z11" s="483"/>
      <c r="AB11" s="483"/>
      <c r="AC11" s="483"/>
    </row>
    <row r="12" spans="1:29" ht="20.25">
      <c r="A12" s="460" t="s">
        <v>8</v>
      </c>
      <c r="C12" s="71"/>
      <c r="D12" s="71"/>
      <c r="E12" s="987" t="s">
        <v>181</v>
      </c>
      <c r="F12" s="987"/>
      <c r="G12" s="987"/>
      <c r="H12" s="142"/>
      <c r="I12" s="987" t="s">
        <v>182</v>
      </c>
      <c r="J12" s="987"/>
      <c r="K12" s="987"/>
      <c r="L12" s="142"/>
      <c r="N12" s="563"/>
      <c r="O12" s="484"/>
      <c r="Q12" s="561"/>
      <c r="R12" s="484"/>
      <c r="V12" s="481"/>
      <c r="W12" s="481"/>
      <c r="Y12" s="481"/>
      <c r="Z12" s="481"/>
      <c r="AB12" s="481"/>
      <c r="AC12" s="481"/>
    </row>
    <row r="13" spans="1:29" ht="20.25">
      <c r="A13" s="409" t="s">
        <v>10</v>
      </c>
      <c r="C13" s="74" t="s">
        <v>649</v>
      </c>
      <c r="D13" s="71"/>
      <c r="E13" s="74" t="s">
        <v>24</v>
      </c>
      <c r="F13" s="74"/>
      <c r="G13" s="74" t="s">
        <v>191</v>
      </c>
      <c r="H13" s="74"/>
      <c r="I13" s="74" t="str">
        <f>E13</f>
        <v>Transmission</v>
      </c>
      <c r="J13" s="74"/>
      <c r="K13" s="74" t="str">
        <f>G13</f>
        <v>Distribution</v>
      </c>
      <c r="L13" s="74"/>
      <c r="N13" s="563"/>
      <c r="O13" s="484"/>
      <c r="Q13" s="561"/>
      <c r="R13" s="484"/>
      <c r="V13" s="482"/>
      <c r="W13" s="482"/>
      <c r="Y13" s="482"/>
      <c r="Z13" s="482"/>
      <c r="AB13" s="482"/>
      <c r="AC13" s="482"/>
    </row>
    <row r="14" spans="1:29" ht="15.75">
      <c r="A14" s="616">
        <v>1</v>
      </c>
      <c r="C14" s="75" t="s">
        <v>651</v>
      </c>
      <c r="D14" s="235"/>
      <c r="E14" s="379">
        <v>25195</v>
      </c>
      <c r="F14" s="342"/>
      <c r="G14" s="379">
        <v>404571</v>
      </c>
      <c r="H14" s="342"/>
      <c r="I14" s="379">
        <v>5531</v>
      </c>
      <c r="J14" s="342"/>
      <c r="K14" s="379">
        <v>75539</v>
      </c>
      <c r="L14" s="342"/>
      <c r="N14" s="561"/>
      <c r="O14" s="484"/>
      <c r="Q14" s="561"/>
      <c r="R14" s="484"/>
    </row>
    <row r="15" spans="1:29" ht="15.75">
      <c r="A15" s="616">
        <v>2</v>
      </c>
      <c r="C15" s="71" t="s">
        <v>652</v>
      </c>
      <c r="D15" s="71"/>
      <c r="E15" s="379">
        <v>6</v>
      </c>
      <c r="F15" s="343"/>
      <c r="G15" s="379">
        <v>5</v>
      </c>
      <c r="H15" s="343"/>
      <c r="I15" s="379">
        <v>0</v>
      </c>
      <c r="J15" s="342"/>
      <c r="K15" s="379">
        <v>0</v>
      </c>
      <c r="L15" s="343"/>
      <c r="N15" s="562"/>
      <c r="O15" s="484"/>
      <c r="R15" s="484"/>
      <c r="V15" s="481"/>
      <c r="W15" s="481"/>
      <c r="Y15" s="481"/>
      <c r="Z15" s="481"/>
      <c r="AB15" s="481"/>
      <c r="AC15" s="481"/>
    </row>
    <row r="16" spans="1:29" ht="17.25">
      <c r="A16" s="616">
        <v>3</v>
      </c>
      <c r="C16" s="71" t="s">
        <v>653</v>
      </c>
      <c r="D16" s="71"/>
      <c r="E16" s="862">
        <v>53</v>
      </c>
      <c r="F16" s="379"/>
      <c r="G16" s="862">
        <v>79</v>
      </c>
      <c r="H16" s="379"/>
      <c r="I16" s="862">
        <v>0</v>
      </c>
      <c r="J16" s="342"/>
      <c r="K16" s="862">
        <v>3</v>
      </c>
      <c r="L16" s="379"/>
      <c r="N16" s="563"/>
      <c r="O16" s="484"/>
      <c r="R16" s="484"/>
      <c r="V16" s="482"/>
      <c r="W16" s="482"/>
      <c r="X16" s="564"/>
      <c r="Y16" s="482"/>
      <c r="Z16" s="482"/>
      <c r="AB16" s="482"/>
      <c r="AC16" s="482"/>
    </row>
    <row r="17" spans="1:32" ht="15.75">
      <c r="A17" s="616">
        <v>4</v>
      </c>
      <c r="C17" s="236" t="s">
        <v>12</v>
      </c>
      <c r="D17" s="71"/>
      <c r="E17" s="863">
        <f>SUM(E14:E16)</f>
        <v>25254</v>
      </c>
      <c r="F17" s="343"/>
      <c r="G17" s="863">
        <f>SUM(G14:G16)</f>
        <v>404655</v>
      </c>
      <c r="H17" s="343"/>
      <c r="I17" s="863">
        <f>SUM(I14:I16)</f>
        <v>5531</v>
      </c>
      <c r="J17" s="343"/>
      <c r="K17" s="863">
        <f>SUM(K14:K16)</f>
        <v>75542</v>
      </c>
      <c r="L17" s="343"/>
      <c r="N17" s="562"/>
      <c r="O17" s="484"/>
      <c r="Q17" s="561"/>
      <c r="R17" s="484"/>
      <c r="AE17" s="478"/>
    </row>
    <row r="18" spans="1:32" ht="15.75">
      <c r="A18" s="616">
        <v>5</v>
      </c>
      <c r="C18" s="71"/>
      <c r="D18" s="71"/>
      <c r="E18" s="344"/>
      <c r="F18" s="344"/>
      <c r="G18" s="344"/>
      <c r="H18" s="344"/>
      <c r="I18" s="344"/>
      <c r="J18" s="344"/>
      <c r="K18" s="864"/>
      <c r="L18" s="344"/>
      <c r="N18" s="563"/>
      <c r="O18" s="484"/>
      <c r="Q18" s="561"/>
      <c r="R18" s="484"/>
      <c r="V18" s="483"/>
      <c r="W18" s="483"/>
      <c r="Y18" s="483"/>
      <c r="Z18" s="483"/>
      <c r="AB18" s="483"/>
      <c r="AC18" s="483"/>
      <c r="AE18" s="479"/>
      <c r="AF18" s="480"/>
    </row>
    <row r="19" spans="1:32" ht="18.75" thickBot="1">
      <c r="A19" s="616">
        <v>6</v>
      </c>
      <c r="C19" s="71" t="s">
        <v>466</v>
      </c>
      <c r="D19" s="71"/>
      <c r="E19" s="865">
        <f>ROUND(E17/($E17+$G17),4)</f>
        <v>5.8700000000000002E-2</v>
      </c>
      <c r="F19" s="799" t="s">
        <v>978</v>
      </c>
      <c r="G19" s="865">
        <f>ROUND(G17/($E17+$G17),4)</f>
        <v>0.94130000000000003</v>
      </c>
      <c r="H19" s="844"/>
      <c r="I19" s="865">
        <f>ROUND(I17/($I17+$K17),4)</f>
        <v>6.8199999999999997E-2</v>
      </c>
      <c r="J19" s="799" t="s">
        <v>978</v>
      </c>
      <c r="K19" s="865">
        <f>ROUND(K17/($I17+$K17),4)</f>
        <v>0.93179999999999996</v>
      </c>
      <c r="L19" s="345"/>
      <c r="N19" s="561"/>
      <c r="O19" s="484"/>
      <c r="Q19" s="561"/>
      <c r="R19" s="484"/>
      <c r="V19" s="481"/>
      <c r="W19" s="481"/>
      <c r="Y19" s="481"/>
      <c r="Z19" s="481"/>
      <c r="AB19" s="481"/>
      <c r="AC19" s="481"/>
    </row>
    <row r="20" spans="1:32" ht="18" thickTop="1">
      <c r="C20" s="236"/>
      <c r="D20" s="236"/>
      <c r="E20" s="237"/>
      <c r="F20" s="237"/>
      <c r="G20" s="237"/>
      <c r="H20" s="237"/>
      <c r="I20" s="237"/>
      <c r="J20" s="237"/>
      <c r="K20" s="237"/>
      <c r="L20" s="237"/>
      <c r="N20" s="562"/>
      <c r="O20" s="484"/>
      <c r="Q20" s="561"/>
      <c r="R20" s="484"/>
      <c r="V20" s="484"/>
      <c r="W20" s="484"/>
      <c r="Y20" s="484"/>
      <c r="Z20" s="484"/>
      <c r="AB20" s="484"/>
      <c r="AC20" s="484"/>
      <c r="AE20" s="481"/>
      <c r="AF20" s="481"/>
    </row>
    <row r="21" spans="1:32" ht="18.75">
      <c r="C21" s="9" t="s">
        <v>979</v>
      </c>
      <c r="D21" s="71"/>
      <c r="E21" s="653"/>
      <c r="F21" s="653"/>
      <c r="G21" s="653"/>
      <c r="H21" s="238"/>
      <c r="I21" s="238"/>
      <c r="J21" s="238"/>
      <c r="K21" s="262"/>
      <c r="L21" s="238"/>
      <c r="N21" s="563"/>
      <c r="O21" s="484"/>
      <c r="Q21" s="561"/>
      <c r="R21" s="484"/>
      <c r="AE21" s="482"/>
      <c r="AF21" s="482"/>
    </row>
    <row r="22" spans="1:32" ht="17.25">
      <c r="C22" s="71"/>
      <c r="D22" s="71"/>
      <c r="E22" s="346"/>
      <c r="F22" s="346"/>
      <c r="G22" s="346"/>
      <c r="H22" s="346"/>
      <c r="I22" s="346"/>
      <c r="J22" s="346"/>
      <c r="K22" s="274"/>
      <c r="L22" s="346"/>
      <c r="N22" s="563"/>
      <c r="O22" s="484"/>
      <c r="Q22" s="561"/>
      <c r="R22" s="484"/>
      <c r="V22" s="481"/>
      <c r="W22" s="481"/>
      <c r="Y22" s="481"/>
      <c r="Z22" s="481"/>
      <c r="AB22" s="481"/>
      <c r="AC22" s="481"/>
    </row>
    <row r="23" spans="1:32" ht="17.25">
      <c r="C23" s="69"/>
      <c r="D23" s="71"/>
      <c r="E23" s="237"/>
      <c r="F23" s="237"/>
      <c r="G23" s="237"/>
      <c r="H23" s="237"/>
      <c r="I23" s="237"/>
      <c r="J23" s="237"/>
      <c r="K23" s="237"/>
      <c r="L23" s="237"/>
      <c r="N23" s="563"/>
      <c r="O23" s="484"/>
      <c r="R23" s="484"/>
      <c r="V23" s="485"/>
      <c r="W23" s="485"/>
      <c r="Y23" s="485"/>
      <c r="Z23" s="485"/>
      <c r="AB23" s="485"/>
      <c r="AC23" s="485"/>
      <c r="AE23" s="483"/>
      <c r="AF23" s="483"/>
    </row>
    <row r="24" spans="1:32">
      <c r="C24" s="569"/>
      <c r="N24" s="562"/>
      <c r="O24" s="484"/>
      <c r="R24" s="484"/>
      <c r="AE24" s="481"/>
      <c r="AF24" s="481"/>
    </row>
    <row r="25" spans="1:32">
      <c r="N25" s="563"/>
      <c r="O25" s="484"/>
      <c r="R25" s="484"/>
      <c r="AE25" s="482"/>
      <c r="AF25" s="482"/>
    </row>
    <row r="26" spans="1:32">
      <c r="N26" s="563"/>
      <c r="O26" s="484"/>
      <c r="R26" s="484"/>
    </row>
    <row r="27" spans="1:32">
      <c r="N27" s="563"/>
      <c r="O27" s="484"/>
      <c r="R27" s="484"/>
      <c r="AE27" s="481"/>
      <c r="AF27" s="481"/>
    </row>
    <row r="28" spans="1:32">
      <c r="N28" s="561"/>
      <c r="O28" s="484"/>
      <c r="R28" s="484"/>
      <c r="AE28" s="482"/>
      <c r="AF28" s="482"/>
    </row>
    <row r="30" spans="1:32">
      <c r="AE30" s="483"/>
      <c r="AF30" s="483"/>
    </row>
    <row r="31" spans="1:32">
      <c r="AE31" s="481"/>
      <c r="AF31" s="481"/>
    </row>
    <row r="32" spans="1:32">
      <c r="AE32" s="484"/>
      <c r="AF32" s="484"/>
    </row>
    <row r="34" spans="14:32">
      <c r="AE34" s="481"/>
      <c r="AF34" s="481"/>
    </row>
    <row r="35" spans="14:32">
      <c r="AE35" s="485"/>
      <c r="AF35" s="485"/>
    </row>
    <row r="43" spans="14:32">
      <c r="N43" s="823"/>
    </row>
  </sheetData>
  <mergeCells count="2">
    <mergeCell ref="E12:G12"/>
    <mergeCell ref="I12:K12"/>
  </mergeCells>
  <pageMargins left="1" right="1" top="1" bottom="0.75" header="0.3" footer="0.3"/>
  <pageSetup scale="73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9">
    <tabColor theme="1"/>
    <pageSetUpPr fitToPage="1"/>
  </sheetPr>
  <dimension ref="A1:K57"/>
  <sheetViews>
    <sheetView view="pageBreakPreview" zoomScale="70" zoomScaleNormal="70" zoomScaleSheetLayoutView="70" workbookViewId="0">
      <selection activeCell="E70" sqref="E70"/>
    </sheetView>
  </sheetViews>
  <sheetFormatPr defaultColWidth="8.77734375" defaultRowHeight="15"/>
  <cols>
    <col min="1" max="1" width="6.21875" style="9" customWidth="1"/>
    <col min="2" max="2" width="9.77734375" style="9" customWidth="1"/>
    <col min="3" max="3" width="54" style="9" customWidth="1"/>
    <col min="4" max="4" width="20" style="9" customWidth="1"/>
    <col min="5" max="5" width="14.77734375" style="9" bestFit="1" customWidth="1"/>
    <col min="6" max="6" width="1.77734375" style="9" customWidth="1"/>
    <col min="7" max="7" width="14.77734375" style="9" customWidth="1"/>
    <col min="8" max="8" width="13.44140625" style="9" customWidth="1"/>
    <col min="9" max="16384" width="8.77734375" style="9"/>
  </cols>
  <sheetData>
    <row r="1" spans="1:11" ht="15.75">
      <c r="A1" s="393" t="str">
        <f>'P1 ADIT'!A1</f>
        <v>Duke Energy Ohio and Duke Energy Kentucky</v>
      </c>
      <c r="B1" s="393"/>
      <c r="C1" s="70"/>
      <c r="D1" s="393"/>
      <c r="E1" s="70"/>
      <c r="F1" s="393"/>
      <c r="G1" s="70"/>
    </row>
    <row r="2" spans="1:11" ht="15.75">
      <c r="A2" s="393"/>
      <c r="B2" s="393"/>
      <c r="C2" s="70"/>
      <c r="D2" s="393"/>
      <c r="F2" s="393"/>
    </row>
    <row r="3" spans="1:11" ht="15.75">
      <c r="A3" s="393"/>
      <c r="B3" s="393"/>
      <c r="C3" s="70"/>
      <c r="D3" s="393"/>
      <c r="F3" s="393"/>
      <c r="G3" s="261" t="s">
        <v>396</v>
      </c>
    </row>
    <row r="4" spans="1:11" ht="15.75">
      <c r="A4" s="393"/>
      <c r="B4" s="393"/>
      <c r="C4" s="70"/>
      <c r="D4" s="393"/>
      <c r="F4" s="393"/>
      <c r="G4" s="353" t="str">
        <f>"Page 16 of "&amp;Workpaper</f>
        <v>Page 16 of 18</v>
      </c>
      <c r="K4"/>
    </row>
    <row r="5" spans="1:11" ht="15.75">
      <c r="A5" s="393"/>
      <c r="B5" s="393"/>
      <c r="C5" s="70"/>
      <c r="D5" s="393"/>
      <c r="F5" s="393"/>
      <c r="G5" s="61" t="str">
        <f>"For the 12 months ended: "&amp;TEXT(INPUT!$B$1,"mm/dd/yyyy")</f>
        <v>For the 12 months ended: 12/31/2020</v>
      </c>
    </row>
    <row r="6" spans="1:11" ht="15.75">
      <c r="A6" s="393"/>
      <c r="B6" s="393"/>
      <c r="C6" s="70"/>
      <c r="D6" s="393"/>
      <c r="F6" s="393"/>
    </row>
    <row r="7" spans="1:11" ht="15.75">
      <c r="A7" s="393" t="s">
        <v>921</v>
      </c>
      <c r="B7" s="393"/>
      <c r="C7" s="70"/>
      <c r="D7" s="393"/>
      <c r="E7" s="70"/>
      <c r="F7" s="393"/>
      <c r="G7" s="70"/>
    </row>
    <row r="9" spans="1:11" ht="15.75">
      <c r="B9" s="460" t="s">
        <v>395</v>
      </c>
      <c r="E9" s="460" t="s">
        <v>283</v>
      </c>
    </row>
    <row r="10" spans="1:11" ht="15.75">
      <c r="A10" s="460" t="s">
        <v>8</v>
      </c>
      <c r="B10" s="460" t="s">
        <v>826</v>
      </c>
      <c r="E10" s="460" t="s">
        <v>554</v>
      </c>
      <c r="G10" s="460" t="s">
        <v>283</v>
      </c>
    </row>
    <row r="11" spans="1:11" ht="20.25">
      <c r="A11" s="409" t="s">
        <v>10</v>
      </c>
      <c r="B11" s="409" t="s">
        <v>827</v>
      </c>
      <c r="C11" s="74" t="s">
        <v>419</v>
      </c>
      <c r="D11" s="70"/>
      <c r="E11" s="409" t="s">
        <v>555</v>
      </c>
      <c r="G11" s="409" t="s">
        <v>282</v>
      </c>
    </row>
    <row r="12" spans="1:11">
      <c r="G12" s="239"/>
    </row>
    <row r="13" spans="1:11">
      <c r="A13" s="394">
        <v>1</v>
      </c>
      <c r="B13" s="394"/>
      <c r="C13" s="799" t="s">
        <v>908</v>
      </c>
      <c r="E13" s="30"/>
      <c r="F13" s="30"/>
      <c r="G13" s="816">
        <v>159235526</v>
      </c>
    </row>
    <row r="14" spans="1:11">
      <c r="A14" s="394">
        <v>2</v>
      </c>
      <c r="B14" s="394"/>
      <c r="E14" s="30"/>
      <c r="F14" s="30"/>
      <c r="G14" s="30"/>
    </row>
    <row r="15" spans="1:11" ht="31.9" customHeight="1">
      <c r="A15" s="394">
        <v>3</v>
      </c>
      <c r="B15" s="855" t="s">
        <v>909</v>
      </c>
      <c r="C15" s="546" t="s">
        <v>910</v>
      </c>
      <c r="E15" s="30"/>
      <c r="F15" s="30"/>
      <c r="G15" s="30"/>
    </row>
    <row r="16" spans="1:11">
      <c r="A16" s="394">
        <v>4</v>
      </c>
      <c r="B16" s="394"/>
      <c r="D16" s="9" t="s">
        <v>911</v>
      </c>
      <c r="E16" s="816">
        <v>-53968</v>
      </c>
      <c r="F16" s="30"/>
      <c r="G16" s="30"/>
    </row>
    <row r="17" spans="1:8">
      <c r="A17" s="394">
        <v>5</v>
      </c>
      <c r="B17" s="394"/>
      <c r="D17" s="9" t="s">
        <v>757</v>
      </c>
      <c r="E17" s="856">
        <v>0</v>
      </c>
      <c r="F17" s="30"/>
      <c r="G17" s="30"/>
      <c r="H17" s="540"/>
    </row>
    <row r="18" spans="1:8">
      <c r="A18" s="394">
        <v>6</v>
      </c>
      <c r="B18" s="394"/>
      <c r="E18" s="30">
        <f>SUM(E16:E17)</f>
        <v>-53968</v>
      </c>
      <c r="F18" s="30"/>
      <c r="G18" s="30">
        <f>E18</f>
        <v>-53968</v>
      </c>
    </row>
    <row r="19" spans="1:8">
      <c r="A19" s="394">
        <v>7</v>
      </c>
      <c r="B19" s="394"/>
      <c r="E19" s="30"/>
      <c r="F19" s="30"/>
      <c r="G19" s="30"/>
    </row>
    <row r="20" spans="1:8" ht="61.9" customHeight="1">
      <c r="A20" s="394">
        <v>8</v>
      </c>
      <c r="B20" s="855" t="s">
        <v>912</v>
      </c>
      <c r="C20" s="546" t="s">
        <v>913</v>
      </c>
      <c r="E20" s="30"/>
      <c r="F20" s="30"/>
      <c r="G20" s="30"/>
    </row>
    <row r="21" spans="1:8">
      <c r="A21" s="394">
        <v>9</v>
      </c>
      <c r="B21" s="855"/>
      <c r="C21" s="546"/>
      <c r="D21" s="9" t="s">
        <v>825</v>
      </c>
      <c r="E21" s="816">
        <v>-118790</v>
      </c>
      <c r="F21" s="30"/>
      <c r="G21" s="30"/>
    </row>
    <row r="22" spans="1:8">
      <c r="A22" s="394">
        <v>10</v>
      </c>
      <c r="B22" s="394"/>
      <c r="D22" s="9" t="s">
        <v>715</v>
      </c>
      <c r="E22" s="818">
        <v>-1247</v>
      </c>
      <c r="F22" s="30"/>
      <c r="G22" s="30"/>
    </row>
    <row r="23" spans="1:8">
      <c r="A23" s="394">
        <v>11</v>
      </c>
      <c r="B23" s="394"/>
      <c r="D23" s="9" t="s">
        <v>757</v>
      </c>
      <c r="E23" s="856">
        <v>-240</v>
      </c>
      <c r="F23" s="30"/>
      <c r="G23" s="30"/>
    </row>
    <row r="24" spans="1:8">
      <c r="A24" s="394">
        <v>12</v>
      </c>
      <c r="B24" s="394"/>
      <c r="E24" s="30">
        <f>SUM(E21:E23)</f>
        <v>-120277</v>
      </c>
      <c r="F24" s="30"/>
      <c r="G24" s="30">
        <f>E24</f>
        <v>-120277</v>
      </c>
    </row>
    <row r="25" spans="1:8">
      <c r="A25" s="394">
        <v>13</v>
      </c>
      <c r="B25" s="394"/>
      <c r="E25" s="30"/>
      <c r="F25" s="30"/>
      <c r="G25" s="30"/>
    </row>
    <row r="26" spans="1:8" ht="30.6" customHeight="1">
      <c r="A26" s="394">
        <v>14</v>
      </c>
      <c r="B26" s="855" t="s">
        <v>914</v>
      </c>
      <c r="C26" s="546" t="s">
        <v>915</v>
      </c>
      <c r="E26" s="30"/>
      <c r="F26" s="30"/>
      <c r="G26" s="30"/>
    </row>
    <row r="27" spans="1:8">
      <c r="A27" s="394">
        <v>15</v>
      </c>
      <c r="B27" s="394"/>
      <c r="C27" s="546"/>
      <c r="D27" s="9" t="s">
        <v>825</v>
      </c>
      <c r="E27" s="816">
        <v>0</v>
      </c>
      <c r="F27" s="30"/>
      <c r="G27" s="30"/>
    </row>
    <row r="28" spans="1:8">
      <c r="A28" s="394">
        <v>16</v>
      </c>
      <c r="B28" s="394"/>
      <c r="D28" s="9" t="s">
        <v>715</v>
      </c>
      <c r="E28" s="818">
        <v>-34099</v>
      </c>
      <c r="F28" s="30"/>
      <c r="G28" s="30"/>
    </row>
    <row r="29" spans="1:8">
      <c r="A29" s="394">
        <v>17</v>
      </c>
      <c r="B29" s="394"/>
      <c r="D29" s="9" t="s">
        <v>757</v>
      </c>
      <c r="E29" s="856">
        <v>-6583</v>
      </c>
      <c r="F29" s="30"/>
      <c r="G29" s="30"/>
    </row>
    <row r="30" spans="1:8">
      <c r="A30" s="394">
        <v>18</v>
      </c>
      <c r="B30" s="394"/>
      <c r="E30" s="30">
        <f>SUM(E27:E29)</f>
        <v>-40682</v>
      </c>
      <c r="F30" s="30"/>
      <c r="G30" s="30">
        <f>E30</f>
        <v>-40682</v>
      </c>
    </row>
    <row r="31" spans="1:8">
      <c r="A31" s="394">
        <v>19</v>
      </c>
      <c r="B31" s="394"/>
      <c r="E31" s="30"/>
      <c r="F31" s="30"/>
      <c r="G31" s="30"/>
    </row>
    <row r="32" spans="1:8" ht="31.9" customHeight="1">
      <c r="A32" s="394">
        <v>20</v>
      </c>
      <c r="B32" s="855" t="s">
        <v>916</v>
      </c>
      <c r="C32" s="546" t="s">
        <v>917</v>
      </c>
      <c r="E32" s="30"/>
      <c r="F32" s="30"/>
      <c r="G32" s="30"/>
    </row>
    <row r="33" spans="1:7">
      <c r="A33" s="394">
        <v>21</v>
      </c>
      <c r="B33" s="394"/>
      <c r="C33" s="546"/>
      <c r="D33" s="522" t="s">
        <v>825</v>
      </c>
      <c r="E33" s="816">
        <v>-122</v>
      </c>
      <c r="F33" s="30"/>
      <c r="G33" s="30"/>
    </row>
    <row r="34" spans="1:7">
      <c r="A34" s="394">
        <v>22</v>
      </c>
      <c r="B34" s="394"/>
      <c r="D34" s="9" t="s">
        <v>715</v>
      </c>
      <c r="E34" s="818">
        <v>-1</v>
      </c>
      <c r="F34" s="30"/>
      <c r="G34" s="30"/>
    </row>
    <row r="35" spans="1:7">
      <c r="A35" s="394">
        <v>23</v>
      </c>
      <c r="B35" s="394"/>
      <c r="D35" s="9" t="s">
        <v>757</v>
      </c>
      <c r="E35" s="856">
        <v>0</v>
      </c>
      <c r="F35" s="30"/>
      <c r="G35" s="30"/>
    </row>
    <row r="36" spans="1:7">
      <c r="A36" s="394">
        <v>24</v>
      </c>
      <c r="B36" s="394"/>
      <c r="E36" s="30">
        <f>SUM(E33:E35)</f>
        <v>-123</v>
      </c>
      <c r="F36" s="30"/>
      <c r="G36" s="30">
        <f>E36</f>
        <v>-123</v>
      </c>
    </row>
    <row r="37" spans="1:7">
      <c r="A37" s="394">
        <v>25</v>
      </c>
      <c r="B37" s="394"/>
      <c r="E37" s="30"/>
      <c r="F37" s="30"/>
      <c r="G37" s="30"/>
    </row>
    <row r="38" spans="1:7" ht="60">
      <c r="A38" s="394">
        <v>26</v>
      </c>
      <c r="B38" s="855" t="s">
        <v>918</v>
      </c>
      <c r="C38" s="546" t="s">
        <v>919</v>
      </c>
      <c r="E38" s="30"/>
      <c r="F38" s="30"/>
      <c r="G38" s="30"/>
    </row>
    <row r="39" spans="1:7" ht="17.25">
      <c r="A39" s="394">
        <v>27</v>
      </c>
      <c r="B39" s="394"/>
      <c r="D39" s="9" t="s">
        <v>757</v>
      </c>
      <c r="E39" s="857">
        <v>-103649</v>
      </c>
      <c r="F39" s="30"/>
      <c r="G39" s="30"/>
    </row>
    <row r="40" spans="1:7">
      <c r="A40" s="394">
        <v>28</v>
      </c>
      <c r="B40" s="394"/>
      <c r="E40" s="30">
        <f>SUM(E39)</f>
        <v>-103649</v>
      </c>
      <c r="F40" s="30"/>
      <c r="G40" s="30">
        <f>E40</f>
        <v>-103649</v>
      </c>
    </row>
    <row r="41" spans="1:7">
      <c r="A41" s="394">
        <v>29</v>
      </c>
      <c r="B41" s="394"/>
      <c r="E41" s="30"/>
      <c r="F41" s="30"/>
      <c r="G41" s="30"/>
    </row>
    <row r="42" spans="1:7">
      <c r="A42" s="394">
        <v>30</v>
      </c>
      <c r="B42" s="394"/>
      <c r="C42" s="522" t="s">
        <v>920</v>
      </c>
      <c r="E42" s="30"/>
      <c r="F42" s="30"/>
      <c r="G42" s="30">
        <f>SUM(G13:G40)</f>
        <v>158916827</v>
      </c>
    </row>
    <row r="43" spans="1:7">
      <c r="A43" s="394">
        <v>31</v>
      </c>
      <c r="B43" s="394"/>
      <c r="C43" s="522"/>
      <c r="E43" s="30"/>
      <c r="F43" s="30"/>
      <c r="G43" s="30"/>
    </row>
    <row r="44" spans="1:7">
      <c r="A44" s="394">
        <v>32</v>
      </c>
      <c r="B44" s="394"/>
      <c r="C44" s="522" t="s">
        <v>922</v>
      </c>
      <c r="E44" s="30"/>
      <c r="F44" s="30"/>
      <c r="G44" s="30">
        <f>G13-G42</f>
        <v>318699</v>
      </c>
    </row>
    <row r="45" spans="1:7">
      <c r="A45" s="394">
        <v>33</v>
      </c>
      <c r="B45" s="394"/>
      <c r="C45" s="522"/>
      <c r="D45" s="522"/>
    </row>
    <row r="46" spans="1:7">
      <c r="A46" s="394">
        <v>34</v>
      </c>
      <c r="B46" s="394"/>
      <c r="C46" s="522" t="s">
        <v>556</v>
      </c>
      <c r="G46" s="93">
        <f>FERCrefund</f>
        <v>4.7500000000000001E-2</v>
      </c>
    </row>
    <row r="47" spans="1:7">
      <c r="A47" s="394">
        <v>35</v>
      </c>
      <c r="B47" s="394"/>
      <c r="C47" s="522"/>
    </row>
    <row r="48" spans="1:7">
      <c r="A48" s="394">
        <v>36</v>
      </c>
      <c r="B48" s="394"/>
      <c r="C48" s="522" t="s">
        <v>557</v>
      </c>
      <c r="G48" s="858">
        <v>1.5</v>
      </c>
    </row>
    <row r="49" spans="1:7">
      <c r="A49" s="394">
        <v>37</v>
      </c>
      <c r="B49" s="394"/>
      <c r="C49" s="522"/>
      <c r="G49" s="859"/>
    </row>
    <row r="50" spans="1:7" ht="17.25">
      <c r="A50" s="394">
        <v>38</v>
      </c>
      <c r="B50" s="394"/>
      <c r="C50" s="860" t="s">
        <v>558</v>
      </c>
      <c r="G50" s="861">
        <f>ROUND((G44*(1+G46/4)^(4*G48))-G44,0)</f>
        <v>23392</v>
      </c>
    </row>
    <row r="51" spans="1:7">
      <c r="A51" s="394">
        <v>39</v>
      </c>
      <c r="B51" s="394"/>
    </row>
    <row r="52" spans="1:7" ht="18.75" customHeight="1" thickBot="1">
      <c r="A52" s="394">
        <v>40</v>
      </c>
      <c r="B52" s="598"/>
      <c r="C52" s="522" t="s">
        <v>758</v>
      </c>
      <c r="D52" s="538" t="str">
        <f>"Line "&amp;A44&amp;" + Line "&amp;A50</f>
        <v>Line 32 + Line 38</v>
      </c>
      <c r="G52" s="227">
        <f>G44+G50</f>
        <v>342091</v>
      </c>
    </row>
    <row r="53" spans="1:7" ht="15.75" thickTop="1">
      <c r="D53" s="522"/>
    </row>
    <row r="54" spans="1:7">
      <c r="D54" s="522"/>
    </row>
    <row r="55" spans="1:7">
      <c r="D55" s="522"/>
    </row>
    <row r="56" spans="1:7">
      <c r="D56" s="522"/>
    </row>
    <row r="57" spans="1:7">
      <c r="D57" s="522"/>
    </row>
  </sheetData>
  <pageMargins left="0.75" right="0.45" top="1" bottom="0.75" header="0.3" footer="0.3"/>
  <pageSetup scale="6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5">
    <tabColor theme="1"/>
    <pageSetUpPr fitToPage="1"/>
  </sheetPr>
  <dimension ref="A1:N21"/>
  <sheetViews>
    <sheetView view="pageBreakPreview" zoomScale="70" zoomScaleNormal="80" zoomScaleSheetLayoutView="70" workbookViewId="0">
      <selection activeCell="E70" sqref="E70"/>
    </sheetView>
  </sheetViews>
  <sheetFormatPr defaultRowHeight="15"/>
  <cols>
    <col min="1" max="1" width="6.77734375" customWidth="1"/>
    <col min="2" max="2" width="1.109375" customWidth="1"/>
    <col min="3" max="3" width="8.109375" customWidth="1"/>
    <col min="4" max="4" width="1.109375" customWidth="1"/>
    <col min="5" max="5" width="69" customWidth="1"/>
    <col min="6" max="6" width="1.109375" customWidth="1"/>
    <col min="7" max="8" width="14.21875" customWidth="1"/>
    <col min="11" max="11" width="12" bestFit="1" customWidth="1"/>
    <col min="12" max="12" width="11" bestFit="1" customWidth="1"/>
    <col min="13" max="13" width="13" bestFit="1" customWidth="1"/>
    <col min="14" max="14" width="11.44140625" bestFit="1" customWidth="1"/>
  </cols>
  <sheetData>
    <row r="1" spans="1:14" ht="15.75">
      <c r="A1" s="393" t="str">
        <f>'P1 ADIT'!A1</f>
        <v>Duke Energy Ohio and Duke Energy Kentucky</v>
      </c>
      <c r="B1" s="70"/>
      <c r="C1" s="70"/>
      <c r="D1" s="70"/>
      <c r="E1" s="70"/>
      <c r="F1" s="70"/>
      <c r="G1" s="70"/>
      <c r="H1" s="393"/>
      <c r="I1" s="9"/>
      <c r="K1" s="9"/>
    </row>
    <row r="2" spans="1:14" ht="15.75">
      <c r="A2" s="393"/>
      <c r="B2" s="70"/>
      <c r="C2" s="70"/>
      <c r="D2" s="70"/>
      <c r="E2" s="70"/>
      <c r="F2" s="70"/>
      <c r="G2" s="70"/>
      <c r="H2" s="393"/>
      <c r="I2" s="9"/>
      <c r="K2" s="949"/>
      <c r="L2" s="280"/>
      <c r="M2" s="451"/>
    </row>
    <row r="3" spans="1:14" ht="15.75">
      <c r="A3" s="393"/>
      <c r="B3" s="70"/>
      <c r="C3" s="70"/>
      <c r="D3" s="70"/>
      <c r="E3" s="70"/>
      <c r="F3" s="70"/>
      <c r="G3" s="70"/>
      <c r="H3" s="261" t="s">
        <v>396</v>
      </c>
      <c r="K3" s="294"/>
      <c r="L3" s="9"/>
    </row>
    <row r="4" spans="1:14" ht="15.75">
      <c r="A4" s="393"/>
      <c r="B4" s="70"/>
      <c r="C4" s="70"/>
      <c r="D4" s="70"/>
      <c r="E4" s="70"/>
      <c r="F4" s="70"/>
      <c r="G4" s="70"/>
      <c r="H4" s="353" t="str">
        <f>"Page 17 of "&amp;Workpaper</f>
        <v>Page 17 of 18</v>
      </c>
    </row>
    <row r="5" spans="1:14" ht="15.75">
      <c r="A5" s="393"/>
      <c r="B5" s="70"/>
      <c r="C5" s="70"/>
      <c r="D5" s="70"/>
      <c r="E5" s="70"/>
      <c r="F5" s="70"/>
      <c r="G5" s="70"/>
      <c r="H5" s="61" t="str">
        <f>"For the 12 months ended: "&amp;TEXT(INPUT!$B$1,"mm/dd/yyyy")</f>
        <v>For the 12 months ended: 12/31/2020</v>
      </c>
    </row>
    <row r="6" spans="1:14" ht="15.75">
      <c r="A6" s="393"/>
      <c r="B6" s="70"/>
      <c r="C6" s="70"/>
      <c r="D6" s="70"/>
      <c r="E6" s="70"/>
      <c r="F6" s="70"/>
      <c r="G6" s="70"/>
      <c r="H6" s="393"/>
      <c r="I6" s="9"/>
    </row>
    <row r="7" spans="1:14" ht="15.75">
      <c r="A7" s="393" t="s">
        <v>717</v>
      </c>
      <c r="B7" s="70"/>
      <c r="C7" s="70"/>
      <c r="D7" s="70"/>
      <c r="E7" s="70"/>
      <c r="F7" s="70"/>
      <c r="G7" s="70"/>
      <c r="H7" s="393"/>
      <c r="I7" s="9"/>
    </row>
    <row r="10" spans="1:14" ht="15.75">
      <c r="A10" s="460" t="s">
        <v>8</v>
      </c>
    </row>
    <row r="11" spans="1:14" ht="20.25">
      <c r="A11" s="409" t="s">
        <v>10</v>
      </c>
      <c r="C11" s="555" t="s">
        <v>416</v>
      </c>
      <c r="D11" s="250"/>
      <c r="E11" s="74" t="s">
        <v>419</v>
      </c>
      <c r="G11" s="74" t="s">
        <v>181</v>
      </c>
      <c r="H11" s="74" t="s">
        <v>182</v>
      </c>
      <c r="I11" s="250"/>
      <c r="J11" s="584"/>
      <c r="K11" s="585"/>
      <c r="L11" s="585"/>
      <c r="M11" s="585"/>
      <c r="N11" s="585"/>
    </row>
    <row r="12" spans="1:14">
      <c r="A12" s="9"/>
      <c r="J12" s="585"/>
      <c r="K12" s="822"/>
      <c r="L12" s="822"/>
      <c r="M12" s="585"/>
      <c r="N12" s="585"/>
    </row>
    <row r="13" spans="1:14">
      <c r="A13" s="394">
        <v>1</v>
      </c>
      <c r="C13" s="802">
        <v>561.4</v>
      </c>
      <c r="D13" s="407"/>
      <c r="E13" s="803" t="s">
        <v>873</v>
      </c>
      <c r="G13" s="800">
        <v>11135087.18</v>
      </c>
      <c r="H13" s="800">
        <v>2203478.46</v>
      </c>
      <c r="J13" s="585"/>
      <c r="K13" s="800"/>
      <c r="L13" s="800"/>
      <c r="M13" s="585"/>
      <c r="N13" s="585"/>
    </row>
    <row r="14" spans="1:14">
      <c r="A14" s="394">
        <v>2</v>
      </c>
      <c r="C14" s="407"/>
      <c r="D14" s="407"/>
      <c r="E14" s="407"/>
      <c r="G14" s="800"/>
      <c r="H14" s="800"/>
      <c r="J14" s="585"/>
      <c r="K14" s="800"/>
      <c r="L14" s="800"/>
      <c r="M14" s="585"/>
      <c r="N14" s="585"/>
    </row>
    <row r="15" spans="1:14" ht="17.25">
      <c r="A15" s="394">
        <v>3</v>
      </c>
      <c r="C15" s="802">
        <v>561.79999999999995</v>
      </c>
      <c r="D15" s="407"/>
      <c r="E15" s="803" t="s">
        <v>874</v>
      </c>
      <c r="G15" s="801">
        <v>12801005.390000001</v>
      </c>
      <c r="H15" s="801">
        <v>2014234</v>
      </c>
      <c r="K15" s="801"/>
      <c r="L15" s="801"/>
      <c r="M15" s="585"/>
      <c r="N15" s="585"/>
    </row>
    <row r="16" spans="1:14">
      <c r="A16" s="394">
        <v>4</v>
      </c>
      <c r="C16" s="407"/>
      <c r="D16" s="407"/>
      <c r="E16" s="407"/>
      <c r="G16" s="594"/>
      <c r="H16" s="594"/>
    </row>
    <row r="17" spans="1:8">
      <c r="A17" s="394">
        <v>5</v>
      </c>
      <c r="C17" s="407"/>
      <c r="D17" s="407"/>
      <c r="E17" s="803" t="s">
        <v>718</v>
      </c>
      <c r="G17" s="594">
        <f>G13+G15</f>
        <v>23936092.57</v>
      </c>
      <c r="H17" s="594">
        <f>H13+H15</f>
        <v>4217712.46</v>
      </c>
    </row>
    <row r="18" spans="1:8">
      <c r="A18" s="394">
        <v>6</v>
      </c>
      <c r="C18" s="407"/>
      <c r="D18" s="407"/>
      <c r="E18" s="803"/>
    </row>
    <row r="19" spans="1:8">
      <c r="A19" s="394">
        <v>7</v>
      </c>
      <c r="C19" s="407"/>
      <c r="D19" s="407"/>
      <c r="E19" s="803" t="s">
        <v>719</v>
      </c>
      <c r="G19" s="854">
        <f>DEO!J198</f>
        <v>0.90153000000000005</v>
      </c>
      <c r="H19" s="854">
        <f>DEK!J198</f>
        <v>0.80820000000000003</v>
      </c>
    </row>
    <row r="20" spans="1:8">
      <c r="A20" s="394">
        <v>8</v>
      </c>
      <c r="C20" s="407"/>
      <c r="D20" s="407"/>
      <c r="E20" s="803"/>
    </row>
    <row r="21" spans="1:8" ht="21" customHeight="1">
      <c r="A21" s="598">
        <v>9</v>
      </c>
      <c r="C21" s="407"/>
      <c r="D21" s="407"/>
      <c r="E21" s="803" t="s">
        <v>891</v>
      </c>
      <c r="G21" s="83">
        <f>ROUND(G17*G19,0)</f>
        <v>21579106</v>
      </c>
      <c r="H21" s="83">
        <f>ROUND(H17*H19,0)</f>
        <v>3408755</v>
      </c>
    </row>
  </sheetData>
  <printOptions horizontalCentered="1"/>
  <pageMargins left="0.54" right="0.45" top="1" bottom="0.75" header="0.3" footer="0.3"/>
  <pageSetup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2">
    <tabColor rgb="FF663300"/>
    <pageSetUpPr fitToPage="1"/>
  </sheetPr>
  <dimension ref="A1:N101"/>
  <sheetViews>
    <sheetView view="pageBreakPreview" zoomScale="70" zoomScaleNormal="75" zoomScaleSheetLayoutView="70" workbookViewId="0">
      <selection activeCell="E70" sqref="E70"/>
    </sheetView>
  </sheetViews>
  <sheetFormatPr defaultColWidth="9.21875" defaultRowHeight="15"/>
  <cols>
    <col min="1" max="1" width="4" style="187" customWidth="1"/>
    <col min="2" max="2" width="4.77734375" style="188" bestFit="1" customWidth="1"/>
    <col min="3" max="3" width="1.77734375" style="187" customWidth="1"/>
    <col min="4" max="4" width="64.109375" style="187" customWidth="1"/>
    <col min="5" max="5" width="28.5546875" style="187" customWidth="1"/>
    <col min="6" max="6" width="2.109375" style="187" customWidth="1"/>
    <col min="7" max="7" width="16" style="187" bestFit="1" customWidth="1"/>
    <col min="8" max="8" width="6.5546875" style="187" customWidth="1"/>
    <col min="9" max="10" width="2.21875" style="187" customWidth="1"/>
    <col min="11" max="11" width="9.21875" style="187"/>
    <col min="12" max="12" width="13.5546875" style="187" bestFit="1" customWidth="1"/>
    <col min="13" max="13" width="12.5546875" style="187" customWidth="1"/>
    <col min="14" max="14" width="10.77734375" style="187" customWidth="1"/>
    <col min="15" max="16384" width="9.21875" style="187"/>
  </cols>
  <sheetData>
    <row r="1" spans="1:14">
      <c r="G1" s="187" t="s">
        <v>299</v>
      </c>
    </row>
    <row r="2" spans="1:14">
      <c r="G2" s="187" t="s">
        <v>286</v>
      </c>
      <c r="L2" s="949"/>
      <c r="M2" s="949"/>
    </row>
    <row r="3" spans="1:14">
      <c r="A3" s="191"/>
      <c r="B3" s="191"/>
      <c r="C3" s="191"/>
      <c r="D3" s="191"/>
      <c r="E3" s="191"/>
      <c r="F3" s="191"/>
      <c r="G3" s="187" t="s">
        <v>287</v>
      </c>
      <c r="H3" s="195"/>
      <c r="J3" s="220"/>
    </row>
    <row r="4" spans="1:14">
      <c r="A4" s="191"/>
      <c r="B4" s="191"/>
      <c r="C4" s="191"/>
      <c r="D4" s="191"/>
      <c r="E4" s="191"/>
      <c r="F4" s="191"/>
      <c r="H4" s="195"/>
      <c r="J4" s="220"/>
    </row>
    <row r="5" spans="1:14">
      <c r="A5" s="191"/>
      <c r="B5" s="191"/>
      <c r="C5" s="191"/>
      <c r="D5" s="191"/>
      <c r="E5" s="191"/>
      <c r="F5" s="191"/>
      <c r="G5" s="61" t="str">
        <f>"For the 12 months ended: "&amp;TEXT(INPUT!B1,"mm/dd/yyyy")</f>
        <v>For the 12 months ended: 12/31/2020</v>
      </c>
      <c r="H5" s="195"/>
      <c r="J5" s="220"/>
    </row>
    <row r="6" spans="1:14" ht="15.75">
      <c r="A6" s="217" t="str">
        <f>DEOK!A11</f>
        <v>DUKE ENERGY OHIO AND DUKE ENERGY KENTUCKY (DEOK)</v>
      </c>
      <c r="B6" s="217"/>
      <c r="C6" s="217"/>
      <c r="D6" s="217"/>
      <c r="E6" s="217"/>
      <c r="F6" s="217"/>
      <c r="G6" s="217"/>
      <c r="H6" s="211"/>
      <c r="I6" s="216"/>
    </row>
    <row r="7" spans="1:14" ht="15.75">
      <c r="A7" s="217" t="s">
        <v>284</v>
      </c>
      <c r="B7" s="217"/>
      <c r="C7" s="217"/>
      <c r="D7" s="217"/>
      <c r="E7" s="217"/>
      <c r="F7" s="217"/>
      <c r="G7" s="217"/>
      <c r="H7" s="211"/>
      <c r="I7" s="216"/>
    </row>
    <row r="8" spans="1:14" ht="15.75">
      <c r="A8" s="219" t="s">
        <v>270</v>
      </c>
      <c r="B8" s="219"/>
      <c r="C8" s="219"/>
      <c r="D8" s="219"/>
      <c r="E8" s="219"/>
      <c r="F8" s="219"/>
      <c r="G8" s="219"/>
      <c r="H8" s="211"/>
      <c r="I8" s="218"/>
    </row>
    <row r="9" spans="1:14" ht="15.75">
      <c r="A9" s="217" t="str">
        <f>"For Rates Effective "&amp;TEXT(INPUT!B2,"mmmm d, yyyy")</f>
        <v>For Rates Effective June 1, 2021</v>
      </c>
      <c r="B9" s="217"/>
      <c r="C9" s="217"/>
      <c r="D9" s="217"/>
      <c r="E9" s="217"/>
      <c r="F9" s="217"/>
      <c r="G9" s="217"/>
      <c r="H9" s="211"/>
      <c r="I9" s="216"/>
    </row>
    <row r="10" spans="1:14" ht="15.75">
      <c r="B10" s="196"/>
      <c r="C10" s="202"/>
      <c r="D10" s="192"/>
      <c r="H10" s="211"/>
    </row>
    <row r="11" spans="1:14" ht="15.75">
      <c r="A11" s="215" t="s">
        <v>296</v>
      </c>
      <c r="B11" s="215"/>
      <c r="C11" s="215"/>
      <c r="D11" s="215"/>
      <c r="E11" s="215"/>
      <c r="F11" s="215"/>
      <c r="G11" s="215"/>
      <c r="H11" s="211"/>
      <c r="I11" s="214"/>
    </row>
    <row r="12" spans="1:14" ht="15.75">
      <c r="A12" s="213"/>
      <c r="B12" s="196"/>
      <c r="C12" s="202"/>
      <c r="D12" s="192"/>
      <c r="H12" s="211"/>
    </row>
    <row r="13" spans="1:14" ht="15.75">
      <c r="B13" s="196"/>
      <c r="C13" s="202"/>
      <c r="D13" s="192"/>
      <c r="E13" s="192"/>
      <c r="F13" s="212"/>
      <c r="G13" s="203"/>
      <c r="H13" s="211"/>
    </row>
    <row r="14" spans="1:14" ht="15.75">
      <c r="B14" s="196" t="s">
        <v>8</v>
      </c>
      <c r="C14" s="202"/>
      <c r="D14" s="192"/>
      <c r="E14" s="192"/>
      <c r="F14" s="192"/>
      <c r="G14" s="225" t="s">
        <v>283</v>
      </c>
      <c r="H14" s="211"/>
      <c r="L14" s="957"/>
      <c r="M14" s="958"/>
      <c r="N14" s="958"/>
    </row>
    <row r="15" spans="1:14" ht="15.75">
      <c r="B15" s="248" t="s">
        <v>10</v>
      </c>
      <c r="C15" s="202"/>
      <c r="D15" s="192"/>
      <c r="E15" s="248" t="s">
        <v>294</v>
      </c>
      <c r="F15" s="192"/>
      <c r="G15" s="248" t="s">
        <v>282</v>
      </c>
      <c r="H15" s="211"/>
      <c r="L15" s="954"/>
      <c r="M15" s="954"/>
      <c r="N15" s="954"/>
    </row>
    <row r="16" spans="1:14">
      <c r="B16" s="196"/>
      <c r="C16" s="202"/>
      <c r="D16" s="194"/>
      <c r="E16" s="202"/>
      <c r="F16" s="192"/>
      <c r="H16" s="192"/>
    </row>
    <row r="17" spans="1:14">
      <c r="A17" s="225" t="s">
        <v>281</v>
      </c>
      <c r="B17" s="247" t="s">
        <v>285</v>
      </c>
      <c r="C17" s="202"/>
      <c r="D17" s="192"/>
      <c r="E17" s="202"/>
      <c r="F17" s="192"/>
      <c r="H17" s="192"/>
    </row>
    <row r="18" spans="1:14">
      <c r="B18" s="458">
        <v>1</v>
      </c>
      <c r="C18" s="202"/>
      <c r="D18" s="194" t="s">
        <v>280</v>
      </c>
      <c r="E18" s="225" t="s">
        <v>288</v>
      </c>
      <c r="F18" s="201"/>
      <c r="G18" s="205">
        <f>DEO!J193+DEK!J193</f>
        <v>4605313</v>
      </c>
      <c r="H18" s="205"/>
      <c r="L18" s="959"/>
      <c r="M18" s="205"/>
      <c r="N18" s="960"/>
    </row>
    <row r="19" spans="1:14">
      <c r="B19" s="458"/>
      <c r="C19" s="202"/>
      <c r="D19" s="194"/>
      <c r="E19" s="202"/>
      <c r="F19" s="201"/>
      <c r="G19" s="205"/>
      <c r="H19" s="205"/>
      <c r="L19" s="959"/>
      <c r="M19" s="205"/>
    </row>
    <row r="20" spans="1:14">
      <c r="B20" s="458">
        <v>2</v>
      </c>
      <c r="C20" s="202"/>
      <c r="D20" s="194" t="s">
        <v>289</v>
      </c>
      <c r="E20" s="201"/>
      <c r="F20" s="195"/>
      <c r="G20" s="469">
        <f>-'P14 Sch 1A Rev Cr'!F28</f>
        <v>158639.32999999999</v>
      </c>
      <c r="H20" s="205"/>
      <c r="L20" s="959"/>
      <c r="M20" s="205"/>
      <c r="N20" s="960"/>
    </row>
    <row r="21" spans="1:14" ht="15.75" thickBot="1">
      <c r="B21" s="458"/>
      <c r="C21" s="202"/>
      <c r="D21" s="194"/>
      <c r="E21" s="192"/>
      <c r="F21" s="201"/>
      <c r="G21" s="210"/>
      <c r="H21" s="205"/>
      <c r="L21" s="210"/>
      <c r="M21" s="210"/>
    </row>
    <row r="22" spans="1:14" ht="15.75" thickBot="1">
      <c r="B22" s="458">
        <v>3</v>
      </c>
      <c r="C22" s="202"/>
      <c r="D22" s="209" t="s">
        <v>279</v>
      </c>
      <c r="E22" s="208"/>
      <c r="F22" s="207"/>
      <c r="G22" s="206">
        <f>G18-G20</f>
        <v>4446673.67</v>
      </c>
      <c r="H22" s="205"/>
      <c r="L22" s="205"/>
      <c r="M22" s="205"/>
      <c r="N22" s="960"/>
    </row>
    <row r="23" spans="1:14">
      <c r="B23" s="458"/>
      <c r="C23" s="202"/>
      <c r="D23" s="194"/>
      <c r="E23" s="192"/>
      <c r="F23" s="201"/>
      <c r="G23" s="204"/>
      <c r="H23" s="205"/>
      <c r="L23" s="204"/>
      <c r="M23" s="204"/>
    </row>
    <row r="24" spans="1:14">
      <c r="A24" s="225" t="s">
        <v>278</v>
      </c>
      <c r="B24" s="459" t="s">
        <v>277</v>
      </c>
      <c r="C24" s="202"/>
      <c r="D24" s="192"/>
      <c r="E24" s="202"/>
      <c r="F24" s="192"/>
      <c r="G24" s="548"/>
      <c r="H24" s="192"/>
    </row>
    <row r="25" spans="1:14">
      <c r="B25" s="458">
        <f>+B22+1</f>
        <v>4</v>
      </c>
      <c r="C25" s="202"/>
      <c r="D25" s="194" t="str">
        <f>TEXT(INPUT!B1,"yyyy")&amp;" Annual MWh - Note B"</f>
        <v>2020 Annual MWh - Note B</v>
      </c>
      <c r="E25" s="202" t="s">
        <v>577</v>
      </c>
      <c r="F25" s="201"/>
      <c r="G25" s="547">
        <f>-'P13 Sch 1A Denominator'!E42</f>
        <v>25729402.678196002</v>
      </c>
      <c r="H25" s="192" t="s">
        <v>276</v>
      </c>
      <c r="L25" s="955"/>
      <c r="M25" s="955"/>
      <c r="N25" s="960"/>
    </row>
    <row r="26" spans="1:14">
      <c r="B26" s="458"/>
      <c r="C26" s="202"/>
      <c r="D26" s="194"/>
      <c r="E26" s="192"/>
      <c r="F26" s="201"/>
      <c r="G26" s="200"/>
      <c r="H26" s="192"/>
      <c r="L26" s="956"/>
      <c r="M26" s="956"/>
    </row>
    <row r="27" spans="1:14">
      <c r="B27" s="458">
        <f>+B25+1</f>
        <v>5</v>
      </c>
      <c r="C27" s="194"/>
      <c r="D27" s="194" t="s">
        <v>703</v>
      </c>
      <c r="E27" s="199" t="str">
        <f>"(Line "&amp;B22&amp;" / Line "&amp;B25&amp;")"</f>
        <v>(Line 3 / Line 4)</v>
      </c>
      <c r="F27" s="194"/>
      <c r="G27" s="197">
        <f>+G22/G25</f>
        <v>0.17282459781968693</v>
      </c>
      <c r="H27" s="198" t="s">
        <v>275</v>
      </c>
      <c r="L27" s="197"/>
      <c r="M27" s="197"/>
      <c r="N27" s="960"/>
    </row>
    <row r="28" spans="1:14">
      <c r="B28" s="458"/>
      <c r="C28" s="194"/>
      <c r="D28" s="194"/>
      <c r="E28" s="194"/>
      <c r="F28" s="194"/>
      <c r="H28" s="194"/>
    </row>
    <row r="29" spans="1:14">
      <c r="B29" s="196"/>
      <c r="C29" s="194"/>
      <c r="D29" s="194"/>
      <c r="E29" s="194"/>
      <c r="F29" s="194"/>
      <c r="H29" s="194"/>
      <c r="K29" s="294"/>
    </row>
    <row r="30" spans="1:14">
      <c r="B30" s="196"/>
      <c r="C30" s="194"/>
      <c r="D30" s="194"/>
      <c r="E30" s="194"/>
      <c r="F30" s="194"/>
      <c r="H30" s="194"/>
      <c r="I30" s="189"/>
      <c r="J30" s="189"/>
      <c r="K30" s="548"/>
    </row>
    <row r="31" spans="1:14">
      <c r="B31" s="222" t="s">
        <v>290</v>
      </c>
      <c r="C31" s="194"/>
      <c r="D31" s="194"/>
      <c r="E31" s="194"/>
      <c r="F31" s="194"/>
      <c r="H31" s="194"/>
      <c r="I31" s="189"/>
      <c r="J31" s="189"/>
    </row>
    <row r="32" spans="1:14">
      <c r="B32" s="223" t="s">
        <v>96</v>
      </c>
      <c r="C32" s="194"/>
      <c r="D32" s="194" t="s">
        <v>336</v>
      </c>
      <c r="E32" s="194"/>
      <c r="F32" s="194"/>
      <c r="G32" s="189"/>
      <c r="H32" s="194"/>
      <c r="I32" s="189"/>
      <c r="J32" s="189"/>
    </row>
    <row r="33" spans="1:10">
      <c r="B33" s="224"/>
      <c r="C33" s="194"/>
      <c r="D33" s="194" t="s">
        <v>393</v>
      </c>
      <c r="E33" s="194"/>
      <c r="F33" s="194"/>
      <c r="G33" s="189"/>
      <c r="H33" s="194"/>
      <c r="I33" s="189"/>
      <c r="J33" s="189"/>
    </row>
    <row r="34" spans="1:10">
      <c r="B34" s="224"/>
      <c r="C34" s="194"/>
      <c r="D34" s="194" t="s">
        <v>291</v>
      </c>
      <c r="E34" s="194"/>
      <c r="F34" s="194"/>
      <c r="G34" s="189"/>
      <c r="H34" s="194"/>
      <c r="I34" s="189"/>
      <c r="J34" s="189"/>
    </row>
    <row r="35" spans="1:10">
      <c r="B35" s="196"/>
      <c r="C35" s="192"/>
      <c r="D35" s="191"/>
      <c r="E35" s="191"/>
      <c r="F35" s="191"/>
      <c r="G35" s="191" t="s">
        <v>7</v>
      </c>
      <c r="I35" s="191"/>
      <c r="J35" s="189"/>
    </row>
    <row r="36" spans="1:10">
      <c r="B36" s="221" t="s">
        <v>97</v>
      </c>
      <c r="C36" s="192"/>
      <c r="D36" s="194" t="s">
        <v>605</v>
      </c>
      <c r="E36" s="191"/>
      <c r="F36" s="191"/>
      <c r="G36" s="191"/>
      <c r="H36" s="191"/>
      <c r="I36" s="191"/>
      <c r="J36" s="189"/>
    </row>
    <row r="37" spans="1:10">
      <c r="B37" s="196"/>
      <c r="C37" s="192"/>
      <c r="D37" s="194"/>
      <c r="E37" s="191"/>
      <c r="F37" s="191"/>
      <c r="G37" s="191"/>
      <c r="H37" s="191"/>
      <c r="I37" s="191"/>
      <c r="J37" s="189"/>
    </row>
    <row r="38" spans="1:10">
      <c r="B38" s="196"/>
      <c r="C38" s="192"/>
      <c r="D38" s="194"/>
      <c r="E38" s="191"/>
      <c r="F38" s="191"/>
      <c r="G38" s="191"/>
      <c r="H38" s="191"/>
      <c r="I38" s="191"/>
      <c r="J38" s="189"/>
    </row>
    <row r="39" spans="1:10">
      <c r="A39" s="230"/>
      <c r="B39" s="196"/>
      <c r="C39" s="192"/>
      <c r="D39" s="194"/>
      <c r="E39" s="191"/>
      <c r="F39" s="191"/>
      <c r="G39" s="191"/>
      <c r="H39" s="191"/>
      <c r="I39" s="191"/>
      <c r="J39" s="189"/>
    </row>
    <row r="40" spans="1:10">
      <c r="B40" s="193"/>
      <c r="C40" s="192"/>
      <c r="D40" s="194"/>
      <c r="E40" s="191"/>
      <c r="F40" s="191"/>
      <c r="G40" s="191"/>
      <c r="H40" s="191"/>
      <c r="I40" s="191"/>
      <c r="J40" s="189"/>
    </row>
    <row r="41" spans="1:10">
      <c r="B41" s="193"/>
      <c r="C41" s="192"/>
      <c r="D41" s="191"/>
      <c r="E41" s="191"/>
      <c r="F41" s="191"/>
      <c r="G41" s="191"/>
      <c r="H41" s="191"/>
      <c r="I41" s="191"/>
      <c r="J41" s="189"/>
    </row>
    <row r="42" spans="1:10">
      <c r="B42" s="190"/>
      <c r="C42" s="189"/>
      <c r="D42" s="191"/>
      <c r="E42" s="191"/>
      <c r="F42" s="191"/>
      <c r="G42" s="191"/>
      <c r="H42" s="191"/>
      <c r="I42" s="191"/>
      <c r="J42" s="189"/>
    </row>
    <row r="43" spans="1:10">
      <c r="B43" s="190"/>
      <c r="C43" s="189"/>
      <c r="D43" s="191"/>
      <c r="E43" s="191"/>
      <c r="F43" s="191"/>
      <c r="G43" s="191"/>
      <c r="H43" s="191"/>
      <c r="I43" s="191"/>
      <c r="J43" s="189"/>
    </row>
    <row r="44" spans="1:10">
      <c r="B44" s="190"/>
      <c r="C44" s="189"/>
      <c r="D44" s="191"/>
      <c r="E44" s="191"/>
      <c r="F44" s="191"/>
      <c r="G44" s="191"/>
      <c r="H44" s="191"/>
      <c r="I44" s="191"/>
      <c r="J44" s="189"/>
    </row>
    <row r="45" spans="1:10">
      <c r="B45" s="190"/>
      <c r="C45" s="189"/>
      <c r="D45" s="191"/>
      <c r="E45" s="191"/>
      <c r="F45" s="191"/>
      <c r="G45" s="191"/>
      <c r="H45" s="191"/>
      <c r="I45" s="191"/>
      <c r="J45" s="189"/>
    </row>
    <row r="46" spans="1:10">
      <c r="B46" s="190"/>
      <c r="C46" s="189"/>
      <c r="D46" s="191"/>
      <c r="E46" s="191"/>
      <c r="F46" s="191"/>
      <c r="G46" s="191"/>
      <c r="H46" s="191"/>
      <c r="I46" s="191"/>
      <c r="J46" s="189"/>
    </row>
    <row r="47" spans="1:10">
      <c r="B47" s="190"/>
      <c r="C47" s="189"/>
      <c r="D47" s="191"/>
      <c r="E47" s="191"/>
      <c r="F47" s="191"/>
      <c r="G47" s="191"/>
      <c r="H47" s="191"/>
      <c r="I47" s="191"/>
      <c r="J47" s="189"/>
    </row>
    <row r="48" spans="1:10">
      <c r="B48" s="190"/>
      <c r="C48" s="189"/>
      <c r="D48" s="191"/>
      <c r="E48" s="191"/>
      <c r="F48" s="191"/>
      <c r="G48" s="191"/>
      <c r="H48" s="191"/>
      <c r="I48" s="191"/>
      <c r="J48" s="189"/>
    </row>
    <row r="49" spans="2:10">
      <c r="B49" s="190"/>
      <c r="C49" s="189"/>
      <c r="D49" s="191"/>
      <c r="E49" s="191"/>
      <c r="F49" s="191"/>
      <c r="G49" s="191"/>
      <c r="H49" s="191"/>
      <c r="I49" s="191"/>
      <c r="J49" s="189"/>
    </row>
    <row r="50" spans="2:10">
      <c r="B50" s="190"/>
      <c r="C50" s="189"/>
      <c r="D50" s="191"/>
      <c r="E50" s="191"/>
      <c r="F50" s="191"/>
      <c r="G50" s="191"/>
      <c r="H50" s="191"/>
      <c r="I50" s="191"/>
      <c r="J50" s="189"/>
    </row>
    <row r="51" spans="2:10">
      <c r="B51" s="190"/>
      <c r="C51" s="189"/>
      <c r="D51" s="191"/>
      <c r="E51" s="191"/>
      <c r="F51" s="191"/>
      <c r="G51" s="191"/>
      <c r="H51" s="191"/>
      <c r="I51" s="191"/>
      <c r="J51" s="189"/>
    </row>
    <row r="52" spans="2:10">
      <c r="B52" s="190"/>
      <c r="C52" s="189"/>
      <c r="D52" s="189"/>
      <c r="E52" s="189"/>
      <c r="F52" s="189"/>
      <c r="G52" s="189"/>
      <c r="H52" s="189"/>
      <c r="I52" s="189"/>
      <c r="J52" s="189"/>
    </row>
    <row r="53" spans="2:10">
      <c r="B53" s="190"/>
      <c r="C53" s="189"/>
      <c r="D53" s="189"/>
      <c r="E53" s="189"/>
      <c r="F53" s="189"/>
      <c r="G53" s="189"/>
      <c r="H53" s="189"/>
      <c r="I53" s="189"/>
      <c r="J53" s="189"/>
    </row>
    <row r="54" spans="2:10">
      <c r="B54" s="190"/>
      <c r="C54" s="189"/>
      <c r="D54" s="189"/>
      <c r="E54" s="189"/>
      <c r="F54" s="189"/>
      <c r="G54" s="189"/>
      <c r="H54" s="189"/>
      <c r="I54" s="189"/>
      <c r="J54" s="189"/>
    </row>
    <row r="55" spans="2:10">
      <c r="B55" s="190"/>
      <c r="C55" s="189"/>
      <c r="D55" s="189"/>
      <c r="E55" s="189"/>
      <c r="F55" s="189"/>
      <c r="G55" s="189"/>
      <c r="H55" s="189"/>
      <c r="I55" s="189"/>
      <c r="J55" s="189"/>
    </row>
    <row r="56" spans="2:10">
      <c r="B56" s="190"/>
      <c r="C56" s="189"/>
      <c r="D56" s="189"/>
      <c r="E56" s="189"/>
      <c r="F56" s="189"/>
      <c r="G56" s="189"/>
      <c r="H56" s="189"/>
      <c r="I56" s="189"/>
      <c r="J56" s="189"/>
    </row>
    <row r="57" spans="2:10">
      <c r="B57" s="190"/>
      <c r="C57" s="189"/>
      <c r="D57" s="189"/>
      <c r="E57" s="189"/>
      <c r="F57" s="189"/>
      <c r="G57" s="189"/>
      <c r="H57" s="189"/>
      <c r="I57" s="189"/>
      <c r="J57" s="189"/>
    </row>
    <row r="58" spans="2:10">
      <c r="B58" s="190"/>
      <c r="C58" s="189"/>
      <c r="D58" s="189"/>
      <c r="E58" s="189"/>
      <c r="F58" s="189"/>
      <c r="G58" s="189"/>
      <c r="H58" s="189"/>
      <c r="I58" s="189"/>
      <c r="J58" s="189"/>
    </row>
    <row r="59" spans="2:10">
      <c r="B59" s="190"/>
      <c r="C59" s="189"/>
      <c r="D59" s="189"/>
      <c r="E59" s="189"/>
      <c r="F59" s="189"/>
      <c r="G59" s="189"/>
      <c r="H59" s="189"/>
      <c r="I59" s="189"/>
      <c r="J59" s="189"/>
    </row>
    <row r="60" spans="2:10">
      <c r="B60" s="190"/>
      <c r="C60" s="189"/>
      <c r="D60" s="189"/>
      <c r="E60" s="189"/>
      <c r="F60" s="189"/>
      <c r="G60" s="189"/>
      <c r="H60" s="189"/>
      <c r="I60" s="189"/>
      <c r="J60" s="189"/>
    </row>
    <row r="61" spans="2:10">
      <c r="B61" s="190"/>
      <c r="C61" s="189"/>
      <c r="D61" s="189"/>
      <c r="E61" s="189"/>
      <c r="F61" s="189"/>
      <c r="G61" s="189"/>
      <c r="H61" s="189"/>
      <c r="I61" s="189"/>
      <c r="J61" s="189"/>
    </row>
    <row r="62" spans="2:10">
      <c r="B62" s="190"/>
      <c r="C62" s="189"/>
      <c r="D62" s="189"/>
      <c r="E62" s="189"/>
      <c r="F62" s="189"/>
      <c r="G62" s="189"/>
      <c r="H62" s="189"/>
      <c r="I62" s="189"/>
      <c r="J62" s="189"/>
    </row>
    <row r="63" spans="2:10">
      <c r="B63" s="190"/>
      <c r="C63" s="189"/>
      <c r="D63" s="189"/>
      <c r="E63" s="189"/>
      <c r="F63" s="189"/>
      <c r="G63" s="189"/>
      <c r="H63" s="189"/>
      <c r="I63" s="189"/>
      <c r="J63" s="189"/>
    </row>
    <row r="64" spans="2:10">
      <c r="B64" s="190"/>
      <c r="C64" s="189"/>
      <c r="D64" s="189"/>
      <c r="E64" s="189"/>
      <c r="F64" s="189"/>
      <c r="G64" s="189"/>
      <c r="H64" s="189"/>
      <c r="I64" s="189"/>
      <c r="J64" s="189"/>
    </row>
    <row r="65" spans="2:10">
      <c r="B65" s="190"/>
      <c r="C65" s="189"/>
      <c r="D65" s="189"/>
      <c r="E65" s="189"/>
      <c r="F65" s="189"/>
      <c r="G65" s="189"/>
      <c r="H65" s="189"/>
      <c r="I65" s="189"/>
      <c r="J65" s="189"/>
    </row>
    <row r="66" spans="2:10">
      <c r="B66" s="190"/>
      <c r="C66" s="189"/>
      <c r="D66" s="189"/>
      <c r="E66" s="189"/>
      <c r="F66" s="189"/>
      <c r="G66" s="189"/>
      <c r="H66" s="189"/>
      <c r="I66" s="189"/>
      <c r="J66" s="189"/>
    </row>
    <row r="67" spans="2:10">
      <c r="B67" s="190"/>
      <c r="C67" s="189"/>
      <c r="D67" s="189"/>
      <c r="E67" s="189"/>
      <c r="F67" s="189"/>
      <c r="G67" s="189"/>
      <c r="H67" s="189"/>
      <c r="I67" s="189"/>
      <c r="J67" s="189"/>
    </row>
    <row r="68" spans="2:10">
      <c r="B68" s="190"/>
      <c r="C68" s="189"/>
      <c r="D68" s="189"/>
      <c r="E68" s="189"/>
      <c r="F68" s="189"/>
      <c r="G68" s="189"/>
      <c r="H68" s="189"/>
      <c r="I68" s="189"/>
      <c r="J68" s="189"/>
    </row>
    <row r="69" spans="2:10">
      <c r="B69" s="190"/>
      <c r="C69" s="189"/>
      <c r="D69" s="189"/>
      <c r="E69" s="189"/>
      <c r="F69" s="189"/>
      <c r="G69" s="189"/>
      <c r="H69" s="189"/>
      <c r="I69" s="189"/>
      <c r="J69" s="189"/>
    </row>
    <row r="70" spans="2:10">
      <c r="B70" s="190"/>
      <c r="C70" s="189"/>
      <c r="D70" s="189"/>
      <c r="E70" s="189"/>
      <c r="F70" s="189"/>
      <c r="G70" s="189"/>
      <c r="H70" s="189"/>
      <c r="I70" s="189"/>
      <c r="J70" s="189"/>
    </row>
    <row r="71" spans="2:10">
      <c r="B71" s="190"/>
      <c r="C71" s="189"/>
      <c r="D71" s="189"/>
      <c r="E71" s="189"/>
      <c r="F71" s="189"/>
      <c r="G71" s="189"/>
      <c r="H71" s="189"/>
      <c r="I71" s="189"/>
      <c r="J71" s="189"/>
    </row>
    <row r="72" spans="2:10">
      <c r="B72" s="190"/>
      <c r="C72" s="189"/>
      <c r="D72" s="189"/>
      <c r="E72" s="189"/>
      <c r="F72" s="189"/>
      <c r="G72" s="189"/>
      <c r="H72" s="189"/>
      <c r="I72" s="189"/>
      <c r="J72" s="189"/>
    </row>
    <row r="73" spans="2:10">
      <c r="B73" s="190"/>
      <c r="C73" s="189"/>
      <c r="D73" s="189"/>
      <c r="E73" s="189"/>
      <c r="F73" s="189"/>
      <c r="G73" s="189"/>
      <c r="H73" s="189"/>
      <c r="I73" s="189"/>
      <c r="J73" s="189"/>
    </row>
    <row r="74" spans="2:10">
      <c r="B74" s="190"/>
      <c r="C74" s="189"/>
      <c r="D74" s="189"/>
      <c r="E74" s="189"/>
      <c r="F74" s="189"/>
      <c r="G74" s="189"/>
      <c r="H74" s="189"/>
      <c r="I74" s="189"/>
      <c r="J74" s="189"/>
    </row>
    <row r="75" spans="2:10">
      <c r="B75" s="190"/>
      <c r="C75" s="189"/>
      <c r="D75" s="189"/>
      <c r="E75" s="189"/>
      <c r="F75" s="189"/>
      <c r="G75" s="189"/>
      <c r="H75" s="189"/>
      <c r="I75" s="189"/>
      <c r="J75" s="189"/>
    </row>
    <row r="76" spans="2:10">
      <c r="B76" s="190"/>
      <c r="C76" s="189"/>
      <c r="D76" s="189"/>
      <c r="E76" s="189"/>
      <c r="F76" s="189"/>
      <c r="G76" s="189"/>
      <c r="H76" s="189"/>
      <c r="I76" s="189"/>
      <c r="J76" s="189"/>
    </row>
    <row r="77" spans="2:10">
      <c r="B77" s="190"/>
      <c r="C77" s="189"/>
      <c r="D77" s="189"/>
      <c r="E77" s="189"/>
      <c r="F77" s="189"/>
      <c r="G77" s="189"/>
      <c r="H77" s="189"/>
      <c r="I77" s="189"/>
      <c r="J77" s="189"/>
    </row>
    <row r="78" spans="2:10">
      <c r="B78" s="190"/>
      <c r="C78" s="189"/>
      <c r="D78" s="189"/>
      <c r="E78" s="189"/>
      <c r="F78" s="189"/>
      <c r="G78" s="189"/>
      <c r="H78" s="189"/>
      <c r="I78" s="189"/>
      <c r="J78" s="189"/>
    </row>
    <row r="79" spans="2:10">
      <c r="B79" s="190"/>
      <c r="C79" s="189"/>
      <c r="D79" s="189"/>
      <c r="E79" s="189"/>
      <c r="F79" s="189"/>
      <c r="G79" s="189"/>
      <c r="H79" s="189"/>
      <c r="I79" s="189"/>
      <c r="J79" s="189"/>
    </row>
    <row r="80" spans="2:10">
      <c r="B80" s="190"/>
      <c r="C80" s="189"/>
      <c r="D80" s="189"/>
      <c r="E80" s="189"/>
      <c r="F80" s="189"/>
      <c r="G80" s="189"/>
      <c r="H80" s="189"/>
      <c r="I80" s="189"/>
      <c r="J80" s="189"/>
    </row>
    <row r="81" spans="2:10">
      <c r="B81" s="190"/>
      <c r="C81" s="189"/>
      <c r="D81" s="189"/>
      <c r="E81" s="189"/>
      <c r="F81" s="189"/>
      <c r="G81" s="189"/>
      <c r="H81" s="189"/>
      <c r="I81" s="189"/>
      <c r="J81" s="189"/>
    </row>
    <row r="82" spans="2:10">
      <c r="B82" s="190"/>
      <c r="C82" s="189"/>
      <c r="D82" s="189"/>
      <c r="E82" s="189"/>
      <c r="F82" s="189"/>
      <c r="G82" s="189"/>
      <c r="H82" s="189"/>
      <c r="I82" s="189"/>
      <c r="J82" s="189"/>
    </row>
    <row r="83" spans="2:10">
      <c r="B83" s="190"/>
      <c r="C83" s="189"/>
      <c r="D83" s="189"/>
      <c r="E83" s="189"/>
      <c r="F83" s="189"/>
      <c r="G83" s="189"/>
      <c r="H83" s="189"/>
      <c r="I83" s="189"/>
      <c r="J83" s="189"/>
    </row>
    <row r="84" spans="2:10">
      <c r="B84" s="190"/>
      <c r="C84" s="189"/>
      <c r="D84" s="189"/>
      <c r="E84" s="189"/>
      <c r="F84" s="189"/>
      <c r="G84" s="189"/>
      <c r="H84" s="189"/>
      <c r="I84" s="189"/>
      <c r="J84" s="189"/>
    </row>
    <row r="85" spans="2:10">
      <c r="B85" s="190"/>
      <c r="C85" s="189"/>
      <c r="D85" s="189"/>
      <c r="E85" s="189"/>
      <c r="F85" s="189"/>
      <c r="G85" s="189"/>
      <c r="H85" s="189"/>
      <c r="I85" s="189"/>
      <c r="J85" s="189"/>
    </row>
    <row r="86" spans="2:10">
      <c r="B86" s="190"/>
      <c r="C86" s="189"/>
      <c r="D86" s="189"/>
      <c r="E86" s="189"/>
      <c r="F86" s="189"/>
      <c r="G86" s="189"/>
      <c r="H86" s="189"/>
      <c r="I86" s="189"/>
      <c r="J86" s="189"/>
    </row>
    <row r="87" spans="2:10">
      <c r="B87" s="190"/>
      <c r="C87" s="189"/>
      <c r="D87" s="189"/>
      <c r="E87" s="189"/>
      <c r="F87" s="189"/>
      <c r="G87" s="189"/>
      <c r="H87" s="189"/>
      <c r="I87" s="189"/>
      <c r="J87" s="189"/>
    </row>
    <row r="88" spans="2:10">
      <c r="B88" s="190"/>
      <c r="C88" s="189"/>
      <c r="D88" s="189"/>
      <c r="E88" s="189"/>
      <c r="F88" s="189"/>
      <c r="G88" s="189"/>
      <c r="H88" s="189"/>
      <c r="I88" s="189"/>
      <c r="J88" s="189"/>
    </row>
    <row r="89" spans="2:10">
      <c r="B89" s="190"/>
      <c r="C89" s="189"/>
      <c r="D89" s="189"/>
      <c r="E89" s="189"/>
      <c r="F89" s="189"/>
      <c r="G89" s="189"/>
      <c r="H89" s="189"/>
      <c r="I89" s="189"/>
      <c r="J89" s="189"/>
    </row>
    <row r="90" spans="2:10">
      <c r="B90" s="190"/>
      <c r="C90" s="189"/>
      <c r="D90" s="189"/>
      <c r="E90" s="189"/>
      <c r="F90" s="189"/>
      <c r="G90" s="189"/>
      <c r="H90" s="189"/>
      <c r="I90" s="189"/>
      <c r="J90" s="189"/>
    </row>
    <row r="91" spans="2:10">
      <c r="B91" s="190"/>
      <c r="C91" s="189"/>
      <c r="D91" s="189"/>
      <c r="E91" s="189"/>
      <c r="F91" s="189"/>
      <c r="G91" s="189"/>
      <c r="H91" s="189"/>
      <c r="I91" s="189"/>
      <c r="J91" s="189"/>
    </row>
    <row r="92" spans="2:10">
      <c r="B92" s="190"/>
      <c r="C92" s="189"/>
      <c r="D92" s="189"/>
      <c r="E92" s="189"/>
      <c r="F92" s="189"/>
      <c r="G92" s="189"/>
      <c r="H92" s="189"/>
      <c r="I92" s="189"/>
      <c r="J92" s="189"/>
    </row>
    <row r="93" spans="2:10">
      <c r="B93" s="190"/>
      <c r="C93" s="189"/>
      <c r="D93" s="189"/>
      <c r="E93" s="189"/>
      <c r="F93" s="189"/>
      <c r="G93" s="189"/>
      <c r="H93" s="189"/>
      <c r="I93" s="189"/>
      <c r="J93" s="189"/>
    </row>
    <row r="94" spans="2:10">
      <c r="B94" s="190"/>
      <c r="C94" s="189"/>
      <c r="D94" s="189"/>
      <c r="E94" s="189"/>
      <c r="F94" s="189"/>
      <c r="G94" s="189"/>
      <c r="H94" s="189"/>
      <c r="I94" s="189"/>
      <c r="J94" s="189"/>
    </row>
    <row r="95" spans="2:10">
      <c r="B95" s="190"/>
      <c r="C95" s="189"/>
      <c r="D95" s="189"/>
      <c r="E95" s="189"/>
      <c r="F95" s="189"/>
      <c r="G95" s="189"/>
      <c r="H95" s="189"/>
      <c r="I95" s="189"/>
      <c r="J95" s="189"/>
    </row>
    <row r="96" spans="2:10">
      <c r="B96" s="190"/>
      <c r="C96" s="189"/>
      <c r="D96" s="189"/>
      <c r="E96" s="189"/>
      <c r="F96" s="189"/>
      <c r="G96" s="189"/>
      <c r="H96" s="189"/>
      <c r="I96" s="189"/>
      <c r="J96" s="189"/>
    </row>
    <row r="97" spans="2:10">
      <c r="B97" s="190"/>
      <c r="C97" s="189"/>
      <c r="D97" s="189"/>
      <c r="E97" s="189"/>
      <c r="F97" s="189"/>
      <c r="G97" s="189"/>
      <c r="H97" s="189"/>
      <c r="I97" s="189"/>
      <c r="J97" s="189"/>
    </row>
    <row r="98" spans="2:10">
      <c r="B98" s="190"/>
      <c r="C98" s="189"/>
      <c r="D98" s="189"/>
      <c r="E98" s="189"/>
      <c r="F98" s="189"/>
      <c r="G98" s="189"/>
      <c r="H98" s="189"/>
      <c r="I98" s="189"/>
      <c r="J98" s="189"/>
    </row>
    <row r="99" spans="2:10">
      <c r="B99" s="190"/>
      <c r="C99" s="189"/>
      <c r="D99" s="189"/>
      <c r="E99" s="189"/>
      <c r="F99" s="189"/>
      <c r="G99" s="189"/>
      <c r="H99" s="189"/>
      <c r="I99" s="189"/>
      <c r="J99" s="189"/>
    </row>
    <row r="100" spans="2:10">
      <c r="B100" s="190"/>
      <c r="C100" s="189"/>
      <c r="D100" s="189"/>
      <c r="E100" s="189"/>
      <c r="F100" s="189"/>
      <c r="G100" s="189"/>
      <c r="H100" s="189"/>
      <c r="I100" s="189"/>
      <c r="J100" s="189"/>
    </row>
    <row r="101" spans="2:10">
      <c r="B101" s="190"/>
      <c r="C101" s="189"/>
      <c r="D101" s="189"/>
      <c r="E101" s="189"/>
      <c r="F101" s="189"/>
      <c r="G101" s="189"/>
      <c r="H101" s="189"/>
      <c r="I101" s="189"/>
      <c r="J101" s="189"/>
    </row>
  </sheetData>
  <printOptions horizontalCentered="1"/>
  <pageMargins left="0.75" right="0.75" top="0.75" bottom="0.5" header="0.25" footer="0.25"/>
  <pageSetup scale="59" orientation="portrait" horizontalDpi="1200" verticalDpi="1200" r:id="rId1"/>
  <headerFooter alignWithMargins="0">
    <oddFooter xml:space="preserve">&amp;C &amp;R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A9A31-DA88-4DAD-8691-F647902F2FBD}">
  <sheetPr codeName="Sheet19">
    <tabColor theme="1"/>
    <pageSetUpPr fitToPage="1"/>
  </sheetPr>
  <dimension ref="A1:K19"/>
  <sheetViews>
    <sheetView view="pageBreakPreview" zoomScale="70" zoomScaleNormal="80" zoomScaleSheetLayoutView="70" workbookViewId="0">
      <selection activeCell="E70" sqref="E70"/>
    </sheetView>
  </sheetViews>
  <sheetFormatPr defaultColWidth="8.77734375" defaultRowHeight="15"/>
  <cols>
    <col min="1" max="1" width="6.109375" style="9" customWidth="1"/>
    <col min="2" max="2" width="1.21875" style="9" customWidth="1"/>
    <col min="3" max="3" width="60.21875" style="9" customWidth="1"/>
    <col min="4" max="4" width="5.77734375" style="9" customWidth="1"/>
    <col min="5" max="5" width="17.77734375" style="9" customWidth="1"/>
    <col min="6" max="6" width="19.21875" style="9" bestFit="1" customWidth="1"/>
    <col min="7" max="7" width="3" style="9" customWidth="1"/>
    <col min="8" max="8" width="8.77734375" style="9"/>
    <col min="9" max="9" width="10.44140625" style="9" customWidth="1"/>
    <col min="10" max="16384" width="8.77734375" style="9"/>
  </cols>
  <sheetData>
    <row r="1" spans="1:11" ht="15.75">
      <c r="A1" s="355" t="str">
        <f>'P1 ADIT'!A1</f>
        <v>Duke Energy Ohio and Duke Energy Kentucky</v>
      </c>
      <c r="B1" s="70"/>
      <c r="C1" s="70"/>
      <c r="D1" s="354"/>
      <c r="E1" s="354"/>
      <c r="F1" s="354"/>
      <c r="I1" s="294"/>
      <c r="J1" s="294"/>
    </row>
    <row r="2" spans="1:11" ht="18">
      <c r="C2" s="352"/>
      <c r="D2" s="354"/>
      <c r="E2" s="354"/>
      <c r="F2" s="354"/>
      <c r="I2" s="949"/>
      <c r="J2" s="280"/>
      <c r="K2" s="451"/>
    </row>
    <row r="3" spans="1:11" ht="15.75">
      <c r="C3" s="355"/>
      <c r="D3" s="354"/>
      <c r="E3" s="354"/>
      <c r="F3" s="261" t="s">
        <v>396</v>
      </c>
    </row>
    <row r="4" spans="1:11" ht="15.75">
      <c r="C4" s="355"/>
      <c r="D4" s="354"/>
      <c r="E4" s="354"/>
      <c r="F4" s="353" t="str">
        <f>"Page 18 of "&amp;Workpaper</f>
        <v>Page 18 of 18</v>
      </c>
    </row>
    <row r="5" spans="1:11" ht="15.75">
      <c r="C5" s="355"/>
      <c r="D5" s="354"/>
      <c r="E5" s="354"/>
      <c r="F5" s="61" t="str">
        <f>"For the 12 months ended: "&amp;TEXT(INPUT!$B$1,"mm/dd/yyyy")</f>
        <v>For the 12 months ended: 12/31/2020</v>
      </c>
    </row>
    <row r="6" spans="1:11" ht="15.75">
      <c r="C6" s="355"/>
      <c r="D6" s="354"/>
      <c r="E6" s="354"/>
      <c r="F6" s="61"/>
    </row>
    <row r="7" spans="1:11" ht="15.75">
      <c r="A7" s="355" t="s">
        <v>839</v>
      </c>
      <c r="B7" s="70"/>
      <c r="C7" s="70"/>
      <c r="D7" s="354"/>
      <c r="E7" s="354"/>
      <c r="F7" s="354"/>
    </row>
    <row r="8" spans="1:11" ht="15.75">
      <c r="C8" s="355"/>
      <c r="D8" s="354"/>
      <c r="E8" s="354"/>
      <c r="F8" s="354"/>
    </row>
    <row r="9" spans="1:11" ht="15.75">
      <c r="C9" s="72"/>
      <c r="D9" s="71"/>
      <c r="E9" s="71"/>
      <c r="F9" s="71"/>
    </row>
    <row r="10" spans="1:11" ht="20.25">
      <c r="A10" s="460" t="s">
        <v>8</v>
      </c>
      <c r="C10" s="71"/>
      <c r="D10" s="142"/>
      <c r="E10" s="73"/>
      <c r="F10" s="73"/>
    </row>
    <row r="11" spans="1:11" ht="20.25">
      <c r="A11" s="409" t="s">
        <v>10</v>
      </c>
      <c r="C11" s="380" t="s">
        <v>419</v>
      </c>
      <c r="D11" s="74"/>
      <c r="E11" s="74" t="s">
        <v>181</v>
      </c>
      <c r="F11" s="74" t="s">
        <v>182</v>
      </c>
    </row>
    <row r="12" spans="1:11" ht="20.25">
      <c r="C12" s="596"/>
      <c r="D12" s="74"/>
      <c r="E12" s="74"/>
      <c r="F12" s="74"/>
    </row>
    <row r="13" spans="1:11" ht="20.100000000000001" customHeight="1">
      <c r="A13" s="450">
        <v>1</v>
      </c>
      <c r="C13" s="569" t="s">
        <v>838</v>
      </c>
      <c r="D13" s="143"/>
      <c r="E13" s="853">
        <v>41100978</v>
      </c>
      <c r="F13" s="853">
        <v>25812503</v>
      </c>
    </row>
    <row r="14" spans="1:11" ht="20.100000000000001" customHeight="1">
      <c r="A14" s="450"/>
      <c r="C14" s="78"/>
      <c r="D14" s="71"/>
      <c r="E14" s="71"/>
      <c r="F14" s="71"/>
    </row>
    <row r="15" spans="1:11" ht="32.65" customHeight="1">
      <c r="A15" s="629">
        <v>2</v>
      </c>
      <c r="B15" s="522"/>
      <c r="C15" s="575" t="s">
        <v>932</v>
      </c>
      <c r="D15" s="630"/>
      <c r="E15" s="349">
        <v>-35850</v>
      </c>
      <c r="F15" s="349">
        <v>0</v>
      </c>
    </row>
    <row r="16" spans="1:11" ht="20.100000000000001" customHeight="1">
      <c r="A16" s="450"/>
      <c r="C16" s="78"/>
      <c r="D16" s="71"/>
      <c r="E16" s="71"/>
      <c r="F16" s="71"/>
    </row>
    <row r="17" spans="1:6" ht="20.100000000000001" customHeight="1">
      <c r="A17" s="450">
        <v>3</v>
      </c>
      <c r="C17" s="78" t="s">
        <v>840</v>
      </c>
      <c r="D17" s="83"/>
      <c r="E17" s="83">
        <f>E13-E15</f>
        <v>41136828</v>
      </c>
      <c r="F17" s="83">
        <f>F13-F15</f>
        <v>25812503</v>
      </c>
    </row>
    <row r="18" spans="1:6" ht="20.100000000000001" customHeight="1">
      <c r="C18" s="78"/>
      <c r="D18" s="83"/>
      <c r="E18" s="83"/>
      <c r="F18" s="83"/>
    </row>
    <row r="19" spans="1:6" ht="20.100000000000001" customHeight="1"/>
  </sheetData>
  <printOptions horizontalCentered="1"/>
  <pageMargins left="1" right="0.5" top="1" bottom="0.5" header="0.25" footer="0.25"/>
  <pageSetup scale="67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tabColor rgb="FF7030A0"/>
    <pageSetUpPr fitToPage="1"/>
  </sheetPr>
  <dimension ref="A1:R250"/>
  <sheetViews>
    <sheetView view="pageBreakPreview" zoomScale="70" zoomScaleNormal="75" zoomScaleSheetLayoutView="70" workbookViewId="0">
      <selection activeCell="E70" sqref="E70"/>
    </sheetView>
  </sheetViews>
  <sheetFormatPr defaultRowHeight="15"/>
  <cols>
    <col min="1" max="1" width="5.109375" customWidth="1"/>
    <col min="2" max="2" width="6.44140625" customWidth="1"/>
    <col min="3" max="3" width="3.21875" customWidth="1"/>
    <col min="4" max="4" width="27.21875" customWidth="1"/>
    <col min="5" max="5" width="12" customWidth="1"/>
    <col min="6" max="6" width="10.21875" customWidth="1"/>
    <col min="7" max="7" width="13" customWidth="1"/>
    <col min="8" max="8" width="13.77734375" customWidth="1"/>
    <col min="9" max="9" width="12" customWidth="1"/>
    <col min="10" max="10" width="13.77734375" customWidth="1"/>
    <col min="11" max="11" width="12.77734375" customWidth="1"/>
    <col min="12" max="12" width="12.5546875" bestFit="1" customWidth="1"/>
    <col min="13" max="13" width="17.5546875" customWidth="1"/>
    <col min="14" max="14" width="12" customWidth="1"/>
    <col min="15" max="15" width="15.77734375" customWidth="1"/>
    <col min="16" max="241" width="8.77734375"/>
    <col min="242" max="242" width="6" customWidth="1"/>
    <col min="243" max="243" width="1.44140625" customWidth="1"/>
    <col min="244" max="244" width="39.109375" customWidth="1"/>
    <col min="245" max="245" width="12" customWidth="1"/>
    <col min="246" max="246" width="14.44140625" customWidth="1"/>
    <col min="247" max="247" width="11.77734375" customWidth="1"/>
    <col min="248" max="248" width="14.109375" customWidth="1"/>
    <col min="249" max="249" width="13.77734375" customWidth="1"/>
    <col min="250" max="251" width="12.77734375" customWidth="1"/>
    <col min="252" max="252" width="13.5546875" customWidth="1"/>
    <col min="253" max="253" width="15.21875" customWidth="1"/>
    <col min="254" max="254" width="12.77734375" customWidth="1"/>
    <col min="255" max="255" width="13.77734375" customWidth="1"/>
    <col min="256" max="256" width="1.77734375" customWidth="1"/>
    <col min="257" max="257" width="13" customWidth="1"/>
    <col min="258" max="497" width="8.77734375"/>
    <col min="498" max="498" width="6" customWidth="1"/>
    <col min="499" max="499" width="1.44140625" customWidth="1"/>
    <col min="500" max="500" width="39.109375" customWidth="1"/>
    <col min="501" max="501" width="12" customWidth="1"/>
    <col min="502" max="502" width="14.44140625" customWidth="1"/>
    <col min="503" max="503" width="11.77734375" customWidth="1"/>
    <col min="504" max="504" width="14.109375" customWidth="1"/>
    <col min="505" max="505" width="13.77734375" customWidth="1"/>
    <col min="506" max="507" width="12.77734375" customWidth="1"/>
    <col min="508" max="508" width="13.5546875" customWidth="1"/>
    <col min="509" max="509" width="15.21875" customWidth="1"/>
    <col min="510" max="510" width="12.77734375" customWidth="1"/>
    <col min="511" max="511" width="13.77734375" customWidth="1"/>
    <col min="512" max="512" width="1.77734375" customWidth="1"/>
    <col min="513" max="513" width="13" customWidth="1"/>
    <col min="514" max="753" width="8.77734375"/>
    <col min="754" max="754" width="6" customWidth="1"/>
    <col min="755" max="755" width="1.44140625" customWidth="1"/>
    <col min="756" max="756" width="39.109375" customWidth="1"/>
    <col min="757" max="757" width="12" customWidth="1"/>
    <col min="758" max="758" width="14.44140625" customWidth="1"/>
    <col min="759" max="759" width="11.77734375" customWidth="1"/>
    <col min="760" max="760" width="14.109375" customWidth="1"/>
    <col min="761" max="761" width="13.77734375" customWidth="1"/>
    <col min="762" max="763" width="12.77734375" customWidth="1"/>
    <col min="764" max="764" width="13.5546875" customWidth="1"/>
    <col min="765" max="765" width="15.21875" customWidth="1"/>
    <col min="766" max="766" width="12.77734375" customWidth="1"/>
    <col min="767" max="767" width="13.77734375" customWidth="1"/>
    <col min="768" max="768" width="1.77734375" customWidth="1"/>
    <col min="769" max="769" width="13" customWidth="1"/>
    <col min="770" max="1009" width="8.77734375"/>
    <col min="1010" max="1010" width="6" customWidth="1"/>
    <col min="1011" max="1011" width="1.44140625" customWidth="1"/>
    <col min="1012" max="1012" width="39.109375" customWidth="1"/>
    <col min="1013" max="1013" width="12" customWidth="1"/>
    <col min="1014" max="1014" width="14.44140625" customWidth="1"/>
    <col min="1015" max="1015" width="11.77734375" customWidth="1"/>
    <col min="1016" max="1016" width="14.109375" customWidth="1"/>
    <col min="1017" max="1017" width="13.77734375" customWidth="1"/>
    <col min="1018" max="1019" width="12.77734375" customWidth="1"/>
    <col min="1020" max="1020" width="13.5546875" customWidth="1"/>
    <col min="1021" max="1021" width="15.21875" customWidth="1"/>
    <col min="1022" max="1022" width="12.77734375" customWidth="1"/>
    <col min="1023" max="1023" width="13.77734375" customWidth="1"/>
    <col min="1024" max="1024" width="1.77734375" customWidth="1"/>
    <col min="1025" max="1025" width="13" customWidth="1"/>
    <col min="1026" max="1265" width="8.77734375"/>
    <col min="1266" max="1266" width="6" customWidth="1"/>
    <col min="1267" max="1267" width="1.44140625" customWidth="1"/>
    <col min="1268" max="1268" width="39.109375" customWidth="1"/>
    <col min="1269" max="1269" width="12" customWidth="1"/>
    <col min="1270" max="1270" width="14.44140625" customWidth="1"/>
    <col min="1271" max="1271" width="11.77734375" customWidth="1"/>
    <col min="1272" max="1272" width="14.109375" customWidth="1"/>
    <col min="1273" max="1273" width="13.77734375" customWidth="1"/>
    <col min="1274" max="1275" width="12.77734375" customWidth="1"/>
    <col min="1276" max="1276" width="13.5546875" customWidth="1"/>
    <col min="1277" max="1277" width="15.21875" customWidth="1"/>
    <col min="1278" max="1278" width="12.77734375" customWidth="1"/>
    <col min="1279" max="1279" width="13.77734375" customWidth="1"/>
    <col min="1280" max="1280" width="1.77734375" customWidth="1"/>
    <col min="1281" max="1281" width="13" customWidth="1"/>
    <col min="1282" max="1521" width="8.77734375"/>
    <col min="1522" max="1522" width="6" customWidth="1"/>
    <col min="1523" max="1523" width="1.44140625" customWidth="1"/>
    <col min="1524" max="1524" width="39.109375" customWidth="1"/>
    <col min="1525" max="1525" width="12" customWidth="1"/>
    <col min="1526" max="1526" width="14.44140625" customWidth="1"/>
    <col min="1527" max="1527" width="11.77734375" customWidth="1"/>
    <col min="1528" max="1528" width="14.109375" customWidth="1"/>
    <col min="1529" max="1529" width="13.77734375" customWidth="1"/>
    <col min="1530" max="1531" width="12.77734375" customWidth="1"/>
    <col min="1532" max="1532" width="13.5546875" customWidth="1"/>
    <col min="1533" max="1533" width="15.21875" customWidth="1"/>
    <col min="1534" max="1534" width="12.77734375" customWidth="1"/>
    <col min="1535" max="1535" width="13.77734375" customWidth="1"/>
    <col min="1536" max="1536" width="1.77734375" customWidth="1"/>
    <col min="1537" max="1537" width="13" customWidth="1"/>
    <col min="1538" max="1777" width="8.77734375"/>
    <col min="1778" max="1778" width="6" customWidth="1"/>
    <col min="1779" max="1779" width="1.44140625" customWidth="1"/>
    <col min="1780" max="1780" width="39.109375" customWidth="1"/>
    <col min="1781" max="1781" width="12" customWidth="1"/>
    <col min="1782" max="1782" width="14.44140625" customWidth="1"/>
    <col min="1783" max="1783" width="11.77734375" customWidth="1"/>
    <col min="1784" max="1784" width="14.109375" customWidth="1"/>
    <col min="1785" max="1785" width="13.77734375" customWidth="1"/>
    <col min="1786" max="1787" width="12.77734375" customWidth="1"/>
    <col min="1788" max="1788" width="13.5546875" customWidth="1"/>
    <col min="1789" max="1789" width="15.21875" customWidth="1"/>
    <col min="1790" max="1790" width="12.77734375" customWidth="1"/>
    <col min="1791" max="1791" width="13.77734375" customWidth="1"/>
    <col min="1792" max="1792" width="1.77734375" customWidth="1"/>
    <col min="1793" max="1793" width="13" customWidth="1"/>
    <col min="1794" max="2033" width="8.77734375"/>
    <col min="2034" max="2034" width="6" customWidth="1"/>
    <col min="2035" max="2035" width="1.44140625" customWidth="1"/>
    <col min="2036" max="2036" width="39.109375" customWidth="1"/>
    <col min="2037" max="2037" width="12" customWidth="1"/>
    <col min="2038" max="2038" width="14.44140625" customWidth="1"/>
    <col min="2039" max="2039" width="11.77734375" customWidth="1"/>
    <col min="2040" max="2040" width="14.109375" customWidth="1"/>
    <col min="2041" max="2041" width="13.77734375" customWidth="1"/>
    <col min="2042" max="2043" width="12.77734375" customWidth="1"/>
    <col min="2044" max="2044" width="13.5546875" customWidth="1"/>
    <col min="2045" max="2045" width="15.21875" customWidth="1"/>
    <col min="2046" max="2046" width="12.77734375" customWidth="1"/>
    <col min="2047" max="2047" width="13.77734375" customWidth="1"/>
    <col min="2048" max="2048" width="1.77734375" customWidth="1"/>
    <col min="2049" max="2049" width="13" customWidth="1"/>
    <col min="2050" max="2289" width="8.77734375"/>
    <col min="2290" max="2290" width="6" customWidth="1"/>
    <col min="2291" max="2291" width="1.44140625" customWidth="1"/>
    <col min="2292" max="2292" width="39.109375" customWidth="1"/>
    <col min="2293" max="2293" width="12" customWidth="1"/>
    <col min="2294" max="2294" width="14.44140625" customWidth="1"/>
    <col min="2295" max="2295" width="11.77734375" customWidth="1"/>
    <col min="2296" max="2296" width="14.109375" customWidth="1"/>
    <col min="2297" max="2297" width="13.77734375" customWidth="1"/>
    <col min="2298" max="2299" width="12.77734375" customWidth="1"/>
    <col min="2300" max="2300" width="13.5546875" customWidth="1"/>
    <col min="2301" max="2301" width="15.21875" customWidth="1"/>
    <col min="2302" max="2302" width="12.77734375" customWidth="1"/>
    <col min="2303" max="2303" width="13.77734375" customWidth="1"/>
    <col min="2304" max="2304" width="1.77734375" customWidth="1"/>
    <col min="2305" max="2305" width="13" customWidth="1"/>
    <col min="2306" max="2545" width="8.77734375"/>
    <col min="2546" max="2546" width="6" customWidth="1"/>
    <col min="2547" max="2547" width="1.44140625" customWidth="1"/>
    <col min="2548" max="2548" width="39.109375" customWidth="1"/>
    <col min="2549" max="2549" width="12" customWidth="1"/>
    <col min="2550" max="2550" width="14.44140625" customWidth="1"/>
    <col min="2551" max="2551" width="11.77734375" customWidth="1"/>
    <col min="2552" max="2552" width="14.109375" customWidth="1"/>
    <col min="2553" max="2553" width="13.77734375" customWidth="1"/>
    <col min="2554" max="2555" width="12.77734375" customWidth="1"/>
    <col min="2556" max="2556" width="13.5546875" customWidth="1"/>
    <col min="2557" max="2557" width="15.21875" customWidth="1"/>
    <col min="2558" max="2558" width="12.77734375" customWidth="1"/>
    <col min="2559" max="2559" width="13.77734375" customWidth="1"/>
    <col min="2560" max="2560" width="1.77734375" customWidth="1"/>
    <col min="2561" max="2561" width="13" customWidth="1"/>
    <col min="2562" max="2801" width="8.77734375"/>
    <col min="2802" max="2802" width="6" customWidth="1"/>
    <col min="2803" max="2803" width="1.44140625" customWidth="1"/>
    <col min="2804" max="2804" width="39.109375" customWidth="1"/>
    <col min="2805" max="2805" width="12" customWidth="1"/>
    <col min="2806" max="2806" width="14.44140625" customWidth="1"/>
    <col min="2807" max="2807" width="11.77734375" customWidth="1"/>
    <col min="2808" max="2808" width="14.109375" customWidth="1"/>
    <col min="2809" max="2809" width="13.77734375" customWidth="1"/>
    <col min="2810" max="2811" width="12.77734375" customWidth="1"/>
    <col min="2812" max="2812" width="13.5546875" customWidth="1"/>
    <col min="2813" max="2813" width="15.21875" customWidth="1"/>
    <col min="2814" max="2814" width="12.77734375" customWidth="1"/>
    <col min="2815" max="2815" width="13.77734375" customWidth="1"/>
    <col min="2816" max="2816" width="1.77734375" customWidth="1"/>
    <col min="2817" max="2817" width="13" customWidth="1"/>
    <col min="2818" max="3057" width="8.77734375"/>
    <col min="3058" max="3058" width="6" customWidth="1"/>
    <col min="3059" max="3059" width="1.44140625" customWidth="1"/>
    <col min="3060" max="3060" width="39.109375" customWidth="1"/>
    <col min="3061" max="3061" width="12" customWidth="1"/>
    <col min="3062" max="3062" width="14.44140625" customWidth="1"/>
    <col min="3063" max="3063" width="11.77734375" customWidth="1"/>
    <col min="3064" max="3064" width="14.109375" customWidth="1"/>
    <col min="3065" max="3065" width="13.77734375" customWidth="1"/>
    <col min="3066" max="3067" width="12.77734375" customWidth="1"/>
    <col min="3068" max="3068" width="13.5546875" customWidth="1"/>
    <col min="3069" max="3069" width="15.21875" customWidth="1"/>
    <col min="3070" max="3070" width="12.77734375" customWidth="1"/>
    <col min="3071" max="3071" width="13.77734375" customWidth="1"/>
    <col min="3072" max="3072" width="1.77734375" customWidth="1"/>
    <col min="3073" max="3073" width="13" customWidth="1"/>
    <col min="3074" max="3313" width="8.77734375"/>
    <col min="3314" max="3314" width="6" customWidth="1"/>
    <col min="3315" max="3315" width="1.44140625" customWidth="1"/>
    <col min="3316" max="3316" width="39.109375" customWidth="1"/>
    <col min="3317" max="3317" width="12" customWidth="1"/>
    <col min="3318" max="3318" width="14.44140625" customWidth="1"/>
    <col min="3319" max="3319" width="11.77734375" customWidth="1"/>
    <col min="3320" max="3320" width="14.109375" customWidth="1"/>
    <col min="3321" max="3321" width="13.77734375" customWidth="1"/>
    <col min="3322" max="3323" width="12.77734375" customWidth="1"/>
    <col min="3324" max="3324" width="13.5546875" customWidth="1"/>
    <col min="3325" max="3325" width="15.21875" customWidth="1"/>
    <col min="3326" max="3326" width="12.77734375" customWidth="1"/>
    <col min="3327" max="3327" width="13.77734375" customWidth="1"/>
    <col min="3328" max="3328" width="1.77734375" customWidth="1"/>
    <col min="3329" max="3329" width="13" customWidth="1"/>
    <col min="3330" max="3569" width="8.77734375"/>
    <col min="3570" max="3570" width="6" customWidth="1"/>
    <col min="3571" max="3571" width="1.44140625" customWidth="1"/>
    <col min="3572" max="3572" width="39.109375" customWidth="1"/>
    <col min="3573" max="3573" width="12" customWidth="1"/>
    <col min="3574" max="3574" width="14.44140625" customWidth="1"/>
    <col min="3575" max="3575" width="11.77734375" customWidth="1"/>
    <col min="3576" max="3576" width="14.109375" customWidth="1"/>
    <col min="3577" max="3577" width="13.77734375" customWidth="1"/>
    <col min="3578" max="3579" width="12.77734375" customWidth="1"/>
    <col min="3580" max="3580" width="13.5546875" customWidth="1"/>
    <col min="3581" max="3581" width="15.21875" customWidth="1"/>
    <col min="3582" max="3582" width="12.77734375" customWidth="1"/>
    <col min="3583" max="3583" width="13.77734375" customWidth="1"/>
    <col min="3584" max="3584" width="1.77734375" customWidth="1"/>
    <col min="3585" max="3585" width="13" customWidth="1"/>
    <col min="3586" max="3825" width="8.77734375"/>
    <col min="3826" max="3826" width="6" customWidth="1"/>
    <col min="3827" max="3827" width="1.44140625" customWidth="1"/>
    <col min="3828" max="3828" width="39.109375" customWidth="1"/>
    <col min="3829" max="3829" width="12" customWidth="1"/>
    <col min="3830" max="3830" width="14.44140625" customWidth="1"/>
    <col min="3831" max="3831" width="11.77734375" customWidth="1"/>
    <col min="3832" max="3832" width="14.109375" customWidth="1"/>
    <col min="3833" max="3833" width="13.77734375" customWidth="1"/>
    <col min="3834" max="3835" width="12.77734375" customWidth="1"/>
    <col min="3836" max="3836" width="13.5546875" customWidth="1"/>
    <col min="3837" max="3837" width="15.21875" customWidth="1"/>
    <col min="3838" max="3838" width="12.77734375" customWidth="1"/>
    <col min="3839" max="3839" width="13.77734375" customWidth="1"/>
    <col min="3840" max="3840" width="1.77734375" customWidth="1"/>
    <col min="3841" max="3841" width="13" customWidth="1"/>
    <col min="3842" max="4081" width="8.77734375"/>
    <col min="4082" max="4082" width="6" customWidth="1"/>
    <col min="4083" max="4083" width="1.44140625" customWidth="1"/>
    <col min="4084" max="4084" width="39.109375" customWidth="1"/>
    <col min="4085" max="4085" width="12" customWidth="1"/>
    <col min="4086" max="4086" width="14.44140625" customWidth="1"/>
    <col min="4087" max="4087" width="11.77734375" customWidth="1"/>
    <col min="4088" max="4088" width="14.109375" customWidth="1"/>
    <col min="4089" max="4089" width="13.77734375" customWidth="1"/>
    <col min="4090" max="4091" width="12.77734375" customWidth="1"/>
    <col min="4092" max="4092" width="13.5546875" customWidth="1"/>
    <col min="4093" max="4093" width="15.21875" customWidth="1"/>
    <col min="4094" max="4094" width="12.77734375" customWidth="1"/>
    <col min="4095" max="4095" width="13.77734375" customWidth="1"/>
    <col min="4096" max="4096" width="1.77734375" customWidth="1"/>
    <col min="4097" max="4097" width="13" customWidth="1"/>
    <col min="4098" max="4337" width="8.77734375"/>
    <col min="4338" max="4338" width="6" customWidth="1"/>
    <col min="4339" max="4339" width="1.44140625" customWidth="1"/>
    <col min="4340" max="4340" width="39.109375" customWidth="1"/>
    <col min="4341" max="4341" width="12" customWidth="1"/>
    <col min="4342" max="4342" width="14.44140625" customWidth="1"/>
    <col min="4343" max="4343" width="11.77734375" customWidth="1"/>
    <col min="4344" max="4344" width="14.109375" customWidth="1"/>
    <col min="4345" max="4345" width="13.77734375" customWidth="1"/>
    <col min="4346" max="4347" width="12.77734375" customWidth="1"/>
    <col min="4348" max="4348" width="13.5546875" customWidth="1"/>
    <col min="4349" max="4349" width="15.21875" customWidth="1"/>
    <col min="4350" max="4350" width="12.77734375" customWidth="1"/>
    <col min="4351" max="4351" width="13.77734375" customWidth="1"/>
    <col min="4352" max="4352" width="1.77734375" customWidth="1"/>
    <col min="4353" max="4353" width="13" customWidth="1"/>
    <col min="4354" max="4593" width="8.77734375"/>
    <col min="4594" max="4594" width="6" customWidth="1"/>
    <col min="4595" max="4595" width="1.44140625" customWidth="1"/>
    <col min="4596" max="4596" width="39.109375" customWidth="1"/>
    <col min="4597" max="4597" width="12" customWidth="1"/>
    <col min="4598" max="4598" width="14.44140625" customWidth="1"/>
    <col min="4599" max="4599" width="11.77734375" customWidth="1"/>
    <col min="4600" max="4600" width="14.109375" customWidth="1"/>
    <col min="4601" max="4601" width="13.77734375" customWidth="1"/>
    <col min="4602" max="4603" width="12.77734375" customWidth="1"/>
    <col min="4604" max="4604" width="13.5546875" customWidth="1"/>
    <col min="4605" max="4605" width="15.21875" customWidth="1"/>
    <col min="4606" max="4606" width="12.77734375" customWidth="1"/>
    <col min="4607" max="4607" width="13.77734375" customWidth="1"/>
    <col min="4608" max="4608" width="1.77734375" customWidth="1"/>
    <col min="4609" max="4609" width="13" customWidth="1"/>
    <col min="4610" max="4849" width="8.77734375"/>
    <col min="4850" max="4850" width="6" customWidth="1"/>
    <col min="4851" max="4851" width="1.44140625" customWidth="1"/>
    <col min="4852" max="4852" width="39.109375" customWidth="1"/>
    <col min="4853" max="4853" width="12" customWidth="1"/>
    <col min="4854" max="4854" width="14.44140625" customWidth="1"/>
    <col min="4855" max="4855" width="11.77734375" customWidth="1"/>
    <col min="4856" max="4856" width="14.109375" customWidth="1"/>
    <col min="4857" max="4857" width="13.77734375" customWidth="1"/>
    <col min="4858" max="4859" width="12.77734375" customWidth="1"/>
    <col min="4860" max="4860" width="13.5546875" customWidth="1"/>
    <col min="4861" max="4861" width="15.21875" customWidth="1"/>
    <col min="4862" max="4862" width="12.77734375" customWidth="1"/>
    <col min="4863" max="4863" width="13.77734375" customWidth="1"/>
    <col min="4864" max="4864" width="1.77734375" customWidth="1"/>
    <col min="4865" max="4865" width="13" customWidth="1"/>
    <col min="4866" max="5105" width="8.77734375"/>
    <col min="5106" max="5106" width="6" customWidth="1"/>
    <col min="5107" max="5107" width="1.44140625" customWidth="1"/>
    <col min="5108" max="5108" width="39.109375" customWidth="1"/>
    <col min="5109" max="5109" width="12" customWidth="1"/>
    <col min="5110" max="5110" width="14.44140625" customWidth="1"/>
    <col min="5111" max="5111" width="11.77734375" customWidth="1"/>
    <col min="5112" max="5112" width="14.109375" customWidth="1"/>
    <col min="5113" max="5113" width="13.77734375" customWidth="1"/>
    <col min="5114" max="5115" width="12.77734375" customWidth="1"/>
    <col min="5116" max="5116" width="13.5546875" customWidth="1"/>
    <col min="5117" max="5117" width="15.21875" customWidth="1"/>
    <col min="5118" max="5118" width="12.77734375" customWidth="1"/>
    <col min="5119" max="5119" width="13.77734375" customWidth="1"/>
    <col min="5120" max="5120" width="1.77734375" customWidth="1"/>
    <col min="5121" max="5121" width="13" customWidth="1"/>
    <col min="5122" max="5361" width="8.77734375"/>
    <col min="5362" max="5362" width="6" customWidth="1"/>
    <col min="5363" max="5363" width="1.44140625" customWidth="1"/>
    <col min="5364" max="5364" width="39.109375" customWidth="1"/>
    <col min="5365" max="5365" width="12" customWidth="1"/>
    <col min="5366" max="5366" width="14.44140625" customWidth="1"/>
    <col min="5367" max="5367" width="11.77734375" customWidth="1"/>
    <col min="5368" max="5368" width="14.109375" customWidth="1"/>
    <col min="5369" max="5369" width="13.77734375" customWidth="1"/>
    <col min="5370" max="5371" width="12.77734375" customWidth="1"/>
    <col min="5372" max="5372" width="13.5546875" customWidth="1"/>
    <col min="5373" max="5373" width="15.21875" customWidth="1"/>
    <col min="5374" max="5374" width="12.77734375" customWidth="1"/>
    <col min="5375" max="5375" width="13.77734375" customWidth="1"/>
    <col min="5376" max="5376" width="1.77734375" customWidth="1"/>
    <col min="5377" max="5377" width="13" customWidth="1"/>
    <col min="5378" max="5617" width="8.77734375"/>
    <col min="5618" max="5618" width="6" customWidth="1"/>
    <col min="5619" max="5619" width="1.44140625" customWidth="1"/>
    <col min="5620" max="5620" width="39.109375" customWidth="1"/>
    <col min="5621" max="5621" width="12" customWidth="1"/>
    <col min="5622" max="5622" width="14.44140625" customWidth="1"/>
    <col min="5623" max="5623" width="11.77734375" customWidth="1"/>
    <col min="5624" max="5624" width="14.109375" customWidth="1"/>
    <col min="5625" max="5625" width="13.77734375" customWidth="1"/>
    <col min="5626" max="5627" width="12.77734375" customWidth="1"/>
    <col min="5628" max="5628" width="13.5546875" customWidth="1"/>
    <col min="5629" max="5629" width="15.21875" customWidth="1"/>
    <col min="5630" max="5630" width="12.77734375" customWidth="1"/>
    <col min="5631" max="5631" width="13.77734375" customWidth="1"/>
    <col min="5632" max="5632" width="1.77734375" customWidth="1"/>
    <col min="5633" max="5633" width="13" customWidth="1"/>
    <col min="5634" max="5873" width="8.77734375"/>
    <col min="5874" max="5874" width="6" customWidth="1"/>
    <col min="5875" max="5875" width="1.44140625" customWidth="1"/>
    <col min="5876" max="5876" width="39.109375" customWidth="1"/>
    <col min="5877" max="5877" width="12" customWidth="1"/>
    <col min="5878" max="5878" width="14.44140625" customWidth="1"/>
    <col min="5879" max="5879" width="11.77734375" customWidth="1"/>
    <col min="5880" max="5880" width="14.109375" customWidth="1"/>
    <col min="5881" max="5881" width="13.77734375" customWidth="1"/>
    <col min="5882" max="5883" width="12.77734375" customWidth="1"/>
    <col min="5884" max="5884" width="13.5546875" customWidth="1"/>
    <col min="5885" max="5885" width="15.21875" customWidth="1"/>
    <col min="5886" max="5886" width="12.77734375" customWidth="1"/>
    <col min="5887" max="5887" width="13.77734375" customWidth="1"/>
    <col min="5888" max="5888" width="1.77734375" customWidth="1"/>
    <col min="5889" max="5889" width="13" customWidth="1"/>
    <col min="5890" max="6129" width="8.77734375"/>
    <col min="6130" max="6130" width="6" customWidth="1"/>
    <col min="6131" max="6131" width="1.44140625" customWidth="1"/>
    <col min="6132" max="6132" width="39.109375" customWidth="1"/>
    <col min="6133" max="6133" width="12" customWidth="1"/>
    <col min="6134" max="6134" width="14.44140625" customWidth="1"/>
    <col min="6135" max="6135" width="11.77734375" customWidth="1"/>
    <col min="6136" max="6136" width="14.109375" customWidth="1"/>
    <col min="6137" max="6137" width="13.77734375" customWidth="1"/>
    <col min="6138" max="6139" width="12.77734375" customWidth="1"/>
    <col min="6140" max="6140" width="13.5546875" customWidth="1"/>
    <col min="6141" max="6141" width="15.21875" customWidth="1"/>
    <col min="6142" max="6142" width="12.77734375" customWidth="1"/>
    <col min="6143" max="6143" width="13.77734375" customWidth="1"/>
    <col min="6144" max="6144" width="1.77734375" customWidth="1"/>
    <col min="6145" max="6145" width="13" customWidth="1"/>
    <col min="6146" max="6385" width="8.77734375"/>
    <col min="6386" max="6386" width="6" customWidth="1"/>
    <col min="6387" max="6387" width="1.44140625" customWidth="1"/>
    <col min="6388" max="6388" width="39.109375" customWidth="1"/>
    <col min="6389" max="6389" width="12" customWidth="1"/>
    <col min="6390" max="6390" width="14.44140625" customWidth="1"/>
    <col min="6391" max="6391" width="11.77734375" customWidth="1"/>
    <col min="6392" max="6392" width="14.109375" customWidth="1"/>
    <col min="6393" max="6393" width="13.77734375" customWidth="1"/>
    <col min="6394" max="6395" width="12.77734375" customWidth="1"/>
    <col min="6396" max="6396" width="13.5546875" customWidth="1"/>
    <col min="6397" max="6397" width="15.21875" customWidth="1"/>
    <col min="6398" max="6398" width="12.77734375" customWidth="1"/>
    <col min="6399" max="6399" width="13.77734375" customWidth="1"/>
    <col min="6400" max="6400" width="1.77734375" customWidth="1"/>
    <col min="6401" max="6401" width="13" customWidth="1"/>
    <col min="6402" max="6641" width="8.77734375"/>
    <col min="6642" max="6642" width="6" customWidth="1"/>
    <col min="6643" max="6643" width="1.44140625" customWidth="1"/>
    <col min="6644" max="6644" width="39.109375" customWidth="1"/>
    <col min="6645" max="6645" width="12" customWidth="1"/>
    <col min="6646" max="6646" width="14.44140625" customWidth="1"/>
    <col min="6647" max="6647" width="11.77734375" customWidth="1"/>
    <col min="6648" max="6648" width="14.109375" customWidth="1"/>
    <col min="6649" max="6649" width="13.77734375" customWidth="1"/>
    <col min="6650" max="6651" width="12.77734375" customWidth="1"/>
    <col min="6652" max="6652" width="13.5546875" customWidth="1"/>
    <col min="6653" max="6653" width="15.21875" customWidth="1"/>
    <col min="6654" max="6654" width="12.77734375" customWidth="1"/>
    <col min="6655" max="6655" width="13.77734375" customWidth="1"/>
    <col min="6656" max="6656" width="1.77734375" customWidth="1"/>
    <col min="6657" max="6657" width="13" customWidth="1"/>
    <col min="6658" max="6897" width="8.77734375"/>
    <col min="6898" max="6898" width="6" customWidth="1"/>
    <col min="6899" max="6899" width="1.44140625" customWidth="1"/>
    <col min="6900" max="6900" width="39.109375" customWidth="1"/>
    <col min="6901" max="6901" width="12" customWidth="1"/>
    <col min="6902" max="6902" width="14.44140625" customWidth="1"/>
    <col min="6903" max="6903" width="11.77734375" customWidth="1"/>
    <col min="6904" max="6904" width="14.109375" customWidth="1"/>
    <col min="6905" max="6905" width="13.77734375" customWidth="1"/>
    <col min="6906" max="6907" width="12.77734375" customWidth="1"/>
    <col min="6908" max="6908" width="13.5546875" customWidth="1"/>
    <col min="6909" max="6909" width="15.21875" customWidth="1"/>
    <col min="6910" max="6910" width="12.77734375" customWidth="1"/>
    <col min="6911" max="6911" width="13.77734375" customWidth="1"/>
    <col min="6912" max="6912" width="1.77734375" customWidth="1"/>
    <col min="6913" max="6913" width="13" customWidth="1"/>
    <col min="6914" max="7153" width="8.77734375"/>
    <col min="7154" max="7154" width="6" customWidth="1"/>
    <col min="7155" max="7155" width="1.44140625" customWidth="1"/>
    <col min="7156" max="7156" width="39.109375" customWidth="1"/>
    <col min="7157" max="7157" width="12" customWidth="1"/>
    <col min="7158" max="7158" width="14.44140625" customWidth="1"/>
    <col min="7159" max="7159" width="11.77734375" customWidth="1"/>
    <col min="7160" max="7160" width="14.109375" customWidth="1"/>
    <col min="7161" max="7161" width="13.77734375" customWidth="1"/>
    <col min="7162" max="7163" width="12.77734375" customWidth="1"/>
    <col min="7164" max="7164" width="13.5546875" customWidth="1"/>
    <col min="7165" max="7165" width="15.21875" customWidth="1"/>
    <col min="7166" max="7166" width="12.77734375" customWidth="1"/>
    <col min="7167" max="7167" width="13.77734375" customWidth="1"/>
    <col min="7168" max="7168" width="1.77734375" customWidth="1"/>
    <col min="7169" max="7169" width="13" customWidth="1"/>
    <col min="7170" max="7409" width="8.77734375"/>
    <col min="7410" max="7410" width="6" customWidth="1"/>
    <col min="7411" max="7411" width="1.44140625" customWidth="1"/>
    <col min="7412" max="7412" width="39.109375" customWidth="1"/>
    <col min="7413" max="7413" width="12" customWidth="1"/>
    <col min="7414" max="7414" width="14.44140625" customWidth="1"/>
    <col min="7415" max="7415" width="11.77734375" customWidth="1"/>
    <col min="7416" max="7416" width="14.109375" customWidth="1"/>
    <col min="7417" max="7417" width="13.77734375" customWidth="1"/>
    <col min="7418" max="7419" width="12.77734375" customWidth="1"/>
    <col min="7420" max="7420" width="13.5546875" customWidth="1"/>
    <col min="7421" max="7421" width="15.21875" customWidth="1"/>
    <col min="7422" max="7422" width="12.77734375" customWidth="1"/>
    <col min="7423" max="7423" width="13.77734375" customWidth="1"/>
    <col min="7424" max="7424" width="1.77734375" customWidth="1"/>
    <col min="7425" max="7425" width="13" customWidth="1"/>
    <col min="7426" max="7665" width="8.77734375"/>
    <col min="7666" max="7666" width="6" customWidth="1"/>
    <col min="7667" max="7667" width="1.44140625" customWidth="1"/>
    <col min="7668" max="7668" width="39.109375" customWidth="1"/>
    <col min="7669" max="7669" width="12" customWidth="1"/>
    <col min="7670" max="7670" width="14.44140625" customWidth="1"/>
    <col min="7671" max="7671" width="11.77734375" customWidth="1"/>
    <col min="7672" max="7672" width="14.109375" customWidth="1"/>
    <col min="7673" max="7673" width="13.77734375" customWidth="1"/>
    <col min="7674" max="7675" width="12.77734375" customWidth="1"/>
    <col min="7676" max="7676" width="13.5546875" customWidth="1"/>
    <col min="7677" max="7677" width="15.21875" customWidth="1"/>
    <col min="7678" max="7678" width="12.77734375" customWidth="1"/>
    <col min="7679" max="7679" width="13.77734375" customWidth="1"/>
    <col min="7680" max="7680" width="1.77734375" customWidth="1"/>
    <col min="7681" max="7681" width="13" customWidth="1"/>
    <col min="7682" max="7921" width="8.77734375"/>
    <col min="7922" max="7922" width="6" customWidth="1"/>
    <col min="7923" max="7923" width="1.44140625" customWidth="1"/>
    <col min="7924" max="7924" width="39.109375" customWidth="1"/>
    <col min="7925" max="7925" width="12" customWidth="1"/>
    <col min="7926" max="7926" width="14.44140625" customWidth="1"/>
    <col min="7927" max="7927" width="11.77734375" customWidth="1"/>
    <col min="7928" max="7928" width="14.109375" customWidth="1"/>
    <col min="7929" max="7929" width="13.77734375" customWidth="1"/>
    <col min="7930" max="7931" width="12.77734375" customWidth="1"/>
    <col min="7932" max="7932" width="13.5546875" customWidth="1"/>
    <col min="7933" max="7933" width="15.21875" customWidth="1"/>
    <col min="7934" max="7934" width="12.77734375" customWidth="1"/>
    <col min="7935" max="7935" width="13.77734375" customWidth="1"/>
    <col min="7936" max="7936" width="1.77734375" customWidth="1"/>
    <col min="7937" max="7937" width="13" customWidth="1"/>
    <col min="7938" max="8177" width="8.77734375"/>
    <col min="8178" max="8178" width="6" customWidth="1"/>
    <col min="8179" max="8179" width="1.44140625" customWidth="1"/>
    <col min="8180" max="8180" width="39.109375" customWidth="1"/>
    <col min="8181" max="8181" width="12" customWidth="1"/>
    <col min="8182" max="8182" width="14.44140625" customWidth="1"/>
    <col min="8183" max="8183" width="11.77734375" customWidth="1"/>
    <col min="8184" max="8184" width="14.109375" customWidth="1"/>
    <col min="8185" max="8185" width="13.77734375" customWidth="1"/>
    <col min="8186" max="8187" width="12.77734375" customWidth="1"/>
    <col min="8188" max="8188" width="13.5546875" customWidth="1"/>
    <col min="8189" max="8189" width="15.21875" customWidth="1"/>
    <col min="8190" max="8190" width="12.77734375" customWidth="1"/>
    <col min="8191" max="8191" width="13.77734375" customWidth="1"/>
    <col min="8192" max="8192" width="1.77734375" customWidth="1"/>
    <col min="8193" max="8193" width="13" customWidth="1"/>
    <col min="8194" max="8433" width="8.77734375"/>
    <col min="8434" max="8434" width="6" customWidth="1"/>
    <col min="8435" max="8435" width="1.44140625" customWidth="1"/>
    <col min="8436" max="8436" width="39.109375" customWidth="1"/>
    <col min="8437" max="8437" width="12" customWidth="1"/>
    <col min="8438" max="8438" width="14.44140625" customWidth="1"/>
    <col min="8439" max="8439" width="11.77734375" customWidth="1"/>
    <col min="8440" max="8440" width="14.109375" customWidth="1"/>
    <col min="8441" max="8441" width="13.77734375" customWidth="1"/>
    <col min="8442" max="8443" width="12.77734375" customWidth="1"/>
    <col min="8444" max="8444" width="13.5546875" customWidth="1"/>
    <col min="8445" max="8445" width="15.21875" customWidth="1"/>
    <col min="8446" max="8446" width="12.77734375" customWidth="1"/>
    <col min="8447" max="8447" width="13.77734375" customWidth="1"/>
    <col min="8448" max="8448" width="1.77734375" customWidth="1"/>
    <col min="8449" max="8449" width="13" customWidth="1"/>
    <col min="8450" max="8689" width="8.77734375"/>
    <col min="8690" max="8690" width="6" customWidth="1"/>
    <col min="8691" max="8691" width="1.44140625" customWidth="1"/>
    <col min="8692" max="8692" width="39.109375" customWidth="1"/>
    <col min="8693" max="8693" width="12" customWidth="1"/>
    <col min="8694" max="8694" width="14.44140625" customWidth="1"/>
    <col min="8695" max="8695" width="11.77734375" customWidth="1"/>
    <col min="8696" max="8696" width="14.109375" customWidth="1"/>
    <col min="8697" max="8697" width="13.77734375" customWidth="1"/>
    <col min="8698" max="8699" width="12.77734375" customWidth="1"/>
    <col min="8700" max="8700" width="13.5546875" customWidth="1"/>
    <col min="8701" max="8701" width="15.21875" customWidth="1"/>
    <col min="8702" max="8702" width="12.77734375" customWidth="1"/>
    <col min="8703" max="8703" width="13.77734375" customWidth="1"/>
    <col min="8704" max="8704" width="1.77734375" customWidth="1"/>
    <col min="8705" max="8705" width="13" customWidth="1"/>
    <col min="8706" max="8945" width="8.77734375"/>
    <col min="8946" max="8946" width="6" customWidth="1"/>
    <col min="8947" max="8947" width="1.44140625" customWidth="1"/>
    <col min="8948" max="8948" width="39.109375" customWidth="1"/>
    <col min="8949" max="8949" width="12" customWidth="1"/>
    <col min="8950" max="8950" width="14.44140625" customWidth="1"/>
    <col min="8951" max="8951" width="11.77734375" customWidth="1"/>
    <col min="8952" max="8952" width="14.109375" customWidth="1"/>
    <col min="8953" max="8953" width="13.77734375" customWidth="1"/>
    <col min="8954" max="8955" width="12.77734375" customWidth="1"/>
    <col min="8956" max="8956" width="13.5546875" customWidth="1"/>
    <col min="8957" max="8957" width="15.21875" customWidth="1"/>
    <col min="8958" max="8958" width="12.77734375" customWidth="1"/>
    <col min="8959" max="8959" width="13.77734375" customWidth="1"/>
    <col min="8960" max="8960" width="1.77734375" customWidth="1"/>
    <col min="8961" max="8961" width="13" customWidth="1"/>
    <col min="8962" max="9201" width="8.77734375"/>
    <col min="9202" max="9202" width="6" customWidth="1"/>
    <col min="9203" max="9203" width="1.44140625" customWidth="1"/>
    <col min="9204" max="9204" width="39.109375" customWidth="1"/>
    <col min="9205" max="9205" width="12" customWidth="1"/>
    <col min="9206" max="9206" width="14.44140625" customWidth="1"/>
    <col min="9207" max="9207" width="11.77734375" customWidth="1"/>
    <col min="9208" max="9208" width="14.109375" customWidth="1"/>
    <col min="9209" max="9209" width="13.77734375" customWidth="1"/>
    <col min="9210" max="9211" width="12.77734375" customWidth="1"/>
    <col min="9212" max="9212" width="13.5546875" customWidth="1"/>
    <col min="9213" max="9213" width="15.21875" customWidth="1"/>
    <col min="9214" max="9214" width="12.77734375" customWidth="1"/>
    <col min="9215" max="9215" width="13.77734375" customWidth="1"/>
    <col min="9216" max="9216" width="1.77734375" customWidth="1"/>
    <col min="9217" max="9217" width="13" customWidth="1"/>
    <col min="9218" max="9457" width="8.77734375"/>
    <col min="9458" max="9458" width="6" customWidth="1"/>
    <col min="9459" max="9459" width="1.44140625" customWidth="1"/>
    <col min="9460" max="9460" width="39.109375" customWidth="1"/>
    <col min="9461" max="9461" width="12" customWidth="1"/>
    <col min="9462" max="9462" width="14.44140625" customWidth="1"/>
    <col min="9463" max="9463" width="11.77734375" customWidth="1"/>
    <col min="9464" max="9464" width="14.109375" customWidth="1"/>
    <col min="9465" max="9465" width="13.77734375" customWidth="1"/>
    <col min="9466" max="9467" width="12.77734375" customWidth="1"/>
    <col min="9468" max="9468" width="13.5546875" customWidth="1"/>
    <col min="9469" max="9469" width="15.21875" customWidth="1"/>
    <col min="9470" max="9470" width="12.77734375" customWidth="1"/>
    <col min="9471" max="9471" width="13.77734375" customWidth="1"/>
    <col min="9472" max="9472" width="1.77734375" customWidth="1"/>
    <col min="9473" max="9473" width="13" customWidth="1"/>
    <col min="9474" max="9713" width="8.77734375"/>
    <col min="9714" max="9714" width="6" customWidth="1"/>
    <col min="9715" max="9715" width="1.44140625" customWidth="1"/>
    <col min="9716" max="9716" width="39.109375" customWidth="1"/>
    <col min="9717" max="9717" width="12" customWidth="1"/>
    <col min="9718" max="9718" width="14.44140625" customWidth="1"/>
    <col min="9719" max="9719" width="11.77734375" customWidth="1"/>
    <col min="9720" max="9720" width="14.109375" customWidth="1"/>
    <col min="9721" max="9721" width="13.77734375" customWidth="1"/>
    <col min="9722" max="9723" width="12.77734375" customWidth="1"/>
    <col min="9724" max="9724" width="13.5546875" customWidth="1"/>
    <col min="9725" max="9725" width="15.21875" customWidth="1"/>
    <col min="9726" max="9726" width="12.77734375" customWidth="1"/>
    <col min="9727" max="9727" width="13.77734375" customWidth="1"/>
    <col min="9728" max="9728" width="1.77734375" customWidth="1"/>
    <col min="9729" max="9729" width="13" customWidth="1"/>
    <col min="9730" max="9969" width="8.77734375"/>
    <col min="9970" max="9970" width="6" customWidth="1"/>
    <col min="9971" max="9971" width="1.44140625" customWidth="1"/>
    <col min="9972" max="9972" width="39.109375" customWidth="1"/>
    <col min="9973" max="9973" width="12" customWidth="1"/>
    <col min="9974" max="9974" width="14.44140625" customWidth="1"/>
    <col min="9975" max="9975" width="11.77734375" customWidth="1"/>
    <col min="9976" max="9976" width="14.109375" customWidth="1"/>
    <col min="9977" max="9977" width="13.77734375" customWidth="1"/>
    <col min="9978" max="9979" width="12.77734375" customWidth="1"/>
    <col min="9980" max="9980" width="13.5546875" customWidth="1"/>
    <col min="9981" max="9981" width="15.21875" customWidth="1"/>
    <col min="9982" max="9982" width="12.77734375" customWidth="1"/>
    <col min="9983" max="9983" width="13.77734375" customWidth="1"/>
    <col min="9984" max="9984" width="1.77734375" customWidth="1"/>
    <col min="9985" max="9985" width="13" customWidth="1"/>
    <col min="9986" max="10225" width="8.77734375"/>
    <col min="10226" max="10226" width="6" customWidth="1"/>
    <col min="10227" max="10227" width="1.44140625" customWidth="1"/>
    <col min="10228" max="10228" width="39.109375" customWidth="1"/>
    <col min="10229" max="10229" width="12" customWidth="1"/>
    <col min="10230" max="10230" width="14.44140625" customWidth="1"/>
    <col min="10231" max="10231" width="11.77734375" customWidth="1"/>
    <col min="10232" max="10232" width="14.109375" customWidth="1"/>
    <col min="10233" max="10233" width="13.77734375" customWidth="1"/>
    <col min="10234" max="10235" width="12.77734375" customWidth="1"/>
    <col min="10236" max="10236" width="13.5546875" customWidth="1"/>
    <col min="10237" max="10237" width="15.21875" customWidth="1"/>
    <col min="10238" max="10238" width="12.77734375" customWidth="1"/>
    <col min="10239" max="10239" width="13.77734375" customWidth="1"/>
    <col min="10240" max="10240" width="1.77734375" customWidth="1"/>
    <col min="10241" max="10241" width="13" customWidth="1"/>
    <col min="10242" max="10481" width="8.77734375"/>
    <col min="10482" max="10482" width="6" customWidth="1"/>
    <col min="10483" max="10483" width="1.44140625" customWidth="1"/>
    <col min="10484" max="10484" width="39.109375" customWidth="1"/>
    <col min="10485" max="10485" width="12" customWidth="1"/>
    <col min="10486" max="10486" width="14.44140625" customWidth="1"/>
    <col min="10487" max="10487" width="11.77734375" customWidth="1"/>
    <col min="10488" max="10488" width="14.109375" customWidth="1"/>
    <col min="10489" max="10489" width="13.77734375" customWidth="1"/>
    <col min="10490" max="10491" width="12.77734375" customWidth="1"/>
    <col min="10492" max="10492" width="13.5546875" customWidth="1"/>
    <col min="10493" max="10493" width="15.21875" customWidth="1"/>
    <col min="10494" max="10494" width="12.77734375" customWidth="1"/>
    <col min="10495" max="10495" width="13.77734375" customWidth="1"/>
    <col min="10496" max="10496" width="1.77734375" customWidth="1"/>
    <col min="10497" max="10497" width="13" customWidth="1"/>
    <col min="10498" max="10737" width="8.77734375"/>
    <col min="10738" max="10738" width="6" customWidth="1"/>
    <col min="10739" max="10739" width="1.44140625" customWidth="1"/>
    <col min="10740" max="10740" width="39.109375" customWidth="1"/>
    <col min="10741" max="10741" width="12" customWidth="1"/>
    <col min="10742" max="10742" width="14.44140625" customWidth="1"/>
    <col min="10743" max="10743" width="11.77734375" customWidth="1"/>
    <col min="10744" max="10744" width="14.109375" customWidth="1"/>
    <col min="10745" max="10745" width="13.77734375" customWidth="1"/>
    <col min="10746" max="10747" width="12.77734375" customWidth="1"/>
    <col min="10748" max="10748" width="13.5546875" customWidth="1"/>
    <col min="10749" max="10749" width="15.21875" customWidth="1"/>
    <col min="10750" max="10750" width="12.77734375" customWidth="1"/>
    <col min="10751" max="10751" width="13.77734375" customWidth="1"/>
    <col min="10752" max="10752" width="1.77734375" customWidth="1"/>
    <col min="10753" max="10753" width="13" customWidth="1"/>
    <col min="10754" max="10993" width="8.77734375"/>
    <col min="10994" max="10994" width="6" customWidth="1"/>
    <col min="10995" max="10995" width="1.44140625" customWidth="1"/>
    <col min="10996" max="10996" width="39.109375" customWidth="1"/>
    <col min="10997" max="10997" width="12" customWidth="1"/>
    <col min="10998" max="10998" width="14.44140625" customWidth="1"/>
    <col min="10999" max="10999" width="11.77734375" customWidth="1"/>
    <col min="11000" max="11000" width="14.109375" customWidth="1"/>
    <col min="11001" max="11001" width="13.77734375" customWidth="1"/>
    <col min="11002" max="11003" width="12.77734375" customWidth="1"/>
    <col min="11004" max="11004" width="13.5546875" customWidth="1"/>
    <col min="11005" max="11005" width="15.21875" customWidth="1"/>
    <col min="11006" max="11006" width="12.77734375" customWidth="1"/>
    <col min="11007" max="11007" width="13.77734375" customWidth="1"/>
    <col min="11008" max="11008" width="1.77734375" customWidth="1"/>
    <col min="11009" max="11009" width="13" customWidth="1"/>
    <col min="11010" max="11249" width="8.77734375"/>
    <col min="11250" max="11250" width="6" customWidth="1"/>
    <col min="11251" max="11251" width="1.44140625" customWidth="1"/>
    <col min="11252" max="11252" width="39.109375" customWidth="1"/>
    <col min="11253" max="11253" width="12" customWidth="1"/>
    <col min="11254" max="11254" width="14.44140625" customWidth="1"/>
    <col min="11255" max="11255" width="11.77734375" customWidth="1"/>
    <col min="11256" max="11256" width="14.109375" customWidth="1"/>
    <col min="11257" max="11257" width="13.77734375" customWidth="1"/>
    <col min="11258" max="11259" width="12.77734375" customWidth="1"/>
    <col min="11260" max="11260" width="13.5546875" customWidth="1"/>
    <col min="11261" max="11261" width="15.21875" customWidth="1"/>
    <col min="11262" max="11262" width="12.77734375" customWidth="1"/>
    <col min="11263" max="11263" width="13.77734375" customWidth="1"/>
    <col min="11264" max="11264" width="1.77734375" customWidth="1"/>
    <col min="11265" max="11265" width="13" customWidth="1"/>
    <col min="11266" max="11505" width="8.77734375"/>
    <col min="11506" max="11506" width="6" customWidth="1"/>
    <col min="11507" max="11507" width="1.44140625" customWidth="1"/>
    <col min="11508" max="11508" width="39.109375" customWidth="1"/>
    <col min="11509" max="11509" width="12" customWidth="1"/>
    <col min="11510" max="11510" width="14.44140625" customWidth="1"/>
    <col min="11511" max="11511" width="11.77734375" customWidth="1"/>
    <col min="11512" max="11512" width="14.109375" customWidth="1"/>
    <col min="11513" max="11513" width="13.77734375" customWidth="1"/>
    <col min="11514" max="11515" width="12.77734375" customWidth="1"/>
    <col min="11516" max="11516" width="13.5546875" customWidth="1"/>
    <col min="11517" max="11517" width="15.21875" customWidth="1"/>
    <col min="11518" max="11518" width="12.77734375" customWidth="1"/>
    <col min="11519" max="11519" width="13.77734375" customWidth="1"/>
    <col min="11520" max="11520" width="1.77734375" customWidth="1"/>
    <col min="11521" max="11521" width="13" customWidth="1"/>
    <col min="11522" max="11761" width="8.77734375"/>
    <col min="11762" max="11762" width="6" customWidth="1"/>
    <col min="11763" max="11763" width="1.44140625" customWidth="1"/>
    <col min="11764" max="11764" width="39.109375" customWidth="1"/>
    <col min="11765" max="11765" width="12" customWidth="1"/>
    <col min="11766" max="11766" width="14.44140625" customWidth="1"/>
    <col min="11767" max="11767" width="11.77734375" customWidth="1"/>
    <col min="11768" max="11768" width="14.109375" customWidth="1"/>
    <col min="11769" max="11769" width="13.77734375" customWidth="1"/>
    <col min="11770" max="11771" width="12.77734375" customWidth="1"/>
    <col min="11772" max="11772" width="13.5546875" customWidth="1"/>
    <col min="11773" max="11773" width="15.21875" customWidth="1"/>
    <col min="11774" max="11774" width="12.77734375" customWidth="1"/>
    <col min="11775" max="11775" width="13.77734375" customWidth="1"/>
    <col min="11776" max="11776" width="1.77734375" customWidth="1"/>
    <col min="11777" max="11777" width="13" customWidth="1"/>
    <col min="11778" max="12017" width="8.77734375"/>
    <col min="12018" max="12018" width="6" customWidth="1"/>
    <col min="12019" max="12019" width="1.44140625" customWidth="1"/>
    <col min="12020" max="12020" width="39.109375" customWidth="1"/>
    <col min="12021" max="12021" width="12" customWidth="1"/>
    <col min="12022" max="12022" width="14.44140625" customWidth="1"/>
    <col min="12023" max="12023" width="11.77734375" customWidth="1"/>
    <col min="12024" max="12024" width="14.109375" customWidth="1"/>
    <col min="12025" max="12025" width="13.77734375" customWidth="1"/>
    <col min="12026" max="12027" width="12.77734375" customWidth="1"/>
    <col min="12028" max="12028" width="13.5546875" customWidth="1"/>
    <col min="12029" max="12029" width="15.21875" customWidth="1"/>
    <col min="12030" max="12030" width="12.77734375" customWidth="1"/>
    <col min="12031" max="12031" width="13.77734375" customWidth="1"/>
    <col min="12032" max="12032" width="1.77734375" customWidth="1"/>
    <col min="12033" max="12033" width="13" customWidth="1"/>
    <col min="12034" max="12273" width="8.77734375"/>
    <col min="12274" max="12274" width="6" customWidth="1"/>
    <col min="12275" max="12275" width="1.44140625" customWidth="1"/>
    <col min="12276" max="12276" width="39.109375" customWidth="1"/>
    <col min="12277" max="12277" width="12" customWidth="1"/>
    <col min="12278" max="12278" width="14.44140625" customWidth="1"/>
    <col min="12279" max="12279" width="11.77734375" customWidth="1"/>
    <col min="12280" max="12280" width="14.109375" customWidth="1"/>
    <col min="12281" max="12281" width="13.77734375" customWidth="1"/>
    <col min="12282" max="12283" width="12.77734375" customWidth="1"/>
    <col min="12284" max="12284" width="13.5546875" customWidth="1"/>
    <col min="12285" max="12285" width="15.21875" customWidth="1"/>
    <col min="12286" max="12286" width="12.77734375" customWidth="1"/>
    <col min="12287" max="12287" width="13.77734375" customWidth="1"/>
    <col min="12288" max="12288" width="1.77734375" customWidth="1"/>
    <col min="12289" max="12289" width="13" customWidth="1"/>
    <col min="12290" max="12529" width="8.77734375"/>
    <col min="12530" max="12530" width="6" customWidth="1"/>
    <col min="12531" max="12531" width="1.44140625" customWidth="1"/>
    <col min="12532" max="12532" width="39.109375" customWidth="1"/>
    <col min="12533" max="12533" width="12" customWidth="1"/>
    <col min="12534" max="12534" width="14.44140625" customWidth="1"/>
    <col min="12535" max="12535" width="11.77734375" customWidth="1"/>
    <col min="12536" max="12536" width="14.109375" customWidth="1"/>
    <col min="12537" max="12537" width="13.77734375" customWidth="1"/>
    <col min="12538" max="12539" width="12.77734375" customWidth="1"/>
    <col min="12540" max="12540" width="13.5546875" customWidth="1"/>
    <col min="12541" max="12541" width="15.21875" customWidth="1"/>
    <col min="12542" max="12542" width="12.77734375" customWidth="1"/>
    <col min="12543" max="12543" width="13.77734375" customWidth="1"/>
    <col min="12544" max="12544" width="1.77734375" customWidth="1"/>
    <col min="12545" max="12545" width="13" customWidth="1"/>
    <col min="12546" max="12785" width="8.77734375"/>
    <col min="12786" max="12786" width="6" customWidth="1"/>
    <col min="12787" max="12787" width="1.44140625" customWidth="1"/>
    <col min="12788" max="12788" width="39.109375" customWidth="1"/>
    <col min="12789" max="12789" width="12" customWidth="1"/>
    <col min="12790" max="12790" width="14.44140625" customWidth="1"/>
    <col min="12791" max="12791" width="11.77734375" customWidth="1"/>
    <col min="12792" max="12792" width="14.109375" customWidth="1"/>
    <col min="12793" max="12793" width="13.77734375" customWidth="1"/>
    <col min="12794" max="12795" width="12.77734375" customWidth="1"/>
    <col min="12796" max="12796" width="13.5546875" customWidth="1"/>
    <col min="12797" max="12797" width="15.21875" customWidth="1"/>
    <col min="12798" max="12798" width="12.77734375" customWidth="1"/>
    <col min="12799" max="12799" width="13.77734375" customWidth="1"/>
    <col min="12800" max="12800" width="1.77734375" customWidth="1"/>
    <col min="12801" max="12801" width="13" customWidth="1"/>
    <col min="12802" max="13041" width="8.77734375"/>
    <col min="13042" max="13042" width="6" customWidth="1"/>
    <col min="13043" max="13043" width="1.44140625" customWidth="1"/>
    <col min="13044" max="13044" width="39.109375" customWidth="1"/>
    <col min="13045" max="13045" width="12" customWidth="1"/>
    <col min="13046" max="13046" width="14.44140625" customWidth="1"/>
    <col min="13047" max="13047" width="11.77734375" customWidth="1"/>
    <col min="13048" max="13048" width="14.109375" customWidth="1"/>
    <col min="13049" max="13049" width="13.77734375" customWidth="1"/>
    <col min="13050" max="13051" width="12.77734375" customWidth="1"/>
    <col min="13052" max="13052" width="13.5546875" customWidth="1"/>
    <col min="13053" max="13053" width="15.21875" customWidth="1"/>
    <col min="13054" max="13054" width="12.77734375" customWidth="1"/>
    <col min="13055" max="13055" width="13.77734375" customWidth="1"/>
    <col min="13056" max="13056" width="1.77734375" customWidth="1"/>
    <col min="13057" max="13057" width="13" customWidth="1"/>
    <col min="13058" max="13297" width="8.77734375"/>
    <col min="13298" max="13298" width="6" customWidth="1"/>
    <col min="13299" max="13299" width="1.44140625" customWidth="1"/>
    <col min="13300" max="13300" width="39.109375" customWidth="1"/>
    <col min="13301" max="13301" width="12" customWidth="1"/>
    <col min="13302" max="13302" width="14.44140625" customWidth="1"/>
    <col min="13303" max="13303" width="11.77734375" customWidth="1"/>
    <col min="13304" max="13304" width="14.109375" customWidth="1"/>
    <col min="13305" max="13305" width="13.77734375" customWidth="1"/>
    <col min="13306" max="13307" width="12.77734375" customWidth="1"/>
    <col min="13308" max="13308" width="13.5546875" customWidth="1"/>
    <col min="13309" max="13309" width="15.21875" customWidth="1"/>
    <col min="13310" max="13310" width="12.77734375" customWidth="1"/>
    <col min="13311" max="13311" width="13.77734375" customWidth="1"/>
    <col min="13312" max="13312" width="1.77734375" customWidth="1"/>
    <col min="13313" max="13313" width="13" customWidth="1"/>
    <col min="13314" max="13553" width="8.77734375"/>
    <col min="13554" max="13554" width="6" customWidth="1"/>
    <col min="13555" max="13555" width="1.44140625" customWidth="1"/>
    <col min="13556" max="13556" width="39.109375" customWidth="1"/>
    <col min="13557" max="13557" width="12" customWidth="1"/>
    <col min="13558" max="13558" width="14.44140625" customWidth="1"/>
    <col min="13559" max="13559" width="11.77734375" customWidth="1"/>
    <col min="13560" max="13560" width="14.109375" customWidth="1"/>
    <col min="13561" max="13561" width="13.77734375" customWidth="1"/>
    <col min="13562" max="13563" width="12.77734375" customWidth="1"/>
    <col min="13564" max="13564" width="13.5546875" customWidth="1"/>
    <col min="13565" max="13565" width="15.21875" customWidth="1"/>
    <col min="13566" max="13566" width="12.77734375" customWidth="1"/>
    <col min="13567" max="13567" width="13.77734375" customWidth="1"/>
    <col min="13568" max="13568" width="1.77734375" customWidth="1"/>
    <col min="13569" max="13569" width="13" customWidth="1"/>
    <col min="13570" max="13809" width="8.77734375"/>
    <col min="13810" max="13810" width="6" customWidth="1"/>
    <col min="13811" max="13811" width="1.44140625" customWidth="1"/>
    <col min="13812" max="13812" width="39.109375" customWidth="1"/>
    <col min="13813" max="13813" width="12" customWidth="1"/>
    <col min="13814" max="13814" width="14.44140625" customWidth="1"/>
    <col min="13815" max="13815" width="11.77734375" customWidth="1"/>
    <col min="13816" max="13816" width="14.109375" customWidth="1"/>
    <col min="13817" max="13817" width="13.77734375" customWidth="1"/>
    <col min="13818" max="13819" width="12.77734375" customWidth="1"/>
    <col min="13820" max="13820" width="13.5546875" customWidth="1"/>
    <col min="13821" max="13821" width="15.21875" customWidth="1"/>
    <col min="13822" max="13822" width="12.77734375" customWidth="1"/>
    <col min="13823" max="13823" width="13.77734375" customWidth="1"/>
    <col min="13824" max="13824" width="1.77734375" customWidth="1"/>
    <col min="13825" max="13825" width="13" customWidth="1"/>
    <col min="13826" max="14065" width="8.77734375"/>
    <col min="14066" max="14066" width="6" customWidth="1"/>
    <col min="14067" max="14067" width="1.44140625" customWidth="1"/>
    <col min="14068" max="14068" width="39.109375" customWidth="1"/>
    <col min="14069" max="14069" width="12" customWidth="1"/>
    <col min="14070" max="14070" width="14.44140625" customWidth="1"/>
    <col min="14071" max="14071" width="11.77734375" customWidth="1"/>
    <col min="14072" max="14072" width="14.109375" customWidth="1"/>
    <col min="14073" max="14073" width="13.77734375" customWidth="1"/>
    <col min="14074" max="14075" width="12.77734375" customWidth="1"/>
    <col min="14076" max="14076" width="13.5546875" customWidth="1"/>
    <col min="14077" max="14077" width="15.21875" customWidth="1"/>
    <col min="14078" max="14078" width="12.77734375" customWidth="1"/>
    <col min="14079" max="14079" width="13.77734375" customWidth="1"/>
    <col min="14080" max="14080" width="1.77734375" customWidth="1"/>
    <col min="14081" max="14081" width="13" customWidth="1"/>
    <col min="14082" max="14321" width="8.77734375"/>
    <col min="14322" max="14322" width="6" customWidth="1"/>
    <col min="14323" max="14323" width="1.44140625" customWidth="1"/>
    <col min="14324" max="14324" width="39.109375" customWidth="1"/>
    <col min="14325" max="14325" width="12" customWidth="1"/>
    <col min="14326" max="14326" width="14.44140625" customWidth="1"/>
    <col min="14327" max="14327" width="11.77734375" customWidth="1"/>
    <col min="14328" max="14328" width="14.109375" customWidth="1"/>
    <col min="14329" max="14329" width="13.77734375" customWidth="1"/>
    <col min="14330" max="14331" width="12.77734375" customWidth="1"/>
    <col min="14332" max="14332" width="13.5546875" customWidth="1"/>
    <col min="14333" max="14333" width="15.21875" customWidth="1"/>
    <col min="14334" max="14334" width="12.77734375" customWidth="1"/>
    <col min="14335" max="14335" width="13.77734375" customWidth="1"/>
    <col min="14336" max="14336" width="1.77734375" customWidth="1"/>
    <col min="14337" max="14337" width="13" customWidth="1"/>
    <col min="14338" max="14577" width="8.77734375"/>
    <col min="14578" max="14578" width="6" customWidth="1"/>
    <col min="14579" max="14579" width="1.44140625" customWidth="1"/>
    <col min="14580" max="14580" width="39.109375" customWidth="1"/>
    <col min="14581" max="14581" width="12" customWidth="1"/>
    <col min="14582" max="14582" width="14.44140625" customWidth="1"/>
    <col min="14583" max="14583" width="11.77734375" customWidth="1"/>
    <col min="14584" max="14584" width="14.109375" customWidth="1"/>
    <col min="14585" max="14585" width="13.77734375" customWidth="1"/>
    <col min="14586" max="14587" width="12.77734375" customWidth="1"/>
    <col min="14588" max="14588" width="13.5546875" customWidth="1"/>
    <col min="14589" max="14589" width="15.21875" customWidth="1"/>
    <col min="14590" max="14590" width="12.77734375" customWidth="1"/>
    <col min="14591" max="14591" width="13.77734375" customWidth="1"/>
    <col min="14592" max="14592" width="1.77734375" customWidth="1"/>
    <col min="14593" max="14593" width="13" customWidth="1"/>
    <col min="14594" max="14833" width="8.77734375"/>
    <col min="14834" max="14834" width="6" customWidth="1"/>
    <col min="14835" max="14835" width="1.44140625" customWidth="1"/>
    <col min="14836" max="14836" width="39.109375" customWidth="1"/>
    <col min="14837" max="14837" width="12" customWidth="1"/>
    <col min="14838" max="14838" width="14.44140625" customWidth="1"/>
    <col min="14839" max="14839" width="11.77734375" customWidth="1"/>
    <col min="14840" max="14840" width="14.109375" customWidth="1"/>
    <col min="14841" max="14841" width="13.77734375" customWidth="1"/>
    <col min="14842" max="14843" width="12.77734375" customWidth="1"/>
    <col min="14844" max="14844" width="13.5546875" customWidth="1"/>
    <col min="14845" max="14845" width="15.21875" customWidth="1"/>
    <col min="14846" max="14846" width="12.77734375" customWidth="1"/>
    <col min="14847" max="14847" width="13.77734375" customWidth="1"/>
    <col min="14848" max="14848" width="1.77734375" customWidth="1"/>
    <col min="14849" max="14849" width="13" customWidth="1"/>
    <col min="14850" max="15089" width="8.77734375"/>
    <col min="15090" max="15090" width="6" customWidth="1"/>
    <col min="15091" max="15091" width="1.44140625" customWidth="1"/>
    <col min="15092" max="15092" width="39.109375" customWidth="1"/>
    <col min="15093" max="15093" width="12" customWidth="1"/>
    <col min="15094" max="15094" width="14.44140625" customWidth="1"/>
    <col min="15095" max="15095" width="11.77734375" customWidth="1"/>
    <col min="15096" max="15096" width="14.109375" customWidth="1"/>
    <col min="15097" max="15097" width="13.77734375" customWidth="1"/>
    <col min="15098" max="15099" width="12.77734375" customWidth="1"/>
    <col min="15100" max="15100" width="13.5546875" customWidth="1"/>
    <col min="15101" max="15101" width="15.21875" customWidth="1"/>
    <col min="15102" max="15102" width="12.77734375" customWidth="1"/>
    <col min="15103" max="15103" width="13.77734375" customWidth="1"/>
    <col min="15104" max="15104" width="1.77734375" customWidth="1"/>
    <col min="15105" max="15105" width="13" customWidth="1"/>
    <col min="15106" max="15345" width="8.77734375"/>
    <col min="15346" max="15346" width="6" customWidth="1"/>
    <col min="15347" max="15347" width="1.44140625" customWidth="1"/>
    <col min="15348" max="15348" width="39.109375" customWidth="1"/>
    <col min="15349" max="15349" width="12" customWidth="1"/>
    <col min="15350" max="15350" width="14.44140625" customWidth="1"/>
    <col min="15351" max="15351" width="11.77734375" customWidth="1"/>
    <col min="15352" max="15352" width="14.109375" customWidth="1"/>
    <col min="15353" max="15353" width="13.77734375" customWidth="1"/>
    <col min="15354" max="15355" width="12.77734375" customWidth="1"/>
    <col min="15356" max="15356" width="13.5546875" customWidth="1"/>
    <col min="15357" max="15357" width="15.21875" customWidth="1"/>
    <col min="15358" max="15358" width="12.77734375" customWidth="1"/>
    <col min="15359" max="15359" width="13.77734375" customWidth="1"/>
    <col min="15360" max="15360" width="1.77734375" customWidth="1"/>
    <col min="15361" max="15361" width="13" customWidth="1"/>
    <col min="15362" max="15601" width="8.77734375"/>
    <col min="15602" max="15602" width="6" customWidth="1"/>
    <col min="15603" max="15603" width="1.44140625" customWidth="1"/>
    <col min="15604" max="15604" width="39.109375" customWidth="1"/>
    <col min="15605" max="15605" width="12" customWidth="1"/>
    <col min="15606" max="15606" width="14.44140625" customWidth="1"/>
    <col min="15607" max="15607" width="11.77734375" customWidth="1"/>
    <col min="15608" max="15608" width="14.109375" customWidth="1"/>
    <col min="15609" max="15609" width="13.77734375" customWidth="1"/>
    <col min="15610" max="15611" width="12.77734375" customWidth="1"/>
    <col min="15612" max="15612" width="13.5546875" customWidth="1"/>
    <col min="15613" max="15613" width="15.21875" customWidth="1"/>
    <col min="15614" max="15614" width="12.77734375" customWidth="1"/>
    <col min="15615" max="15615" width="13.77734375" customWidth="1"/>
    <col min="15616" max="15616" width="1.77734375" customWidth="1"/>
    <col min="15617" max="15617" width="13" customWidth="1"/>
    <col min="15618" max="15857" width="8.77734375"/>
    <col min="15858" max="15858" width="6" customWidth="1"/>
    <col min="15859" max="15859" width="1.44140625" customWidth="1"/>
    <col min="15860" max="15860" width="39.109375" customWidth="1"/>
    <col min="15861" max="15861" width="12" customWidth="1"/>
    <col min="15862" max="15862" width="14.44140625" customWidth="1"/>
    <col min="15863" max="15863" width="11.77734375" customWidth="1"/>
    <col min="15864" max="15864" width="14.109375" customWidth="1"/>
    <col min="15865" max="15865" width="13.77734375" customWidth="1"/>
    <col min="15866" max="15867" width="12.77734375" customWidth="1"/>
    <col min="15868" max="15868" width="13.5546875" customWidth="1"/>
    <col min="15869" max="15869" width="15.21875" customWidth="1"/>
    <col min="15870" max="15870" width="12.77734375" customWidth="1"/>
    <col min="15871" max="15871" width="13.77734375" customWidth="1"/>
    <col min="15872" max="15872" width="1.77734375" customWidth="1"/>
    <col min="15873" max="15873" width="13" customWidth="1"/>
    <col min="15874" max="16113" width="8.77734375"/>
    <col min="16114" max="16114" width="6" customWidth="1"/>
    <col min="16115" max="16115" width="1.44140625" customWidth="1"/>
    <col min="16116" max="16116" width="39.109375" customWidth="1"/>
    <col min="16117" max="16117" width="12" customWidth="1"/>
    <col min="16118" max="16118" width="14.44140625" customWidth="1"/>
    <col min="16119" max="16119" width="11.77734375" customWidth="1"/>
    <col min="16120" max="16120" width="14.109375" customWidth="1"/>
    <col min="16121" max="16121" width="13.77734375" customWidth="1"/>
    <col min="16122" max="16123" width="12.77734375" customWidth="1"/>
    <col min="16124" max="16124" width="13.5546875" customWidth="1"/>
    <col min="16125" max="16125" width="15.21875" customWidth="1"/>
    <col min="16126" max="16126" width="12.77734375" customWidth="1"/>
    <col min="16127" max="16127" width="13.77734375" customWidth="1"/>
    <col min="16128" max="16128" width="1.77734375" customWidth="1"/>
    <col min="16129" max="16129" width="13" customWidth="1"/>
    <col min="16130" max="16369" width="8.77734375"/>
    <col min="16370" max="16384" width="8.77734375" customWidth="1"/>
  </cols>
  <sheetData>
    <row r="1" spans="2:18">
      <c r="O1" s="50" t="s">
        <v>299</v>
      </c>
    </row>
    <row r="2" spans="2:18">
      <c r="O2" s="50" t="s">
        <v>341</v>
      </c>
      <c r="Q2" s="949"/>
      <c r="R2" s="949"/>
    </row>
    <row r="3" spans="2:18">
      <c r="O3" s="107" t="s">
        <v>287</v>
      </c>
    </row>
    <row r="4" spans="2:18">
      <c r="B4" s="86"/>
      <c r="D4" s="9"/>
      <c r="E4" s="9"/>
      <c r="F4" s="9"/>
      <c r="G4" s="9"/>
      <c r="H4" s="2"/>
      <c r="I4" s="9"/>
      <c r="J4" s="9"/>
      <c r="K4" s="9"/>
      <c r="L4" s="9"/>
      <c r="N4" s="2"/>
      <c r="O4" s="107" t="s">
        <v>990</v>
      </c>
    </row>
    <row r="5" spans="2:18">
      <c r="B5" s="86"/>
      <c r="D5" s="1"/>
      <c r="E5" s="9"/>
      <c r="F5" s="9"/>
      <c r="G5" s="9"/>
      <c r="H5" s="2"/>
      <c r="I5" s="9"/>
      <c r="J5" s="9"/>
      <c r="K5" s="9"/>
      <c r="L5" s="9"/>
      <c r="N5" s="2"/>
    </row>
    <row r="6" spans="2:18">
      <c r="B6" s="70" t="s">
        <v>257</v>
      </c>
      <c r="C6" s="174"/>
      <c r="D6" s="174"/>
      <c r="E6" s="146"/>
      <c r="F6" s="70"/>
      <c r="G6" s="70"/>
      <c r="H6" s="174"/>
      <c r="I6" s="70"/>
      <c r="J6" s="70"/>
      <c r="K6" s="70"/>
      <c r="L6" s="70"/>
      <c r="M6" s="174"/>
      <c r="N6" s="145"/>
      <c r="O6" s="174"/>
    </row>
    <row r="7" spans="2:18">
      <c r="B7" s="70" t="s">
        <v>300</v>
      </c>
      <c r="C7" s="174"/>
      <c r="D7" s="146"/>
      <c r="E7" s="146"/>
      <c r="F7" s="70"/>
      <c r="G7" s="70"/>
      <c r="H7" s="174"/>
      <c r="I7" s="70"/>
      <c r="J7" s="70"/>
      <c r="K7" s="70"/>
      <c r="L7" s="70"/>
      <c r="M7" s="145"/>
      <c r="N7" s="145"/>
      <c r="O7" s="174"/>
    </row>
    <row r="8" spans="2:18" ht="14.25" customHeight="1">
      <c r="B8" s="173"/>
      <c r="D8" s="9"/>
      <c r="E8" s="9"/>
      <c r="F8" s="9"/>
      <c r="G8" s="9"/>
      <c r="I8" s="70"/>
      <c r="J8" s="9"/>
      <c r="K8" s="9"/>
      <c r="L8" s="9"/>
      <c r="N8" s="2"/>
    </row>
    <row r="9" spans="2:18">
      <c r="B9" s="70" t="s">
        <v>667</v>
      </c>
      <c r="C9" s="174"/>
      <c r="D9" s="174"/>
      <c r="E9" s="174"/>
      <c r="F9" s="70"/>
      <c r="G9" s="70"/>
      <c r="H9" s="174"/>
      <c r="I9" s="70"/>
      <c r="J9" s="70"/>
      <c r="K9" s="70"/>
      <c r="L9" s="70"/>
      <c r="M9" s="70"/>
      <c r="N9" s="145"/>
      <c r="O9" s="145"/>
    </row>
    <row r="10" spans="2:18">
      <c r="B10" s="70" t="s">
        <v>298</v>
      </c>
      <c r="C10" s="174"/>
      <c r="D10" s="174"/>
      <c r="E10" s="174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2:18">
      <c r="B11" s="70"/>
      <c r="C11" s="174"/>
      <c r="D11" s="174"/>
      <c r="E11" s="174"/>
      <c r="F11" s="146"/>
      <c r="G11" s="146"/>
      <c r="H11" s="146"/>
      <c r="I11" s="146"/>
      <c r="J11" s="146"/>
      <c r="K11" s="146"/>
      <c r="L11" s="146"/>
      <c r="M11" s="146"/>
      <c r="N11" s="146"/>
      <c r="O11" s="146"/>
    </row>
    <row r="12" spans="2:18" ht="15.75">
      <c r="B12" s="175" t="s">
        <v>272</v>
      </c>
      <c r="C12" s="174"/>
      <c r="D12" s="70"/>
      <c r="E12" s="70"/>
      <c r="F12" s="174"/>
      <c r="G12" s="175"/>
      <c r="H12" s="174"/>
      <c r="I12" s="146"/>
      <c r="J12" s="146"/>
      <c r="K12" s="146"/>
      <c r="L12" s="146"/>
      <c r="M12" s="146"/>
      <c r="N12" s="145"/>
      <c r="O12" s="145"/>
    </row>
    <row r="13" spans="2:18" ht="15.75">
      <c r="B13" s="86"/>
      <c r="D13" s="9"/>
      <c r="E13" s="9"/>
      <c r="F13" s="10"/>
      <c r="G13" s="10"/>
      <c r="I13" s="1"/>
      <c r="J13" s="1"/>
      <c r="K13" s="1"/>
      <c r="L13" s="1"/>
      <c r="M13" s="1"/>
      <c r="N13" s="2"/>
      <c r="O13" s="2"/>
    </row>
    <row r="14" spans="2:18" ht="15.75">
      <c r="B14" s="86"/>
      <c r="D14" s="108">
        <v>-1</v>
      </c>
      <c r="E14" s="108">
        <v>-2</v>
      </c>
      <c r="F14" s="108">
        <v>-3</v>
      </c>
      <c r="G14" s="108">
        <v>-4</v>
      </c>
      <c r="H14" s="108">
        <v>-5</v>
      </c>
      <c r="I14" s="108">
        <v>-6</v>
      </c>
      <c r="J14" s="108">
        <v>-7</v>
      </c>
      <c r="K14" s="108">
        <v>-8</v>
      </c>
      <c r="L14" s="108">
        <v>-9</v>
      </c>
      <c r="M14" s="108">
        <v>-10</v>
      </c>
      <c r="N14" s="108">
        <v>-11</v>
      </c>
      <c r="O14" s="108">
        <v>-12</v>
      </c>
    </row>
    <row r="15" spans="2:18" ht="63">
      <c r="B15" s="109" t="s">
        <v>227</v>
      </c>
      <c r="C15" s="110"/>
      <c r="D15" s="110" t="s">
        <v>207</v>
      </c>
      <c r="E15" s="111" t="s">
        <v>339</v>
      </c>
      <c r="F15" s="112" t="s">
        <v>229</v>
      </c>
      <c r="G15" s="112" t="s">
        <v>222</v>
      </c>
      <c r="H15" s="113" t="s">
        <v>230</v>
      </c>
      <c r="I15" s="112" t="s">
        <v>231</v>
      </c>
      <c r="J15" s="112" t="s">
        <v>226</v>
      </c>
      <c r="K15" s="113" t="s">
        <v>232</v>
      </c>
      <c r="L15" s="112" t="s">
        <v>233</v>
      </c>
      <c r="M15" s="114" t="s">
        <v>234</v>
      </c>
      <c r="N15" s="115" t="s">
        <v>235</v>
      </c>
      <c r="O15" s="114" t="s">
        <v>236</v>
      </c>
    </row>
    <row r="16" spans="2:18" ht="46.5" customHeight="1">
      <c r="B16" s="116"/>
      <c r="C16" s="117"/>
      <c r="D16" s="117"/>
      <c r="E16" s="117"/>
      <c r="F16" s="118" t="s">
        <v>16</v>
      </c>
      <c r="G16" s="118" t="s">
        <v>708</v>
      </c>
      <c r="H16" s="119"/>
      <c r="I16" s="118" t="s">
        <v>17</v>
      </c>
      <c r="J16" s="118" t="s">
        <v>709</v>
      </c>
      <c r="K16" s="119"/>
      <c r="L16" s="118" t="s">
        <v>239</v>
      </c>
      <c r="M16" s="119" t="s">
        <v>240</v>
      </c>
      <c r="N16" s="120" t="s">
        <v>204</v>
      </c>
      <c r="O16" s="121" t="s">
        <v>241</v>
      </c>
    </row>
    <row r="17" spans="2:15">
      <c r="B17" s="122"/>
      <c r="C17" s="1"/>
      <c r="D17" s="1"/>
      <c r="E17" s="1"/>
      <c r="F17" s="1"/>
      <c r="G17" s="1"/>
      <c r="H17" s="123"/>
      <c r="I17" s="1"/>
      <c r="J17" s="1"/>
      <c r="K17" s="123"/>
      <c r="L17" s="1"/>
      <c r="M17" s="123"/>
      <c r="N17" s="2"/>
      <c r="O17" s="124"/>
    </row>
    <row r="18" spans="2:15">
      <c r="B18" s="649" t="s">
        <v>1</v>
      </c>
      <c r="C18" s="369"/>
      <c r="D18" s="370"/>
      <c r="E18" s="371"/>
      <c r="F18" s="374">
        <v>0</v>
      </c>
      <c r="G18" s="373"/>
      <c r="H18" s="600">
        <v>0</v>
      </c>
      <c r="I18" s="126">
        <v>0</v>
      </c>
      <c r="J18" s="94"/>
      <c r="K18" s="600">
        <v>0</v>
      </c>
      <c r="L18" s="601">
        <v>0</v>
      </c>
      <c r="M18" s="600">
        <v>0</v>
      </c>
      <c r="N18" s="128">
        <v>0</v>
      </c>
      <c r="O18" s="600">
        <v>0</v>
      </c>
    </row>
    <row r="19" spans="2:15">
      <c r="B19" s="649" t="s">
        <v>244</v>
      </c>
      <c r="C19" s="369"/>
      <c r="D19" s="369"/>
      <c r="E19" s="369"/>
      <c r="F19" s="374">
        <v>0</v>
      </c>
      <c r="G19" s="373"/>
      <c r="H19" s="600">
        <v>0</v>
      </c>
      <c r="I19" s="126">
        <v>0</v>
      </c>
      <c r="J19" s="94"/>
      <c r="K19" s="600">
        <v>0</v>
      </c>
      <c r="L19" s="601">
        <v>0</v>
      </c>
      <c r="M19" s="600">
        <v>0</v>
      </c>
      <c r="N19" s="128">
        <v>0</v>
      </c>
      <c r="O19" s="600">
        <v>0</v>
      </c>
    </row>
    <row r="20" spans="2:15">
      <c r="B20" s="649" t="s">
        <v>247</v>
      </c>
      <c r="C20" s="369"/>
      <c r="D20" s="369"/>
      <c r="E20" s="369"/>
      <c r="F20" s="374">
        <v>0</v>
      </c>
      <c r="G20" s="373"/>
      <c r="H20" s="600">
        <v>0</v>
      </c>
      <c r="I20" s="126">
        <v>0</v>
      </c>
      <c r="J20" s="94"/>
      <c r="K20" s="600">
        <v>0</v>
      </c>
      <c r="L20" s="601">
        <v>0</v>
      </c>
      <c r="M20" s="600">
        <v>0</v>
      </c>
      <c r="N20" s="126">
        <v>0</v>
      </c>
      <c r="O20" s="600">
        <v>0</v>
      </c>
    </row>
    <row r="21" spans="2:15">
      <c r="B21" s="125"/>
      <c r="H21" s="127"/>
      <c r="K21" s="127"/>
      <c r="M21" s="127"/>
      <c r="O21" s="127"/>
    </row>
    <row r="22" spans="2:15">
      <c r="B22" s="125"/>
      <c r="H22" s="127"/>
      <c r="K22" s="127"/>
      <c r="M22" s="127"/>
      <c r="O22" s="127"/>
    </row>
    <row r="23" spans="2:15">
      <c r="B23" s="125"/>
      <c r="H23" s="127"/>
      <c r="K23" s="127"/>
      <c r="M23" s="127"/>
      <c r="O23" s="127"/>
    </row>
    <row r="24" spans="2:15">
      <c r="B24" s="125"/>
      <c r="H24" s="127"/>
      <c r="K24" s="127"/>
      <c r="M24" s="127"/>
      <c r="O24" s="127"/>
    </row>
    <row r="25" spans="2:15">
      <c r="B25" s="125"/>
      <c r="H25" s="127"/>
      <c r="K25" s="127"/>
      <c r="M25" s="127"/>
      <c r="O25" s="127"/>
    </row>
    <row r="26" spans="2:15">
      <c r="B26" s="125"/>
      <c r="D26" s="129"/>
      <c r="E26" s="129"/>
      <c r="F26" s="129"/>
      <c r="G26" s="129"/>
      <c r="H26" s="130"/>
      <c r="I26" s="129"/>
      <c r="J26" s="129"/>
      <c r="K26" s="130"/>
      <c r="L26" s="129"/>
      <c r="M26" s="130"/>
      <c r="N26" s="129"/>
      <c r="O26" s="130"/>
    </row>
    <row r="27" spans="2:15">
      <c r="B27" s="125"/>
      <c r="D27" s="129"/>
      <c r="E27" s="129"/>
      <c r="F27" s="129"/>
      <c r="G27" s="129"/>
      <c r="H27" s="130"/>
      <c r="I27" s="129"/>
      <c r="J27" s="129"/>
      <c r="K27" s="130"/>
      <c r="L27" s="129"/>
      <c r="M27" s="130"/>
      <c r="N27" s="129"/>
      <c r="O27" s="130"/>
    </row>
    <row r="28" spans="2:15">
      <c r="B28" s="125"/>
      <c r="D28" s="129"/>
      <c r="E28" s="129"/>
      <c r="F28" s="129"/>
      <c r="G28" s="129"/>
      <c r="H28" s="130"/>
      <c r="I28" s="129"/>
      <c r="J28" s="129"/>
      <c r="K28" s="130"/>
      <c r="L28" s="129"/>
      <c r="M28" s="130"/>
      <c r="N28" s="129"/>
      <c r="O28" s="130"/>
    </row>
    <row r="29" spans="2:15">
      <c r="B29" s="125"/>
      <c r="D29" s="129"/>
      <c r="E29" s="129"/>
      <c r="F29" s="129"/>
      <c r="G29" s="129"/>
      <c r="H29" s="130"/>
      <c r="I29" s="129"/>
      <c r="J29" s="129"/>
      <c r="K29" s="130"/>
      <c r="L29" s="129"/>
      <c r="M29" s="130"/>
      <c r="N29" s="129"/>
      <c r="O29" s="130"/>
    </row>
    <row r="30" spans="2:15">
      <c r="B30" s="125"/>
      <c r="D30" s="129"/>
      <c r="E30" s="129"/>
      <c r="F30" s="129"/>
      <c r="G30" s="129"/>
      <c r="H30" s="130"/>
      <c r="I30" s="129"/>
      <c r="J30" s="129"/>
      <c r="K30" s="130"/>
      <c r="L30" s="129"/>
      <c r="M30" s="130"/>
      <c r="N30" s="129"/>
      <c r="O30" s="130"/>
    </row>
    <row r="31" spans="2:15">
      <c r="B31" s="125"/>
      <c r="D31" s="129"/>
      <c r="E31" s="129"/>
      <c r="F31" s="129"/>
      <c r="G31" s="129"/>
      <c r="H31" s="130"/>
      <c r="I31" s="129"/>
      <c r="J31" s="129"/>
      <c r="K31" s="130"/>
      <c r="L31" s="129"/>
      <c r="M31" s="130"/>
      <c r="N31" s="129"/>
      <c r="O31" s="130"/>
    </row>
    <row r="32" spans="2:15">
      <c r="B32" s="125"/>
      <c r="D32" s="129"/>
      <c r="E32" s="129"/>
      <c r="F32" s="129"/>
      <c r="G32" s="129"/>
      <c r="H32" s="130"/>
      <c r="I32" s="129"/>
      <c r="J32" s="129"/>
      <c r="K32" s="130"/>
      <c r="L32" s="129"/>
      <c r="M32" s="130"/>
      <c r="N32" s="129"/>
      <c r="O32" s="130"/>
    </row>
    <row r="33" spans="2:15">
      <c r="B33" s="125"/>
      <c r="D33" s="129"/>
      <c r="E33" s="129"/>
      <c r="F33" s="129"/>
      <c r="G33" s="129"/>
      <c r="H33" s="130"/>
      <c r="I33" s="129"/>
      <c r="J33" s="129"/>
      <c r="K33" s="130"/>
      <c r="L33" s="129"/>
      <c r="M33" s="130"/>
      <c r="N33" s="129"/>
      <c r="O33" s="130"/>
    </row>
    <row r="34" spans="2:15">
      <c r="B34" s="125"/>
      <c r="D34" s="129"/>
      <c r="E34" s="129"/>
      <c r="F34" s="129"/>
      <c r="G34" s="129"/>
      <c r="H34" s="130"/>
      <c r="I34" s="129"/>
      <c r="J34" s="129"/>
      <c r="K34" s="130"/>
      <c r="L34" s="129"/>
      <c r="M34" s="130"/>
      <c r="N34" s="129"/>
      <c r="O34" s="130"/>
    </row>
    <row r="35" spans="2:15">
      <c r="B35" s="125"/>
      <c r="D35" s="129"/>
      <c r="E35" s="129"/>
      <c r="F35" s="129"/>
      <c r="G35" s="129"/>
      <c r="H35" s="130"/>
      <c r="I35" s="129"/>
      <c r="J35" s="129"/>
      <c r="K35" s="130"/>
      <c r="L35" s="129"/>
      <c r="M35" s="130"/>
      <c r="N35" s="129"/>
      <c r="O35" s="130"/>
    </row>
    <row r="36" spans="2:15">
      <c r="B36" s="125"/>
      <c r="D36" s="129"/>
      <c r="E36" s="129"/>
      <c r="F36" s="129"/>
      <c r="G36" s="129"/>
      <c r="H36" s="130"/>
      <c r="I36" s="129"/>
      <c r="J36" s="129"/>
      <c r="K36" s="130"/>
      <c r="L36" s="129"/>
      <c r="M36" s="130"/>
      <c r="N36" s="129"/>
      <c r="O36" s="130"/>
    </row>
    <row r="37" spans="2:15">
      <c r="B37" s="131"/>
      <c r="C37" s="132"/>
      <c r="D37" s="133"/>
      <c r="E37" s="133"/>
      <c r="F37" s="133"/>
      <c r="G37" s="133"/>
      <c r="H37" s="134"/>
      <c r="I37" s="133"/>
      <c r="J37" s="133"/>
      <c r="K37" s="134"/>
      <c r="L37" s="133"/>
      <c r="M37" s="134"/>
      <c r="N37" s="133"/>
      <c r="O37" s="134"/>
    </row>
    <row r="38" spans="2:15">
      <c r="B38" s="5" t="s">
        <v>250</v>
      </c>
      <c r="C38" s="102"/>
      <c r="D38" s="1" t="s">
        <v>251</v>
      </c>
      <c r="E38" s="1"/>
      <c r="F38" s="67"/>
      <c r="G38" s="67"/>
      <c r="H38" s="2"/>
      <c r="I38" s="2"/>
      <c r="J38" s="2"/>
      <c r="K38" s="2"/>
      <c r="L38" s="2"/>
      <c r="M38" s="577">
        <v>0</v>
      </c>
      <c r="N38" s="577">
        <v>0</v>
      </c>
      <c r="O38" s="577">
        <v>0</v>
      </c>
    </row>
    <row r="39" spans="2:15">
      <c r="B39" s="52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599"/>
      <c r="N39" s="599"/>
      <c r="O39" s="599"/>
    </row>
    <row r="40" spans="2:15">
      <c r="B40" s="135">
        <v>3</v>
      </c>
      <c r="C40" s="129"/>
      <c r="D40" s="9" t="s">
        <v>543</v>
      </c>
      <c r="E40" s="129"/>
      <c r="F40" s="129"/>
      <c r="G40" s="129"/>
      <c r="H40" s="129"/>
      <c r="I40" s="129"/>
      <c r="J40" s="129"/>
      <c r="K40" s="129"/>
      <c r="L40" s="129"/>
      <c r="M40" s="577"/>
      <c r="N40" s="599"/>
      <c r="O40" s="577">
        <v>0</v>
      </c>
    </row>
    <row r="41" spans="2:15"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</row>
    <row r="42" spans="2:15"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</row>
    <row r="43" spans="2:15">
      <c r="B43" s="67" t="s">
        <v>94</v>
      </c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</row>
    <row r="44" spans="2:15" ht="15.75" thickBot="1">
      <c r="B44" s="525" t="s">
        <v>95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</row>
    <row r="45" spans="2:15">
      <c r="B45" s="136" t="s">
        <v>96</v>
      </c>
      <c r="C45" s="66"/>
      <c r="D45" s="983" t="s">
        <v>582</v>
      </c>
      <c r="E45" s="984"/>
      <c r="F45" s="984"/>
      <c r="G45" s="984"/>
      <c r="H45" s="984"/>
      <c r="I45" s="984"/>
      <c r="J45" s="984"/>
      <c r="K45" s="984"/>
      <c r="L45" s="984"/>
      <c r="M45" s="984"/>
      <c r="N45" s="984"/>
      <c r="O45" s="984"/>
    </row>
    <row r="46" spans="2:15">
      <c r="B46" s="136" t="s">
        <v>97</v>
      </c>
      <c r="C46" s="66"/>
      <c r="D46" s="983" t="s">
        <v>583</v>
      </c>
      <c r="E46" s="984"/>
      <c r="F46" s="984"/>
      <c r="G46" s="984"/>
      <c r="H46" s="984"/>
      <c r="I46" s="984"/>
      <c r="J46" s="984"/>
      <c r="K46" s="984"/>
      <c r="L46" s="984"/>
      <c r="M46" s="984"/>
      <c r="N46" s="984"/>
      <c r="O46" s="984"/>
    </row>
    <row r="47" spans="2:15" ht="27.75" customHeight="1">
      <c r="B47" s="137" t="s">
        <v>98</v>
      </c>
      <c r="C47" s="66"/>
      <c r="D47" s="985" t="s">
        <v>252</v>
      </c>
      <c r="E47" s="985"/>
      <c r="F47" s="985"/>
      <c r="G47" s="985"/>
      <c r="H47" s="985"/>
      <c r="I47" s="985"/>
      <c r="J47" s="985"/>
      <c r="K47" s="985"/>
      <c r="L47" s="985"/>
      <c r="M47" s="985"/>
      <c r="N47" s="985"/>
      <c r="O47" s="985"/>
    </row>
    <row r="48" spans="2:15" ht="15" customHeight="1">
      <c r="B48" s="137" t="s">
        <v>99</v>
      </c>
      <c r="C48" s="66"/>
      <c r="D48" s="985" t="s">
        <v>253</v>
      </c>
      <c r="E48" s="985"/>
      <c r="F48" s="985"/>
      <c r="G48" s="985"/>
      <c r="H48" s="985"/>
      <c r="I48" s="985"/>
      <c r="J48" s="985"/>
      <c r="K48" s="985"/>
      <c r="L48" s="985"/>
      <c r="M48" s="985"/>
      <c r="N48" s="985"/>
      <c r="O48" s="985"/>
    </row>
    <row r="49" spans="1:15">
      <c r="B49" s="136" t="s">
        <v>100</v>
      </c>
      <c r="C49" s="66"/>
      <c r="D49" s="984" t="s">
        <v>315</v>
      </c>
      <c r="E49" s="984"/>
      <c r="F49" s="984"/>
      <c r="G49" s="984"/>
      <c r="H49" s="984"/>
      <c r="I49" s="984"/>
      <c r="J49" s="984"/>
      <c r="K49" s="984"/>
      <c r="L49" s="984"/>
      <c r="M49" s="984"/>
      <c r="N49" s="984"/>
      <c r="O49" s="984"/>
    </row>
    <row r="50" spans="1:15">
      <c r="B50" s="136" t="s">
        <v>101</v>
      </c>
      <c r="C50" s="66"/>
      <c r="D50" s="984" t="s">
        <v>254</v>
      </c>
      <c r="E50" s="984"/>
      <c r="F50" s="984"/>
      <c r="G50" s="984"/>
      <c r="H50" s="984"/>
      <c r="I50" s="984"/>
      <c r="J50" s="984"/>
      <c r="K50" s="984"/>
      <c r="L50" s="984"/>
      <c r="M50" s="984"/>
      <c r="N50" s="984"/>
      <c r="O50" s="984"/>
    </row>
    <row r="51" spans="1:15">
      <c r="B51" s="136" t="s">
        <v>102</v>
      </c>
      <c r="C51" s="66"/>
      <c r="D51" s="983" t="s">
        <v>542</v>
      </c>
      <c r="E51" s="984"/>
      <c r="F51" s="984"/>
      <c r="G51" s="984"/>
      <c r="H51" s="984"/>
      <c r="I51" s="984"/>
      <c r="J51" s="984"/>
      <c r="K51" s="984"/>
      <c r="L51" s="984"/>
      <c r="M51" s="984"/>
      <c r="N51" s="984"/>
      <c r="O51" s="984"/>
    </row>
    <row r="52" spans="1:15">
      <c r="B52" s="249" t="s">
        <v>103</v>
      </c>
      <c r="D52" s="983" t="s">
        <v>337</v>
      </c>
      <c r="E52" s="983"/>
      <c r="F52" s="983"/>
      <c r="G52" s="983"/>
      <c r="H52" s="983"/>
      <c r="I52" s="983"/>
      <c r="J52" s="983"/>
      <c r="K52" s="983"/>
      <c r="L52" s="983"/>
      <c r="M52" s="983"/>
      <c r="N52" s="983"/>
      <c r="O52" s="983"/>
    </row>
    <row r="53" spans="1:15">
      <c r="A53" s="93"/>
      <c r="B53" s="129"/>
      <c r="C53" s="129"/>
      <c r="D53" s="129"/>
      <c r="E53" s="129"/>
      <c r="F53" s="129"/>
    </row>
    <row r="54" spans="1:15">
      <c r="A54" s="93"/>
      <c r="B54" s="129"/>
      <c r="C54" s="129"/>
      <c r="D54" s="129"/>
      <c r="E54" s="129"/>
      <c r="F54" s="129"/>
    </row>
    <row r="55" spans="1:15">
      <c r="A55" s="129"/>
      <c r="B55" s="129"/>
      <c r="C55" s="129"/>
      <c r="D55" s="129"/>
      <c r="E55" s="129"/>
      <c r="F55" s="129"/>
    </row>
    <row r="56" spans="1:15">
      <c r="A56" s="129"/>
      <c r="B56" s="129"/>
      <c r="C56" s="129"/>
      <c r="D56" s="129"/>
      <c r="E56" s="129"/>
      <c r="F56" s="129"/>
    </row>
    <row r="57" spans="1:15">
      <c r="A57" s="129"/>
      <c r="B57" s="129"/>
      <c r="C57" s="129"/>
      <c r="D57" s="129"/>
      <c r="E57" s="129"/>
      <c r="F57" s="129"/>
    </row>
    <row r="58" spans="1:15">
      <c r="A58" s="129"/>
      <c r="B58" s="129"/>
      <c r="C58" s="129"/>
      <c r="D58" s="129"/>
      <c r="E58" s="129"/>
      <c r="F58" s="129"/>
    </row>
    <row r="59" spans="1:15">
      <c r="A59" s="129"/>
      <c r="B59" s="129"/>
      <c r="C59" s="129"/>
      <c r="D59" s="129"/>
      <c r="E59" s="129"/>
      <c r="F59" s="129"/>
    </row>
    <row r="60" spans="1:15">
      <c r="A60" s="129"/>
      <c r="B60" s="129"/>
      <c r="C60" s="129"/>
      <c r="D60" s="129"/>
      <c r="E60" s="129"/>
      <c r="F60" s="129"/>
    </row>
    <row r="61" spans="1:15">
      <c r="A61" s="129"/>
      <c r="B61" s="129"/>
      <c r="C61" s="129"/>
      <c r="D61" s="129"/>
      <c r="E61" s="129"/>
      <c r="F61" s="129"/>
    </row>
    <row r="62" spans="1:15">
      <c r="A62" s="129"/>
      <c r="B62" s="129"/>
      <c r="C62" s="129"/>
      <c r="D62" s="129"/>
      <c r="E62" s="129"/>
      <c r="F62" s="129"/>
    </row>
    <row r="63" spans="1:15">
      <c r="A63" s="129"/>
      <c r="B63" s="129"/>
      <c r="C63" s="129"/>
      <c r="D63" s="129"/>
      <c r="E63" s="129"/>
      <c r="F63" s="129"/>
    </row>
    <row r="64" spans="1:15">
      <c r="A64" s="129"/>
      <c r="B64" s="129"/>
      <c r="C64" s="129"/>
      <c r="D64" s="129"/>
      <c r="E64" s="129"/>
      <c r="F64" s="129"/>
    </row>
    <row r="65" spans="1:6">
      <c r="A65" s="129"/>
      <c r="B65" s="129"/>
      <c r="C65" s="129"/>
      <c r="D65" s="129"/>
      <c r="E65" s="129"/>
      <c r="F65" s="129"/>
    </row>
    <row r="66" spans="1:6">
      <c r="A66" s="129"/>
      <c r="B66" s="129"/>
      <c r="C66" s="129"/>
      <c r="D66" s="129"/>
      <c r="E66" s="129"/>
      <c r="F66" s="129"/>
    </row>
    <row r="67" spans="1:6">
      <c r="A67" s="129"/>
      <c r="B67" s="129"/>
      <c r="C67" s="129"/>
      <c r="D67" s="129"/>
      <c r="E67" s="129"/>
      <c r="F67" s="129"/>
    </row>
    <row r="68" spans="1:6">
      <c r="A68" s="129"/>
      <c r="B68" s="129"/>
      <c r="C68" s="129"/>
      <c r="D68" s="129"/>
      <c r="E68" s="129"/>
      <c r="F68" s="129"/>
    </row>
    <row r="69" spans="1:6">
      <c r="A69" s="129"/>
      <c r="B69" s="129"/>
      <c r="C69" s="129"/>
      <c r="D69" s="129"/>
      <c r="E69" s="129"/>
      <c r="F69" s="129"/>
    </row>
    <row r="70" spans="1:6">
      <c r="A70" s="129"/>
      <c r="B70" s="129"/>
      <c r="C70" s="129"/>
      <c r="D70" s="129"/>
      <c r="E70" s="129"/>
      <c r="F70" s="129"/>
    </row>
    <row r="71" spans="1:6">
      <c r="A71" s="129"/>
      <c r="B71" s="129"/>
      <c r="C71" s="129"/>
      <c r="D71" s="129"/>
      <c r="E71" s="129"/>
      <c r="F71" s="129"/>
    </row>
    <row r="72" spans="1:6">
      <c r="A72" s="129"/>
      <c r="B72" s="129"/>
      <c r="C72" s="129"/>
      <c r="D72" s="129"/>
      <c r="E72" s="129"/>
      <c r="F72" s="129"/>
    </row>
    <row r="73" spans="1:6">
      <c r="A73" s="129"/>
      <c r="B73" s="129"/>
      <c r="C73" s="129"/>
      <c r="D73" s="129"/>
      <c r="E73" s="129"/>
      <c r="F73" s="129"/>
    </row>
    <row r="74" spans="1:6">
      <c r="A74" s="129"/>
      <c r="B74" s="129"/>
      <c r="C74" s="129"/>
      <c r="D74" s="129"/>
      <c r="E74" s="129"/>
      <c r="F74" s="129"/>
    </row>
    <row r="75" spans="1:6">
      <c r="A75" s="129"/>
      <c r="B75" s="129"/>
      <c r="C75" s="129"/>
      <c r="D75" s="129"/>
      <c r="E75" s="129"/>
      <c r="F75" s="129"/>
    </row>
    <row r="76" spans="1:6">
      <c r="A76" s="129"/>
      <c r="B76" s="129"/>
      <c r="C76" s="129"/>
      <c r="D76" s="129"/>
      <c r="E76" s="129"/>
      <c r="F76" s="129"/>
    </row>
    <row r="77" spans="1:6">
      <c r="A77" s="129"/>
      <c r="B77" s="129"/>
      <c r="C77" s="129"/>
      <c r="D77" s="129"/>
      <c r="E77" s="129"/>
      <c r="F77" s="129"/>
    </row>
    <row r="78" spans="1:6">
      <c r="A78" s="129"/>
      <c r="B78" s="129"/>
      <c r="C78" s="129"/>
      <c r="D78" s="129"/>
      <c r="E78" s="129"/>
      <c r="F78" s="129"/>
    </row>
    <row r="79" spans="1:6">
      <c r="A79" s="129"/>
      <c r="B79" s="129"/>
      <c r="C79" s="129"/>
      <c r="D79" s="129"/>
      <c r="E79" s="129"/>
      <c r="F79" s="129"/>
    </row>
    <row r="80" spans="1:6">
      <c r="A80" s="129"/>
      <c r="B80" s="129"/>
      <c r="C80" s="129"/>
      <c r="D80" s="129"/>
      <c r="E80" s="129"/>
      <c r="F80" s="129"/>
    </row>
    <row r="81" spans="1:6">
      <c r="A81" s="129"/>
      <c r="B81" s="129"/>
      <c r="C81" s="129"/>
      <c r="D81" s="129"/>
      <c r="E81" s="129"/>
      <c r="F81" s="129"/>
    </row>
    <row r="82" spans="1:6">
      <c r="A82" s="129"/>
      <c r="B82" s="129"/>
      <c r="C82" s="129"/>
      <c r="D82" s="129"/>
      <c r="E82" s="129"/>
      <c r="F82" s="129"/>
    </row>
    <row r="83" spans="1:6">
      <c r="A83" s="129"/>
      <c r="B83" s="129"/>
      <c r="C83" s="129"/>
      <c r="D83" s="129"/>
      <c r="E83" s="129"/>
      <c r="F83" s="129"/>
    </row>
    <row r="84" spans="1:6">
      <c r="A84" s="129"/>
      <c r="B84" s="129"/>
      <c r="C84" s="129"/>
      <c r="D84" s="129"/>
      <c r="E84" s="129"/>
      <c r="F84" s="129"/>
    </row>
    <row r="85" spans="1:6">
      <c r="A85" s="129"/>
      <c r="B85" s="129"/>
      <c r="C85" s="129"/>
      <c r="D85" s="129"/>
      <c r="E85" s="129"/>
      <c r="F85" s="129"/>
    </row>
    <row r="86" spans="1:6">
      <c r="A86" s="129"/>
      <c r="B86" s="129"/>
      <c r="C86" s="129"/>
      <c r="D86" s="129"/>
      <c r="E86" s="129"/>
      <c r="F86" s="129"/>
    </row>
    <row r="87" spans="1:6">
      <c r="A87" s="129"/>
      <c r="B87" s="129"/>
      <c r="C87" s="129"/>
      <c r="D87" s="129"/>
      <c r="E87" s="129"/>
      <c r="F87" s="129"/>
    </row>
    <row r="88" spans="1:6">
      <c r="A88" s="129"/>
      <c r="B88" s="129"/>
      <c r="C88" s="129"/>
      <c r="D88" s="129"/>
      <c r="E88" s="129"/>
      <c r="F88" s="129"/>
    </row>
    <row r="89" spans="1:6">
      <c r="A89" s="129"/>
      <c r="B89" s="129"/>
      <c r="C89" s="129"/>
      <c r="D89" s="129"/>
      <c r="E89" s="129"/>
      <c r="F89" s="129"/>
    </row>
    <row r="90" spans="1:6">
      <c r="A90" s="129"/>
      <c r="B90" s="129"/>
      <c r="C90" s="129"/>
      <c r="D90" s="129"/>
      <c r="E90" s="129"/>
      <c r="F90" s="129"/>
    </row>
    <row r="91" spans="1:6">
      <c r="A91" s="129"/>
      <c r="B91" s="129"/>
      <c r="C91" s="129"/>
      <c r="D91" s="129"/>
      <c r="E91" s="129"/>
      <c r="F91" s="129"/>
    </row>
    <row r="92" spans="1:6">
      <c r="A92" s="129"/>
      <c r="B92" s="129"/>
      <c r="C92" s="129"/>
      <c r="D92" s="129"/>
      <c r="E92" s="129"/>
      <c r="F92" s="129"/>
    </row>
    <row r="93" spans="1:6">
      <c r="A93" s="129"/>
      <c r="B93" s="129"/>
      <c r="C93" s="129"/>
      <c r="D93" s="129"/>
      <c r="E93" s="129"/>
      <c r="F93" s="129"/>
    </row>
    <row r="94" spans="1:6">
      <c r="A94" s="129"/>
      <c r="B94" s="129"/>
      <c r="C94" s="129"/>
      <c r="D94" s="129"/>
      <c r="E94" s="129"/>
      <c r="F94" s="129"/>
    </row>
    <row r="95" spans="1:6">
      <c r="A95" s="129"/>
      <c r="B95" s="129"/>
      <c r="C95" s="129"/>
      <c r="D95" s="129"/>
      <c r="E95" s="129"/>
      <c r="F95" s="129"/>
    </row>
    <row r="96" spans="1:6">
      <c r="A96" s="129"/>
      <c r="B96" s="129"/>
      <c r="C96" s="129"/>
      <c r="D96" s="129"/>
      <c r="E96" s="129"/>
      <c r="F96" s="129"/>
    </row>
    <row r="97" spans="1:6">
      <c r="A97" s="129"/>
      <c r="B97" s="129"/>
      <c r="C97" s="129"/>
      <c r="D97" s="129"/>
      <c r="E97" s="129"/>
      <c r="F97" s="129"/>
    </row>
    <row r="98" spans="1:6">
      <c r="A98" s="129"/>
      <c r="B98" s="129"/>
      <c r="C98" s="129"/>
      <c r="D98" s="129"/>
      <c r="E98" s="129"/>
      <c r="F98" s="129"/>
    </row>
    <row r="99" spans="1:6">
      <c r="A99" s="129"/>
      <c r="B99" s="129"/>
      <c r="C99" s="129"/>
      <c r="D99" s="129"/>
      <c r="E99" s="129"/>
      <c r="F99" s="129"/>
    </row>
    <row r="100" spans="1:6">
      <c r="A100" s="129"/>
      <c r="B100" s="129"/>
      <c r="C100" s="129"/>
      <c r="D100" s="129"/>
      <c r="E100" s="129"/>
      <c r="F100" s="129"/>
    </row>
    <row r="101" spans="1:6">
      <c r="A101" s="129"/>
      <c r="B101" s="129"/>
      <c r="C101" s="129"/>
      <c r="D101" s="129"/>
      <c r="E101" s="129"/>
      <c r="F101" s="129"/>
    </row>
    <row r="102" spans="1:6">
      <c r="A102" s="129"/>
      <c r="B102" s="129"/>
      <c r="C102" s="129"/>
      <c r="D102" s="129"/>
      <c r="E102" s="129"/>
      <c r="F102" s="129"/>
    </row>
    <row r="103" spans="1:6">
      <c r="A103" s="129"/>
      <c r="B103" s="129"/>
      <c r="C103" s="129"/>
      <c r="D103" s="129"/>
      <c r="E103" s="129"/>
      <c r="F103" s="129"/>
    </row>
    <row r="104" spans="1:6">
      <c r="A104" s="129"/>
      <c r="B104" s="129"/>
      <c r="C104" s="129"/>
      <c r="D104" s="129"/>
      <c r="E104" s="129"/>
      <c r="F104" s="129"/>
    </row>
    <row r="105" spans="1:6">
      <c r="A105" s="129"/>
      <c r="B105" s="129"/>
      <c r="C105" s="129"/>
      <c r="D105" s="129"/>
      <c r="E105" s="129"/>
      <c r="F105" s="129"/>
    </row>
    <row r="106" spans="1:6">
      <c r="A106" s="129"/>
      <c r="B106" s="129"/>
      <c r="C106" s="129"/>
      <c r="D106" s="129"/>
      <c r="E106" s="129"/>
      <c r="F106" s="129"/>
    </row>
    <row r="107" spans="1:6">
      <c r="A107" s="129"/>
      <c r="B107" s="129"/>
      <c r="C107" s="129"/>
      <c r="D107" s="129"/>
      <c r="E107" s="129"/>
      <c r="F107" s="129"/>
    </row>
    <row r="108" spans="1:6">
      <c r="A108" s="129"/>
      <c r="B108" s="129"/>
      <c r="C108" s="129"/>
      <c r="D108" s="129"/>
      <c r="E108" s="129"/>
      <c r="F108" s="129"/>
    </row>
    <row r="109" spans="1:6">
      <c r="A109" s="129"/>
      <c r="B109" s="129"/>
      <c r="C109" s="129"/>
      <c r="D109" s="129"/>
      <c r="E109" s="129"/>
      <c r="F109" s="129"/>
    </row>
    <row r="110" spans="1:6">
      <c r="A110" s="129"/>
      <c r="B110" s="129"/>
      <c r="C110" s="129"/>
      <c r="D110" s="129"/>
      <c r="E110" s="129"/>
      <c r="F110" s="129"/>
    </row>
    <row r="111" spans="1:6">
      <c r="A111" s="129"/>
      <c r="B111" s="129"/>
      <c r="C111" s="129"/>
      <c r="D111" s="129"/>
      <c r="E111" s="129"/>
      <c r="F111" s="129"/>
    </row>
    <row r="112" spans="1:6">
      <c r="A112" s="129"/>
      <c r="B112" s="129"/>
      <c r="C112" s="129"/>
      <c r="D112" s="129"/>
      <c r="E112" s="129"/>
      <c r="F112" s="129"/>
    </row>
    <row r="113" spans="1:6">
      <c r="A113" s="129"/>
      <c r="B113" s="129"/>
      <c r="C113" s="129"/>
      <c r="D113" s="129"/>
      <c r="E113" s="129"/>
      <c r="F113" s="129"/>
    </row>
    <row r="114" spans="1:6">
      <c r="A114" s="129"/>
      <c r="B114" s="129"/>
      <c r="C114" s="129"/>
      <c r="D114" s="129"/>
      <c r="E114" s="129"/>
      <c r="F114" s="129"/>
    </row>
    <row r="115" spans="1:6">
      <c r="A115" s="129"/>
      <c r="B115" s="129"/>
      <c r="C115" s="129"/>
      <c r="D115" s="129"/>
      <c r="E115" s="129"/>
      <c r="F115" s="129"/>
    </row>
    <row r="116" spans="1:6">
      <c r="A116" s="129"/>
      <c r="B116" s="129"/>
      <c r="C116" s="129"/>
      <c r="D116" s="129"/>
      <c r="E116" s="129"/>
      <c r="F116" s="129"/>
    </row>
    <row r="117" spans="1:6">
      <c r="A117" s="129"/>
      <c r="B117" s="129"/>
      <c r="C117" s="129"/>
      <c r="D117" s="129"/>
      <c r="E117" s="129"/>
      <c r="F117" s="129"/>
    </row>
    <row r="118" spans="1:6">
      <c r="A118" s="129"/>
      <c r="B118" s="129"/>
      <c r="C118" s="129"/>
      <c r="D118" s="129"/>
      <c r="E118" s="129"/>
      <c r="F118" s="129"/>
    </row>
    <row r="119" spans="1:6">
      <c r="A119" s="129"/>
      <c r="B119" s="129"/>
      <c r="C119" s="129"/>
      <c r="D119" s="129"/>
      <c r="E119" s="129"/>
      <c r="F119" s="129"/>
    </row>
    <row r="120" spans="1:6">
      <c r="A120" s="129"/>
      <c r="B120" s="129"/>
      <c r="C120" s="129"/>
      <c r="D120" s="129"/>
      <c r="E120" s="129"/>
      <c r="F120" s="129"/>
    </row>
    <row r="121" spans="1:6">
      <c r="A121" s="129"/>
      <c r="B121" s="129"/>
      <c r="C121" s="129"/>
      <c r="D121" s="129"/>
      <c r="E121" s="129"/>
      <c r="F121" s="129"/>
    </row>
    <row r="122" spans="1:6">
      <c r="A122" s="129"/>
      <c r="B122" s="129"/>
      <c r="C122" s="129"/>
      <c r="D122" s="129"/>
      <c r="E122" s="129"/>
      <c r="F122" s="129"/>
    </row>
    <row r="123" spans="1:6">
      <c r="A123" s="129"/>
      <c r="B123" s="129"/>
      <c r="C123" s="129"/>
      <c r="D123" s="129"/>
      <c r="E123" s="129"/>
      <c r="F123" s="129"/>
    </row>
    <row r="124" spans="1:6">
      <c r="A124" s="129"/>
      <c r="B124" s="129"/>
      <c r="C124" s="129"/>
      <c r="D124" s="129"/>
      <c r="E124" s="129"/>
      <c r="F124" s="129"/>
    </row>
    <row r="125" spans="1:6">
      <c r="A125" s="129"/>
      <c r="B125" s="129"/>
      <c r="C125" s="129"/>
      <c r="D125" s="129"/>
      <c r="E125" s="129"/>
      <c r="F125" s="129"/>
    </row>
    <row r="126" spans="1:6">
      <c r="A126" s="129"/>
      <c r="B126" s="129"/>
      <c r="C126" s="129"/>
      <c r="D126" s="129"/>
      <c r="E126" s="129"/>
      <c r="F126" s="129"/>
    </row>
    <row r="127" spans="1:6">
      <c r="A127" s="129"/>
      <c r="B127" s="129"/>
      <c r="C127" s="129"/>
      <c r="D127" s="129"/>
      <c r="E127" s="129"/>
      <c r="F127" s="129"/>
    </row>
    <row r="128" spans="1:6">
      <c r="A128" s="129"/>
      <c r="B128" s="129"/>
      <c r="C128" s="129"/>
      <c r="D128" s="129"/>
      <c r="E128" s="129"/>
      <c r="F128" s="129"/>
    </row>
    <row r="129" spans="1:6">
      <c r="A129" s="129"/>
      <c r="B129" s="129"/>
      <c r="C129" s="129"/>
      <c r="D129" s="129"/>
      <c r="E129" s="129"/>
      <c r="F129" s="129"/>
    </row>
    <row r="130" spans="1:6">
      <c r="A130" s="129"/>
      <c r="B130" s="129"/>
      <c r="C130" s="129"/>
      <c r="D130" s="129"/>
      <c r="E130" s="129"/>
      <c r="F130" s="129"/>
    </row>
    <row r="131" spans="1:6">
      <c r="A131" s="129"/>
      <c r="B131" s="129"/>
      <c r="C131" s="129"/>
      <c r="D131" s="129"/>
      <c r="E131" s="129"/>
      <c r="F131" s="129"/>
    </row>
    <row r="132" spans="1:6">
      <c r="A132" s="129"/>
      <c r="B132" s="129"/>
      <c r="C132" s="129"/>
      <c r="D132" s="129"/>
      <c r="E132" s="129"/>
      <c r="F132" s="129"/>
    </row>
    <row r="133" spans="1:6">
      <c r="A133" s="129"/>
      <c r="B133" s="129"/>
      <c r="C133" s="129"/>
      <c r="D133" s="129"/>
      <c r="E133" s="129"/>
      <c r="F133" s="129"/>
    </row>
    <row r="134" spans="1:6">
      <c r="A134" s="129"/>
      <c r="B134" s="129"/>
      <c r="C134" s="129"/>
      <c r="D134" s="129"/>
      <c r="E134" s="129"/>
      <c r="F134" s="129"/>
    </row>
    <row r="135" spans="1:6">
      <c r="A135" s="129"/>
      <c r="B135" s="129"/>
      <c r="C135" s="129"/>
      <c r="D135" s="129"/>
      <c r="E135" s="129"/>
      <c r="F135" s="129"/>
    </row>
    <row r="136" spans="1:6">
      <c r="A136" s="129"/>
      <c r="B136" s="129"/>
      <c r="C136" s="129"/>
      <c r="D136" s="129"/>
      <c r="E136" s="129"/>
      <c r="F136" s="129"/>
    </row>
    <row r="137" spans="1:6">
      <c r="A137" s="129"/>
      <c r="B137" s="129"/>
      <c r="C137" s="129"/>
      <c r="D137" s="129"/>
      <c r="E137" s="129"/>
      <c r="F137" s="129"/>
    </row>
    <row r="138" spans="1:6">
      <c r="A138" s="129"/>
      <c r="B138" s="129"/>
      <c r="C138" s="129"/>
      <c r="D138" s="129"/>
      <c r="E138" s="129"/>
      <c r="F138" s="129"/>
    </row>
    <row r="139" spans="1:6">
      <c r="A139" s="129"/>
      <c r="B139" s="129"/>
      <c r="C139" s="129"/>
      <c r="D139" s="129"/>
      <c r="E139" s="129"/>
      <c r="F139" s="129"/>
    </row>
    <row r="140" spans="1:6">
      <c r="A140" s="129"/>
      <c r="B140" s="129"/>
      <c r="C140" s="129"/>
      <c r="D140" s="129"/>
      <c r="E140" s="129"/>
      <c r="F140" s="129"/>
    </row>
    <row r="141" spans="1:6">
      <c r="A141" s="129"/>
      <c r="B141" s="129"/>
      <c r="C141" s="129"/>
      <c r="D141" s="129"/>
      <c r="E141" s="129"/>
      <c r="F141" s="129"/>
    </row>
    <row r="142" spans="1:6">
      <c r="A142" s="129"/>
      <c r="B142" s="129"/>
      <c r="C142" s="129"/>
      <c r="D142" s="129"/>
      <c r="E142" s="129"/>
      <c r="F142" s="129"/>
    </row>
    <row r="143" spans="1:6">
      <c r="A143" s="129"/>
      <c r="B143" s="129"/>
      <c r="C143" s="129"/>
      <c r="D143" s="129"/>
      <c r="E143" s="129"/>
      <c r="F143" s="129"/>
    </row>
    <row r="144" spans="1:6">
      <c r="A144" s="129"/>
      <c r="B144" s="129"/>
      <c r="C144" s="129"/>
      <c r="D144" s="129"/>
      <c r="E144" s="129"/>
      <c r="F144" s="129"/>
    </row>
    <row r="145" spans="1:6">
      <c r="A145" s="129"/>
      <c r="B145" s="129"/>
      <c r="C145" s="129"/>
      <c r="D145" s="129"/>
      <c r="E145" s="129"/>
      <c r="F145" s="129"/>
    </row>
    <row r="146" spans="1:6">
      <c r="A146" s="129"/>
      <c r="B146" s="129"/>
      <c r="C146" s="129"/>
      <c r="D146" s="129"/>
      <c r="E146" s="129"/>
      <c r="F146" s="129"/>
    </row>
    <row r="147" spans="1:6">
      <c r="A147" s="129"/>
      <c r="B147" s="129"/>
      <c r="C147" s="129"/>
      <c r="D147" s="129"/>
      <c r="E147" s="129"/>
      <c r="F147" s="129"/>
    </row>
    <row r="148" spans="1:6">
      <c r="A148" s="129"/>
      <c r="B148" s="129"/>
      <c r="C148" s="129"/>
      <c r="D148" s="129"/>
      <c r="E148" s="129"/>
      <c r="F148" s="129"/>
    </row>
    <row r="149" spans="1:6">
      <c r="A149" s="129"/>
      <c r="B149" s="129"/>
      <c r="C149" s="129"/>
      <c r="D149" s="129"/>
      <c r="E149" s="129"/>
      <c r="F149" s="129"/>
    </row>
    <row r="150" spans="1:6">
      <c r="A150" s="129"/>
      <c r="B150" s="129"/>
      <c r="C150" s="129"/>
      <c r="D150" s="129"/>
      <c r="E150" s="129"/>
      <c r="F150" s="129"/>
    </row>
    <row r="151" spans="1:6">
      <c r="A151" s="129"/>
      <c r="B151" s="129"/>
      <c r="C151" s="129"/>
      <c r="D151" s="129"/>
      <c r="E151" s="129"/>
      <c r="F151" s="129"/>
    </row>
    <row r="152" spans="1:6">
      <c r="A152" s="129"/>
      <c r="B152" s="129"/>
      <c r="C152" s="129"/>
      <c r="D152" s="129"/>
      <c r="E152" s="129"/>
      <c r="F152" s="129"/>
    </row>
    <row r="153" spans="1:6">
      <c r="A153" s="129"/>
      <c r="B153" s="129"/>
      <c r="C153" s="129"/>
      <c r="D153" s="129"/>
      <c r="E153" s="129"/>
      <c r="F153" s="129"/>
    </row>
    <row r="154" spans="1:6">
      <c r="A154" s="129"/>
      <c r="B154" s="129"/>
      <c r="C154" s="129"/>
      <c r="D154" s="129"/>
      <c r="E154" s="129"/>
      <c r="F154" s="129"/>
    </row>
    <row r="155" spans="1:6">
      <c r="A155" s="129"/>
      <c r="B155" s="129"/>
      <c r="C155" s="129"/>
      <c r="D155" s="129"/>
      <c r="E155" s="129"/>
      <c r="F155" s="129"/>
    </row>
    <row r="156" spans="1:6">
      <c r="A156" s="129"/>
      <c r="B156" s="129"/>
      <c r="C156" s="129"/>
      <c r="D156" s="129"/>
      <c r="E156" s="129"/>
      <c r="F156" s="129"/>
    </row>
    <row r="157" spans="1:6">
      <c r="A157" s="129"/>
      <c r="B157" s="129"/>
      <c r="C157" s="129"/>
      <c r="D157" s="129"/>
      <c r="E157" s="129"/>
      <c r="F157" s="129"/>
    </row>
    <row r="158" spans="1:6">
      <c r="A158" s="129"/>
      <c r="B158" s="129"/>
      <c r="C158" s="129"/>
      <c r="D158" s="129"/>
      <c r="E158" s="129"/>
      <c r="F158" s="129"/>
    </row>
    <row r="159" spans="1:6">
      <c r="A159" s="129"/>
      <c r="B159" s="129"/>
      <c r="C159" s="129"/>
      <c r="D159" s="129"/>
      <c r="E159" s="129"/>
      <c r="F159" s="129"/>
    </row>
    <row r="160" spans="1:6">
      <c r="A160" s="129"/>
      <c r="B160" s="129"/>
      <c r="C160" s="129"/>
      <c r="D160" s="129"/>
      <c r="E160" s="129"/>
      <c r="F160" s="129"/>
    </row>
    <row r="161" spans="1:6">
      <c r="A161" s="129"/>
      <c r="B161" s="129"/>
      <c r="C161" s="129"/>
      <c r="D161" s="129"/>
      <c r="E161" s="129"/>
      <c r="F161" s="129"/>
    </row>
    <row r="162" spans="1:6">
      <c r="A162" s="129"/>
      <c r="B162" s="129"/>
      <c r="C162" s="129"/>
      <c r="D162" s="129"/>
      <c r="E162" s="129"/>
      <c r="F162" s="129"/>
    </row>
    <row r="163" spans="1:6">
      <c r="A163" s="129"/>
      <c r="B163" s="129"/>
      <c r="C163" s="129"/>
      <c r="D163" s="129"/>
      <c r="E163" s="129"/>
      <c r="F163" s="129"/>
    </row>
    <row r="164" spans="1:6">
      <c r="A164" s="129"/>
      <c r="B164" s="129"/>
      <c r="C164" s="129"/>
      <c r="D164" s="129"/>
      <c r="E164" s="129"/>
      <c r="F164" s="129"/>
    </row>
    <row r="165" spans="1:6">
      <c r="A165" s="129"/>
      <c r="B165" s="129"/>
      <c r="C165" s="129"/>
      <c r="D165" s="129"/>
      <c r="E165" s="129"/>
      <c r="F165" s="129"/>
    </row>
    <row r="166" spans="1:6">
      <c r="A166" s="129"/>
      <c r="B166" s="129"/>
      <c r="C166" s="129"/>
      <c r="D166" s="129"/>
      <c r="E166" s="129"/>
      <c r="F166" s="129"/>
    </row>
    <row r="167" spans="1:6">
      <c r="A167" s="129"/>
      <c r="B167" s="129"/>
      <c r="C167" s="129"/>
      <c r="D167" s="129"/>
      <c r="E167" s="129"/>
      <c r="F167" s="129"/>
    </row>
    <row r="168" spans="1:6">
      <c r="A168" s="129"/>
      <c r="B168" s="129"/>
      <c r="C168" s="129"/>
      <c r="D168" s="129"/>
      <c r="E168" s="129"/>
      <c r="F168" s="129"/>
    </row>
    <row r="169" spans="1:6">
      <c r="A169" s="129"/>
      <c r="B169" s="129"/>
      <c r="C169" s="129"/>
      <c r="D169" s="129"/>
      <c r="E169" s="129"/>
      <c r="F169" s="129"/>
    </row>
    <row r="170" spans="1:6">
      <c r="A170" s="129"/>
      <c r="B170" s="129"/>
      <c r="C170" s="129"/>
      <c r="D170" s="129"/>
      <c r="E170" s="129"/>
      <c r="F170" s="129"/>
    </row>
    <row r="171" spans="1:6">
      <c r="A171" s="129"/>
      <c r="B171" s="129"/>
      <c r="C171" s="129"/>
      <c r="D171" s="129"/>
      <c r="E171" s="129"/>
      <c r="F171" s="129"/>
    </row>
    <row r="172" spans="1:6">
      <c r="A172" s="129"/>
      <c r="B172" s="129"/>
      <c r="C172" s="129"/>
      <c r="D172" s="129"/>
      <c r="E172" s="129"/>
      <c r="F172" s="129"/>
    </row>
    <row r="173" spans="1:6">
      <c r="A173" s="129"/>
      <c r="B173" s="129"/>
      <c r="C173" s="129"/>
      <c r="D173" s="129"/>
      <c r="E173" s="129"/>
      <c r="F173" s="129"/>
    </row>
    <row r="174" spans="1:6">
      <c r="A174" s="129"/>
      <c r="B174" s="129"/>
      <c r="C174" s="129"/>
      <c r="D174" s="129"/>
      <c r="E174" s="129"/>
      <c r="F174" s="129"/>
    </row>
    <row r="175" spans="1:6">
      <c r="A175" s="129"/>
      <c r="B175" s="129"/>
      <c r="C175" s="129"/>
      <c r="D175" s="129"/>
      <c r="E175" s="129"/>
      <c r="F175" s="129"/>
    </row>
    <row r="176" spans="1:6">
      <c r="A176" s="129"/>
      <c r="B176" s="129"/>
      <c r="C176" s="129"/>
      <c r="D176" s="129"/>
      <c r="E176" s="129"/>
      <c r="F176" s="129"/>
    </row>
    <row r="177" spans="1:6">
      <c r="A177" s="129"/>
      <c r="B177" s="129"/>
      <c r="C177" s="129"/>
      <c r="D177" s="129"/>
      <c r="E177" s="129"/>
      <c r="F177" s="129"/>
    </row>
    <row r="178" spans="1:6">
      <c r="A178" s="129"/>
      <c r="B178" s="129"/>
      <c r="C178" s="129"/>
      <c r="D178" s="129"/>
      <c r="E178" s="129"/>
      <c r="F178" s="129"/>
    </row>
    <row r="179" spans="1:6">
      <c r="A179" s="129"/>
      <c r="B179" s="129"/>
      <c r="C179" s="129"/>
      <c r="D179" s="129"/>
      <c r="E179" s="129"/>
      <c r="F179" s="129"/>
    </row>
    <row r="180" spans="1:6">
      <c r="A180" s="129"/>
      <c r="B180" s="129"/>
      <c r="C180" s="129"/>
      <c r="D180" s="129"/>
      <c r="E180" s="129"/>
      <c r="F180" s="129"/>
    </row>
    <row r="181" spans="1:6">
      <c r="A181" s="129"/>
      <c r="B181" s="129"/>
      <c r="C181" s="129"/>
      <c r="D181" s="129"/>
      <c r="E181" s="129"/>
      <c r="F181" s="129"/>
    </row>
    <row r="182" spans="1:6">
      <c r="A182" s="129"/>
      <c r="B182" s="129"/>
      <c r="C182" s="129"/>
      <c r="D182" s="129"/>
      <c r="E182" s="129"/>
      <c r="F182" s="129"/>
    </row>
    <row r="183" spans="1:6">
      <c r="A183" s="129"/>
      <c r="B183" s="129"/>
      <c r="C183" s="129"/>
      <c r="D183" s="129"/>
      <c r="E183" s="129"/>
      <c r="F183" s="129"/>
    </row>
    <row r="184" spans="1:6">
      <c r="A184" s="129"/>
      <c r="B184" s="129"/>
      <c r="C184" s="129"/>
      <c r="D184" s="129"/>
      <c r="E184" s="129"/>
      <c r="F184" s="129"/>
    </row>
    <row r="185" spans="1:6">
      <c r="A185" s="129"/>
      <c r="B185" s="129"/>
      <c r="C185" s="129"/>
      <c r="D185" s="129"/>
      <c r="E185" s="129"/>
      <c r="F185" s="129"/>
    </row>
    <row r="186" spans="1:6">
      <c r="A186" s="129"/>
      <c r="B186" s="129"/>
      <c r="C186" s="129"/>
      <c r="D186" s="129"/>
      <c r="E186" s="129"/>
      <c r="F186" s="129"/>
    </row>
    <row r="187" spans="1:6">
      <c r="A187" s="129"/>
      <c r="B187" s="129"/>
      <c r="C187" s="129"/>
      <c r="D187" s="129"/>
      <c r="E187" s="129"/>
      <c r="F187" s="129"/>
    </row>
    <row r="188" spans="1:6">
      <c r="A188" s="129"/>
      <c r="B188" s="129"/>
      <c r="C188" s="129"/>
      <c r="D188" s="129"/>
      <c r="E188" s="129"/>
      <c r="F188" s="129"/>
    </row>
    <row r="189" spans="1:6">
      <c r="A189" s="129"/>
      <c r="B189" s="129"/>
      <c r="C189" s="129"/>
      <c r="D189" s="129"/>
      <c r="E189" s="129"/>
      <c r="F189" s="129"/>
    </row>
    <row r="190" spans="1:6">
      <c r="A190" s="129"/>
      <c r="B190" s="129"/>
      <c r="C190" s="129"/>
      <c r="D190" s="129"/>
      <c r="E190" s="129"/>
      <c r="F190" s="129"/>
    </row>
    <row r="191" spans="1:6">
      <c r="A191" s="129"/>
      <c r="B191" s="129"/>
      <c r="C191" s="129"/>
      <c r="D191" s="129"/>
      <c r="E191" s="129"/>
      <c r="F191" s="129"/>
    </row>
    <row r="192" spans="1:6">
      <c r="A192" s="129"/>
      <c r="B192" s="129"/>
      <c r="C192" s="129"/>
      <c r="D192" s="129"/>
      <c r="E192" s="129"/>
      <c r="F192" s="129"/>
    </row>
    <row r="193" spans="1:6">
      <c r="A193" s="129"/>
      <c r="B193" s="129"/>
      <c r="C193" s="129"/>
      <c r="D193" s="129"/>
      <c r="E193" s="129"/>
      <c r="F193" s="129"/>
    </row>
    <row r="194" spans="1:6">
      <c r="A194" s="129"/>
      <c r="B194" s="129"/>
      <c r="C194" s="129"/>
      <c r="D194" s="129"/>
      <c r="E194" s="129"/>
      <c r="F194" s="129"/>
    </row>
    <row r="195" spans="1:6">
      <c r="A195" s="129"/>
      <c r="B195" s="129"/>
      <c r="C195" s="129"/>
      <c r="D195" s="129"/>
      <c r="E195" s="129"/>
      <c r="F195" s="129"/>
    </row>
    <row r="196" spans="1:6">
      <c r="A196" s="129"/>
      <c r="B196" s="129"/>
      <c r="C196" s="129"/>
      <c r="D196" s="129"/>
      <c r="E196" s="129"/>
      <c r="F196" s="129"/>
    </row>
    <row r="197" spans="1:6">
      <c r="A197" s="129"/>
      <c r="B197" s="129"/>
      <c r="C197" s="129"/>
      <c r="D197" s="129"/>
      <c r="E197" s="129"/>
      <c r="F197" s="129"/>
    </row>
    <row r="198" spans="1:6">
      <c r="A198" s="129"/>
      <c r="B198" s="129"/>
      <c r="C198" s="129"/>
      <c r="D198" s="129"/>
      <c r="E198" s="129"/>
      <c r="F198" s="129"/>
    </row>
    <row r="199" spans="1:6">
      <c r="A199" s="129"/>
      <c r="B199" s="129"/>
      <c r="C199" s="129"/>
      <c r="D199" s="129"/>
      <c r="E199" s="129"/>
      <c r="F199" s="129"/>
    </row>
    <row r="200" spans="1:6">
      <c r="A200" s="129"/>
      <c r="B200" s="129"/>
      <c r="C200" s="129"/>
      <c r="D200" s="129"/>
      <c r="E200" s="129"/>
      <c r="F200" s="129"/>
    </row>
    <row r="201" spans="1:6">
      <c r="A201" s="129"/>
      <c r="B201" s="129"/>
      <c r="C201" s="129"/>
      <c r="D201" s="129"/>
      <c r="E201" s="129"/>
      <c r="F201" s="129"/>
    </row>
    <row r="202" spans="1:6">
      <c r="A202" s="129"/>
      <c r="B202" s="129"/>
      <c r="C202" s="129"/>
      <c r="D202" s="129"/>
      <c r="E202" s="129"/>
      <c r="F202" s="129"/>
    </row>
    <row r="203" spans="1:6">
      <c r="A203" s="129"/>
      <c r="B203" s="129"/>
      <c r="C203" s="129"/>
      <c r="D203" s="129"/>
      <c r="E203" s="129"/>
      <c r="F203" s="129"/>
    </row>
    <row r="204" spans="1:6">
      <c r="A204" s="129"/>
      <c r="B204" s="129"/>
      <c r="C204" s="129"/>
      <c r="D204" s="129"/>
      <c r="E204" s="129"/>
      <c r="F204" s="129"/>
    </row>
    <row r="205" spans="1:6">
      <c r="A205" s="129"/>
      <c r="B205" s="129"/>
      <c r="C205" s="129"/>
      <c r="D205" s="129"/>
      <c r="E205" s="129"/>
      <c r="F205" s="129"/>
    </row>
    <row r="206" spans="1:6">
      <c r="A206" s="129"/>
      <c r="B206" s="129"/>
      <c r="C206" s="129"/>
      <c r="D206" s="129"/>
      <c r="E206" s="129"/>
      <c r="F206" s="129"/>
    </row>
    <row r="207" spans="1:6">
      <c r="A207" s="129"/>
      <c r="B207" s="129"/>
      <c r="C207" s="129"/>
      <c r="D207" s="129"/>
      <c r="E207" s="129"/>
      <c r="F207" s="129"/>
    </row>
    <row r="208" spans="1:6">
      <c r="A208" s="129"/>
      <c r="B208" s="129"/>
      <c r="C208" s="129"/>
      <c r="D208" s="129"/>
      <c r="E208" s="129"/>
      <c r="F208" s="129"/>
    </row>
    <row r="209" spans="1:6">
      <c r="A209" s="129"/>
      <c r="B209" s="129"/>
      <c r="C209" s="129"/>
      <c r="D209" s="129"/>
      <c r="E209" s="129"/>
      <c r="F209" s="129"/>
    </row>
    <row r="210" spans="1:6">
      <c r="A210" s="129"/>
      <c r="B210" s="129"/>
      <c r="C210" s="129"/>
      <c r="D210" s="129"/>
      <c r="E210" s="129"/>
      <c r="F210" s="129"/>
    </row>
    <row r="211" spans="1:6">
      <c r="A211" s="129"/>
      <c r="B211" s="129"/>
      <c r="C211" s="129"/>
      <c r="D211" s="129"/>
      <c r="E211" s="129"/>
      <c r="F211" s="129"/>
    </row>
    <row r="212" spans="1:6">
      <c r="A212" s="129"/>
      <c r="B212" s="129"/>
      <c r="C212" s="129"/>
      <c r="D212" s="129"/>
      <c r="E212" s="129"/>
      <c r="F212" s="129"/>
    </row>
    <row r="213" spans="1:6">
      <c r="A213" s="129"/>
      <c r="B213" s="129"/>
      <c r="C213" s="129"/>
      <c r="D213" s="129"/>
      <c r="E213" s="129"/>
      <c r="F213" s="129"/>
    </row>
    <row r="214" spans="1:6">
      <c r="A214" s="129"/>
      <c r="B214" s="129"/>
      <c r="C214" s="129"/>
      <c r="D214" s="129"/>
      <c r="E214" s="129"/>
      <c r="F214" s="129"/>
    </row>
    <row r="215" spans="1:6">
      <c r="A215" s="129"/>
      <c r="B215" s="129"/>
      <c r="C215" s="129"/>
      <c r="D215" s="129"/>
      <c r="E215" s="129"/>
      <c r="F215" s="129"/>
    </row>
    <row r="216" spans="1:6">
      <c r="A216" s="129"/>
      <c r="B216" s="129"/>
      <c r="C216" s="129"/>
      <c r="D216" s="129"/>
      <c r="E216" s="129"/>
      <c r="F216" s="129"/>
    </row>
    <row r="217" spans="1:6">
      <c r="A217" s="129"/>
      <c r="B217" s="129"/>
      <c r="C217" s="129"/>
      <c r="D217" s="129"/>
      <c r="E217" s="129"/>
      <c r="F217" s="129"/>
    </row>
    <row r="218" spans="1:6">
      <c r="A218" s="129"/>
      <c r="B218" s="129"/>
      <c r="C218" s="129"/>
      <c r="D218" s="129"/>
      <c r="E218" s="129"/>
      <c r="F218" s="129"/>
    </row>
    <row r="219" spans="1:6">
      <c r="A219" s="129"/>
      <c r="B219" s="129"/>
      <c r="C219" s="129"/>
      <c r="D219" s="129"/>
      <c r="E219" s="129"/>
      <c r="F219" s="129"/>
    </row>
    <row r="220" spans="1:6">
      <c r="A220" s="129"/>
      <c r="B220" s="129"/>
      <c r="C220" s="129"/>
      <c r="D220" s="129"/>
      <c r="E220" s="129"/>
      <c r="F220" s="129"/>
    </row>
    <row r="221" spans="1:6">
      <c r="A221" s="129"/>
      <c r="B221" s="129"/>
      <c r="C221" s="129"/>
      <c r="D221" s="129"/>
      <c r="E221" s="129"/>
      <c r="F221" s="129"/>
    </row>
    <row r="222" spans="1:6">
      <c r="A222" s="129"/>
      <c r="B222" s="129"/>
      <c r="C222" s="129"/>
      <c r="D222" s="129"/>
      <c r="E222" s="129"/>
      <c r="F222" s="129"/>
    </row>
    <row r="223" spans="1:6">
      <c r="A223" s="129"/>
      <c r="B223" s="129"/>
      <c r="C223" s="129"/>
      <c r="D223" s="129"/>
      <c r="E223" s="129"/>
      <c r="F223" s="129"/>
    </row>
    <row r="224" spans="1:6">
      <c r="A224" s="129"/>
      <c r="B224" s="129"/>
      <c r="C224" s="129"/>
      <c r="D224" s="129"/>
      <c r="E224" s="129"/>
      <c r="F224" s="129"/>
    </row>
    <row r="225" spans="1:6">
      <c r="A225" s="129"/>
      <c r="B225" s="129"/>
      <c r="C225" s="129"/>
      <c r="D225" s="129"/>
      <c r="E225" s="129"/>
      <c r="F225" s="129"/>
    </row>
    <row r="226" spans="1:6">
      <c r="A226" s="129"/>
      <c r="B226" s="129"/>
      <c r="C226" s="129"/>
      <c r="D226" s="129"/>
      <c r="E226" s="129"/>
      <c r="F226" s="129"/>
    </row>
    <row r="227" spans="1:6">
      <c r="A227" s="129"/>
      <c r="B227" s="129"/>
      <c r="C227" s="129"/>
      <c r="D227" s="129"/>
      <c r="E227" s="129"/>
      <c r="F227" s="129"/>
    </row>
    <row r="228" spans="1:6">
      <c r="A228" s="129"/>
      <c r="B228" s="129"/>
      <c r="C228" s="129"/>
      <c r="D228" s="129"/>
      <c r="E228" s="129"/>
      <c r="F228" s="129"/>
    </row>
    <row r="229" spans="1:6">
      <c r="A229" s="129"/>
      <c r="B229" s="129"/>
      <c r="C229" s="129"/>
      <c r="D229" s="129"/>
      <c r="E229" s="129"/>
      <c r="F229" s="129"/>
    </row>
    <row r="230" spans="1:6">
      <c r="A230" s="129"/>
      <c r="B230" s="129"/>
      <c r="C230" s="129"/>
      <c r="D230" s="129"/>
      <c r="E230" s="129"/>
      <c r="F230" s="129"/>
    </row>
    <row r="231" spans="1:6">
      <c r="A231" s="129"/>
      <c r="B231" s="129"/>
      <c r="C231" s="129"/>
      <c r="D231" s="129"/>
      <c r="E231" s="129"/>
      <c r="F231" s="129"/>
    </row>
    <row r="232" spans="1:6">
      <c r="A232" s="129"/>
      <c r="B232" s="129"/>
      <c r="C232" s="129"/>
      <c r="D232" s="129"/>
      <c r="E232" s="129"/>
      <c r="F232" s="129"/>
    </row>
    <row r="233" spans="1:6">
      <c r="A233" s="129"/>
      <c r="B233" s="129"/>
      <c r="C233" s="129"/>
      <c r="D233" s="129"/>
      <c r="E233" s="129"/>
      <c r="F233" s="129"/>
    </row>
    <row r="234" spans="1:6">
      <c r="A234" s="129"/>
      <c r="B234" s="129"/>
      <c r="C234" s="129"/>
      <c r="D234" s="129"/>
      <c r="E234" s="129"/>
      <c r="F234" s="129"/>
    </row>
    <row r="235" spans="1:6">
      <c r="A235" s="129"/>
      <c r="B235" s="129"/>
      <c r="C235" s="129"/>
      <c r="D235" s="129"/>
      <c r="E235" s="129"/>
      <c r="F235" s="129"/>
    </row>
    <row r="236" spans="1:6">
      <c r="A236" s="129"/>
      <c r="B236" s="129"/>
      <c r="C236" s="129"/>
      <c r="D236" s="129"/>
      <c r="E236" s="129"/>
      <c r="F236" s="129"/>
    </row>
    <row r="237" spans="1:6">
      <c r="A237" s="129"/>
      <c r="B237" s="129"/>
      <c r="C237" s="129"/>
      <c r="D237" s="129"/>
      <c r="E237" s="129"/>
      <c r="F237" s="129"/>
    </row>
    <row r="238" spans="1:6">
      <c r="A238" s="129"/>
      <c r="B238" s="129"/>
      <c r="C238" s="129"/>
      <c r="D238" s="129"/>
      <c r="E238" s="129"/>
      <c r="F238" s="129"/>
    </row>
    <row r="239" spans="1:6">
      <c r="A239" s="129"/>
      <c r="B239" s="129"/>
      <c r="C239" s="129"/>
      <c r="D239" s="129"/>
      <c r="E239" s="129"/>
      <c r="F239" s="129"/>
    </row>
    <row r="240" spans="1:6">
      <c r="A240" s="129"/>
      <c r="B240" s="129"/>
      <c r="C240" s="129"/>
      <c r="D240" s="129"/>
      <c r="E240" s="129"/>
      <c r="F240" s="129"/>
    </row>
    <row r="241" spans="1:6">
      <c r="A241" s="129"/>
      <c r="B241" s="129"/>
      <c r="C241" s="129"/>
      <c r="D241" s="129"/>
      <c r="E241" s="129"/>
      <c r="F241" s="129"/>
    </row>
    <row r="242" spans="1:6">
      <c r="A242" s="129"/>
      <c r="B242" s="129"/>
      <c r="C242" s="129"/>
      <c r="D242" s="129"/>
      <c r="E242" s="129"/>
      <c r="F242" s="129"/>
    </row>
    <row r="243" spans="1:6">
      <c r="A243" s="129"/>
    </row>
    <row r="244" spans="1:6">
      <c r="A244" s="129"/>
    </row>
    <row r="245" spans="1:6">
      <c r="A245" s="129"/>
    </row>
    <row r="246" spans="1:6">
      <c r="A246" s="129"/>
    </row>
    <row r="247" spans="1:6">
      <c r="A247" s="129"/>
    </row>
    <row r="248" spans="1:6">
      <c r="A248" s="129"/>
    </row>
    <row r="249" spans="1:6">
      <c r="A249" s="129"/>
    </row>
    <row r="250" spans="1:6">
      <c r="A250" s="129"/>
    </row>
  </sheetData>
  <mergeCells count="8">
    <mergeCell ref="D52:O52"/>
    <mergeCell ref="D51:O51"/>
    <mergeCell ref="D45:O45"/>
    <mergeCell ref="D46:O46"/>
    <mergeCell ref="D47:O47"/>
    <mergeCell ref="D48:O48"/>
    <mergeCell ref="D49:O49"/>
    <mergeCell ref="D50:O50"/>
  </mergeCells>
  <printOptions horizontalCentered="1"/>
  <pageMargins left="0.75" right="0.75" top="0.75" bottom="0.5" header="0.5" footer="0.5"/>
  <pageSetup scale="5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3">
    <tabColor rgb="FFFF3300"/>
    <pageSetUpPr fitToPage="1"/>
  </sheetPr>
  <dimension ref="A1:R250"/>
  <sheetViews>
    <sheetView view="pageBreakPreview" zoomScale="60" zoomScaleNormal="75" workbookViewId="0">
      <selection activeCell="E70" sqref="E70"/>
    </sheetView>
  </sheetViews>
  <sheetFormatPr defaultRowHeight="15"/>
  <cols>
    <col min="1" max="2" width="4.77734375" customWidth="1"/>
    <col min="3" max="3" width="1.21875" customWidth="1"/>
    <col min="4" max="4" width="24.77734375" customWidth="1"/>
    <col min="5" max="5" width="8.77734375"/>
    <col min="6" max="6" width="13.77734375" customWidth="1"/>
    <col min="7" max="9" width="12.77734375" customWidth="1"/>
    <col min="10" max="10" width="15.77734375" customWidth="1"/>
    <col min="11" max="11" width="12.5546875" customWidth="1"/>
    <col min="12" max="12" width="11.77734375" customWidth="1"/>
    <col min="13" max="13" width="16.77734375" customWidth="1"/>
    <col min="14" max="14" width="12.77734375" customWidth="1"/>
    <col min="15" max="15" width="15.44140625" customWidth="1"/>
    <col min="16" max="237" width="8.77734375"/>
    <col min="238" max="238" width="6" customWidth="1"/>
    <col min="239" max="239" width="1.44140625" customWidth="1"/>
    <col min="240" max="240" width="39.109375" customWidth="1"/>
    <col min="241" max="241" width="12" customWidth="1"/>
    <col min="242" max="242" width="14.44140625" customWidth="1"/>
    <col min="243" max="243" width="11.77734375" customWidth="1"/>
    <col min="244" max="244" width="14.109375" customWidth="1"/>
    <col min="245" max="245" width="13.77734375" customWidth="1"/>
    <col min="246" max="247" width="12.77734375" customWidth="1"/>
    <col min="248" max="248" width="13.5546875" customWidth="1"/>
    <col min="249" max="249" width="15.21875" customWidth="1"/>
    <col min="250" max="250" width="12.77734375" customWidth="1"/>
    <col min="251" max="251" width="13.77734375" customWidth="1"/>
    <col min="252" max="252" width="1.77734375" customWidth="1"/>
    <col min="253" max="253" width="13" customWidth="1"/>
    <col min="254" max="493" width="8.77734375"/>
    <col min="494" max="494" width="6" customWidth="1"/>
    <col min="495" max="495" width="1.44140625" customWidth="1"/>
    <col min="496" max="496" width="39.109375" customWidth="1"/>
    <col min="497" max="497" width="12" customWidth="1"/>
    <col min="498" max="498" width="14.44140625" customWidth="1"/>
    <col min="499" max="499" width="11.77734375" customWidth="1"/>
    <col min="500" max="500" width="14.109375" customWidth="1"/>
    <col min="501" max="501" width="13.77734375" customWidth="1"/>
    <col min="502" max="503" width="12.77734375" customWidth="1"/>
    <col min="504" max="504" width="13.5546875" customWidth="1"/>
    <col min="505" max="505" width="15.21875" customWidth="1"/>
    <col min="506" max="506" width="12.77734375" customWidth="1"/>
    <col min="507" max="507" width="13.77734375" customWidth="1"/>
    <col min="508" max="508" width="1.77734375" customWidth="1"/>
    <col min="509" max="509" width="13" customWidth="1"/>
    <col min="510" max="749" width="8.77734375"/>
    <col min="750" max="750" width="6" customWidth="1"/>
    <col min="751" max="751" width="1.44140625" customWidth="1"/>
    <col min="752" max="752" width="39.109375" customWidth="1"/>
    <col min="753" max="753" width="12" customWidth="1"/>
    <col min="754" max="754" width="14.44140625" customWidth="1"/>
    <col min="755" max="755" width="11.77734375" customWidth="1"/>
    <col min="756" max="756" width="14.109375" customWidth="1"/>
    <col min="757" max="757" width="13.77734375" customWidth="1"/>
    <col min="758" max="759" width="12.77734375" customWidth="1"/>
    <col min="760" max="760" width="13.5546875" customWidth="1"/>
    <col min="761" max="761" width="15.21875" customWidth="1"/>
    <col min="762" max="762" width="12.77734375" customWidth="1"/>
    <col min="763" max="763" width="13.77734375" customWidth="1"/>
    <col min="764" max="764" width="1.77734375" customWidth="1"/>
    <col min="765" max="765" width="13" customWidth="1"/>
    <col min="766" max="1005" width="8.77734375"/>
    <col min="1006" max="1006" width="6" customWidth="1"/>
    <col min="1007" max="1007" width="1.44140625" customWidth="1"/>
    <col min="1008" max="1008" width="39.109375" customWidth="1"/>
    <col min="1009" max="1009" width="12" customWidth="1"/>
    <col min="1010" max="1010" width="14.44140625" customWidth="1"/>
    <col min="1011" max="1011" width="11.77734375" customWidth="1"/>
    <col min="1012" max="1012" width="14.109375" customWidth="1"/>
    <col min="1013" max="1013" width="13.77734375" customWidth="1"/>
    <col min="1014" max="1015" width="12.77734375" customWidth="1"/>
    <col min="1016" max="1016" width="13.5546875" customWidth="1"/>
    <col min="1017" max="1017" width="15.21875" customWidth="1"/>
    <col min="1018" max="1018" width="12.77734375" customWidth="1"/>
    <col min="1019" max="1019" width="13.77734375" customWidth="1"/>
    <col min="1020" max="1020" width="1.77734375" customWidth="1"/>
    <col min="1021" max="1021" width="13" customWidth="1"/>
    <col min="1022" max="1261" width="8.77734375"/>
    <col min="1262" max="1262" width="6" customWidth="1"/>
    <col min="1263" max="1263" width="1.44140625" customWidth="1"/>
    <col min="1264" max="1264" width="39.109375" customWidth="1"/>
    <col min="1265" max="1265" width="12" customWidth="1"/>
    <col min="1266" max="1266" width="14.44140625" customWidth="1"/>
    <col min="1267" max="1267" width="11.77734375" customWidth="1"/>
    <col min="1268" max="1268" width="14.109375" customWidth="1"/>
    <col min="1269" max="1269" width="13.77734375" customWidth="1"/>
    <col min="1270" max="1271" width="12.77734375" customWidth="1"/>
    <col min="1272" max="1272" width="13.5546875" customWidth="1"/>
    <col min="1273" max="1273" width="15.21875" customWidth="1"/>
    <col min="1274" max="1274" width="12.77734375" customWidth="1"/>
    <col min="1275" max="1275" width="13.77734375" customWidth="1"/>
    <col min="1276" max="1276" width="1.77734375" customWidth="1"/>
    <col min="1277" max="1277" width="13" customWidth="1"/>
    <col min="1278" max="1517" width="8.77734375"/>
    <col min="1518" max="1518" width="6" customWidth="1"/>
    <col min="1519" max="1519" width="1.44140625" customWidth="1"/>
    <col min="1520" max="1520" width="39.109375" customWidth="1"/>
    <col min="1521" max="1521" width="12" customWidth="1"/>
    <col min="1522" max="1522" width="14.44140625" customWidth="1"/>
    <col min="1523" max="1523" width="11.77734375" customWidth="1"/>
    <col min="1524" max="1524" width="14.109375" customWidth="1"/>
    <col min="1525" max="1525" width="13.77734375" customWidth="1"/>
    <col min="1526" max="1527" width="12.77734375" customWidth="1"/>
    <col min="1528" max="1528" width="13.5546875" customWidth="1"/>
    <col min="1529" max="1529" width="15.21875" customWidth="1"/>
    <col min="1530" max="1530" width="12.77734375" customWidth="1"/>
    <col min="1531" max="1531" width="13.77734375" customWidth="1"/>
    <col min="1532" max="1532" width="1.77734375" customWidth="1"/>
    <col min="1533" max="1533" width="13" customWidth="1"/>
    <col min="1534" max="1773" width="8.77734375"/>
    <col min="1774" max="1774" width="6" customWidth="1"/>
    <col min="1775" max="1775" width="1.44140625" customWidth="1"/>
    <col min="1776" max="1776" width="39.109375" customWidth="1"/>
    <col min="1777" max="1777" width="12" customWidth="1"/>
    <col min="1778" max="1778" width="14.44140625" customWidth="1"/>
    <col min="1779" max="1779" width="11.77734375" customWidth="1"/>
    <col min="1780" max="1780" width="14.109375" customWidth="1"/>
    <col min="1781" max="1781" width="13.77734375" customWidth="1"/>
    <col min="1782" max="1783" width="12.77734375" customWidth="1"/>
    <col min="1784" max="1784" width="13.5546875" customWidth="1"/>
    <col min="1785" max="1785" width="15.21875" customWidth="1"/>
    <col min="1786" max="1786" width="12.77734375" customWidth="1"/>
    <col min="1787" max="1787" width="13.77734375" customWidth="1"/>
    <col min="1788" max="1788" width="1.77734375" customWidth="1"/>
    <col min="1789" max="1789" width="13" customWidth="1"/>
    <col min="1790" max="2029" width="8.77734375"/>
    <col min="2030" max="2030" width="6" customWidth="1"/>
    <col min="2031" max="2031" width="1.44140625" customWidth="1"/>
    <col min="2032" max="2032" width="39.109375" customWidth="1"/>
    <col min="2033" max="2033" width="12" customWidth="1"/>
    <col min="2034" max="2034" width="14.44140625" customWidth="1"/>
    <col min="2035" max="2035" width="11.77734375" customWidth="1"/>
    <col min="2036" max="2036" width="14.109375" customWidth="1"/>
    <col min="2037" max="2037" width="13.77734375" customWidth="1"/>
    <col min="2038" max="2039" width="12.77734375" customWidth="1"/>
    <col min="2040" max="2040" width="13.5546875" customWidth="1"/>
    <col min="2041" max="2041" width="15.21875" customWidth="1"/>
    <col min="2042" max="2042" width="12.77734375" customWidth="1"/>
    <col min="2043" max="2043" width="13.77734375" customWidth="1"/>
    <col min="2044" max="2044" width="1.77734375" customWidth="1"/>
    <col min="2045" max="2045" width="13" customWidth="1"/>
    <col min="2046" max="2285" width="8.77734375"/>
    <col min="2286" max="2286" width="6" customWidth="1"/>
    <col min="2287" max="2287" width="1.44140625" customWidth="1"/>
    <col min="2288" max="2288" width="39.109375" customWidth="1"/>
    <col min="2289" max="2289" width="12" customWidth="1"/>
    <col min="2290" max="2290" width="14.44140625" customWidth="1"/>
    <col min="2291" max="2291" width="11.77734375" customWidth="1"/>
    <col min="2292" max="2292" width="14.109375" customWidth="1"/>
    <col min="2293" max="2293" width="13.77734375" customWidth="1"/>
    <col min="2294" max="2295" width="12.77734375" customWidth="1"/>
    <col min="2296" max="2296" width="13.5546875" customWidth="1"/>
    <col min="2297" max="2297" width="15.21875" customWidth="1"/>
    <col min="2298" max="2298" width="12.77734375" customWidth="1"/>
    <col min="2299" max="2299" width="13.77734375" customWidth="1"/>
    <col min="2300" max="2300" width="1.77734375" customWidth="1"/>
    <col min="2301" max="2301" width="13" customWidth="1"/>
    <col min="2302" max="2541" width="8.77734375"/>
    <col min="2542" max="2542" width="6" customWidth="1"/>
    <col min="2543" max="2543" width="1.44140625" customWidth="1"/>
    <col min="2544" max="2544" width="39.109375" customWidth="1"/>
    <col min="2545" max="2545" width="12" customWidth="1"/>
    <col min="2546" max="2546" width="14.44140625" customWidth="1"/>
    <col min="2547" max="2547" width="11.77734375" customWidth="1"/>
    <col min="2548" max="2548" width="14.109375" customWidth="1"/>
    <col min="2549" max="2549" width="13.77734375" customWidth="1"/>
    <col min="2550" max="2551" width="12.77734375" customWidth="1"/>
    <col min="2552" max="2552" width="13.5546875" customWidth="1"/>
    <col min="2553" max="2553" width="15.21875" customWidth="1"/>
    <col min="2554" max="2554" width="12.77734375" customWidth="1"/>
    <col min="2555" max="2555" width="13.77734375" customWidth="1"/>
    <col min="2556" max="2556" width="1.77734375" customWidth="1"/>
    <col min="2557" max="2557" width="13" customWidth="1"/>
    <col min="2558" max="2797" width="8.77734375"/>
    <col min="2798" max="2798" width="6" customWidth="1"/>
    <col min="2799" max="2799" width="1.44140625" customWidth="1"/>
    <col min="2800" max="2800" width="39.109375" customWidth="1"/>
    <col min="2801" max="2801" width="12" customWidth="1"/>
    <col min="2802" max="2802" width="14.44140625" customWidth="1"/>
    <col min="2803" max="2803" width="11.77734375" customWidth="1"/>
    <col min="2804" max="2804" width="14.109375" customWidth="1"/>
    <col min="2805" max="2805" width="13.77734375" customWidth="1"/>
    <col min="2806" max="2807" width="12.77734375" customWidth="1"/>
    <col min="2808" max="2808" width="13.5546875" customWidth="1"/>
    <col min="2809" max="2809" width="15.21875" customWidth="1"/>
    <col min="2810" max="2810" width="12.77734375" customWidth="1"/>
    <col min="2811" max="2811" width="13.77734375" customWidth="1"/>
    <col min="2812" max="2812" width="1.77734375" customWidth="1"/>
    <col min="2813" max="2813" width="13" customWidth="1"/>
    <col min="2814" max="3053" width="8.77734375"/>
    <col min="3054" max="3054" width="6" customWidth="1"/>
    <col min="3055" max="3055" width="1.44140625" customWidth="1"/>
    <col min="3056" max="3056" width="39.109375" customWidth="1"/>
    <col min="3057" max="3057" width="12" customWidth="1"/>
    <col min="3058" max="3058" width="14.44140625" customWidth="1"/>
    <col min="3059" max="3059" width="11.77734375" customWidth="1"/>
    <col min="3060" max="3060" width="14.109375" customWidth="1"/>
    <col min="3061" max="3061" width="13.77734375" customWidth="1"/>
    <col min="3062" max="3063" width="12.77734375" customWidth="1"/>
    <col min="3064" max="3064" width="13.5546875" customWidth="1"/>
    <col min="3065" max="3065" width="15.21875" customWidth="1"/>
    <col min="3066" max="3066" width="12.77734375" customWidth="1"/>
    <col min="3067" max="3067" width="13.77734375" customWidth="1"/>
    <col min="3068" max="3068" width="1.77734375" customWidth="1"/>
    <col min="3069" max="3069" width="13" customWidth="1"/>
    <col min="3070" max="3309" width="8.77734375"/>
    <col min="3310" max="3310" width="6" customWidth="1"/>
    <col min="3311" max="3311" width="1.44140625" customWidth="1"/>
    <col min="3312" max="3312" width="39.109375" customWidth="1"/>
    <col min="3313" max="3313" width="12" customWidth="1"/>
    <col min="3314" max="3314" width="14.44140625" customWidth="1"/>
    <col min="3315" max="3315" width="11.77734375" customWidth="1"/>
    <col min="3316" max="3316" width="14.109375" customWidth="1"/>
    <col min="3317" max="3317" width="13.77734375" customWidth="1"/>
    <col min="3318" max="3319" width="12.77734375" customWidth="1"/>
    <col min="3320" max="3320" width="13.5546875" customWidth="1"/>
    <col min="3321" max="3321" width="15.21875" customWidth="1"/>
    <col min="3322" max="3322" width="12.77734375" customWidth="1"/>
    <col min="3323" max="3323" width="13.77734375" customWidth="1"/>
    <col min="3324" max="3324" width="1.77734375" customWidth="1"/>
    <col min="3325" max="3325" width="13" customWidth="1"/>
    <col min="3326" max="3565" width="8.77734375"/>
    <col min="3566" max="3566" width="6" customWidth="1"/>
    <col min="3567" max="3567" width="1.44140625" customWidth="1"/>
    <col min="3568" max="3568" width="39.109375" customWidth="1"/>
    <col min="3569" max="3569" width="12" customWidth="1"/>
    <col min="3570" max="3570" width="14.44140625" customWidth="1"/>
    <col min="3571" max="3571" width="11.77734375" customWidth="1"/>
    <col min="3572" max="3572" width="14.109375" customWidth="1"/>
    <col min="3573" max="3573" width="13.77734375" customWidth="1"/>
    <col min="3574" max="3575" width="12.77734375" customWidth="1"/>
    <col min="3576" max="3576" width="13.5546875" customWidth="1"/>
    <col min="3577" max="3577" width="15.21875" customWidth="1"/>
    <col min="3578" max="3578" width="12.77734375" customWidth="1"/>
    <col min="3579" max="3579" width="13.77734375" customWidth="1"/>
    <col min="3580" max="3580" width="1.77734375" customWidth="1"/>
    <col min="3581" max="3581" width="13" customWidth="1"/>
    <col min="3582" max="3821" width="8.77734375"/>
    <col min="3822" max="3822" width="6" customWidth="1"/>
    <col min="3823" max="3823" width="1.44140625" customWidth="1"/>
    <col min="3824" max="3824" width="39.109375" customWidth="1"/>
    <col min="3825" max="3825" width="12" customWidth="1"/>
    <col min="3826" max="3826" width="14.44140625" customWidth="1"/>
    <col min="3827" max="3827" width="11.77734375" customWidth="1"/>
    <col min="3828" max="3828" width="14.109375" customWidth="1"/>
    <col min="3829" max="3829" width="13.77734375" customWidth="1"/>
    <col min="3830" max="3831" width="12.77734375" customWidth="1"/>
    <col min="3832" max="3832" width="13.5546875" customWidth="1"/>
    <col min="3833" max="3833" width="15.21875" customWidth="1"/>
    <col min="3834" max="3834" width="12.77734375" customWidth="1"/>
    <col min="3835" max="3835" width="13.77734375" customWidth="1"/>
    <col min="3836" max="3836" width="1.77734375" customWidth="1"/>
    <col min="3837" max="3837" width="13" customWidth="1"/>
    <col min="3838" max="4077" width="8.77734375"/>
    <col min="4078" max="4078" width="6" customWidth="1"/>
    <col min="4079" max="4079" width="1.44140625" customWidth="1"/>
    <col min="4080" max="4080" width="39.109375" customWidth="1"/>
    <col min="4081" max="4081" width="12" customWidth="1"/>
    <col min="4082" max="4082" width="14.44140625" customWidth="1"/>
    <col min="4083" max="4083" width="11.77734375" customWidth="1"/>
    <col min="4084" max="4084" width="14.109375" customWidth="1"/>
    <col min="4085" max="4085" width="13.77734375" customWidth="1"/>
    <col min="4086" max="4087" width="12.77734375" customWidth="1"/>
    <col min="4088" max="4088" width="13.5546875" customWidth="1"/>
    <col min="4089" max="4089" width="15.21875" customWidth="1"/>
    <col min="4090" max="4090" width="12.77734375" customWidth="1"/>
    <col min="4091" max="4091" width="13.77734375" customWidth="1"/>
    <col min="4092" max="4092" width="1.77734375" customWidth="1"/>
    <col min="4093" max="4093" width="13" customWidth="1"/>
    <col min="4094" max="4333" width="8.77734375"/>
    <col min="4334" max="4334" width="6" customWidth="1"/>
    <col min="4335" max="4335" width="1.44140625" customWidth="1"/>
    <col min="4336" max="4336" width="39.109375" customWidth="1"/>
    <col min="4337" max="4337" width="12" customWidth="1"/>
    <col min="4338" max="4338" width="14.44140625" customWidth="1"/>
    <col min="4339" max="4339" width="11.77734375" customWidth="1"/>
    <col min="4340" max="4340" width="14.109375" customWidth="1"/>
    <col min="4341" max="4341" width="13.77734375" customWidth="1"/>
    <col min="4342" max="4343" width="12.77734375" customWidth="1"/>
    <col min="4344" max="4344" width="13.5546875" customWidth="1"/>
    <col min="4345" max="4345" width="15.21875" customWidth="1"/>
    <col min="4346" max="4346" width="12.77734375" customWidth="1"/>
    <col min="4347" max="4347" width="13.77734375" customWidth="1"/>
    <col min="4348" max="4348" width="1.77734375" customWidth="1"/>
    <col min="4349" max="4349" width="13" customWidth="1"/>
    <col min="4350" max="4589" width="8.77734375"/>
    <col min="4590" max="4590" width="6" customWidth="1"/>
    <col min="4591" max="4591" width="1.44140625" customWidth="1"/>
    <col min="4592" max="4592" width="39.109375" customWidth="1"/>
    <col min="4593" max="4593" width="12" customWidth="1"/>
    <col min="4594" max="4594" width="14.44140625" customWidth="1"/>
    <col min="4595" max="4595" width="11.77734375" customWidth="1"/>
    <col min="4596" max="4596" width="14.109375" customWidth="1"/>
    <col min="4597" max="4597" width="13.77734375" customWidth="1"/>
    <col min="4598" max="4599" width="12.77734375" customWidth="1"/>
    <col min="4600" max="4600" width="13.5546875" customWidth="1"/>
    <col min="4601" max="4601" width="15.21875" customWidth="1"/>
    <col min="4602" max="4602" width="12.77734375" customWidth="1"/>
    <col min="4603" max="4603" width="13.77734375" customWidth="1"/>
    <col min="4604" max="4604" width="1.77734375" customWidth="1"/>
    <col min="4605" max="4605" width="13" customWidth="1"/>
    <col min="4606" max="4845" width="8.77734375"/>
    <col min="4846" max="4846" width="6" customWidth="1"/>
    <col min="4847" max="4847" width="1.44140625" customWidth="1"/>
    <col min="4848" max="4848" width="39.109375" customWidth="1"/>
    <col min="4849" max="4849" width="12" customWidth="1"/>
    <col min="4850" max="4850" width="14.44140625" customWidth="1"/>
    <col min="4851" max="4851" width="11.77734375" customWidth="1"/>
    <col min="4852" max="4852" width="14.109375" customWidth="1"/>
    <col min="4853" max="4853" width="13.77734375" customWidth="1"/>
    <col min="4854" max="4855" width="12.77734375" customWidth="1"/>
    <col min="4856" max="4856" width="13.5546875" customWidth="1"/>
    <col min="4857" max="4857" width="15.21875" customWidth="1"/>
    <col min="4858" max="4858" width="12.77734375" customWidth="1"/>
    <col min="4859" max="4859" width="13.77734375" customWidth="1"/>
    <col min="4860" max="4860" width="1.77734375" customWidth="1"/>
    <col min="4861" max="4861" width="13" customWidth="1"/>
    <col min="4862" max="5101" width="8.77734375"/>
    <col min="5102" max="5102" width="6" customWidth="1"/>
    <col min="5103" max="5103" width="1.44140625" customWidth="1"/>
    <col min="5104" max="5104" width="39.109375" customWidth="1"/>
    <col min="5105" max="5105" width="12" customWidth="1"/>
    <col min="5106" max="5106" width="14.44140625" customWidth="1"/>
    <col min="5107" max="5107" width="11.77734375" customWidth="1"/>
    <col min="5108" max="5108" width="14.109375" customWidth="1"/>
    <col min="5109" max="5109" width="13.77734375" customWidth="1"/>
    <col min="5110" max="5111" width="12.77734375" customWidth="1"/>
    <col min="5112" max="5112" width="13.5546875" customWidth="1"/>
    <col min="5113" max="5113" width="15.21875" customWidth="1"/>
    <col min="5114" max="5114" width="12.77734375" customWidth="1"/>
    <col min="5115" max="5115" width="13.77734375" customWidth="1"/>
    <col min="5116" max="5116" width="1.77734375" customWidth="1"/>
    <col min="5117" max="5117" width="13" customWidth="1"/>
    <col min="5118" max="5357" width="8.77734375"/>
    <col min="5358" max="5358" width="6" customWidth="1"/>
    <col min="5359" max="5359" width="1.44140625" customWidth="1"/>
    <col min="5360" max="5360" width="39.109375" customWidth="1"/>
    <col min="5361" max="5361" width="12" customWidth="1"/>
    <col min="5362" max="5362" width="14.44140625" customWidth="1"/>
    <col min="5363" max="5363" width="11.77734375" customWidth="1"/>
    <col min="5364" max="5364" width="14.109375" customWidth="1"/>
    <col min="5365" max="5365" width="13.77734375" customWidth="1"/>
    <col min="5366" max="5367" width="12.77734375" customWidth="1"/>
    <col min="5368" max="5368" width="13.5546875" customWidth="1"/>
    <col min="5369" max="5369" width="15.21875" customWidth="1"/>
    <col min="5370" max="5370" width="12.77734375" customWidth="1"/>
    <col min="5371" max="5371" width="13.77734375" customWidth="1"/>
    <col min="5372" max="5372" width="1.77734375" customWidth="1"/>
    <col min="5373" max="5373" width="13" customWidth="1"/>
    <col min="5374" max="5613" width="8.77734375"/>
    <col min="5614" max="5614" width="6" customWidth="1"/>
    <col min="5615" max="5615" width="1.44140625" customWidth="1"/>
    <col min="5616" max="5616" width="39.109375" customWidth="1"/>
    <col min="5617" max="5617" width="12" customWidth="1"/>
    <col min="5618" max="5618" width="14.44140625" customWidth="1"/>
    <col min="5619" max="5619" width="11.77734375" customWidth="1"/>
    <col min="5620" max="5620" width="14.109375" customWidth="1"/>
    <col min="5621" max="5621" width="13.77734375" customWidth="1"/>
    <col min="5622" max="5623" width="12.77734375" customWidth="1"/>
    <col min="5624" max="5624" width="13.5546875" customWidth="1"/>
    <col min="5625" max="5625" width="15.21875" customWidth="1"/>
    <col min="5626" max="5626" width="12.77734375" customWidth="1"/>
    <col min="5627" max="5627" width="13.77734375" customWidth="1"/>
    <col min="5628" max="5628" width="1.77734375" customWidth="1"/>
    <col min="5629" max="5629" width="13" customWidth="1"/>
    <col min="5630" max="5869" width="8.77734375"/>
    <col min="5870" max="5870" width="6" customWidth="1"/>
    <col min="5871" max="5871" width="1.44140625" customWidth="1"/>
    <col min="5872" max="5872" width="39.109375" customWidth="1"/>
    <col min="5873" max="5873" width="12" customWidth="1"/>
    <col min="5874" max="5874" width="14.44140625" customWidth="1"/>
    <col min="5875" max="5875" width="11.77734375" customWidth="1"/>
    <col min="5876" max="5876" width="14.109375" customWidth="1"/>
    <col min="5877" max="5877" width="13.77734375" customWidth="1"/>
    <col min="5878" max="5879" width="12.77734375" customWidth="1"/>
    <col min="5880" max="5880" width="13.5546875" customWidth="1"/>
    <col min="5881" max="5881" width="15.21875" customWidth="1"/>
    <col min="5882" max="5882" width="12.77734375" customWidth="1"/>
    <col min="5883" max="5883" width="13.77734375" customWidth="1"/>
    <col min="5884" max="5884" width="1.77734375" customWidth="1"/>
    <col min="5885" max="5885" width="13" customWidth="1"/>
    <col min="5886" max="6125" width="8.77734375"/>
    <col min="6126" max="6126" width="6" customWidth="1"/>
    <col min="6127" max="6127" width="1.44140625" customWidth="1"/>
    <col min="6128" max="6128" width="39.109375" customWidth="1"/>
    <col min="6129" max="6129" width="12" customWidth="1"/>
    <col min="6130" max="6130" width="14.44140625" customWidth="1"/>
    <col min="6131" max="6131" width="11.77734375" customWidth="1"/>
    <col min="6132" max="6132" width="14.109375" customWidth="1"/>
    <col min="6133" max="6133" width="13.77734375" customWidth="1"/>
    <col min="6134" max="6135" width="12.77734375" customWidth="1"/>
    <col min="6136" max="6136" width="13.5546875" customWidth="1"/>
    <col min="6137" max="6137" width="15.21875" customWidth="1"/>
    <col min="6138" max="6138" width="12.77734375" customWidth="1"/>
    <col min="6139" max="6139" width="13.77734375" customWidth="1"/>
    <col min="6140" max="6140" width="1.77734375" customWidth="1"/>
    <col min="6141" max="6141" width="13" customWidth="1"/>
    <col min="6142" max="6381" width="8.77734375"/>
    <col min="6382" max="6382" width="6" customWidth="1"/>
    <col min="6383" max="6383" width="1.44140625" customWidth="1"/>
    <col min="6384" max="6384" width="39.109375" customWidth="1"/>
    <col min="6385" max="6385" width="12" customWidth="1"/>
    <col min="6386" max="6386" width="14.44140625" customWidth="1"/>
    <col min="6387" max="6387" width="11.77734375" customWidth="1"/>
    <col min="6388" max="6388" width="14.109375" customWidth="1"/>
    <col min="6389" max="6389" width="13.77734375" customWidth="1"/>
    <col min="6390" max="6391" width="12.77734375" customWidth="1"/>
    <col min="6392" max="6392" width="13.5546875" customWidth="1"/>
    <col min="6393" max="6393" width="15.21875" customWidth="1"/>
    <col min="6394" max="6394" width="12.77734375" customWidth="1"/>
    <col min="6395" max="6395" width="13.77734375" customWidth="1"/>
    <col min="6396" max="6396" width="1.77734375" customWidth="1"/>
    <col min="6397" max="6397" width="13" customWidth="1"/>
    <col min="6398" max="6637" width="8.77734375"/>
    <col min="6638" max="6638" width="6" customWidth="1"/>
    <col min="6639" max="6639" width="1.44140625" customWidth="1"/>
    <col min="6640" max="6640" width="39.109375" customWidth="1"/>
    <col min="6641" max="6641" width="12" customWidth="1"/>
    <col min="6642" max="6642" width="14.44140625" customWidth="1"/>
    <col min="6643" max="6643" width="11.77734375" customWidth="1"/>
    <col min="6644" max="6644" width="14.109375" customWidth="1"/>
    <col min="6645" max="6645" width="13.77734375" customWidth="1"/>
    <col min="6646" max="6647" width="12.77734375" customWidth="1"/>
    <col min="6648" max="6648" width="13.5546875" customWidth="1"/>
    <col min="6649" max="6649" width="15.21875" customWidth="1"/>
    <col min="6650" max="6650" width="12.77734375" customWidth="1"/>
    <col min="6651" max="6651" width="13.77734375" customWidth="1"/>
    <col min="6652" max="6652" width="1.77734375" customWidth="1"/>
    <col min="6653" max="6653" width="13" customWidth="1"/>
    <col min="6654" max="6893" width="8.77734375"/>
    <col min="6894" max="6894" width="6" customWidth="1"/>
    <col min="6895" max="6895" width="1.44140625" customWidth="1"/>
    <col min="6896" max="6896" width="39.109375" customWidth="1"/>
    <col min="6897" max="6897" width="12" customWidth="1"/>
    <col min="6898" max="6898" width="14.44140625" customWidth="1"/>
    <col min="6899" max="6899" width="11.77734375" customWidth="1"/>
    <col min="6900" max="6900" width="14.109375" customWidth="1"/>
    <col min="6901" max="6901" width="13.77734375" customWidth="1"/>
    <col min="6902" max="6903" width="12.77734375" customWidth="1"/>
    <col min="6904" max="6904" width="13.5546875" customWidth="1"/>
    <col min="6905" max="6905" width="15.21875" customWidth="1"/>
    <col min="6906" max="6906" width="12.77734375" customWidth="1"/>
    <col min="6907" max="6907" width="13.77734375" customWidth="1"/>
    <col min="6908" max="6908" width="1.77734375" customWidth="1"/>
    <col min="6909" max="6909" width="13" customWidth="1"/>
    <col min="6910" max="7149" width="8.77734375"/>
    <col min="7150" max="7150" width="6" customWidth="1"/>
    <col min="7151" max="7151" width="1.44140625" customWidth="1"/>
    <col min="7152" max="7152" width="39.109375" customWidth="1"/>
    <col min="7153" max="7153" width="12" customWidth="1"/>
    <col min="7154" max="7154" width="14.44140625" customWidth="1"/>
    <col min="7155" max="7155" width="11.77734375" customWidth="1"/>
    <col min="7156" max="7156" width="14.109375" customWidth="1"/>
    <col min="7157" max="7157" width="13.77734375" customWidth="1"/>
    <col min="7158" max="7159" width="12.77734375" customWidth="1"/>
    <col min="7160" max="7160" width="13.5546875" customWidth="1"/>
    <col min="7161" max="7161" width="15.21875" customWidth="1"/>
    <col min="7162" max="7162" width="12.77734375" customWidth="1"/>
    <col min="7163" max="7163" width="13.77734375" customWidth="1"/>
    <col min="7164" max="7164" width="1.77734375" customWidth="1"/>
    <col min="7165" max="7165" width="13" customWidth="1"/>
    <col min="7166" max="7405" width="8.77734375"/>
    <col min="7406" max="7406" width="6" customWidth="1"/>
    <col min="7407" max="7407" width="1.44140625" customWidth="1"/>
    <col min="7408" max="7408" width="39.109375" customWidth="1"/>
    <col min="7409" max="7409" width="12" customWidth="1"/>
    <col min="7410" max="7410" width="14.44140625" customWidth="1"/>
    <col min="7411" max="7411" width="11.77734375" customWidth="1"/>
    <col min="7412" max="7412" width="14.109375" customWidth="1"/>
    <col min="7413" max="7413" width="13.77734375" customWidth="1"/>
    <col min="7414" max="7415" width="12.77734375" customWidth="1"/>
    <col min="7416" max="7416" width="13.5546875" customWidth="1"/>
    <col min="7417" max="7417" width="15.21875" customWidth="1"/>
    <col min="7418" max="7418" width="12.77734375" customWidth="1"/>
    <col min="7419" max="7419" width="13.77734375" customWidth="1"/>
    <col min="7420" max="7420" width="1.77734375" customWidth="1"/>
    <col min="7421" max="7421" width="13" customWidth="1"/>
    <col min="7422" max="7661" width="8.77734375"/>
    <col min="7662" max="7662" width="6" customWidth="1"/>
    <col min="7663" max="7663" width="1.44140625" customWidth="1"/>
    <col min="7664" max="7664" width="39.109375" customWidth="1"/>
    <col min="7665" max="7665" width="12" customWidth="1"/>
    <col min="7666" max="7666" width="14.44140625" customWidth="1"/>
    <col min="7667" max="7667" width="11.77734375" customWidth="1"/>
    <col min="7668" max="7668" width="14.109375" customWidth="1"/>
    <col min="7669" max="7669" width="13.77734375" customWidth="1"/>
    <col min="7670" max="7671" width="12.77734375" customWidth="1"/>
    <col min="7672" max="7672" width="13.5546875" customWidth="1"/>
    <col min="7673" max="7673" width="15.21875" customWidth="1"/>
    <col min="7674" max="7674" width="12.77734375" customWidth="1"/>
    <col min="7675" max="7675" width="13.77734375" customWidth="1"/>
    <col min="7676" max="7676" width="1.77734375" customWidth="1"/>
    <col min="7677" max="7677" width="13" customWidth="1"/>
    <col min="7678" max="7917" width="8.77734375"/>
    <col min="7918" max="7918" width="6" customWidth="1"/>
    <col min="7919" max="7919" width="1.44140625" customWidth="1"/>
    <col min="7920" max="7920" width="39.109375" customWidth="1"/>
    <col min="7921" max="7921" width="12" customWidth="1"/>
    <col min="7922" max="7922" width="14.44140625" customWidth="1"/>
    <col min="7923" max="7923" width="11.77734375" customWidth="1"/>
    <col min="7924" max="7924" width="14.109375" customWidth="1"/>
    <col min="7925" max="7925" width="13.77734375" customWidth="1"/>
    <col min="7926" max="7927" width="12.77734375" customWidth="1"/>
    <col min="7928" max="7928" width="13.5546875" customWidth="1"/>
    <col min="7929" max="7929" width="15.21875" customWidth="1"/>
    <col min="7930" max="7930" width="12.77734375" customWidth="1"/>
    <col min="7931" max="7931" width="13.77734375" customWidth="1"/>
    <col min="7932" max="7932" width="1.77734375" customWidth="1"/>
    <col min="7933" max="7933" width="13" customWidth="1"/>
    <col min="7934" max="8173" width="8.77734375"/>
    <col min="8174" max="8174" width="6" customWidth="1"/>
    <col min="8175" max="8175" width="1.44140625" customWidth="1"/>
    <col min="8176" max="8176" width="39.109375" customWidth="1"/>
    <col min="8177" max="8177" width="12" customWidth="1"/>
    <col min="8178" max="8178" width="14.44140625" customWidth="1"/>
    <col min="8179" max="8179" width="11.77734375" customWidth="1"/>
    <col min="8180" max="8180" width="14.109375" customWidth="1"/>
    <col min="8181" max="8181" width="13.77734375" customWidth="1"/>
    <col min="8182" max="8183" width="12.77734375" customWidth="1"/>
    <col min="8184" max="8184" width="13.5546875" customWidth="1"/>
    <col min="8185" max="8185" width="15.21875" customWidth="1"/>
    <col min="8186" max="8186" width="12.77734375" customWidth="1"/>
    <col min="8187" max="8187" width="13.77734375" customWidth="1"/>
    <col min="8188" max="8188" width="1.77734375" customWidth="1"/>
    <col min="8189" max="8189" width="13" customWidth="1"/>
    <col min="8190" max="8429" width="8.77734375"/>
    <col min="8430" max="8430" width="6" customWidth="1"/>
    <col min="8431" max="8431" width="1.44140625" customWidth="1"/>
    <col min="8432" max="8432" width="39.109375" customWidth="1"/>
    <col min="8433" max="8433" width="12" customWidth="1"/>
    <col min="8434" max="8434" width="14.44140625" customWidth="1"/>
    <col min="8435" max="8435" width="11.77734375" customWidth="1"/>
    <col min="8436" max="8436" width="14.109375" customWidth="1"/>
    <col min="8437" max="8437" width="13.77734375" customWidth="1"/>
    <col min="8438" max="8439" width="12.77734375" customWidth="1"/>
    <col min="8440" max="8440" width="13.5546875" customWidth="1"/>
    <col min="8441" max="8441" width="15.21875" customWidth="1"/>
    <col min="8442" max="8442" width="12.77734375" customWidth="1"/>
    <col min="8443" max="8443" width="13.77734375" customWidth="1"/>
    <col min="8444" max="8444" width="1.77734375" customWidth="1"/>
    <col min="8445" max="8445" width="13" customWidth="1"/>
    <col min="8446" max="8685" width="8.77734375"/>
    <col min="8686" max="8686" width="6" customWidth="1"/>
    <col min="8687" max="8687" width="1.44140625" customWidth="1"/>
    <col min="8688" max="8688" width="39.109375" customWidth="1"/>
    <col min="8689" max="8689" width="12" customWidth="1"/>
    <col min="8690" max="8690" width="14.44140625" customWidth="1"/>
    <col min="8691" max="8691" width="11.77734375" customWidth="1"/>
    <col min="8692" max="8692" width="14.109375" customWidth="1"/>
    <col min="8693" max="8693" width="13.77734375" customWidth="1"/>
    <col min="8694" max="8695" width="12.77734375" customWidth="1"/>
    <col min="8696" max="8696" width="13.5546875" customWidth="1"/>
    <col min="8697" max="8697" width="15.21875" customWidth="1"/>
    <col min="8698" max="8698" width="12.77734375" customWidth="1"/>
    <col min="8699" max="8699" width="13.77734375" customWidth="1"/>
    <col min="8700" max="8700" width="1.77734375" customWidth="1"/>
    <col min="8701" max="8701" width="13" customWidth="1"/>
    <col min="8702" max="8941" width="8.77734375"/>
    <col min="8942" max="8942" width="6" customWidth="1"/>
    <col min="8943" max="8943" width="1.44140625" customWidth="1"/>
    <col min="8944" max="8944" width="39.109375" customWidth="1"/>
    <col min="8945" max="8945" width="12" customWidth="1"/>
    <col min="8946" max="8946" width="14.44140625" customWidth="1"/>
    <col min="8947" max="8947" width="11.77734375" customWidth="1"/>
    <col min="8948" max="8948" width="14.109375" customWidth="1"/>
    <col min="8949" max="8949" width="13.77734375" customWidth="1"/>
    <col min="8950" max="8951" width="12.77734375" customWidth="1"/>
    <col min="8952" max="8952" width="13.5546875" customWidth="1"/>
    <col min="8953" max="8953" width="15.21875" customWidth="1"/>
    <col min="8954" max="8954" width="12.77734375" customWidth="1"/>
    <col min="8955" max="8955" width="13.77734375" customWidth="1"/>
    <col min="8956" max="8956" width="1.77734375" customWidth="1"/>
    <col min="8957" max="8957" width="13" customWidth="1"/>
    <col min="8958" max="9197" width="8.77734375"/>
    <col min="9198" max="9198" width="6" customWidth="1"/>
    <col min="9199" max="9199" width="1.44140625" customWidth="1"/>
    <col min="9200" max="9200" width="39.109375" customWidth="1"/>
    <col min="9201" max="9201" width="12" customWidth="1"/>
    <col min="9202" max="9202" width="14.44140625" customWidth="1"/>
    <col min="9203" max="9203" width="11.77734375" customWidth="1"/>
    <col min="9204" max="9204" width="14.109375" customWidth="1"/>
    <col min="9205" max="9205" width="13.77734375" customWidth="1"/>
    <col min="9206" max="9207" width="12.77734375" customWidth="1"/>
    <col min="9208" max="9208" width="13.5546875" customWidth="1"/>
    <col min="9209" max="9209" width="15.21875" customWidth="1"/>
    <col min="9210" max="9210" width="12.77734375" customWidth="1"/>
    <col min="9211" max="9211" width="13.77734375" customWidth="1"/>
    <col min="9212" max="9212" width="1.77734375" customWidth="1"/>
    <col min="9213" max="9213" width="13" customWidth="1"/>
    <col min="9214" max="9453" width="8.77734375"/>
    <col min="9454" max="9454" width="6" customWidth="1"/>
    <col min="9455" max="9455" width="1.44140625" customWidth="1"/>
    <col min="9456" max="9456" width="39.109375" customWidth="1"/>
    <col min="9457" max="9457" width="12" customWidth="1"/>
    <col min="9458" max="9458" width="14.44140625" customWidth="1"/>
    <col min="9459" max="9459" width="11.77734375" customWidth="1"/>
    <col min="9460" max="9460" width="14.109375" customWidth="1"/>
    <col min="9461" max="9461" width="13.77734375" customWidth="1"/>
    <col min="9462" max="9463" width="12.77734375" customWidth="1"/>
    <col min="9464" max="9464" width="13.5546875" customWidth="1"/>
    <col min="9465" max="9465" width="15.21875" customWidth="1"/>
    <col min="9466" max="9466" width="12.77734375" customWidth="1"/>
    <col min="9467" max="9467" width="13.77734375" customWidth="1"/>
    <col min="9468" max="9468" width="1.77734375" customWidth="1"/>
    <col min="9469" max="9469" width="13" customWidth="1"/>
    <col min="9470" max="9709" width="8.77734375"/>
    <col min="9710" max="9710" width="6" customWidth="1"/>
    <col min="9711" max="9711" width="1.44140625" customWidth="1"/>
    <col min="9712" max="9712" width="39.109375" customWidth="1"/>
    <col min="9713" max="9713" width="12" customWidth="1"/>
    <col min="9714" max="9714" width="14.44140625" customWidth="1"/>
    <col min="9715" max="9715" width="11.77734375" customWidth="1"/>
    <col min="9716" max="9716" width="14.109375" customWidth="1"/>
    <col min="9717" max="9717" width="13.77734375" customWidth="1"/>
    <col min="9718" max="9719" width="12.77734375" customWidth="1"/>
    <col min="9720" max="9720" width="13.5546875" customWidth="1"/>
    <col min="9721" max="9721" width="15.21875" customWidth="1"/>
    <col min="9722" max="9722" width="12.77734375" customWidth="1"/>
    <col min="9723" max="9723" width="13.77734375" customWidth="1"/>
    <col min="9724" max="9724" width="1.77734375" customWidth="1"/>
    <col min="9725" max="9725" width="13" customWidth="1"/>
    <col min="9726" max="9965" width="8.77734375"/>
    <col min="9966" max="9966" width="6" customWidth="1"/>
    <col min="9967" max="9967" width="1.44140625" customWidth="1"/>
    <col min="9968" max="9968" width="39.109375" customWidth="1"/>
    <col min="9969" max="9969" width="12" customWidth="1"/>
    <col min="9970" max="9970" width="14.44140625" customWidth="1"/>
    <col min="9971" max="9971" width="11.77734375" customWidth="1"/>
    <col min="9972" max="9972" width="14.109375" customWidth="1"/>
    <col min="9973" max="9973" width="13.77734375" customWidth="1"/>
    <col min="9974" max="9975" width="12.77734375" customWidth="1"/>
    <col min="9976" max="9976" width="13.5546875" customWidth="1"/>
    <col min="9977" max="9977" width="15.21875" customWidth="1"/>
    <col min="9978" max="9978" width="12.77734375" customWidth="1"/>
    <col min="9979" max="9979" width="13.77734375" customWidth="1"/>
    <col min="9980" max="9980" width="1.77734375" customWidth="1"/>
    <col min="9981" max="9981" width="13" customWidth="1"/>
    <col min="9982" max="10221" width="8.77734375"/>
    <col min="10222" max="10222" width="6" customWidth="1"/>
    <col min="10223" max="10223" width="1.44140625" customWidth="1"/>
    <col min="10224" max="10224" width="39.109375" customWidth="1"/>
    <col min="10225" max="10225" width="12" customWidth="1"/>
    <col min="10226" max="10226" width="14.44140625" customWidth="1"/>
    <col min="10227" max="10227" width="11.77734375" customWidth="1"/>
    <col min="10228" max="10228" width="14.109375" customWidth="1"/>
    <col min="10229" max="10229" width="13.77734375" customWidth="1"/>
    <col min="10230" max="10231" width="12.77734375" customWidth="1"/>
    <col min="10232" max="10232" width="13.5546875" customWidth="1"/>
    <col min="10233" max="10233" width="15.21875" customWidth="1"/>
    <col min="10234" max="10234" width="12.77734375" customWidth="1"/>
    <col min="10235" max="10235" width="13.77734375" customWidth="1"/>
    <col min="10236" max="10236" width="1.77734375" customWidth="1"/>
    <col min="10237" max="10237" width="13" customWidth="1"/>
    <col min="10238" max="10477" width="8.77734375"/>
    <col min="10478" max="10478" width="6" customWidth="1"/>
    <col min="10479" max="10479" width="1.44140625" customWidth="1"/>
    <col min="10480" max="10480" width="39.109375" customWidth="1"/>
    <col min="10481" max="10481" width="12" customWidth="1"/>
    <col min="10482" max="10482" width="14.44140625" customWidth="1"/>
    <col min="10483" max="10483" width="11.77734375" customWidth="1"/>
    <col min="10484" max="10484" width="14.109375" customWidth="1"/>
    <col min="10485" max="10485" width="13.77734375" customWidth="1"/>
    <col min="10486" max="10487" width="12.77734375" customWidth="1"/>
    <col min="10488" max="10488" width="13.5546875" customWidth="1"/>
    <col min="10489" max="10489" width="15.21875" customWidth="1"/>
    <col min="10490" max="10490" width="12.77734375" customWidth="1"/>
    <col min="10491" max="10491" width="13.77734375" customWidth="1"/>
    <col min="10492" max="10492" width="1.77734375" customWidth="1"/>
    <col min="10493" max="10493" width="13" customWidth="1"/>
    <col min="10494" max="10733" width="8.77734375"/>
    <col min="10734" max="10734" width="6" customWidth="1"/>
    <col min="10735" max="10735" width="1.44140625" customWidth="1"/>
    <col min="10736" max="10736" width="39.109375" customWidth="1"/>
    <col min="10737" max="10737" width="12" customWidth="1"/>
    <col min="10738" max="10738" width="14.44140625" customWidth="1"/>
    <col min="10739" max="10739" width="11.77734375" customWidth="1"/>
    <col min="10740" max="10740" width="14.109375" customWidth="1"/>
    <col min="10741" max="10741" width="13.77734375" customWidth="1"/>
    <col min="10742" max="10743" width="12.77734375" customWidth="1"/>
    <col min="10744" max="10744" width="13.5546875" customWidth="1"/>
    <col min="10745" max="10745" width="15.21875" customWidth="1"/>
    <col min="10746" max="10746" width="12.77734375" customWidth="1"/>
    <col min="10747" max="10747" width="13.77734375" customWidth="1"/>
    <col min="10748" max="10748" width="1.77734375" customWidth="1"/>
    <col min="10749" max="10749" width="13" customWidth="1"/>
    <col min="10750" max="10989" width="8.77734375"/>
    <col min="10990" max="10990" width="6" customWidth="1"/>
    <col min="10991" max="10991" width="1.44140625" customWidth="1"/>
    <col min="10992" max="10992" width="39.109375" customWidth="1"/>
    <col min="10993" max="10993" width="12" customWidth="1"/>
    <col min="10994" max="10994" width="14.44140625" customWidth="1"/>
    <col min="10995" max="10995" width="11.77734375" customWidth="1"/>
    <col min="10996" max="10996" width="14.109375" customWidth="1"/>
    <col min="10997" max="10997" width="13.77734375" customWidth="1"/>
    <col min="10998" max="10999" width="12.77734375" customWidth="1"/>
    <col min="11000" max="11000" width="13.5546875" customWidth="1"/>
    <col min="11001" max="11001" width="15.21875" customWidth="1"/>
    <col min="11002" max="11002" width="12.77734375" customWidth="1"/>
    <col min="11003" max="11003" width="13.77734375" customWidth="1"/>
    <col min="11004" max="11004" width="1.77734375" customWidth="1"/>
    <col min="11005" max="11005" width="13" customWidth="1"/>
    <col min="11006" max="11245" width="8.77734375"/>
    <col min="11246" max="11246" width="6" customWidth="1"/>
    <col min="11247" max="11247" width="1.44140625" customWidth="1"/>
    <col min="11248" max="11248" width="39.109375" customWidth="1"/>
    <col min="11249" max="11249" width="12" customWidth="1"/>
    <col min="11250" max="11250" width="14.44140625" customWidth="1"/>
    <col min="11251" max="11251" width="11.77734375" customWidth="1"/>
    <col min="11252" max="11252" width="14.109375" customWidth="1"/>
    <col min="11253" max="11253" width="13.77734375" customWidth="1"/>
    <col min="11254" max="11255" width="12.77734375" customWidth="1"/>
    <col min="11256" max="11256" width="13.5546875" customWidth="1"/>
    <col min="11257" max="11257" width="15.21875" customWidth="1"/>
    <col min="11258" max="11258" width="12.77734375" customWidth="1"/>
    <col min="11259" max="11259" width="13.77734375" customWidth="1"/>
    <col min="11260" max="11260" width="1.77734375" customWidth="1"/>
    <col min="11261" max="11261" width="13" customWidth="1"/>
    <col min="11262" max="11501" width="8.77734375"/>
    <col min="11502" max="11502" width="6" customWidth="1"/>
    <col min="11503" max="11503" width="1.44140625" customWidth="1"/>
    <col min="11504" max="11504" width="39.109375" customWidth="1"/>
    <col min="11505" max="11505" width="12" customWidth="1"/>
    <col min="11506" max="11506" width="14.44140625" customWidth="1"/>
    <col min="11507" max="11507" width="11.77734375" customWidth="1"/>
    <col min="11508" max="11508" width="14.109375" customWidth="1"/>
    <col min="11509" max="11509" width="13.77734375" customWidth="1"/>
    <col min="11510" max="11511" width="12.77734375" customWidth="1"/>
    <col min="11512" max="11512" width="13.5546875" customWidth="1"/>
    <col min="11513" max="11513" width="15.21875" customWidth="1"/>
    <col min="11514" max="11514" width="12.77734375" customWidth="1"/>
    <col min="11515" max="11515" width="13.77734375" customWidth="1"/>
    <col min="11516" max="11516" width="1.77734375" customWidth="1"/>
    <col min="11517" max="11517" width="13" customWidth="1"/>
    <col min="11518" max="11757" width="8.77734375"/>
    <col min="11758" max="11758" width="6" customWidth="1"/>
    <col min="11759" max="11759" width="1.44140625" customWidth="1"/>
    <col min="11760" max="11760" width="39.109375" customWidth="1"/>
    <col min="11761" max="11761" width="12" customWidth="1"/>
    <col min="11762" max="11762" width="14.44140625" customWidth="1"/>
    <col min="11763" max="11763" width="11.77734375" customWidth="1"/>
    <col min="11764" max="11764" width="14.109375" customWidth="1"/>
    <col min="11765" max="11765" width="13.77734375" customWidth="1"/>
    <col min="11766" max="11767" width="12.77734375" customWidth="1"/>
    <col min="11768" max="11768" width="13.5546875" customWidth="1"/>
    <col min="11769" max="11769" width="15.21875" customWidth="1"/>
    <col min="11770" max="11770" width="12.77734375" customWidth="1"/>
    <col min="11771" max="11771" width="13.77734375" customWidth="1"/>
    <col min="11772" max="11772" width="1.77734375" customWidth="1"/>
    <col min="11773" max="11773" width="13" customWidth="1"/>
    <col min="11774" max="12013" width="8.77734375"/>
    <col min="12014" max="12014" width="6" customWidth="1"/>
    <col min="12015" max="12015" width="1.44140625" customWidth="1"/>
    <col min="12016" max="12016" width="39.109375" customWidth="1"/>
    <col min="12017" max="12017" width="12" customWidth="1"/>
    <col min="12018" max="12018" width="14.44140625" customWidth="1"/>
    <col min="12019" max="12019" width="11.77734375" customWidth="1"/>
    <col min="12020" max="12020" width="14.109375" customWidth="1"/>
    <col min="12021" max="12021" width="13.77734375" customWidth="1"/>
    <col min="12022" max="12023" width="12.77734375" customWidth="1"/>
    <col min="12024" max="12024" width="13.5546875" customWidth="1"/>
    <col min="12025" max="12025" width="15.21875" customWidth="1"/>
    <col min="12026" max="12026" width="12.77734375" customWidth="1"/>
    <col min="12027" max="12027" width="13.77734375" customWidth="1"/>
    <col min="12028" max="12028" width="1.77734375" customWidth="1"/>
    <col min="12029" max="12029" width="13" customWidth="1"/>
    <col min="12030" max="12269" width="8.77734375"/>
    <col min="12270" max="12270" width="6" customWidth="1"/>
    <col min="12271" max="12271" width="1.44140625" customWidth="1"/>
    <col min="12272" max="12272" width="39.109375" customWidth="1"/>
    <col min="12273" max="12273" width="12" customWidth="1"/>
    <col min="12274" max="12274" width="14.44140625" customWidth="1"/>
    <col min="12275" max="12275" width="11.77734375" customWidth="1"/>
    <col min="12276" max="12276" width="14.109375" customWidth="1"/>
    <col min="12277" max="12277" width="13.77734375" customWidth="1"/>
    <col min="12278" max="12279" width="12.77734375" customWidth="1"/>
    <col min="12280" max="12280" width="13.5546875" customWidth="1"/>
    <col min="12281" max="12281" width="15.21875" customWidth="1"/>
    <col min="12282" max="12282" width="12.77734375" customWidth="1"/>
    <col min="12283" max="12283" width="13.77734375" customWidth="1"/>
    <col min="12284" max="12284" width="1.77734375" customWidth="1"/>
    <col min="12285" max="12285" width="13" customWidth="1"/>
    <col min="12286" max="12525" width="8.77734375"/>
    <col min="12526" max="12526" width="6" customWidth="1"/>
    <col min="12527" max="12527" width="1.44140625" customWidth="1"/>
    <col min="12528" max="12528" width="39.109375" customWidth="1"/>
    <col min="12529" max="12529" width="12" customWidth="1"/>
    <col min="12530" max="12530" width="14.44140625" customWidth="1"/>
    <col min="12531" max="12531" width="11.77734375" customWidth="1"/>
    <col min="12532" max="12532" width="14.109375" customWidth="1"/>
    <col min="12533" max="12533" width="13.77734375" customWidth="1"/>
    <col min="12534" max="12535" width="12.77734375" customWidth="1"/>
    <col min="12536" max="12536" width="13.5546875" customWidth="1"/>
    <col min="12537" max="12537" width="15.21875" customWidth="1"/>
    <col min="12538" max="12538" width="12.77734375" customWidth="1"/>
    <col min="12539" max="12539" width="13.77734375" customWidth="1"/>
    <col min="12540" max="12540" width="1.77734375" customWidth="1"/>
    <col min="12541" max="12541" width="13" customWidth="1"/>
    <col min="12542" max="12781" width="8.77734375"/>
    <col min="12782" max="12782" width="6" customWidth="1"/>
    <col min="12783" max="12783" width="1.44140625" customWidth="1"/>
    <col min="12784" max="12784" width="39.109375" customWidth="1"/>
    <col min="12785" max="12785" width="12" customWidth="1"/>
    <col min="12786" max="12786" width="14.44140625" customWidth="1"/>
    <col min="12787" max="12787" width="11.77734375" customWidth="1"/>
    <col min="12788" max="12788" width="14.109375" customWidth="1"/>
    <col min="12789" max="12789" width="13.77734375" customWidth="1"/>
    <col min="12790" max="12791" width="12.77734375" customWidth="1"/>
    <col min="12792" max="12792" width="13.5546875" customWidth="1"/>
    <col min="12793" max="12793" width="15.21875" customWidth="1"/>
    <col min="12794" max="12794" width="12.77734375" customWidth="1"/>
    <col min="12795" max="12795" width="13.77734375" customWidth="1"/>
    <col min="12796" max="12796" width="1.77734375" customWidth="1"/>
    <col min="12797" max="12797" width="13" customWidth="1"/>
    <col min="12798" max="13037" width="8.77734375"/>
    <col min="13038" max="13038" width="6" customWidth="1"/>
    <col min="13039" max="13039" width="1.44140625" customWidth="1"/>
    <col min="13040" max="13040" width="39.109375" customWidth="1"/>
    <col min="13041" max="13041" width="12" customWidth="1"/>
    <col min="13042" max="13042" width="14.44140625" customWidth="1"/>
    <col min="13043" max="13043" width="11.77734375" customWidth="1"/>
    <col min="13044" max="13044" width="14.109375" customWidth="1"/>
    <col min="13045" max="13045" width="13.77734375" customWidth="1"/>
    <col min="13046" max="13047" width="12.77734375" customWidth="1"/>
    <col min="13048" max="13048" width="13.5546875" customWidth="1"/>
    <col min="13049" max="13049" width="15.21875" customWidth="1"/>
    <col min="13050" max="13050" width="12.77734375" customWidth="1"/>
    <col min="13051" max="13051" width="13.77734375" customWidth="1"/>
    <col min="13052" max="13052" width="1.77734375" customWidth="1"/>
    <col min="13053" max="13053" width="13" customWidth="1"/>
    <col min="13054" max="13293" width="8.77734375"/>
    <col min="13294" max="13294" width="6" customWidth="1"/>
    <col min="13295" max="13295" width="1.44140625" customWidth="1"/>
    <col min="13296" max="13296" width="39.109375" customWidth="1"/>
    <col min="13297" max="13297" width="12" customWidth="1"/>
    <col min="13298" max="13298" width="14.44140625" customWidth="1"/>
    <col min="13299" max="13299" width="11.77734375" customWidth="1"/>
    <col min="13300" max="13300" width="14.109375" customWidth="1"/>
    <col min="13301" max="13301" width="13.77734375" customWidth="1"/>
    <col min="13302" max="13303" width="12.77734375" customWidth="1"/>
    <col min="13304" max="13304" width="13.5546875" customWidth="1"/>
    <col min="13305" max="13305" width="15.21875" customWidth="1"/>
    <col min="13306" max="13306" width="12.77734375" customWidth="1"/>
    <col min="13307" max="13307" width="13.77734375" customWidth="1"/>
    <col min="13308" max="13308" width="1.77734375" customWidth="1"/>
    <col min="13309" max="13309" width="13" customWidth="1"/>
    <col min="13310" max="13549" width="8.77734375"/>
    <col min="13550" max="13550" width="6" customWidth="1"/>
    <col min="13551" max="13551" width="1.44140625" customWidth="1"/>
    <col min="13552" max="13552" width="39.109375" customWidth="1"/>
    <col min="13553" max="13553" width="12" customWidth="1"/>
    <col min="13554" max="13554" width="14.44140625" customWidth="1"/>
    <col min="13555" max="13555" width="11.77734375" customWidth="1"/>
    <col min="13556" max="13556" width="14.109375" customWidth="1"/>
    <col min="13557" max="13557" width="13.77734375" customWidth="1"/>
    <col min="13558" max="13559" width="12.77734375" customWidth="1"/>
    <col min="13560" max="13560" width="13.5546875" customWidth="1"/>
    <col min="13561" max="13561" width="15.21875" customWidth="1"/>
    <col min="13562" max="13562" width="12.77734375" customWidth="1"/>
    <col min="13563" max="13563" width="13.77734375" customWidth="1"/>
    <col min="13564" max="13564" width="1.77734375" customWidth="1"/>
    <col min="13565" max="13565" width="13" customWidth="1"/>
    <col min="13566" max="13805" width="8.77734375"/>
    <col min="13806" max="13806" width="6" customWidth="1"/>
    <col min="13807" max="13807" width="1.44140625" customWidth="1"/>
    <col min="13808" max="13808" width="39.109375" customWidth="1"/>
    <col min="13809" max="13809" width="12" customWidth="1"/>
    <col min="13810" max="13810" width="14.44140625" customWidth="1"/>
    <col min="13811" max="13811" width="11.77734375" customWidth="1"/>
    <col min="13812" max="13812" width="14.109375" customWidth="1"/>
    <col min="13813" max="13813" width="13.77734375" customWidth="1"/>
    <col min="13814" max="13815" width="12.77734375" customWidth="1"/>
    <col min="13816" max="13816" width="13.5546875" customWidth="1"/>
    <col min="13817" max="13817" width="15.21875" customWidth="1"/>
    <col min="13818" max="13818" width="12.77734375" customWidth="1"/>
    <col min="13819" max="13819" width="13.77734375" customWidth="1"/>
    <col min="13820" max="13820" width="1.77734375" customWidth="1"/>
    <col min="13821" max="13821" width="13" customWidth="1"/>
    <col min="13822" max="14061" width="8.77734375"/>
    <col min="14062" max="14062" width="6" customWidth="1"/>
    <col min="14063" max="14063" width="1.44140625" customWidth="1"/>
    <col min="14064" max="14064" width="39.109375" customWidth="1"/>
    <col min="14065" max="14065" width="12" customWidth="1"/>
    <col min="14066" max="14066" width="14.44140625" customWidth="1"/>
    <col min="14067" max="14067" width="11.77734375" customWidth="1"/>
    <col min="14068" max="14068" width="14.109375" customWidth="1"/>
    <col min="14069" max="14069" width="13.77734375" customWidth="1"/>
    <col min="14070" max="14071" width="12.77734375" customWidth="1"/>
    <col min="14072" max="14072" width="13.5546875" customWidth="1"/>
    <col min="14073" max="14073" width="15.21875" customWidth="1"/>
    <col min="14074" max="14074" width="12.77734375" customWidth="1"/>
    <col min="14075" max="14075" width="13.77734375" customWidth="1"/>
    <col min="14076" max="14076" width="1.77734375" customWidth="1"/>
    <col min="14077" max="14077" width="13" customWidth="1"/>
    <col min="14078" max="14317" width="8.77734375"/>
    <col min="14318" max="14318" width="6" customWidth="1"/>
    <col min="14319" max="14319" width="1.44140625" customWidth="1"/>
    <col min="14320" max="14320" width="39.109375" customWidth="1"/>
    <col min="14321" max="14321" width="12" customWidth="1"/>
    <col min="14322" max="14322" width="14.44140625" customWidth="1"/>
    <col min="14323" max="14323" width="11.77734375" customWidth="1"/>
    <col min="14324" max="14324" width="14.109375" customWidth="1"/>
    <col min="14325" max="14325" width="13.77734375" customWidth="1"/>
    <col min="14326" max="14327" width="12.77734375" customWidth="1"/>
    <col min="14328" max="14328" width="13.5546875" customWidth="1"/>
    <col min="14329" max="14329" width="15.21875" customWidth="1"/>
    <col min="14330" max="14330" width="12.77734375" customWidth="1"/>
    <col min="14331" max="14331" width="13.77734375" customWidth="1"/>
    <col min="14332" max="14332" width="1.77734375" customWidth="1"/>
    <col min="14333" max="14333" width="13" customWidth="1"/>
    <col min="14334" max="14573" width="8.77734375"/>
    <col min="14574" max="14574" width="6" customWidth="1"/>
    <col min="14575" max="14575" width="1.44140625" customWidth="1"/>
    <col min="14576" max="14576" width="39.109375" customWidth="1"/>
    <col min="14577" max="14577" width="12" customWidth="1"/>
    <col min="14578" max="14578" width="14.44140625" customWidth="1"/>
    <col min="14579" max="14579" width="11.77734375" customWidth="1"/>
    <col min="14580" max="14580" width="14.109375" customWidth="1"/>
    <col min="14581" max="14581" width="13.77734375" customWidth="1"/>
    <col min="14582" max="14583" width="12.77734375" customWidth="1"/>
    <col min="14584" max="14584" width="13.5546875" customWidth="1"/>
    <col min="14585" max="14585" width="15.21875" customWidth="1"/>
    <col min="14586" max="14586" width="12.77734375" customWidth="1"/>
    <col min="14587" max="14587" width="13.77734375" customWidth="1"/>
    <col min="14588" max="14588" width="1.77734375" customWidth="1"/>
    <col min="14589" max="14589" width="13" customWidth="1"/>
    <col min="14590" max="14829" width="8.77734375"/>
    <col min="14830" max="14830" width="6" customWidth="1"/>
    <col min="14831" max="14831" width="1.44140625" customWidth="1"/>
    <col min="14832" max="14832" width="39.109375" customWidth="1"/>
    <col min="14833" max="14833" width="12" customWidth="1"/>
    <col min="14834" max="14834" width="14.44140625" customWidth="1"/>
    <col min="14835" max="14835" width="11.77734375" customWidth="1"/>
    <col min="14836" max="14836" width="14.109375" customWidth="1"/>
    <col min="14837" max="14837" width="13.77734375" customWidth="1"/>
    <col min="14838" max="14839" width="12.77734375" customWidth="1"/>
    <col min="14840" max="14840" width="13.5546875" customWidth="1"/>
    <col min="14841" max="14841" width="15.21875" customWidth="1"/>
    <col min="14842" max="14842" width="12.77734375" customWidth="1"/>
    <col min="14843" max="14843" width="13.77734375" customWidth="1"/>
    <col min="14844" max="14844" width="1.77734375" customWidth="1"/>
    <col min="14845" max="14845" width="13" customWidth="1"/>
    <col min="14846" max="15085" width="8.77734375"/>
    <col min="15086" max="15086" width="6" customWidth="1"/>
    <col min="15087" max="15087" width="1.44140625" customWidth="1"/>
    <col min="15088" max="15088" width="39.109375" customWidth="1"/>
    <col min="15089" max="15089" width="12" customWidth="1"/>
    <col min="15090" max="15090" width="14.44140625" customWidth="1"/>
    <col min="15091" max="15091" width="11.77734375" customWidth="1"/>
    <col min="15092" max="15092" width="14.109375" customWidth="1"/>
    <col min="15093" max="15093" width="13.77734375" customWidth="1"/>
    <col min="15094" max="15095" width="12.77734375" customWidth="1"/>
    <col min="15096" max="15096" width="13.5546875" customWidth="1"/>
    <col min="15097" max="15097" width="15.21875" customWidth="1"/>
    <col min="15098" max="15098" width="12.77734375" customWidth="1"/>
    <col min="15099" max="15099" width="13.77734375" customWidth="1"/>
    <col min="15100" max="15100" width="1.77734375" customWidth="1"/>
    <col min="15101" max="15101" width="13" customWidth="1"/>
    <col min="15102" max="15341" width="8.77734375"/>
    <col min="15342" max="15342" width="6" customWidth="1"/>
    <col min="15343" max="15343" width="1.44140625" customWidth="1"/>
    <col min="15344" max="15344" width="39.109375" customWidth="1"/>
    <col min="15345" max="15345" width="12" customWidth="1"/>
    <col min="15346" max="15346" width="14.44140625" customWidth="1"/>
    <col min="15347" max="15347" width="11.77734375" customWidth="1"/>
    <col min="15348" max="15348" width="14.109375" customWidth="1"/>
    <col min="15349" max="15349" width="13.77734375" customWidth="1"/>
    <col min="15350" max="15351" width="12.77734375" customWidth="1"/>
    <col min="15352" max="15352" width="13.5546875" customWidth="1"/>
    <col min="15353" max="15353" width="15.21875" customWidth="1"/>
    <col min="15354" max="15354" width="12.77734375" customWidth="1"/>
    <col min="15355" max="15355" width="13.77734375" customWidth="1"/>
    <col min="15356" max="15356" width="1.77734375" customWidth="1"/>
    <col min="15357" max="15357" width="13" customWidth="1"/>
    <col min="15358" max="15597" width="8.77734375"/>
    <col min="15598" max="15598" width="6" customWidth="1"/>
    <col min="15599" max="15599" width="1.44140625" customWidth="1"/>
    <col min="15600" max="15600" width="39.109375" customWidth="1"/>
    <col min="15601" max="15601" width="12" customWidth="1"/>
    <col min="15602" max="15602" width="14.44140625" customWidth="1"/>
    <col min="15603" max="15603" width="11.77734375" customWidth="1"/>
    <col min="15604" max="15604" width="14.109375" customWidth="1"/>
    <col min="15605" max="15605" width="13.77734375" customWidth="1"/>
    <col min="15606" max="15607" width="12.77734375" customWidth="1"/>
    <col min="15608" max="15608" width="13.5546875" customWidth="1"/>
    <col min="15609" max="15609" width="15.21875" customWidth="1"/>
    <col min="15610" max="15610" width="12.77734375" customWidth="1"/>
    <col min="15611" max="15611" width="13.77734375" customWidth="1"/>
    <col min="15612" max="15612" width="1.77734375" customWidth="1"/>
    <col min="15613" max="15613" width="13" customWidth="1"/>
    <col min="15614" max="15853" width="8.77734375"/>
    <col min="15854" max="15854" width="6" customWidth="1"/>
    <col min="15855" max="15855" width="1.44140625" customWidth="1"/>
    <col min="15856" max="15856" width="39.109375" customWidth="1"/>
    <col min="15857" max="15857" width="12" customWidth="1"/>
    <col min="15858" max="15858" width="14.44140625" customWidth="1"/>
    <col min="15859" max="15859" width="11.77734375" customWidth="1"/>
    <col min="15860" max="15860" width="14.109375" customWidth="1"/>
    <col min="15861" max="15861" width="13.77734375" customWidth="1"/>
    <col min="15862" max="15863" width="12.77734375" customWidth="1"/>
    <col min="15864" max="15864" width="13.5546875" customWidth="1"/>
    <col min="15865" max="15865" width="15.21875" customWidth="1"/>
    <col min="15866" max="15866" width="12.77734375" customWidth="1"/>
    <col min="15867" max="15867" width="13.77734375" customWidth="1"/>
    <col min="15868" max="15868" width="1.77734375" customWidth="1"/>
    <col min="15869" max="15869" width="13" customWidth="1"/>
    <col min="15870" max="16109" width="8.77734375"/>
    <col min="16110" max="16110" width="6" customWidth="1"/>
    <col min="16111" max="16111" width="1.44140625" customWidth="1"/>
    <col min="16112" max="16112" width="39.109375" customWidth="1"/>
    <col min="16113" max="16113" width="12" customWidth="1"/>
    <col min="16114" max="16114" width="14.44140625" customWidth="1"/>
    <col min="16115" max="16115" width="11.77734375" customWidth="1"/>
    <col min="16116" max="16116" width="14.109375" customWidth="1"/>
    <col min="16117" max="16117" width="13.77734375" customWidth="1"/>
    <col min="16118" max="16119" width="12.77734375" customWidth="1"/>
    <col min="16120" max="16120" width="13.5546875" customWidth="1"/>
    <col min="16121" max="16121" width="15.21875" customWidth="1"/>
    <col min="16122" max="16122" width="12.77734375" customWidth="1"/>
    <col min="16123" max="16123" width="13.77734375" customWidth="1"/>
    <col min="16124" max="16124" width="1.77734375" customWidth="1"/>
    <col min="16125" max="16125" width="13" customWidth="1"/>
    <col min="16126" max="16365" width="8.77734375"/>
    <col min="16366" max="16384" width="8.77734375" customWidth="1"/>
  </cols>
  <sheetData>
    <row r="1" spans="2:18">
      <c r="O1" s="50" t="s">
        <v>299</v>
      </c>
    </row>
    <row r="2" spans="2:18">
      <c r="O2" s="50" t="s">
        <v>297</v>
      </c>
      <c r="Q2" s="949"/>
      <c r="R2" s="949"/>
    </row>
    <row r="3" spans="2:18">
      <c r="O3" s="107" t="s">
        <v>287</v>
      </c>
    </row>
    <row r="4" spans="2:18">
      <c r="B4" s="86"/>
      <c r="D4" s="9"/>
      <c r="E4" s="9"/>
      <c r="F4" s="9"/>
      <c r="G4" s="9"/>
      <c r="H4" s="2"/>
      <c r="I4" s="9"/>
      <c r="J4" s="9"/>
      <c r="K4" s="9"/>
      <c r="L4" s="9"/>
      <c r="N4" s="2"/>
      <c r="O4" s="107" t="str">
        <f>DEOK!G7</f>
        <v>For the 12 months ended: 12/31/2020</v>
      </c>
    </row>
    <row r="5" spans="2:18">
      <c r="B5" s="86"/>
      <c r="D5" s="9"/>
      <c r="E5" s="9"/>
      <c r="F5" s="9"/>
      <c r="G5" s="9"/>
      <c r="H5" s="2"/>
      <c r="I5" s="9"/>
      <c r="J5" s="9"/>
      <c r="K5" s="9"/>
      <c r="L5" s="9"/>
      <c r="N5" s="2"/>
    </row>
    <row r="6" spans="2:18">
      <c r="B6" s="70" t="s">
        <v>257</v>
      </c>
      <c r="C6" s="174"/>
      <c r="D6" s="174"/>
      <c r="E6" s="146"/>
      <c r="F6" s="70"/>
      <c r="G6" s="70"/>
      <c r="H6" s="174"/>
      <c r="I6" s="70"/>
      <c r="J6" s="70"/>
      <c r="K6" s="70"/>
      <c r="L6" s="70"/>
      <c r="M6" s="174"/>
      <c r="N6" s="145"/>
      <c r="O6" s="174"/>
    </row>
    <row r="7" spans="2:18">
      <c r="B7" s="70" t="s">
        <v>300</v>
      </c>
      <c r="C7" s="174"/>
      <c r="D7" s="146"/>
      <c r="E7" s="146"/>
      <c r="F7" s="70"/>
      <c r="G7" s="70"/>
      <c r="H7" s="174"/>
      <c r="I7" s="70"/>
      <c r="J7" s="70"/>
      <c r="K7" s="70"/>
      <c r="L7" s="70"/>
      <c r="M7" s="145"/>
      <c r="N7" s="145"/>
      <c r="O7" s="174"/>
    </row>
    <row r="8" spans="2:18" ht="14.25" customHeight="1">
      <c r="B8" s="173"/>
      <c r="D8" s="9"/>
      <c r="E8" s="9"/>
      <c r="F8" s="9"/>
      <c r="G8" s="9"/>
      <c r="I8" s="70"/>
      <c r="J8" s="9"/>
      <c r="K8" s="9"/>
      <c r="L8" s="9"/>
      <c r="N8" s="2"/>
    </row>
    <row r="9" spans="2:18">
      <c r="B9" s="70" t="str">
        <f>DEOK!A11</f>
        <v>DUKE ENERGY OHIO AND DUKE ENERGY KENTUCKY (DEOK)</v>
      </c>
      <c r="C9" s="174"/>
      <c r="D9" s="174"/>
      <c r="E9" s="174"/>
      <c r="F9" s="70"/>
      <c r="G9" s="70"/>
      <c r="H9" s="174"/>
      <c r="I9" s="70"/>
      <c r="J9" s="70"/>
      <c r="K9" s="70"/>
      <c r="L9" s="70"/>
      <c r="M9" s="70"/>
      <c r="N9" s="145"/>
      <c r="O9" s="145"/>
    </row>
    <row r="10" spans="2:18">
      <c r="B10" s="70" t="s">
        <v>606</v>
      </c>
      <c r="C10" s="174"/>
      <c r="D10" s="174"/>
      <c r="E10" s="174"/>
      <c r="F10" s="146"/>
      <c r="G10" s="146"/>
      <c r="H10" s="146"/>
      <c r="I10" s="146"/>
      <c r="J10" s="146"/>
      <c r="K10" s="146"/>
      <c r="L10" s="146"/>
      <c r="M10" s="146"/>
      <c r="N10" s="146"/>
      <c r="O10" s="146"/>
    </row>
    <row r="11" spans="2:18">
      <c r="B11" s="86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2:18" ht="15.75">
      <c r="B12" s="175" t="s">
        <v>272</v>
      </c>
      <c r="C12" s="174"/>
      <c r="D12" s="70"/>
      <c r="E12" s="70"/>
      <c r="F12" s="174"/>
      <c r="G12" s="175"/>
      <c r="H12" s="174"/>
      <c r="I12" s="146"/>
      <c r="J12" s="146"/>
      <c r="K12" s="146"/>
      <c r="L12" s="146"/>
      <c r="M12" s="146"/>
      <c r="N12" s="145"/>
      <c r="O12" s="145"/>
    </row>
    <row r="13" spans="2:18" ht="15.75">
      <c r="B13" s="86"/>
      <c r="D13" s="9"/>
      <c r="E13" s="9"/>
      <c r="F13" s="10"/>
      <c r="G13" s="10"/>
      <c r="I13" s="1"/>
      <c r="J13" s="1"/>
      <c r="K13" s="1"/>
      <c r="L13" s="1"/>
      <c r="M13" s="1"/>
      <c r="N13" s="2"/>
      <c r="O13" s="2"/>
    </row>
    <row r="14" spans="2:18" ht="15.75">
      <c r="B14" s="86"/>
      <c r="D14" s="108">
        <v>-1</v>
      </c>
      <c r="E14" s="108">
        <v>-2</v>
      </c>
      <c r="F14" s="108">
        <v>-3</v>
      </c>
      <c r="G14" s="108">
        <v>-4</v>
      </c>
      <c r="H14" s="108">
        <v>-5</v>
      </c>
      <c r="I14" s="108">
        <v>-6</v>
      </c>
      <c r="J14" s="108">
        <v>-7</v>
      </c>
      <c r="K14" s="108">
        <v>-8</v>
      </c>
      <c r="L14" s="108">
        <v>-9</v>
      </c>
      <c r="M14" s="108">
        <v>-10</v>
      </c>
      <c r="N14" s="108">
        <v>-11</v>
      </c>
      <c r="O14" s="108">
        <v>-12</v>
      </c>
    </row>
    <row r="15" spans="2:18" ht="61.9" customHeight="1">
      <c r="B15" s="109" t="s">
        <v>227</v>
      </c>
      <c r="C15" s="110"/>
      <c r="D15" s="110" t="s">
        <v>207</v>
      </c>
      <c r="E15" s="111" t="s">
        <v>228</v>
      </c>
      <c r="F15" s="112" t="s">
        <v>229</v>
      </c>
      <c r="G15" s="112" t="s">
        <v>222</v>
      </c>
      <c r="H15" s="113" t="s">
        <v>230</v>
      </c>
      <c r="I15" s="112" t="s">
        <v>231</v>
      </c>
      <c r="J15" s="112" t="s">
        <v>226</v>
      </c>
      <c r="K15" s="113" t="s">
        <v>232</v>
      </c>
      <c r="L15" s="112" t="s">
        <v>233</v>
      </c>
      <c r="M15" s="114" t="s">
        <v>234</v>
      </c>
      <c r="N15" s="115" t="s">
        <v>235</v>
      </c>
      <c r="O15" s="114" t="s">
        <v>236</v>
      </c>
    </row>
    <row r="16" spans="2:18" ht="46.5" customHeight="1">
      <c r="B16" s="116"/>
      <c r="C16" s="117"/>
      <c r="D16" s="117"/>
      <c r="E16" s="117"/>
      <c r="F16" s="118" t="s">
        <v>16</v>
      </c>
      <c r="G16" s="118" t="s">
        <v>708</v>
      </c>
      <c r="H16" s="119"/>
      <c r="I16" s="118" t="s">
        <v>17</v>
      </c>
      <c r="J16" s="118" t="s">
        <v>709</v>
      </c>
      <c r="K16" s="119"/>
      <c r="L16" s="118" t="s">
        <v>239</v>
      </c>
      <c r="M16" s="119" t="s">
        <v>240</v>
      </c>
      <c r="N16" s="120" t="s">
        <v>204</v>
      </c>
      <c r="O16" s="121" t="s">
        <v>241</v>
      </c>
    </row>
    <row r="17" spans="2:15">
      <c r="B17" s="122"/>
      <c r="C17" s="1"/>
      <c r="D17" s="1"/>
      <c r="E17" s="1"/>
      <c r="F17" s="1"/>
      <c r="G17" s="1"/>
      <c r="H17" s="123"/>
      <c r="I17" s="1"/>
      <c r="J17" s="1"/>
      <c r="K17" s="123"/>
      <c r="L17" s="1"/>
      <c r="M17" s="123"/>
      <c r="N17" s="2"/>
      <c r="O17" s="124"/>
    </row>
    <row r="18" spans="2:15">
      <c r="B18" s="650" t="s">
        <v>1</v>
      </c>
      <c r="C18" s="256"/>
      <c r="D18" s="256" t="str">
        <f>'Appx C - DEO(MTEP)'!M66</f>
        <v>Hillcrest 345 kV</v>
      </c>
      <c r="E18" s="647">
        <f>'Appx C - DEO(MTEP)'!N66</f>
        <v>91</v>
      </c>
      <c r="F18" s="271">
        <f>'Appx C - DEO(MTEP)'!O66+'Appx C - DEK(MTEP)'!O66</f>
        <v>17543031</v>
      </c>
      <c r="G18" s="94"/>
      <c r="H18" s="600">
        <f>'Appx C - DEO(MTEP)'!Q66+'Appx C - DEK(MTEP)'!Q66</f>
        <v>1135034</v>
      </c>
      <c r="I18" s="126">
        <f>'Appx C - DEO(MTEP)'!R66+'Appx C - DEK(MTEP)'!R66</f>
        <v>15253451</v>
      </c>
      <c r="J18" s="94"/>
      <c r="K18" s="600">
        <f>'Appx C - DEO(MTEP)'!T66+'Appx C - DEK(MTEP)'!T66</f>
        <v>1113502</v>
      </c>
      <c r="L18" s="601">
        <f>'Appx C - DEO(MTEP)'!U66+'Appx C - DEK(MTEP)'!U66</f>
        <v>315747</v>
      </c>
      <c r="M18" s="600">
        <f>H18+K18+L18</f>
        <v>2564283</v>
      </c>
      <c r="N18" s="128">
        <f>'Appx C - DEO(MTEP)'!W66+'Appx C - DEK(MTEP)'!W66</f>
        <v>0</v>
      </c>
      <c r="O18" s="600">
        <f>M18+N18</f>
        <v>2564283</v>
      </c>
    </row>
    <row r="19" spans="2:15">
      <c r="B19" s="650" t="s">
        <v>244</v>
      </c>
      <c r="C19" s="256"/>
      <c r="D19" s="272" t="s">
        <v>245</v>
      </c>
      <c r="E19" s="648" t="s">
        <v>246</v>
      </c>
      <c r="F19" s="271">
        <f>'Appx C - DEO(MTEP)'!O67+'Appx C - DEK(MTEP)'!O67</f>
        <v>0</v>
      </c>
      <c r="G19" s="94"/>
      <c r="H19" s="600">
        <f>'Appx C - DEO(MTEP)'!Q67+'Appx C - DEK(MTEP)'!Q67</f>
        <v>0</v>
      </c>
      <c r="I19" s="126">
        <f>'Appx C - DEO(MTEP)'!R67+'Appx C - DEK(MTEP)'!R67</f>
        <v>0</v>
      </c>
      <c r="J19" s="94"/>
      <c r="K19" s="600">
        <f>'Appx C - DEO(MTEP)'!T67+'Appx C - DEK(MTEP)'!T67</f>
        <v>0</v>
      </c>
      <c r="L19" s="601">
        <f>'Appx C - DEO(MTEP)'!U67+'Appx C - DEK(MTEP)'!U67</f>
        <v>0</v>
      </c>
      <c r="M19" s="600">
        <f>H19+K19+L19</f>
        <v>0</v>
      </c>
      <c r="N19" s="128">
        <f>'Appx C - DEO(MTEP)'!W67+'Appx C - DEK(MTEP)'!W67</f>
        <v>0</v>
      </c>
      <c r="O19" s="600">
        <f>M19+N19</f>
        <v>0</v>
      </c>
    </row>
    <row r="20" spans="2:15">
      <c r="B20" s="651" t="s">
        <v>247</v>
      </c>
      <c r="C20" s="256"/>
      <c r="D20" s="256" t="s">
        <v>248</v>
      </c>
      <c r="E20" s="648" t="s">
        <v>249</v>
      </c>
      <c r="F20" s="271">
        <f>'Appx C - DEO(MTEP)'!O68+'Appx C - DEK(MTEP)'!O68</f>
        <v>0</v>
      </c>
      <c r="G20" s="94"/>
      <c r="H20" s="600">
        <f>'Appx C - DEO(MTEP)'!Q68+'Appx C - DEK(MTEP)'!Q68</f>
        <v>0</v>
      </c>
      <c r="I20" s="126">
        <f>'Appx C - DEO(MTEP)'!R68+'Appx C - DEK(MTEP)'!R68</f>
        <v>0</v>
      </c>
      <c r="J20" s="94"/>
      <c r="K20" s="600">
        <f>'Appx C - DEO(MTEP)'!T68+'Appx C - DEK(MTEP)'!T68</f>
        <v>0</v>
      </c>
      <c r="L20" s="601">
        <f>'Appx C - DEO(MTEP)'!U68+'Appx C - DEK(MTEP)'!U68</f>
        <v>0</v>
      </c>
      <c r="M20" s="600">
        <f>H20+K20+L20</f>
        <v>0</v>
      </c>
      <c r="N20" s="126">
        <f>'Appx C - DEO(MTEP)'!W68+'Appx C - DEK(MTEP)'!W68</f>
        <v>0</v>
      </c>
      <c r="O20" s="600">
        <f>M20+N20</f>
        <v>0</v>
      </c>
    </row>
    <row r="21" spans="2:15">
      <c r="B21" s="125"/>
      <c r="H21" s="127"/>
      <c r="K21" s="127"/>
      <c r="M21" s="127"/>
      <c r="O21" s="127"/>
    </row>
    <row r="22" spans="2:15">
      <c r="B22" s="125"/>
      <c r="H22" s="127"/>
      <c r="K22" s="127"/>
      <c r="M22" s="127"/>
      <c r="O22" s="127"/>
    </row>
    <row r="23" spans="2:15">
      <c r="B23" s="125"/>
      <c r="H23" s="127"/>
      <c r="K23" s="127"/>
      <c r="M23" s="127"/>
      <c r="O23" s="127"/>
    </row>
    <row r="24" spans="2:15">
      <c r="B24" s="125"/>
      <c r="H24" s="127"/>
      <c r="K24" s="127"/>
      <c r="M24" s="127"/>
      <c r="O24" s="127"/>
    </row>
    <row r="25" spans="2:15">
      <c r="B25" s="125"/>
      <c r="H25" s="127"/>
      <c r="K25" s="127"/>
      <c r="M25" s="127"/>
      <c r="O25" s="127"/>
    </row>
    <row r="26" spans="2:15">
      <c r="B26" s="125"/>
      <c r="D26" s="129"/>
      <c r="E26" s="129"/>
      <c r="F26" s="129"/>
      <c r="G26" s="129"/>
      <c r="H26" s="130"/>
      <c r="I26" s="129"/>
      <c r="J26" s="129"/>
      <c r="K26" s="130"/>
      <c r="L26" s="129"/>
      <c r="M26" s="130"/>
      <c r="N26" s="129"/>
      <c r="O26" s="130"/>
    </row>
    <row r="27" spans="2:15">
      <c r="B27" s="125"/>
      <c r="D27" s="129"/>
      <c r="E27" s="129"/>
      <c r="F27" s="129"/>
      <c r="G27" s="129"/>
      <c r="H27" s="130"/>
      <c r="I27" s="129"/>
      <c r="J27" s="129"/>
      <c r="K27" s="130"/>
      <c r="L27" s="129"/>
      <c r="M27" s="130"/>
      <c r="N27" s="129"/>
      <c r="O27" s="130"/>
    </row>
    <row r="28" spans="2:15">
      <c r="B28" s="125"/>
      <c r="D28" s="129"/>
      <c r="E28" s="129"/>
      <c r="F28" s="129"/>
      <c r="G28" s="129"/>
      <c r="H28" s="130"/>
      <c r="I28" s="129"/>
      <c r="J28" s="129"/>
      <c r="K28" s="130"/>
      <c r="L28" s="129"/>
      <c r="M28" s="130"/>
      <c r="N28" s="129"/>
      <c r="O28" s="130"/>
    </row>
    <row r="29" spans="2:15">
      <c r="B29" s="125"/>
      <c r="D29" s="129"/>
      <c r="E29" s="129"/>
      <c r="F29" s="129"/>
      <c r="G29" s="129"/>
      <c r="H29" s="130"/>
      <c r="I29" s="129"/>
      <c r="J29" s="129"/>
      <c r="K29" s="130"/>
      <c r="L29" s="129"/>
      <c r="M29" s="130"/>
      <c r="N29" s="129"/>
      <c r="O29" s="130"/>
    </row>
    <row r="30" spans="2:15">
      <c r="B30" s="125"/>
      <c r="D30" s="129"/>
      <c r="E30" s="129"/>
      <c r="F30" s="129"/>
      <c r="G30" s="129"/>
      <c r="H30" s="130"/>
      <c r="I30" s="129"/>
      <c r="J30" s="129"/>
      <c r="K30" s="130"/>
      <c r="L30" s="129"/>
      <c r="M30" s="130"/>
      <c r="N30" s="129"/>
      <c r="O30" s="130"/>
    </row>
    <row r="31" spans="2:15">
      <c r="B31" s="125"/>
      <c r="D31" s="129"/>
      <c r="E31" s="129"/>
      <c r="F31" s="129"/>
      <c r="G31" s="129"/>
      <c r="H31" s="130"/>
      <c r="I31" s="129"/>
      <c r="J31" s="129"/>
      <c r="K31" s="130"/>
      <c r="L31" s="129"/>
      <c r="M31" s="130"/>
      <c r="N31" s="129"/>
      <c r="O31" s="130"/>
    </row>
    <row r="32" spans="2:15">
      <c r="B32" s="125"/>
      <c r="D32" s="129"/>
      <c r="E32" s="129"/>
      <c r="F32" s="129"/>
      <c r="G32" s="129"/>
      <c r="H32" s="130"/>
      <c r="I32" s="129"/>
      <c r="J32" s="129"/>
      <c r="K32" s="130"/>
      <c r="L32" s="129"/>
      <c r="M32" s="130"/>
      <c r="N32" s="129"/>
      <c r="O32" s="130"/>
    </row>
    <row r="33" spans="2:15">
      <c r="B33" s="125"/>
      <c r="D33" s="129"/>
      <c r="E33" s="129"/>
      <c r="F33" s="129"/>
      <c r="G33" s="129"/>
      <c r="H33" s="130"/>
      <c r="I33" s="129"/>
      <c r="J33" s="129"/>
      <c r="K33" s="130"/>
      <c r="L33" s="129"/>
      <c r="M33" s="130"/>
      <c r="N33" s="129"/>
      <c r="O33" s="130"/>
    </row>
    <row r="34" spans="2:15">
      <c r="B34" s="125"/>
      <c r="D34" s="129"/>
      <c r="E34" s="129"/>
      <c r="F34" s="129"/>
      <c r="G34" s="129"/>
      <c r="H34" s="130"/>
      <c r="I34" s="129"/>
      <c r="J34" s="129"/>
      <c r="K34" s="130"/>
      <c r="L34" s="129"/>
      <c r="M34" s="130"/>
      <c r="N34" s="129"/>
      <c r="O34" s="130"/>
    </row>
    <row r="35" spans="2:15">
      <c r="B35" s="125"/>
      <c r="D35" s="129"/>
      <c r="E35" s="129"/>
      <c r="F35" s="129"/>
      <c r="G35" s="129"/>
      <c r="H35" s="130"/>
      <c r="I35" s="129"/>
      <c r="J35" s="129"/>
      <c r="K35" s="130"/>
      <c r="L35" s="129"/>
      <c r="M35" s="130"/>
      <c r="N35" s="129"/>
      <c r="O35" s="130"/>
    </row>
    <row r="36" spans="2:15">
      <c r="B36" s="125"/>
      <c r="D36" s="129"/>
      <c r="E36" s="129"/>
      <c r="F36" s="129"/>
      <c r="G36" s="129"/>
      <c r="H36" s="130"/>
      <c r="I36" s="129"/>
      <c r="J36" s="129"/>
      <c r="K36" s="130"/>
      <c r="L36" s="129"/>
      <c r="M36" s="130"/>
      <c r="N36" s="129"/>
      <c r="O36" s="130"/>
    </row>
    <row r="37" spans="2:15">
      <c r="B37" s="131"/>
      <c r="C37" s="132"/>
      <c r="D37" s="133"/>
      <c r="E37" s="133"/>
      <c r="F37" s="133"/>
      <c r="G37" s="133"/>
      <c r="H37" s="134"/>
      <c r="I37" s="133"/>
      <c r="J37" s="133"/>
      <c r="K37" s="134"/>
      <c r="L37" s="133"/>
      <c r="M37" s="134"/>
      <c r="N37" s="133"/>
      <c r="O37" s="134"/>
    </row>
    <row r="38" spans="2:15">
      <c r="B38" s="5" t="s">
        <v>250</v>
      </c>
      <c r="C38" s="102"/>
      <c r="D38" s="1" t="s">
        <v>251</v>
      </c>
      <c r="E38" s="1"/>
      <c r="F38" s="67"/>
      <c r="G38" s="67"/>
      <c r="H38" s="2"/>
      <c r="I38" s="2"/>
      <c r="J38" s="2"/>
      <c r="K38" s="2"/>
      <c r="L38" s="2"/>
      <c r="M38" s="577">
        <f>SUM(M18:M37)</f>
        <v>2564283</v>
      </c>
      <c r="N38" s="577">
        <f>SUM(N18:N37)</f>
        <v>0</v>
      </c>
      <c r="O38" s="577">
        <f>SUM(O18:O37)</f>
        <v>2564283</v>
      </c>
    </row>
    <row r="39" spans="2:15">
      <c r="B39" s="52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599"/>
      <c r="N39" s="599"/>
      <c r="O39" s="599"/>
    </row>
    <row r="40" spans="2:15">
      <c r="B40" s="135">
        <v>3</v>
      </c>
      <c r="C40" s="129"/>
      <c r="D40" s="9" t="s">
        <v>607</v>
      </c>
      <c r="E40" s="129"/>
      <c r="F40" s="129"/>
      <c r="G40" s="129"/>
      <c r="H40" s="129"/>
      <c r="I40" s="129"/>
      <c r="J40" s="129"/>
      <c r="K40" s="129"/>
      <c r="L40" s="129"/>
      <c r="M40" s="577"/>
      <c r="N40" s="599"/>
      <c r="O40" s="577">
        <f>O38</f>
        <v>2564283</v>
      </c>
    </row>
    <row r="41" spans="2:15"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</row>
    <row r="42" spans="2:15"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</row>
    <row r="43" spans="2:15">
      <c r="B43" s="67" t="s">
        <v>94</v>
      </c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</row>
    <row r="44" spans="2:15" ht="15.75" thickBot="1">
      <c r="B44" s="525" t="s">
        <v>95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</row>
    <row r="45" spans="2:15">
      <c r="B45" s="136" t="s">
        <v>96</v>
      </c>
      <c r="C45" s="66"/>
      <c r="D45" s="983" t="s">
        <v>582</v>
      </c>
      <c r="E45" s="984"/>
      <c r="F45" s="984"/>
      <c r="G45" s="984"/>
      <c r="H45" s="984"/>
      <c r="I45" s="984"/>
      <c r="J45" s="984"/>
      <c r="K45" s="984"/>
      <c r="L45" s="984"/>
      <c r="M45" s="984"/>
      <c r="N45" s="984"/>
      <c r="O45" s="984"/>
    </row>
    <row r="46" spans="2:15">
      <c r="B46" s="136" t="s">
        <v>97</v>
      </c>
      <c r="C46" s="66"/>
      <c r="D46" s="983" t="s">
        <v>583</v>
      </c>
      <c r="E46" s="984"/>
      <c r="F46" s="984"/>
      <c r="G46" s="984"/>
      <c r="H46" s="984"/>
      <c r="I46" s="984"/>
      <c r="J46" s="984"/>
      <c r="K46" s="984"/>
      <c r="L46" s="984"/>
      <c r="M46" s="984"/>
      <c r="N46" s="984"/>
      <c r="O46" s="984"/>
    </row>
    <row r="47" spans="2:15" ht="27.75" customHeight="1">
      <c r="B47" s="137" t="s">
        <v>98</v>
      </c>
      <c r="C47" s="66"/>
      <c r="D47" s="985" t="s">
        <v>252</v>
      </c>
      <c r="E47" s="985"/>
      <c r="F47" s="985"/>
      <c r="G47" s="985"/>
      <c r="H47" s="985"/>
      <c r="I47" s="985"/>
      <c r="J47" s="985"/>
      <c r="K47" s="985"/>
      <c r="L47" s="985"/>
      <c r="M47" s="985"/>
      <c r="N47" s="985"/>
      <c r="O47" s="985"/>
    </row>
    <row r="48" spans="2:15" ht="15" customHeight="1">
      <c r="B48" s="137" t="s">
        <v>99</v>
      </c>
      <c r="C48" s="66"/>
      <c r="D48" s="985" t="s">
        <v>253</v>
      </c>
      <c r="E48" s="985"/>
      <c r="F48" s="985"/>
      <c r="G48" s="985"/>
      <c r="H48" s="985"/>
      <c r="I48" s="985"/>
      <c r="J48" s="985"/>
      <c r="K48" s="985"/>
      <c r="L48" s="985"/>
      <c r="M48" s="985"/>
      <c r="N48" s="985"/>
      <c r="O48" s="985"/>
    </row>
    <row r="49" spans="2:15">
      <c r="B49" s="136" t="s">
        <v>100</v>
      </c>
      <c r="C49" s="66"/>
      <c r="D49" s="984" t="s">
        <v>315</v>
      </c>
      <c r="E49" s="984"/>
      <c r="F49" s="984"/>
      <c r="G49" s="984"/>
      <c r="H49" s="984"/>
      <c r="I49" s="984"/>
      <c r="J49" s="984"/>
      <c r="K49" s="984"/>
      <c r="L49" s="984"/>
      <c r="M49" s="984"/>
      <c r="N49" s="984"/>
      <c r="O49" s="984"/>
    </row>
    <row r="50" spans="2:15">
      <c r="B50" s="136" t="s">
        <v>101</v>
      </c>
      <c r="C50" s="66"/>
      <c r="D50" s="984" t="s">
        <v>254</v>
      </c>
      <c r="E50" s="984"/>
      <c r="F50" s="984"/>
      <c r="G50" s="984"/>
      <c r="H50" s="984"/>
      <c r="I50" s="984"/>
      <c r="J50" s="984"/>
      <c r="K50" s="984"/>
      <c r="L50" s="984"/>
      <c r="M50" s="984"/>
      <c r="N50" s="984"/>
      <c r="O50" s="984"/>
    </row>
    <row r="51" spans="2:15">
      <c r="B51" s="136" t="s">
        <v>102</v>
      </c>
      <c r="C51" s="66"/>
      <c r="D51" s="984" t="s">
        <v>255</v>
      </c>
      <c r="E51" s="984"/>
      <c r="F51" s="984"/>
      <c r="G51" s="984"/>
      <c r="H51" s="984"/>
      <c r="I51" s="984"/>
      <c r="J51" s="984"/>
      <c r="K51" s="984"/>
      <c r="L51" s="984"/>
      <c r="M51" s="984"/>
      <c r="N51" s="984"/>
      <c r="O51" s="984"/>
    </row>
    <row r="52" spans="2:15">
      <c r="B52" s="249" t="s">
        <v>103</v>
      </c>
      <c r="D52" s="983" t="s">
        <v>337</v>
      </c>
      <c r="E52" s="983"/>
      <c r="F52" s="983"/>
      <c r="G52" s="983"/>
      <c r="H52" s="983"/>
      <c r="I52" s="983"/>
      <c r="J52" s="983"/>
      <c r="K52" s="983"/>
      <c r="L52" s="983"/>
      <c r="M52" s="983"/>
      <c r="N52" s="983"/>
      <c r="O52" s="983"/>
    </row>
    <row r="53" spans="2:15" ht="15.75">
      <c r="B53" s="104"/>
      <c r="C53" s="138"/>
      <c r="D53" s="139"/>
      <c r="E53" s="97"/>
      <c r="F53" s="67"/>
      <c r="G53" s="67"/>
      <c r="H53" s="2"/>
      <c r="I53" s="9"/>
      <c r="J53" s="9"/>
      <c r="K53" s="93"/>
      <c r="L53" s="9"/>
      <c r="N53" s="2"/>
      <c r="O53" s="105"/>
    </row>
    <row r="54" spans="2:15" ht="15.75">
      <c r="B54" s="104"/>
      <c r="C54" s="138"/>
      <c r="D54" s="139"/>
      <c r="E54" s="97"/>
      <c r="F54" s="67"/>
      <c r="G54" s="67"/>
      <c r="H54" s="2"/>
      <c r="I54" s="9"/>
      <c r="J54" s="9"/>
      <c r="K54" s="93"/>
      <c r="L54" s="9"/>
      <c r="N54" s="2"/>
      <c r="O54" s="95"/>
    </row>
    <row r="55" spans="2:15"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</row>
    <row r="56" spans="2:15"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</row>
    <row r="57" spans="2:15"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</row>
    <row r="58" spans="2:15"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</row>
    <row r="59" spans="2:15"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</row>
    <row r="60" spans="2:15"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</row>
    <row r="61" spans="2:15"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</row>
    <row r="62" spans="2:15"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</row>
    <row r="63" spans="2:15"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</row>
    <row r="64" spans="2:15"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</row>
    <row r="65" spans="4:15"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</row>
    <row r="66" spans="4:15"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</row>
    <row r="67" spans="4:15"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</row>
    <row r="68" spans="4:15"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</row>
    <row r="69" spans="4:15"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</row>
    <row r="70" spans="4:15"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</row>
    <row r="71" spans="4:15"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</row>
    <row r="72" spans="4:15"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</row>
    <row r="73" spans="4:15"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</row>
    <row r="74" spans="4:15"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</row>
    <row r="75" spans="4:15"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</row>
    <row r="76" spans="4:15"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</row>
    <row r="77" spans="4:15"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</row>
    <row r="78" spans="4:15"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</row>
    <row r="79" spans="4:15"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</row>
    <row r="80" spans="4:15"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</row>
    <row r="81" spans="1:15"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</row>
    <row r="82" spans="1:15"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</row>
    <row r="83" spans="1:15"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</row>
    <row r="84" spans="1:15"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</row>
    <row r="85" spans="1:15"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</row>
    <row r="86" spans="1:15"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</row>
    <row r="87" spans="1:15"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</row>
    <row r="88" spans="1:15"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</row>
    <row r="89" spans="1:15"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</row>
    <row r="90" spans="1:15"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</row>
    <row r="91" spans="1:15"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</row>
    <row r="92" spans="1:15">
      <c r="A92" s="129"/>
      <c r="B92" s="129"/>
    </row>
    <row r="93" spans="1:15">
      <c r="A93" s="129"/>
      <c r="B93" s="129"/>
    </row>
    <row r="94" spans="1:15">
      <c r="A94" s="129"/>
      <c r="B94" s="129"/>
    </row>
    <row r="95" spans="1:15">
      <c r="A95" s="129"/>
      <c r="B95" s="129"/>
    </row>
    <row r="96" spans="1:15">
      <c r="A96" s="129"/>
      <c r="B96" s="129"/>
    </row>
    <row r="97" spans="1:2">
      <c r="A97" s="129"/>
      <c r="B97" s="129"/>
    </row>
    <row r="98" spans="1:2">
      <c r="A98" s="129"/>
      <c r="B98" s="129"/>
    </row>
    <row r="99" spans="1:2">
      <c r="A99" s="129"/>
      <c r="B99" s="129"/>
    </row>
    <row r="100" spans="1:2">
      <c r="A100" s="129"/>
      <c r="B100" s="129"/>
    </row>
    <row r="101" spans="1:2">
      <c r="A101" s="129"/>
      <c r="B101" s="129"/>
    </row>
    <row r="102" spans="1:2">
      <c r="A102" s="129"/>
      <c r="B102" s="129"/>
    </row>
    <row r="103" spans="1:2">
      <c r="A103" s="129"/>
      <c r="B103" s="129"/>
    </row>
    <row r="104" spans="1:2">
      <c r="A104" s="129"/>
      <c r="B104" s="129"/>
    </row>
    <row r="105" spans="1:2">
      <c r="A105" s="129"/>
      <c r="B105" s="129"/>
    </row>
    <row r="106" spans="1:2">
      <c r="A106" s="129"/>
      <c r="B106" s="129"/>
    </row>
    <row r="107" spans="1:2">
      <c r="A107" s="129"/>
      <c r="B107" s="129"/>
    </row>
    <row r="108" spans="1:2">
      <c r="A108" s="129"/>
      <c r="B108" s="129"/>
    </row>
    <row r="109" spans="1:2">
      <c r="A109" s="129"/>
      <c r="B109" s="129"/>
    </row>
    <row r="110" spans="1:2">
      <c r="A110" s="129"/>
      <c r="B110" s="129"/>
    </row>
    <row r="111" spans="1:2">
      <c r="A111" s="129"/>
      <c r="B111" s="129"/>
    </row>
    <row r="112" spans="1:2">
      <c r="A112" s="129"/>
      <c r="B112" s="129"/>
    </row>
    <row r="113" spans="1:2">
      <c r="A113" s="129"/>
      <c r="B113" s="129"/>
    </row>
    <row r="114" spans="1:2">
      <c r="A114" s="129"/>
      <c r="B114" s="129"/>
    </row>
    <row r="115" spans="1:2">
      <c r="A115" s="129"/>
      <c r="B115" s="129"/>
    </row>
    <row r="116" spans="1:2">
      <c r="A116" s="129"/>
      <c r="B116" s="129"/>
    </row>
    <row r="117" spans="1:2">
      <c r="A117" s="129"/>
      <c r="B117" s="129"/>
    </row>
    <row r="118" spans="1:2">
      <c r="A118" s="129"/>
      <c r="B118" s="129"/>
    </row>
    <row r="119" spans="1:2">
      <c r="A119" s="129"/>
      <c r="B119" s="129"/>
    </row>
    <row r="120" spans="1:2">
      <c r="A120" s="129"/>
      <c r="B120" s="129"/>
    </row>
    <row r="121" spans="1:2">
      <c r="A121" s="129"/>
      <c r="B121" s="129"/>
    </row>
    <row r="122" spans="1:2">
      <c r="A122" s="129"/>
      <c r="B122" s="129"/>
    </row>
    <row r="123" spans="1:2">
      <c r="A123" s="129"/>
      <c r="B123" s="129"/>
    </row>
    <row r="124" spans="1:2">
      <c r="A124" s="129"/>
      <c r="B124" s="129"/>
    </row>
    <row r="125" spans="1:2">
      <c r="A125" s="129"/>
      <c r="B125" s="129"/>
    </row>
    <row r="126" spans="1:2">
      <c r="A126" s="129"/>
      <c r="B126" s="129"/>
    </row>
    <row r="127" spans="1:2">
      <c r="A127" s="129"/>
      <c r="B127" s="129"/>
    </row>
    <row r="128" spans="1:2">
      <c r="A128" s="129"/>
      <c r="B128" s="129"/>
    </row>
    <row r="129" spans="1:2">
      <c r="A129" s="129"/>
      <c r="B129" s="129"/>
    </row>
    <row r="130" spans="1:2">
      <c r="A130" s="129"/>
      <c r="B130" s="129"/>
    </row>
    <row r="131" spans="1:2">
      <c r="A131" s="129"/>
      <c r="B131" s="129"/>
    </row>
    <row r="132" spans="1:2">
      <c r="A132" s="129"/>
      <c r="B132" s="129"/>
    </row>
    <row r="133" spans="1:2">
      <c r="A133" s="129"/>
      <c r="B133" s="129"/>
    </row>
    <row r="134" spans="1:2">
      <c r="A134" s="129"/>
      <c r="B134" s="129"/>
    </row>
    <row r="135" spans="1:2">
      <c r="A135" s="129"/>
      <c r="B135" s="129"/>
    </row>
    <row r="136" spans="1:2">
      <c r="A136" s="129"/>
      <c r="B136" s="129"/>
    </row>
    <row r="137" spans="1:2">
      <c r="A137" s="129"/>
      <c r="B137" s="129"/>
    </row>
    <row r="138" spans="1:2">
      <c r="A138" s="129"/>
      <c r="B138" s="129"/>
    </row>
    <row r="139" spans="1:2">
      <c r="A139" s="129"/>
      <c r="B139" s="129"/>
    </row>
    <row r="140" spans="1:2">
      <c r="A140" s="129"/>
      <c r="B140" s="129"/>
    </row>
    <row r="141" spans="1:2">
      <c r="A141" s="129"/>
      <c r="B141" s="129"/>
    </row>
    <row r="142" spans="1:2">
      <c r="A142" s="129"/>
      <c r="B142" s="129"/>
    </row>
    <row r="143" spans="1:2">
      <c r="A143" s="129"/>
      <c r="B143" s="129"/>
    </row>
    <row r="144" spans="1:2">
      <c r="A144" s="129"/>
      <c r="B144" s="129"/>
    </row>
    <row r="145" spans="1:2">
      <c r="A145" s="129"/>
      <c r="B145" s="129"/>
    </row>
    <row r="146" spans="1:2">
      <c r="A146" s="129"/>
      <c r="B146" s="129"/>
    </row>
    <row r="147" spans="1:2">
      <c r="A147" s="129"/>
      <c r="B147" s="129"/>
    </row>
    <row r="148" spans="1:2">
      <c r="A148" s="129"/>
      <c r="B148" s="129"/>
    </row>
    <row r="149" spans="1:2">
      <c r="A149" s="129"/>
      <c r="B149" s="129"/>
    </row>
    <row r="150" spans="1:2">
      <c r="A150" s="129"/>
      <c r="B150" s="129"/>
    </row>
    <row r="151" spans="1:2">
      <c r="A151" s="129"/>
      <c r="B151" s="129"/>
    </row>
    <row r="152" spans="1:2">
      <c r="A152" s="129"/>
      <c r="B152" s="129"/>
    </row>
    <row r="153" spans="1:2">
      <c r="A153" s="129"/>
      <c r="B153" s="129"/>
    </row>
    <row r="154" spans="1:2">
      <c r="A154" s="129"/>
      <c r="B154" s="129"/>
    </row>
    <row r="155" spans="1:2">
      <c r="A155" s="129"/>
      <c r="B155" s="129"/>
    </row>
    <row r="156" spans="1:2">
      <c r="A156" s="129"/>
      <c r="B156" s="129"/>
    </row>
    <row r="157" spans="1:2">
      <c r="A157" s="129"/>
      <c r="B157" s="129"/>
    </row>
    <row r="158" spans="1:2">
      <c r="A158" s="129"/>
      <c r="B158" s="129"/>
    </row>
    <row r="159" spans="1:2">
      <c r="A159" s="129"/>
      <c r="B159" s="129"/>
    </row>
    <row r="160" spans="1:2">
      <c r="A160" s="129"/>
      <c r="B160" s="129"/>
    </row>
    <row r="161" spans="1:2">
      <c r="A161" s="129"/>
      <c r="B161" s="129"/>
    </row>
    <row r="162" spans="1:2">
      <c r="A162" s="129"/>
      <c r="B162" s="129"/>
    </row>
    <row r="163" spans="1:2">
      <c r="A163" s="129"/>
      <c r="B163" s="129"/>
    </row>
    <row r="164" spans="1:2">
      <c r="A164" s="129"/>
      <c r="B164" s="129"/>
    </row>
    <row r="165" spans="1:2">
      <c r="A165" s="129"/>
      <c r="B165" s="129"/>
    </row>
    <row r="166" spans="1:2">
      <c r="A166" s="129"/>
      <c r="B166" s="129"/>
    </row>
    <row r="167" spans="1:2">
      <c r="A167" s="129"/>
      <c r="B167" s="129"/>
    </row>
    <row r="168" spans="1:2">
      <c r="A168" s="129"/>
      <c r="B168" s="129"/>
    </row>
    <row r="169" spans="1:2">
      <c r="A169" s="129"/>
      <c r="B169" s="129"/>
    </row>
    <row r="170" spans="1:2">
      <c r="A170" s="129"/>
      <c r="B170" s="129"/>
    </row>
    <row r="171" spans="1:2">
      <c r="A171" s="129"/>
      <c r="B171" s="129"/>
    </row>
    <row r="172" spans="1:2">
      <c r="A172" s="129"/>
      <c r="B172" s="129"/>
    </row>
    <row r="173" spans="1:2">
      <c r="A173" s="129"/>
      <c r="B173" s="129"/>
    </row>
    <row r="174" spans="1:2">
      <c r="A174" s="129"/>
      <c r="B174" s="129"/>
    </row>
    <row r="175" spans="1:2">
      <c r="A175" s="129"/>
      <c r="B175" s="129"/>
    </row>
    <row r="176" spans="1:2">
      <c r="A176" s="129"/>
      <c r="B176" s="129"/>
    </row>
    <row r="177" spans="1:2">
      <c r="A177" s="129"/>
      <c r="B177" s="129"/>
    </row>
    <row r="178" spans="1:2">
      <c r="A178" s="129"/>
      <c r="B178" s="129"/>
    </row>
    <row r="179" spans="1:2">
      <c r="A179" s="129"/>
      <c r="B179" s="129"/>
    </row>
    <row r="180" spans="1:2">
      <c r="A180" s="129"/>
      <c r="B180" s="129"/>
    </row>
    <row r="181" spans="1:2">
      <c r="A181" s="129"/>
      <c r="B181" s="129"/>
    </row>
    <row r="182" spans="1:2">
      <c r="A182" s="129"/>
      <c r="B182" s="129"/>
    </row>
    <row r="183" spans="1:2">
      <c r="A183" s="129"/>
      <c r="B183" s="129"/>
    </row>
    <row r="184" spans="1:2">
      <c r="A184" s="129"/>
      <c r="B184" s="129"/>
    </row>
    <row r="185" spans="1:2">
      <c r="A185" s="129"/>
      <c r="B185" s="129"/>
    </row>
    <row r="186" spans="1:2">
      <c r="A186" s="129"/>
      <c r="B186" s="129"/>
    </row>
    <row r="187" spans="1:2">
      <c r="A187" s="129"/>
      <c r="B187" s="129"/>
    </row>
    <row r="188" spans="1:2">
      <c r="A188" s="129"/>
      <c r="B188" s="129"/>
    </row>
    <row r="189" spans="1:2">
      <c r="A189" s="129"/>
      <c r="B189" s="129"/>
    </row>
    <row r="190" spans="1:2">
      <c r="A190" s="129"/>
      <c r="B190" s="129"/>
    </row>
    <row r="191" spans="1:2">
      <c r="A191" s="129"/>
      <c r="B191" s="129"/>
    </row>
    <row r="192" spans="1:2">
      <c r="A192" s="129"/>
      <c r="B192" s="129"/>
    </row>
    <row r="193" spans="1:2">
      <c r="A193" s="129"/>
      <c r="B193" s="129"/>
    </row>
    <row r="194" spans="1:2">
      <c r="A194" s="129"/>
      <c r="B194" s="129"/>
    </row>
    <row r="195" spans="1:2">
      <c r="A195" s="129"/>
      <c r="B195" s="129"/>
    </row>
    <row r="196" spans="1:2">
      <c r="A196" s="129"/>
      <c r="B196" s="129"/>
    </row>
    <row r="197" spans="1:2">
      <c r="A197" s="129"/>
      <c r="B197" s="129"/>
    </row>
    <row r="198" spans="1:2">
      <c r="A198" s="129"/>
      <c r="B198" s="129"/>
    </row>
    <row r="199" spans="1:2">
      <c r="A199" s="129"/>
      <c r="B199" s="129"/>
    </row>
    <row r="200" spans="1:2">
      <c r="A200" s="129"/>
      <c r="B200" s="129"/>
    </row>
    <row r="201" spans="1:2">
      <c r="A201" s="129"/>
      <c r="B201" s="129"/>
    </row>
    <row r="202" spans="1:2">
      <c r="A202" s="129"/>
      <c r="B202" s="129"/>
    </row>
    <row r="203" spans="1:2">
      <c r="A203" s="129"/>
      <c r="B203" s="129"/>
    </row>
    <row r="204" spans="1:2">
      <c r="A204" s="129"/>
      <c r="B204" s="129"/>
    </row>
    <row r="205" spans="1:2">
      <c r="A205" s="129"/>
      <c r="B205" s="129"/>
    </row>
    <row r="206" spans="1:2">
      <c r="A206" s="129"/>
      <c r="B206" s="129"/>
    </row>
    <row r="207" spans="1:2">
      <c r="A207" s="129"/>
      <c r="B207" s="129"/>
    </row>
    <row r="208" spans="1:2">
      <c r="A208" s="129"/>
      <c r="B208" s="129"/>
    </row>
    <row r="209" spans="1:2">
      <c r="A209" s="129"/>
      <c r="B209" s="129"/>
    </row>
    <row r="210" spans="1:2">
      <c r="A210" s="129"/>
      <c r="B210" s="129"/>
    </row>
    <row r="211" spans="1:2">
      <c r="A211" s="129"/>
      <c r="B211" s="129"/>
    </row>
    <row r="212" spans="1:2">
      <c r="A212" s="129"/>
      <c r="B212" s="129"/>
    </row>
    <row r="213" spans="1:2">
      <c r="A213" s="129"/>
      <c r="B213" s="129"/>
    </row>
    <row r="214" spans="1:2">
      <c r="A214" s="129"/>
      <c r="B214" s="129"/>
    </row>
    <row r="215" spans="1:2">
      <c r="A215" s="129"/>
      <c r="B215" s="129"/>
    </row>
    <row r="216" spans="1:2">
      <c r="A216" s="129"/>
      <c r="B216" s="129"/>
    </row>
    <row r="217" spans="1:2">
      <c r="A217" s="129"/>
      <c r="B217" s="129"/>
    </row>
    <row r="218" spans="1:2">
      <c r="A218" s="129"/>
      <c r="B218" s="129"/>
    </row>
    <row r="219" spans="1:2">
      <c r="A219" s="129"/>
      <c r="B219" s="129"/>
    </row>
    <row r="220" spans="1:2">
      <c r="A220" s="129"/>
      <c r="B220" s="129"/>
    </row>
    <row r="221" spans="1:2">
      <c r="A221" s="129"/>
      <c r="B221" s="129"/>
    </row>
    <row r="222" spans="1:2">
      <c r="A222" s="129"/>
      <c r="B222" s="129"/>
    </row>
    <row r="223" spans="1:2">
      <c r="A223" s="129"/>
      <c r="B223" s="129"/>
    </row>
    <row r="224" spans="1:2">
      <c r="A224" s="129"/>
      <c r="B224" s="129"/>
    </row>
    <row r="225" spans="1:2">
      <c r="A225" s="129"/>
      <c r="B225" s="129"/>
    </row>
    <row r="226" spans="1:2">
      <c r="A226" s="129"/>
      <c r="B226" s="129"/>
    </row>
    <row r="227" spans="1:2">
      <c r="A227" s="129"/>
      <c r="B227" s="129"/>
    </row>
    <row r="228" spans="1:2">
      <c r="A228" s="129"/>
      <c r="B228" s="129"/>
    </row>
    <row r="229" spans="1:2">
      <c r="A229" s="129"/>
      <c r="B229" s="129"/>
    </row>
    <row r="230" spans="1:2">
      <c r="A230" s="129"/>
      <c r="B230" s="129"/>
    </row>
    <row r="231" spans="1:2">
      <c r="A231" s="129"/>
      <c r="B231" s="129"/>
    </row>
    <row r="232" spans="1:2">
      <c r="A232" s="129"/>
      <c r="B232" s="129"/>
    </row>
    <row r="233" spans="1:2">
      <c r="A233" s="129"/>
      <c r="B233" s="129"/>
    </row>
    <row r="234" spans="1:2">
      <c r="A234" s="129"/>
      <c r="B234" s="129"/>
    </row>
    <row r="235" spans="1:2">
      <c r="A235" s="129"/>
      <c r="B235" s="129"/>
    </row>
    <row r="236" spans="1:2">
      <c r="A236" s="129"/>
      <c r="B236" s="129"/>
    </row>
    <row r="237" spans="1:2">
      <c r="A237" s="129"/>
      <c r="B237" s="129"/>
    </row>
    <row r="238" spans="1:2">
      <c r="A238" s="129"/>
      <c r="B238" s="129"/>
    </row>
    <row r="239" spans="1:2">
      <c r="A239" s="129"/>
      <c r="B239" s="129"/>
    </row>
    <row r="240" spans="1:2">
      <c r="A240" s="129"/>
      <c r="B240" s="129"/>
    </row>
    <row r="241" spans="1:2">
      <c r="A241" s="129"/>
      <c r="B241" s="129"/>
    </row>
    <row r="242" spans="1:2">
      <c r="A242" s="129"/>
      <c r="B242" s="129"/>
    </row>
    <row r="243" spans="1:2">
      <c r="A243" s="129"/>
    </row>
    <row r="244" spans="1:2">
      <c r="A244" s="129"/>
    </row>
    <row r="245" spans="1:2">
      <c r="A245" s="129"/>
    </row>
    <row r="246" spans="1:2">
      <c r="A246" s="129"/>
    </row>
    <row r="247" spans="1:2">
      <c r="A247" s="129"/>
    </row>
    <row r="248" spans="1:2">
      <c r="A248" s="129"/>
    </row>
    <row r="249" spans="1:2">
      <c r="A249" s="129"/>
    </row>
    <row r="250" spans="1:2">
      <c r="A250" s="129"/>
    </row>
  </sheetData>
  <mergeCells count="8">
    <mergeCell ref="D52:O52"/>
    <mergeCell ref="D51:O51"/>
    <mergeCell ref="D45:O45"/>
    <mergeCell ref="D46:O46"/>
    <mergeCell ref="D47:O47"/>
    <mergeCell ref="D48:O48"/>
    <mergeCell ref="D49:O49"/>
    <mergeCell ref="D50:O50"/>
  </mergeCells>
  <printOptions horizontalCentered="1"/>
  <pageMargins left="0.75" right="0.75" top="0.75" bottom="0.5" header="0.5" footer="0.5"/>
  <pageSetup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6">
    <tabColor rgb="FF00B050"/>
  </sheetPr>
  <dimension ref="A1:I156"/>
  <sheetViews>
    <sheetView view="pageBreakPreview" topLeftCell="A31" zoomScale="70" zoomScaleNormal="90" zoomScaleSheetLayoutView="70" workbookViewId="0">
      <selection activeCell="E70" sqref="E70"/>
    </sheetView>
  </sheetViews>
  <sheetFormatPr defaultColWidth="8.77734375" defaultRowHeight="12.75"/>
  <cols>
    <col min="1" max="1" width="8.77734375" style="280"/>
    <col min="2" max="2" width="0.77734375" style="280" customWidth="1"/>
    <col min="3" max="3" width="8.77734375" style="280"/>
    <col min="4" max="4" width="1.5546875" style="280" customWidth="1"/>
    <col min="5" max="5" width="46.109375" style="280" customWidth="1"/>
    <col min="6" max="6" width="6" style="280" customWidth="1"/>
    <col min="7" max="7" width="9.77734375" style="280" customWidth="1"/>
    <col min="8" max="10" width="8.77734375" style="280"/>
    <col min="11" max="11" width="9.44140625" style="280" customWidth="1"/>
    <col min="12" max="16384" width="8.77734375" style="280"/>
  </cols>
  <sheetData>
    <row r="1" spans="1:9">
      <c r="F1" s="544" t="s">
        <v>299</v>
      </c>
      <c r="I1" s="953"/>
    </row>
    <row r="2" spans="1:9">
      <c r="F2" s="544" t="s">
        <v>729</v>
      </c>
      <c r="I2" s="953"/>
    </row>
    <row r="3" spans="1:9">
      <c r="F3" s="544" t="s">
        <v>731</v>
      </c>
      <c r="I3" s="586"/>
    </row>
    <row r="4" spans="1:9">
      <c r="I4" s="586"/>
    </row>
    <row r="6" spans="1:9" ht="15.75">
      <c r="A6" s="559" t="s">
        <v>412</v>
      </c>
      <c r="B6" s="279"/>
      <c r="C6" s="279"/>
      <c r="D6" s="279"/>
      <c r="E6" s="279"/>
      <c r="F6" s="279"/>
      <c r="G6" s="279"/>
    </row>
    <row r="7" spans="1:9" ht="15.75">
      <c r="A7" s="559" t="s">
        <v>413</v>
      </c>
      <c r="B7" s="279"/>
      <c r="C7" s="279"/>
      <c r="D7" s="279"/>
      <c r="E7" s="279"/>
      <c r="F7" s="279"/>
      <c r="G7" s="279"/>
    </row>
    <row r="10" spans="1:9">
      <c r="A10" s="672" t="s">
        <v>414</v>
      </c>
      <c r="B10" s="281"/>
      <c r="C10" s="672" t="s">
        <v>415</v>
      </c>
      <c r="D10" s="281"/>
      <c r="E10" s="281"/>
      <c r="F10" s="281"/>
      <c r="G10" s="672" t="s">
        <v>261</v>
      </c>
    </row>
    <row r="11" spans="1:9">
      <c r="A11" s="672" t="s">
        <v>416</v>
      </c>
      <c r="B11" s="281"/>
      <c r="C11" s="672" t="s">
        <v>416</v>
      </c>
      <c r="D11" s="281"/>
      <c r="E11" s="281"/>
      <c r="F11" s="281"/>
      <c r="G11" s="672" t="s">
        <v>417</v>
      </c>
    </row>
    <row r="12" spans="1:9">
      <c r="A12" s="673" t="s">
        <v>418</v>
      </c>
      <c r="B12" s="674"/>
      <c r="C12" s="673" t="s">
        <v>418</v>
      </c>
      <c r="D12" s="674"/>
      <c r="E12" s="673" t="s">
        <v>419</v>
      </c>
      <c r="F12" s="674"/>
      <c r="G12" s="673" t="s">
        <v>420</v>
      </c>
    </row>
    <row r="13" spans="1:9">
      <c r="A13" s="675" t="s">
        <v>389</v>
      </c>
      <c r="B13" s="281"/>
      <c r="C13" s="675" t="s">
        <v>390</v>
      </c>
      <c r="D13" s="281"/>
      <c r="E13" s="672" t="s">
        <v>391</v>
      </c>
      <c r="F13" s="281"/>
      <c r="G13" s="675" t="s">
        <v>421</v>
      </c>
    </row>
    <row r="14" spans="1:9">
      <c r="A14" s="676"/>
      <c r="B14" s="281"/>
      <c r="C14" s="676"/>
      <c r="D14" s="281"/>
      <c r="E14" s="281"/>
      <c r="F14" s="281"/>
      <c r="G14" s="672" t="s">
        <v>84</v>
      </c>
    </row>
    <row r="15" spans="1:9">
      <c r="A15" s="677" t="s">
        <v>422</v>
      </c>
      <c r="B15" s="677"/>
      <c r="C15" s="279"/>
      <c r="D15" s="279"/>
      <c r="E15" s="279"/>
      <c r="F15" s="279"/>
      <c r="G15" s="279"/>
    </row>
    <row r="16" spans="1:9">
      <c r="G16" s="678"/>
    </row>
    <row r="17" spans="1:7">
      <c r="A17" s="470">
        <v>350</v>
      </c>
      <c r="B17" s="470"/>
      <c r="C17" s="470">
        <v>3403</v>
      </c>
      <c r="E17" s="280" t="s">
        <v>423</v>
      </c>
      <c r="G17" s="558">
        <v>1.54</v>
      </c>
    </row>
    <row r="18" spans="1:7">
      <c r="A18" s="470">
        <v>352</v>
      </c>
      <c r="B18" s="470"/>
      <c r="C18" s="470">
        <v>3420</v>
      </c>
      <c r="E18" s="280" t="s">
        <v>424</v>
      </c>
      <c r="G18" s="558">
        <v>1.9</v>
      </c>
    </row>
    <row r="19" spans="1:7">
      <c r="A19" s="470">
        <v>352</v>
      </c>
      <c r="B19" s="470"/>
      <c r="C19" s="470">
        <v>3424</v>
      </c>
      <c r="E19" s="280" t="s">
        <v>425</v>
      </c>
      <c r="G19" s="558">
        <v>1.9</v>
      </c>
    </row>
    <row r="20" spans="1:7">
      <c r="A20" s="470">
        <v>353</v>
      </c>
      <c r="B20" s="470"/>
      <c r="C20" s="470">
        <v>3430</v>
      </c>
      <c r="E20" s="280" t="s">
        <v>426</v>
      </c>
      <c r="G20" s="558">
        <v>1.68</v>
      </c>
    </row>
    <row r="21" spans="1:7">
      <c r="A21" s="470">
        <v>353</v>
      </c>
      <c r="B21" s="470"/>
      <c r="C21" s="470">
        <v>3434</v>
      </c>
      <c r="E21" s="280" t="s">
        <v>427</v>
      </c>
      <c r="G21" s="558">
        <v>1.68</v>
      </c>
    </row>
    <row r="22" spans="1:7">
      <c r="A22" s="470">
        <v>354</v>
      </c>
      <c r="B22" s="470"/>
      <c r="C22" s="470">
        <v>3440</v>
      </c>
      <c r="E22" s="280" t="s">
        <v>428</v>
      </c>
      <c r="G22" s="558">
        <v>1.85</v>
      </c>
    </row>
    <row r="23" spans="1:7">
      <c r="A23" s="470">
        <v>354</v>
      </c>
      <c r="B23" s="470"/>
      <c r="C23" s="470">
        <v>3444</v>
      </c>
      <c r="E23" s="280" t="s">
        <v>429</v>
      </c>
      <c r="G23" s="558">
        <v>1.85</v>
      </c>
    </row>
    <row r="24" spans="1:7">
      <c r="A24" s="470">
        <v>355</v>
      </c>
      <c r="B24" s="470"/>
      <c r="C24" s="470">
        <v>3450</v>
      </c>
      <c r="E24" s="280" t="s">
        <v>430</v>
      </c>
      <c r="G24" s="558">
        <v>2.31</v>
      </c>
    </row>
    <row r="25" spans="1:7">
      <c r="A25" s="470">
        <v>355</v>
      </c>
      <c r="B25" s="470"/>
      <c r="C25" s="470">
        <v>3454</v>
      </c>
      <c r="E25" s="280" t="s">
        <v>431</v>
      </c>
      <c r="G25" s="558">
        <v>2.31</v>
      </c>
    </row>
    <row r="26" spans="1:7">
      <c r="A26" s="470">
        <v>356</v>
      </c>
      <c r="B26" s="470"/>
      <c r="C26" s="470">
        <v>3460</v>
      </c>
      <c r="E26" s="280" t="s">
        <v>432</v>
      </c>
      <c r="G26" s="558">
        <v>1.91</v>
      </c>
    </row>
    <row r="27" spans="1:7">
      <c r="A27" s="470">
        <v>356</v>
      </c>
      <c r="B27" s="470"/>
      <c r="C27" s="470">
        <v>3464</v>
      </c>
      <c r="E27" s="280" t="s">
        <v>433</v>
      </c>
      <c r="G27" s="558">
        <v>1.91</v>
      </c>
    </row>
    <row r="28" spans="1:7">
      <c r="A28" s="470">
        <v>357</v>
      </c>
      <c r="B28" s="470"/>
      <c r="C28" s="470">
        <v>3470</v>
      </c>
      <c r="E28" s="280" t="s">
        <v>434</v>
      </c>
      <c r="G28" s="558">
        <v>1.43</v>
      </c>
    </row>
    <row r="29" spans="1:7">
      <c r="A29" s="470">
        <v>358</v>
      </c>
      <c r="B29" s="470"/>
      <c r="C29" s="470">
        <v>3480</v>
      </c>
      <c r="E29" s="280" t="s">
        <v>435</v>
      </c>
      <c r="G29" s="558">
        <v>2.37</v>
      </c>
    </row>
    <row r="30" spans="1:7">
      <c r="A30" s="470"/>
      <c r="B30" s="470"/>
      <c r="C30" s="470"/>
      <c r="G30" s="558"/>
    </row>
    <row r="31" spans="1:7">
      <c r="A31" s="679" t="s">
        <v>436</v>
      </c>
      <c r="B31" s="680"/>
      <c r="C31" s="680"/>
      <c r="D31" s="279"/>
      <c r="E31" s="279"/>
      <c r="F31" s="279"/>
      <c r="G31" s="681"/>
    </row>
    <row r="32" spans="1:7">
      <c r="A32" s="470"/>
      <c r="B32" s="470"/>
      <c r="C32" s="470"/>
      <c r="G32" s="558"/>
    </row>
    <row r="33" spans="1:7">
      <c r="A33" s="470">
        <v>352</v>
      </c>
      <c r="B33" s="470"/>
      <c r="C33" s="470">
        <v>3421</v>
      </c>
      <c r="E33" s="280" t="s">
        <v>437</v>
      </c>
      <c r="G33" s="558">
        <v>2.5</v>
      </c>
    </row>
    <row r="34" spans="1:7">
      <c r="A34" s="470">
        <v>352</v>
      </c>
      <c r="B34" s="470"/>
      <c r="C34" s="470">
        <v>3425</v>
      </c>
      <c r="E34" s="280" t="s">
        <v>437</v>
      </c>
      <c r="G34" s="558">
        <v>2.5</v>
      </c>
    </row>
    <row r="35" spans="1:7">
      <c r="A35" s="470">
        <v>353</v>
      </c>
      <c r="B35" s="470"/>
      <c r="C35" s="470">
        <v>3431</v>
      </c>
      <c r="E35" s="280" t="s">
        <v>438</v>
      </c>
      <c r="G35" s="558">
        <v>2.86</v>
      </c>
    </row>
    <row r="36" spans="1:7">
      <c r="A36" s="470">
        <v>353</v>
      </c>
      <c r="B36" s="470"/>
      <c r="C36" s="470">
        <v>3432</v>
      </c>
      <c r="E36" s="280" t="s">
        <v>438</v>
      </c>
      <c r="G36" s="558">
        <v>2.86</v>
      </c>
    </row>
    <row r="37" spans="1:7">
      <c r="A37" s="470">
        <v>353</v>
      </c>
      <c r="B37" s="470"/>
      <c r="C37" s="470">
        <v>3435</v>
      </c>
      <c r="E37" s="280" t="s">
        <v>438</v>
      </c>
      <c r="G37" s="558">
        <v>2.86</v>
      </c>
    </row>
    <row r="38" spans="1:7">
      <c r="A38" s="470">
        <v>353</v>
      </c>
      <c r="B38" s="470"/>
      <c r="C38" s="470">
        <v>3437</v>
      </c>
      <c r="E38" s="280" t="s">
        <v>438</v>
      </c>
      <c r="G38" s="558">
        <v>2.86</v>
      </c>
    </row>
    <row r="39" spans="1:7">
      <c r="A39" s="470">
        <v>354</v>
      </c>
      <c r="B39" s="470"/>
      <c r="C39" s="470">
        <v>3441</v>
      </c>
      <c r="E39" s="280" t="s">
        <v>439</v>
      </c>
      <c r="G39" s="558">
        <v>3</v>
      </c>
    </row>
    <row r="40" spans="1:7">
      <c r="A40" s="470">
        <v>354</v>
      </c>
      <c r="B40" s="470"/>
      <c r="C40" s="470">
        <v>3442</v>
      </c>
      <c r="E40" s="280" t="s">
        <v>439</v>
      </c>
      <c r="G40" s="558">
        <v>3</v>
      </c>
    </row>
    <row r="41" spans="1:7">
      <c r="A41" s="470">
        <v>354</v>
      </c>
      <c r="B41" s="470"/>
      <c r="C41" s="470">
        <v>3445</v>
      </c>
      <c r="E41" s="280" t="s">
        <v>439</v>
      </c>
      <c r="G41" s="558">
        <v>3</v>
      </c>
    </row>
    <row r="42" spans="1:7">
      <c r="A42" s="470">
        <v>354</v>
      </c>
      <c r="B42" s="470"/>
      <c r="C42" s="470">
        <v>3446</v>
      </c>
      <c r="E42" s="280" t="s">
        <v>440</v>
      </c>
      <c r="G42" s="558">
        <v>3</v>
      </c>
    </row>
    <row r="43" spans="1:7">
      <c r="A43" s="470">
        <v>354</v>
      </c>
      <c r="B43" s="470"/>
      <c r="C43" s="470">
        <v>3448</v>
      </c>
      <c r="E43" s="280" t="s">
        <v>439</v>
      </c>
      <c r="G43" s="558">
        <v>3</v>
      </c>
    </row>
    <row r="44" spans="1:7">
      <c r="A44" s="470">
        <v>355</v>
      </c>
      <c r="B44" s="470"/>
      <c r="C44" s="470">
        <v>3451</v>
      </c>
      <c r="E44" s="280" t="s">
        <v>441</v>
      </c>
      <c r="G44" s="558">
        <v>3</v>
      </c>
    </row>
    <row r="45" spans="1:7">
      <c r="A45" s="470">
        <v>355</v>
      </c>
      <c r="B45" s="470"/>
      <c r="C45" s="470">
        <v>3455</v>
      </c>
      <c r="E45" s="280" t="s">
        <v>441</v>
      </c>
      <c r="G45" s="558">
        <v>3</v>
      </c>
    </row>
    <row r="46" spans="1:7">
      <c r="A46" s="470">
        <v>356</v>
      </c>
      <c r="B46" s="470"/>
      <c r="C46" s="470">
        <v>3461</v>
      </c>
      <c r="E46" s="280" t="s">
        <v>442</v>
      </c>
      <c r="G46" s="558">
        <v>2.5</v>
      </c>
    </row>
    <row r="47" spans="1:7">
      <c r="A47" s="470">
        <v>356</v>
      </c>
      <c r="B47" s="470"/>
      <c r="C47" s="470">
        <v>3462</v>
      </c>
      <c r="E47" s="280" t="s">
        <v>442</v>
      </c>
      <c r="G47" s="558">
        <v>2.5</v>
      </c>
    </row>
    <row r="48" spans="1:7">
      <c r="A48" s="470">
        <v>356</v>
      </c>
      <c r="B48" s="470"/>
      <c r="C48" s="470">
        <v>3465</v>
      </c>
      <c r="E48" s="280" t="s">
        <v>442</v>
      </c>
      <c r="G48" s="558">
        <v>2.5</v>
      </c>
    </row>
    <row r="49" spans="1:7">
      <c r="A49" s="470">
        <v>356</v>
      </c>
      <c r="B49" s="470"/>
      <c r="C49" s="470">
        <v>3466</v>
      </c>
      <c r="E49" s="280" t="s">
        <v>443</v>
      </c>
      <c r="G49" s="558">
        <v>2.5</v>
      </c>
    </row>
    <row r="50" spans="1:7">
      <c r="A50" s="470"/>
      <c r="B50" s="470"/>
      <c r="C50" s="470"/>
      <c r="G50" s="558"/>
    </row>
    <row r="51" spans="1:7">
      <c r="A51" s="679" t="s">
        <v>444</v>
      </c>
      <c r="B51" s="680"/>
      <c r="C51" s="680"/>
      <c r="D51" s="279"/>
      <c r="E51" s="279"/>
      <c r="F51" s="279"/>
      <c r="G51" s="681"/>
    </row>
    <row r="52" spans="1:7">
      <c r="A52" s="470"/>
      <c r="B52" s="470"/>
      <c r="C52" s="470"/>
      <c r="G52" s="558"/>
    </row>
    <row r="53" spans="1:7">
      <c r="A53" s="470">
        <v>352</v>
      </c>
      <c r="B53" s="470"/>
      <c r="C53" s="470">
        <v>3423</v>
      </c>
      <c r="E53" s="280" t="s">
        <v>445</v>
      </c>
      <c r="G53" s="558">
        <v>2.5</v>
      </c>
    </row>
    <row r="54" spans="1:7">
      <c r="A54" s="470">
        <v>353</v>
      </c>
      <c r="B54" s="470"/>
      <c r="C54" s="470">
        <v>3433</v>
      </c>
      <c r="E54" s="280" t="s">
        <v>446</v>
      </c>
      <c r="G54" s="558">
        <v>2.86</v>
      </c>
    </row>
    <row r="55" spans="1:7">
      <c r="A55" s="470">
        <v>353</v>
      </c>
      <c r="B55" s="470"/>
      <c r="C55" s="470">
        <v>3438</v>
      </c>
      <c r="E55" s="280" t="s">
        <v>446</v>
      </c>
      <c r="G55" s="558">
        <v>2.86</v>
      </c>
    </row>
    <row r="56" spans="1:7">
      <c r="A56" s="470">
        <v>354</v>
      </c>
      <c r="B56" s="470"/>
      <c r="C56" s="470">
        <v>3447</v>
      </c>
      <c r="E56" s="280" t="s">
        <v>447</v>
      </c>
      <c r="G56" s="558">
        <v>3</v>
      </c>
    </row>
    <row r="57" spans="1:7">
      <c r="A57" s="470">
        <v>356</v>
      </c>
      <c r="B57" s="470"/>
      <c r="C57" s="470">
        <v>3467</v>
      </c>
      <c r="E57" s="280" t="s">
        <v>448</v>
      </c>
      <c r="G57" s="558">
        <v>2.5</v>
      </c>
    </row>
    <row r="58" spans="1:7">
      <c r="A58" s="470"/>
      <c r="B58" s="470"/>
      <c r="C58" s="470"/>
      <c r="G58" s="682"/>
    </row>
    <row r="59" spans="1:7">
      <c r="A59" s="470"/>
      <c r="B59" s="470"/>
      <c r="C59" s="470"/>
      <c r="G59" s="682"/>
    </row>
    <row r="60" spans="1:7">
      <c r="F60" s="544" t="s">
        <v>299</v>
      </c>
    </row>
    <row r="61" spans="1:7">
      <c r="F61" s="544" t="s">
        <v>729</v>
      </c>
    </row>
    <row r="62" spans="1:7">
      <c r="F62" s="544" t="s">
        <v>732</v>
      </c>
    </row>
    <row r="65" spans="1:7" ht="15.75">
      <c r="A65" s="559" t="str">
        <f>A6</f>
        <v>DUKE ENERGY OHIO, INC.</v>
      </c>
      <c r="B65" s="279"/>
      <c r="C65" s="279"/>
      <c r="D65" s="279"/>
      <c r="E65" s="279"/>
      <c r="F65" s="279"/>
      <c r="G65" s="279"/>
    </row>
    <row r="66" spans="1:7" ht="15.75">
      <c r="A66" s="559" t="str">
        <f>A7</f>
        <v>DEPRECIATION RATES</v>
      </c>
      <c r="B66" s="279"/>
      <c r="C66" s="279"/>
      <c r="D66" s="279"/>
      <c r="E66" s="279"/>
      <c r="F66" s="279"/>
      <c r="G66" s="279"/>
    </row>
    <row r="69" spans="1:7">
      <c r="A69" s="672" t="s">
        <v>414</v>
      </c>
      <c r="B69" s="672"/>
      <c r="C69" s="672" t="s">
        <v>415</v>
      </c>
      <c r="D69" s="672"/>
      <c r="E69" s="672"/>
      <c r="F69" s="672"/>
      <c r="G69" s="672" t="s">
        <v>261</v>
      </c>
    </row>
    <row r="70" spans="1:7">
      <c r="A70" s="672" t="s">
        <v>416</v>
      </c>
      <c r="B70" s="672"/>
      <c r="C70" s="672" t="s">
        <v>416</v>
      </c>
      <c r="D70" s="672"/>
      <c r="E70" s="672"/>
      <c r="F70" s="672"/>
      <c r="G70" s="672" t="s">
        <v>417</v>
      </c>
    </row>
    <row r="71" spans="1:7">
      <c r="A71" s="673" t="s">
        <v>418</v>
      </c>
      <c r="B71" s="673"/>
      <c r="C71" s="673" t="s">
        <v>418</v>
      </c>
      <c r="D71" s="673"/>
      <c r="E71" s="673" t="s">
        <v>419</v>
      </c>
      <c r="F71" s="673"/>
      <c r="G71" s="673" t="s">
        <v>420</v>
      </c>
    </row>
    <row r="72" spans="1:7">
      <c r="A72" s="675" t="s">
        <v>389</v>
      </c>
      <c r="B72" s="672"/>
      <c r="C72" s="675" t="s">
        <v>390</v>
      </c>
      <c r="D72" s="672"/>
      <c r="E72" s="672" t="s">
        <v>391</v>
      </c>
      <c r="F72" s="672"/>
      <c r="G72" s="675" t="s">
        <v>421</v>
      </c>
    </row>
    <row r="73" spans="1:7">
      <c r="A73" s="676"/>
      <c r="B73" s="281"/>
      <c r="C73" s="676"/>
      <c r="D73" s="281"/>
      <c r="E73" s="281"/>
      <c r="F73" s="281"/>
      <c r="G73" s="672" t="s">
        <v>84</v>
      </c>
    </row>
    <row r="74" spans="1:7">
      <c r="A74" s="679" t="s">
        <v>496</v>
      </c>
      <c r="B74" s="680"/>
      <c r="C74" s="680"/>
      <c r="D74" s="279"/>
      <c r="E74" s="279"/>
      <c r="F74" s="279"/>
      <c r="G74" s="279"/>
    </row>
    <row r="75" spans="1:7">
      <c r="A75" s="470"/>
      <c r="B75" s="470"/>
      <c r="C75" s="470"/>
      <c r="G75" s="682"/>
    </row>
    <row r="76" spans="1:7">
      <c r="A76" s="471">
        <v>303</v>
      </c>
      <c r="B76" s="471">
        <v>3030</v>
      </c>
      <c r="C76" s="470">
        <v>3030</v>
      </c>
      <c r="E76" s="280" t="s">
        <v>725</v>
      </c>
      <c r="G76" s="558">
        <v>20</v>
      </c>
    </row>
    <row r="77" spans="1:7">
      <c r="A77" s="471">
        <v>303</v>
      </c>
      <c r="B77" s="471"/>
      <c r="C77" s="470">
        <v>30310</v>
      </c>
      <c r="E77" s="280" t="s">
        <v>726</v>
      </c>
      <c r="G77" s="558">
        <v>10</v>
      </c>
    </row>
    <row r="78" spans="1:7">
      <c r="A78" s="471">
        <v>389</v>
      </c>
      <c r="B78" s="471">
        <v>3890</v>
      </c>
      <c r="C78" s="470">
        <v>3890</v>
      </c>
      <c r="E78" s="280" t="s">
        <v>449</v>
      </c>
      <c r="G78" s="558" t="s">
        <v>450</v>
      </c>
    </row>
    <row r="79" spans="1:7">
      <c r="A79" s="471">
        <v>390</v>
      </c>
      <c r="B79" s="471">
        <v>3900</v>
      </c>
      <c r="C79" s="470">
        <v>3900</v>
      </c>
      <c r="E79" s="280" t="s">
        <v>451</v>
      </c>
      <c r="G79" s="558">
        <v>4.2</v>
      </c>
    </row>
    <row r="80" spans="1:7">
      <c r="A80" s="471">
        <v>391</v>
      </c>
      <c r="B80" s="471">
        <v>3910</v>
      </c>
      <c r="C80" s="470">
        <v>3910</v>
      </c>
      <c r="E80" s="280" t="s">
        <v>452</v>
      </c>
      <c r="G80" s="558">
        <v>5</v>
      </c>
    </row>
    <row r="81" spans="1:7">
      <c r="A81" s="471">
        <v>391</v>
      </c>
      <c r="B81" s="471">
        <v>3911</v>
      </c>
      <c r="C81" s="470">
        <v>3911</v>
      </c>
      <c r="E81" s="280" t="s">
        <v>453</v>
      </c>
      <c r="G81" s="558">
        <v>20</v>
      </c>
    </row>
    <row r="82" spans="1:7">
      <c r="A82" s="471">
        <v>392</v>
      </c>
      <c r="B82" s="471">
        <v>3920</v>
      </c>
      <c r="C82" s="470">
        <v>3920</v>
      </c>
      <c r="E82" s="280" t="s">
        <v>454</v>
      </c>
      <c r="G82" s="558">
        <v>9.09</v>
      </c>
    </row>
    <row r="83" spans="1:7">
      <c r="A83" s="471">
        <v>392</v>
      </c>
      <c r="B83" s="471">
        <v>3921</v>
      </c>
      <c r="C83" s="470">
        <v>3921</v>
      </c>
      <c r="E83" s="280" t="s">
        <v>455</v>
      </c>
      <c r="G83" s="558">
        <v>4.13</v>
      </c>
    </row>
    <row r="84" spans="1:7">
      <c r="A84" s="471">
        <v>393</v>
      </c>
      <c r="B84" s="471"/>
      <c r="C84" s="470">
        <v>3930</v>
      </c>
      <c r="E84" s="280" t="s">
        <v>811</v>
      </c>
      <c r="G84" s="558">
        <v>5</v>
      </c>
    </row>
    <row r="85" spans="1:7">
      <c r="A85" s="471">
        <v>394</v>
      </c>
      <c r="B85" s="471">
        <v>3940</v>
      </c>
      <c r="C85" s="470">
        <v>3940</v>
      </c>
      <c r="E85" s="280" t="s">
        <v>456</v>
      </c>
      <c r="G85" s="558">
        <v>4</v>
      </c>
    </row>
    <row r="86" spans="1:7">
      <c r="A86" s="471">
        <v>395</v>
      </c>
      <c r="B86" s="471">
        <v>3950</v>
      </c>
      <c r="C86" s="470">
        <v>3950</v>
      </c>
      <c r="E86" s="280" t="s">
        <v>457</v>
      </c>
      <c r="G86" s="558">
        <v>6.67</v>
      </c>
    </row>
    <row r="87" spans="1:7">
      <c r="A87" s="471">
        <v>396</v>
      </c>
      <c r="B87" s="471">
        <v>3960</v>
      </c>
      <c r="C87" s="470">
        <v>3960</v>
      </c>
      <c r="E87" s="280" t="s">
        <v>458</v>
      </c>
      <c r="G87" s="558">
        <v>5.29</v>
      </c>
    </row>
    <row r="88" spans="1:7">
      <c r="A88" s="471">
        <v>397</v>
      </c>
      <c r="B88" s="471">
        <v>3970</v>
      </c>
      <c r="C88" s="470">
        <v>3970</v>
      </c>
      <c r="E88" s="280" t="s">
        <v>459</v>
      </c>
      <c r="G88" s="558">
        <v>6.67</v>
      </c>
    </row>
    <row r="89" spans="1:7">
      <c r="A89" s="471">
        <v>398</v>
      </c>
      <c r="B89" s="471">
        <v>3980</v>
      </c>
      <c r="C89" s="470">
        <v>3980</v>
      </c>
      <c r="E89" s="280" t="s">
        <v>460</v>
      </c>
      <c r="G89" s="558">
        <v>5</v>
      </c>
    </row>
    <row r="90" spans="1:7">
      <c r="A90" s="471"/>
      <c r="B90" s="471"/>
      <c r="C90" s="470"/>
      <c r="G90" s="558"/>
    </row>
    <row r="91" spans="1:7">
      <c r="A91" s="471"/>
      <c r="B91" s="471"/>
      <c r="C91" s="470"/>
      <c r="G91" s="558"/>
    </row>
    <row r="92" spans="1:7">
      <c r="B92" s="471"/>
      <c r="C92" s="470"/>
      <c r="E92" s="677" t="s">
        <v>727</v>
      </c>
      <c r="G92" s="558"/>
    </row>
    <row r="93" spans="1:7">
      <c r="A93" s="471"/>
      <c r="B93" s="471"/>
      <c r="C93" s="470"/>
      <c r="G93" s="558"/>
    </row>
    <row r="94" spans="1:7">
      <c r="A94" s="471"/>
      <c r="B94" s="471"/>
      <c r="C94" s="470">
        <v>1030</v>
      </c>
      <c r="E94" s="280" t="s">
        <v>465</v>
      </c>
      <c r="G94" s="558">
        <v>20</v>
      </c>
    </row>
    <row r="95" spans="1:7">
      <c r="A95" s="471"/>
      <c r="B95" s="471"/>
      <c r="C95" s="470">
        <v>1701</v>
      </c>
      <c r="E95" s="280" t="s">
        <v>812</v>
      </c>
      <c r="G95" s="558">
        <v>6.67</v>
      </c>
    </row>
    <row r="96" spans="1:7">
      <c r="A96" s="471"/>
      <c r="B96" s="471"/>
      <c r="C96" s="470">
        <v>1890</v>
      </c>
      <c r="E96" s="280" t="s">
        <v>449</v>
      </c>
      <c r="G96" s="558" t="s">
        <v>450</v>
      </c>
    </row>
    <row r="97" spans="1:7">
      <c r="A97" s="471"/>
      <c r="B97" s="471"/>
      <c r="C97" s="470">
        <v>1900</v>
      </c>
      <c r="E97" s="280" t="s">
        <v>451</v>
      </c>
      <c r="G97" s="558">
        <v>3.29</v>
      </c>
    </row>
    <row r="98" spans="1:7">
      <c r="A98" s="471"/>
      <c r="B98" s="471"/>
      <c r="C98" s="470">
        <v>1910</v>
      </c>
      <c r="E98" s="280" t="s">
        <v>452</v>
      </c>
      <c r="G98" s="558">
        <v>5</v>
      </c>
    </row>
    <row r="99" spans="1:7">
      <c r="A99" s="471"/>
      <c r="B99" s="471"/>
      <c r="C99" s="470">
        <v>1911</v>
      </c>
      <c r="E99" s="280" t="s">
        <v>453</v>
      </c>
      <c r="G99" s="558">
        <v>20</v>
      </c>
    </row>
    <row r="100" spans="1:7">
      <c r="A100" s="471"/>
      <c r="B100" s="471"/>
      <c r="C100" s="470">
        <v>1920</v>
      </c>
      <c r="E100" s="280" t="s">
        <v>454</v>
      </c>
      <c r="G100" s="558">
        <v>8.33</v>
      </c>
    </row>
    <row r="101" spans="1:7">
      <c r="A101" s="471"/>
      <c r="B101" s="471"/>
      <c r="C101" s="470">
        <v>1921</v>
      </c>
      <c r="E101" s="280" t="s">
        <v>455</v>
      </c>
      <c r="G101" s="558">
        <v>4.13</v>
      </c>
    </row>
    <row r="102" spans="1:7">
      <c r="A102" s="471"/>
      <c r="B102" s="471"/>
      <c r="C102" s="470">
        <v>1930</v>
      </c>
      <c r="E102" s="280" t="s">
        <v>811</v>
      </c>
      <c r="G102" s="558">
        <v>5</v>
      </c>
    </row>
    <row r="103" spans="1:7">
      <c r="A103" s="471"/>
      <c r="B103" s="471"/>
      <c r="C103" s="470">
        <v>1940</v>
      </c>
      <c r="E103" s="280" t="s">
        <v>456</v>
      </c>
      <c r="G103" s="558">
        <v>4</v>
      </c>
    </row>
    <row r="104" spans="1:7">
      <c r="A104" s="471"/>
      <c r="B104" s="471"/>
      <c r="C104" s="470">
        <v>1960</v>
      </c>
      <c r="E104" s="280" t="s">
        <v>458</v>
      </c>
      <c r="G104" s="558">
        <v>5.29</v>
      </c>
    </row>
    <row r="105" spans="1:7">
      <c r="A105" s="471"/>
      <c r="B105" s="471"/>
      <c r="C105" s="470">
        <v>1970</v>
      </c>
      <c r="E105" s="280" t="s">
        <v>459</v>
      </c>
      <c r="G105" s="558">
        <v>6.67</v>
      </c>
    </row>
    <row r="106" spans="1:7">
      <c r="A106" s="471"/>
      <c r="B106" s="471"/>
      <c r="C106" s="470">
        <v>1980</v>
      </c>
      <c r="E106" s="280" t="s">
        <v>728</v>
      </c>
      <c r="G106" s="558">
        <v>5</v>
      </c>
    </row>
    <row r="107" spans="1:7">
      <c r="A107" s="471"/>
      <c r="B107" s="471"/>
      <c r="C107" s="470"/>
      <c r="G107" s="558"/>
    </row>
    <row r="108" spans="1:7">
      <c r="A108" s="471"/>
      <c r="B108" s="471"/>
      <c r="C108" s="470"/>
      <c r="G108" s="558"/>
    </row>
    <row r="109" spans="1:7">
      <c r="A109" s="471"/>
      <c r="B109" s="471"/>
      <c r="C109" s="470"/>
      <c r="G109" s="558"/>
    </row>
    <row r="110" spans="1:7">
      <c r="A110" s="471"/>
      <c r="B110" s="471"/>
      <c r="C110" s="470"/>
      <c r="G110" s="558"/>
    </row>
    <row r="111" spans="1:7">
      <c r="A111" s="471"/>
      <c r="B111" s="471"/>
      <c r="C111" s="470"/>
      <c r="G111" s="558"/>
    </row>
    <row r="112" spans="1:7">
      <c r="A112" s="471"/>
      <c r="B112" s="471"/>
      <c r="C112" s="470"/>
      <c r="G112" s="558"/>
    </row>
    <row r="113" spans="1:7">
      <c r="A113" s="471"/>
      <c r="B113" s="471"/>
      <c r="C113" s="470"/>
      <c r="G113" s="558"/>
    </row>
    <row r="114" spans="1:7">
      <c r="A114" s="471"/>
      <c r="B114" s="471"/>
      <c r="C114" s="470"/>
      <c r="G114" s="558"/>
    </row>
    <row r="115" spans="1:7">
      <c r="A115" s="471"/>
      <c r="B115" s="471"/>
      <c r="C115" s="470"/>
      <c r="G115" s="558"/>
    </row>
    <row r="116" spans="1:7">
      <c r="A116" s="471"/>
      <c r="B116" s="471"/>
      <c r="C116" s="470"/>
      <c r="G116" s="558"/>
    </row>
    <row r="117" spans="1:7">
      <c r="A117" s="471"/>
      <c r="B117" s="471"/>
      <c r="C117" s="470"/>
      <c r="G117" s="558"/>
    </row>
    <row r="118" spans="1:7">
      <c r="A118" s="471"/>
      <c r="B118" s="471"/>
      <c r="C118" s="470"/>
      <c r="G118" s="558"/>
    </row>
    <row r="119" spans="1:7">
      <c r="A119" s="471"/>
      <c r="B119" s="471"/>
      <c r="C119" s="470"/>
      <c r="G119" s="558"/>
    </row>
    <row r="120" spans="1:7">
      <c r="A120" s="471"/>
      <c r="B120" s="471"/>
      <c r="C120" s="470"/>
      <c r="G120" s="558"/>
    </row>
    <row r="121" spans="1:7">
      <c r="A121" s="471"/>
      <c r="B121" s="471"/>
      <c r="C121" s="470"/>
      <c r="G121" s="558"/>
    </row>
    <row r="122" spans="1:7">
      <c r="A122" s="471"/>
      <c r="B122" s="471"/>
      <c r="C122" s="470"/>
      <c r="G122" s="558"/>
    </row>
    <row r="123" spans="1:7">
      <c r="A123" s="471"/>
      <c r="B123" s="471"/>
      <c r="C123" s="470"/>
      <c r="G123" s="558"/>
    </row>
    <row r="124" spans="1:7">
      <c r="A124" s="471"/>
      <c r="B124" s="471"/>
      <c r="C124" s="470"/>
      <c r="G124" s="558"/>
    </row>
    <row r="125" spans="1:7">
      <c r="A125" s="471"/>
      <c r="B125" s="471"/>
      <c r="C125" s="470"/>
      <c r="G125" s="558"/>
    </row>
    <row r="126" spans="1:7">
      <c r="A126" s="471"/>
      <c r="B126" s="471"/>
      <c r="C126" s="470"/>
      <c r="G126" s="558"/>
    </row>
    <row r="127" spans="1:7">
      <c r="A127" s="471"/>
      <c r="B127" s="471"/>
      <c r="C127" s="470"/>
      <c r="G127" s="558"/>
    </row>
    <row r="128" spans="1:7">
      <c r="A128" s="471"/>
      <c r="B128" s="471"/>
      <c r="C128" s="470"/>
      <c r="G128" s="558"/>
    </row>
    <row r="129" spans="1:7">
      <c r="A129" s="471"/>
      <c r="B129" s="471"/>
      <c r="C129" s="470"/>
      <c r="G129" s="558"/>
    </row>
    <row r="130" spans="1:7">
      <c r="A130" s="471"/>
      <c r="B130" s="471"/>
      <c r="C130" s="470"/>
      <c r="G130" s="558"/>
    </row>
    <row r="131" spans="1:7">
      <c r="A131" s="471"/>
      <c r="B131" s="471"/>
      <c r="C131" s="470"/>
      <c r="G131" s="558"/>
    </row>
    <row r="132" spans="1:7">
      <c r="A132" s="471"/>
      <c r="B132" s="471"/>
      <c r="C132" s="470"/>
      <c r="G132" s="558"/>
    </row>
    <row r="133" spans="1:7">
      <c r="A133" s="471"/>
      <c r="B133" s="471"/>
      <c r="C133" s="470"/>
      <c r="G133" s="558"/>
    </row>
    <row r="134" spans="1:7">
      <c r="A134" s="471"/>
      <c r="B134" s="471"/>
      <c r="C134" s="470"/>
      <c r="G134" s="558"/>
    </row>
    <row r="135" spans="1:7">
      <c r="A135" s="471"/>
      <c r="B135" s="471"/>
      <c r="C135" s="470"/>
      <c r="G135" s="558"/>
    </row>
    <row r="136" spans="1:7">
      <c r="A136" s="281"/>
      <c r="B136" s="281"/>
      <c r="C136" s="281"/>
    </row>
    <row r="137" spans="1:7">
      <c r="A137" s="281"/>
      <c r="B137" s="281"/>
      <c r="C137" s="281"/>
    </row>
    <row r="138" spans="1:7">
      <c r="A138" s="281"/>
      <c r="B138" s="281"/>
      <c r="C138" s="281"/>
    </row>
    <row r="139" spans="1:7">
      <c r="A139" s="281"/>
      <c r="B139" s="281"/>
      <c r="C139" s="281"/>
    </row>
    <row r="140" spans="1:7">
      <c r="A140" s="281"/>
      <c r="B140" s="281"/>
      <c r="C140" s="281"/>
    </row>
    <row r="141" spans="1:7">
      <c r="A141" s="281"/>
      <c r="B141" s="281"/>
      <c r="C141" s="281"/>
    </row>
    <row r="142" spans="1:7">
      <c r="A142" s="281"/>
      <c r="B142" s="281"/>
      <c r="C142" s="281"/>
    </row>
    <row r="143" spans="1:7">
      <c r="A143" s="281"/>
      <c r="B143" s="281"/>
      <c r="C143" s="281"/>
    </row>
    <row r="144" spans="1:7">
      <c r="A144" s="281"/>
      <c r="B144" s="281"/>
      <c r="C144" s="281"/>
    </row>
    <row r="145" spans="1:3">
      <c r="A145" s="281"/>
      <c r="B145" s="281"/>
      <c r="C145" s="281"/>
    </row>
    <row r="146" spans="1:3">
      <c r="A146" s="281"/>
      <c r="B146" s="281"/>
      <c r="C146" s="281"/>
    </row>
    <row r="147" spans="1:3">
      <c r="A147" s="281"/>
      <c r="B147" s="281"/>
      <c r="C147" s="281"/>
    </row>
    <row r="148" spans="1:3">
      <c r="A148" s="281"/>
      <c r="B148" s="281"/>
      <c r="C148" s="281"/>
    </row>
    <row r="149" spans="1:3">
      <c r="A149" s="281"/>
      <c r="B149" s="281"/>
      <c r="C149" s="281"/>
    </row>
    <row r="150" spans="1:3">
      <c r="A150" s="281"/>
      <c r="B150" s="281"/>
      <c r="C150" s="281"/>
    </row>
    <row r="151" spans="1:3">
      <c r="A151" s="281"/>
      <c r="B151" s="281"/>
      <c r="C151" s="281"/>
    </row>
    <row r="152" spans="1:3">
      <c r="A152" s="281"/>
      <c r="B152" s="281"/>
      <c r="C152" s="281"/>
    </row>
    <row r="153" spans="1:3">
      <c r="A153" s="281"/>
      <c r="B153" s="281"/>
      <c r="C153" s="281"/>
    </row>
    <row r="154" spans="1:3">
      <c r="A154" s="281"/>
      <c r="B154" s="281"/>
      <c r="C154" s="281"/>
    </row>
    <row r="155" spans="1:3">
      <c r="A155" s="281"/>
      <c r="B155" s="281"/>
      <c r="C155" s="281"/>
    </row>
    <row r="156" spans="1:3">
      <c r="A156" s="281"/>
      <c r="B156" s="281"/>
      <c r="C156" s="281"/>
    </row>
  </sheetData>
  <printOptions horizontalCentered="1"/>
  <pageMargins left="0.75" right="0.75" top="0.75" bottom="0.5" header="0.75" footer="0.3"/>
  <pageSetup scale="70" orientation="portrait" blackAndWhite="1" r:id="rId1"/>
  <rowBreaks count="1" manualBreakCount="1">
    <brk id="5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7">
    <tabColor rgb="FF00B050"/>
    <pageSetUpPr fitToPage="1"/>
  </sheetPr>
  <dimension ref="A1:I102"/>
  <sheetViews>
    <sheetView view="pageBreakPreview" zoomScale="70" zoomScaleNormal="90" zoomScaleSheetLayoutView="70" workbookViewId="0">
      <selection activeCell="E70" sqref="E70"/>
    </sheetView>
  </sheetViews>
  <sheetFormatPr defaultColWidth="8.77734375" defaultRowHeight="12.75"/>
  <cols>
    <col min="1" max="1" width="8.77734375" style="280"/>
    <col min="2" max="2" width="0.77734375" style="280" customWidth="1"/>
    <col min="3" max="3" width="8.77734375" style="280"/>
    <col min="4" max="4" width="1.5546875" style="280" customWidth="1"/>
    <col min="5" max="5" width="46.109375" style="280" customWidth="1"/>
    <col min="6" max="6" width="6" style="280" customWidth="1"/>
    <col min="7" max="7" width="9.77734375" style="280" customWidth="1"/>
    <col min="8" max="10" width="8.77734375" style="280"/>
    <col min="11" max="11" width="9.5546875" style="280" customWidth="1"/>
    <col min="12" max="16384" width="8.77734375" style="280"/>
  </cols>
  <sheetData>
    <row r="1" spans="1:9">
      <c r="F1" s="544" t="s">
        <v>299</v>
      </c>
      <c r="I1" s="953"/>
    </row>
    <row r="2" spans="1:9">
      <c r="F2" s="544" t="s">
        <v>729</v>
      </c>
      <c r="I2" s="953"/>
    </row>
    <row r="3" spans="1:9">
      <c r="F3" s="544" t="s">
        <v>730</v>
      </c>
    </row>
    <row r="4" spans="1:9">
      <c r="F4" s="544"/>
    </row>
    <row r="5" spans="1:9">
      <c r="F5" s="544"/>
    </row>
    <row r="6" spans="1:9" ht="15.75">
      <c r="A6" s="559" t="s">
        <v>461</v>
      </c>
      <c r="B6" s="279"/>
      <c r="C6" s="279"/>
      <c r="D6" s="279"/>
      <c r="E6" s="279"/>
      <c r="F6" s="279"/>
      <c r="G6" s="279"/>
    </row>
    <row r="7" spans="1:9" ht="15.75">
      <c r="A7" s="559" t="s">
        <v>413</v>
      </c>
      <c r="B7" s="279"/>
      <c r="C7" s="279"/>
      <c r="D7" s="279"/>
      <c r="E7" s="279"/>
      <c r="F7" s="279"/>
      <c r="G7" s="279"/>
    </row>
    <row r="10" spans="1:9">
      <c r="A10" s="672" t="s">
        <v>414</v>
      </c>
      <c r="B10" s="281"/>
      <c r="C10" s="672" t="s">
        <v>415</v>
      </c>
      <c r="D10" s="281"/>
      <c r="E10" s="281"/>
      <c r="F10" s="281"/>
      <c r="G10" s="672" t="s">
        <v>261</v>
      </c>
    </row>
    <row r="11" spans="1:9">
      <c r="A11" s="672" t="s">
        <v>416</v>
      </c>
      <c r="B11" s="281"/>
      <c r="C11" s="672" t="s">
        <v>416</v>
      </c>
      <c r="D11" s="281"/>
      <c r="E11" s="281"/>
      <c r="F11" s="281"/>
      <c r="G11" s="672" t="s">
        <v>417</v>
      </c>
    </row>
    <row r="12" spans="1:9">
      <c r="A12" s="673" t="s">
        <v>418</v>
      </c>
      <c r="B12" s="674"/>
      <c r="C12" s="673" t="s">
        <v>418</v>
      </c>
      <c r="D12" s="674"/>
      <c r="E12" s="673" t="s">
        <v>419</v>
      </c>
      <c r="F12" s="674"/>
      <c r="G12" s="673" t="s">
        <v>420</v>
      </c>
    </row>
    <row r="13" spans="1:9">
      <c r="A13" s="675" t="s">
        <v>389</v>
      </c>
      <c r="B13" s="281"/>
      <c r="C13" s="675" t="s">
        <v>390</v>
      </c>
      <c r="D13" s="281"/>
      <c r="E13" s="672" t="s">
        <v>391</v>
      </c>
      <c r="F13" s="281"/>
      <c r="G13" s="675" t="s">
        <v>421</v>
      </c>
    </row>
    <row r="14" spans="1:9">
      <c r="A14" s="676"/>
      <c r="B14" s="281"/>
      <c r="C14" s="676"/>
      <c r="D14" s="281"/>
      <c r="E14" s="281"/>
      <c r="F14" s="281"/>
      <c r="G14" s="672" t="s">
        <v>84</v>
      </c>
    </row>
    <row r="15" spans="1:9">
      <c r="A15" s="677" t="s">
        <v>192</v>
      </c>
      <c r="B15" s="677"/>
      <c r="C15" s="279"/>
      <c r="D15" s="279"/>
      <c r="E15" s="279"/>
      <c r="F15" s="279"/>
      <c r="G15" s="279"/>
    </row>
    <row r="16" spans="1:9">
      <c r="G16" s="678"/>
    </row>
    <row r="17" spans="1:8">
      <c r="A17" s="470">
        <v>350</v>
      </c>
      <c r="B17" s="683"/>
      <c r="C17" s="470">
        <v>3501</v>
      </c>
      <c r="E17" s="280" t="s">
        <v>423</v>
      </c>
      <c r="G17" s="558">
        <v>1.27</v>
      </c>
    </row>
    <row r="18" spans="1:8">
      <c r="A18" s="470">
        <v>352</v>
      </c>
      <c r="B18" s="683"/>
      <c r="C18" s="470">
        <v>3520</v>
      </c>
      <c r="E18" s="280" t="s">
        <v>462</v>
      </c>
      <c r="G18" s="558">
        <v>1.96</v>
      </c>
    </row>
    <row r="19" spans="1:8">
      <c r="A19" s="470">
        <v>353</v>
      </c>
      <c r="B19" s="683"/>
      <c r="C19" s="470">
        <v>3530</v>
      </c>
      <c r="E19" s="280" t="s">
        <v>426</v>
      </c>
      <c r="G19" s="558">
        <v>2.16</v>
      </c>
    </row>
    <row r="20" spans="1:8">
      <c r="A20" s="470">
        <v>353</v>
      </c>
      <c r="B20" s="683"/>
      <c r="C20" s="470">
        <v>3532</v>
      </c>
      <c r="E20" s="280" t="s">
        <v>463</v>
      </c>
      <c r="G20" s="558">
        <v>1.73</v>
      </c>
    </row>
    <row r="21" spans="1:8">
      <c r="A21" s="470">
        <v>353</v>
      </c>
      <c r="B21" s="683"/>
      <c r="C21" s="470">
        <v>3535</v>
      </c>
      <c r="E21" s="280" t="s">
        <v>464</v>
      </c>
      <c r="G21" s="558">
        <v>2.16</v>
      </c>
    </row>
    <row r="22" spans="1:8">
      <c r="A22" s="470">
        <v>355</v>
      </c>
      <c r="B22" s="683"/>
      <c r="C22" s="470">
        <v>3550</v>
      </c>
      <c r="E22" s="280" t="s">
        <v>430</v>
      </c>
      <c r="G22" s="558">
        <v>1.76</v>
      </c>
    </row>
    <row r="23" spans="1:8">
      <c r="A23" s="470">
        <v>356</v>
      </c>
      <c r="B23" s="683"/>
      <c r="C23" s="470">
        <v>3560</v>
      </c>
      <c r="E23" s="280" t="s">
        <v>432</v>
      </c>
      <c r="G23" s="558">
        <v>1.91</v>
      </c>
    </row>
    <row r="24" spans="1:8">
      <c r="A24" s="470"/>
      <c r="B24" s="470"/>
      <c r="C24" s="470"/>
      <c r="G24" s="558"/>
    </row>
    <row r="25" spans="1:8">
      <c r="A25" s="470"/>
      <c r="B25" s="470"/>
      <c r="C25" s="470"/>
      <c r="G25" s="684"/>
    </row>
    <row r="26" spans="1:8">
      <c r="A26" s="679" t="s">
        <v>496</v>
      </c>
      <c r="B26" s="680"/>
      <c r="C26" s="680"/>
      <c r="D26" s="279"/>
      <c r="E26" s="279"/>
      <c r="F26" s="279"/>
      <c r="G26" s="685"/>
    </row>
    <row r="27" spans="1:8">
      <c r="A27" s="470"/>
      <c r="B27" s="470"/>
      <c r="C27" s="470"/>
      <c r="G27" s="684"/>
    </row>
    <row r="28" spans="1:8" ht="15">
      <c r="A28" s="470">
        <v>303</v>
      </c>
      <c r="B28" s="472"/>
      <c r="C28" s="470">
        <v>3030</v>
      </c>
      <c r="E28" s="280" t="s">
        <v>725</v>
      </c>
      <c r="G28" s="558">
        <v>20</v>
      </c>
      <c r="H28" s="282"/>
    </row>
    <row r="29" spans="1:8" ht="15">
      <c r="A29" s="470">
        <v>303</v>
      </c>
      <c r="B29" s="472"/>
      <c r="C29" s="470">
        <v>30310</v>
      </c>
      <c r="E29" s="280" t="s">
        <v>726</v>
      </c>
      <c r="G29" s="558">
        <v>10</v>
      </c>
    </row>
    <row r="30" spans="1:8" ht="15">
      <c r="A30" s="470">
        <v>390</v>
      </c>
      <c r="B30" s="472"/>
      <c r="C30" s="470">
        <v>3900</v>
      </c>
      <c r="E30" s="586" t="s">
        <v>451</v>
      </c>
      <c r="G30" s="558">
        <v>3.4</v>
      </c>
    </row>
    <row r="31" spans="1:8" ht="15">
      <c r="A31" s="470">
        <v>391</v>
      </c>
      <c r="B31" s="472"/>
      <c r="C31" s="470">
        <v>3910</v>
      </c>
      <c r="E31" s="586" t="s">
        <v>452</v>
      </c>
      <c r="G31" s="558">
        <v>5</v>
      </c>
    </row>
    <row r="32" spans="1:8" ht="15">
      <c r="A32" s="470">
        <v>391</v>
      </c>
      <c r="B32" s="472"/>
      <c r="C32" s="470">
        <v>3911</v>
      </c>
      <c r="E32" s="280" t="s">
        <v>453</v>
      </c>
      <c r="G32" s="558">
        <v>20</v>
      </c>
    </row>
    <row r="33" spans="1:9" ht="15">
      <c r="A33" s="470">
        <v>392</v>
      </c>
      <c r="B33" s="472"/>
      <c r="C33" s="470">
        <v>3921</v>
      </c>
      <c r="E33" s="280" t="s">
        <v>455</v>
      </c>
      <c r="G33" s="558">
        <v>3.84</v>
      </c>
    </row>
    <row r="34" spans="1:9" ht="15">
      <c r="A34" s="470">
        <v>394</v>
      </c>
      <c r="B34" s="472"/>
      <c r="C34" s="470">
        <v>3940</v>
      </c>
      <c r="E34" s="280" t="s">
        <v>456</v>
      </c>
      <c r="G34" s="558">
        <v>4</v>
      </c>
    </row>
    <row r="35" spans="1:9" ht="15">
      <c r="A35" s="470">
        <v>397</v>
      </c>
      <c r="B35" s="472"/>
      <c r="C35" s="470">
        <v>3970</v>
      </c>
      <c r="E35" s="586" t="s">
        <v>459</v>
      </c>
      <c r="G35" s="558">
        <v>6.67</v>
      </c>
    </row>
    <row r="36" spans="1:9" ht="15">
      <c r="A36" s="470"/>
      <c r="B36" s="472"/>
      <c r="C36" s="470"/>
      <c r="G36" s="686"/>
    </row>
    <row r="37" spans="1:9" ht="15">
      <c r="A37" s="470"/>
      <c r="B37" s="472"/>
      <c r="C37" s="470"/>
      <c r="G37" s="686"/>
    </row>
    <row r="38" spans="1:9">
      <c r="A38" s="677" t="s">
        <v>727</v>
      </c>
      <c r="B38" s="279"/>
      <c r="C38" s="279"/>
      <c r="D38" s="279"/>
      <c r="E38" s="279"/>
      <c r="F38" s="279"/>
      <c r="G38" s="681"/>
      <c r="H38" s="543"/>
      <c r="I38" s="543"/>
    </row>
    <row r="39" spans="1:9">
      <c r="A39" s="281"/>
      <c r="B39" s="281"/>
      <c r="C39" s="281"/>
      <c r="G39" s="558"/>
      <c r="H39" s="543"/>
      <c r="I39" s="543"/>
    </row>
    <row r="40" spans="1:9" ht="15">
      <c r="A40" s="470"/>
      <c r="B40" s="472"/>
      <c r="C40" s="470">
        <v>1030</v>
      </c>
      <c r="E40" s="280" t="s">
        <v>465</v>
      </c>
      <c r="G40" s="558">
        <v>20</v>
      </c>
      <c r="H40" s="543"/>
      <c r="I40" s="543"/>
    </row>
    <row r="41" spans="1:9" ht="15">
      <c r="A41" s="470"/>
      <c r="B41" s="472"/>
      <c r="C41" s="470">
        <v>1900</v>
      </c>
      <c r="E41" s="280" t="s">
        <v>451</v>
      </c>
      <c r="G41" s="558">
        <v>1.26</v>
      </c>
      <c r="H41" s="543"/>
      <c r="I41" s="543"/>
    </row>
    <row r="42" spans="1:9" ht="15">
      <c r="A42" s="470"/>
      <c r="B42" s="472"/>
      <c r="C42" s="470">
        <v>1910</v>
      </c>
      <c r="E42" s="280" t="s">
        <v>452</v>
      </c>
      <c r="G42" s="558">
        <v>5</v>
      </c>
      <c r="H42" s="543"/>
      <c r="I42" s="543"/>
    </row>
    <row r="43" spans="1:9" ht="15">
      <c r="A43" s="470"/>
      <c r="B43" s="472"/>
      <c r="C43" s="470">
        <v>1911</v>
      </c>
      <c r="E43" s="280" t="s">
        <v>453</v>
      </c>
      <c r="G43" s="558">
        <v>20</v>
      </c>
      <c r="H43" s="543"/>
      <c r="I43" s="543"/>
    </row>
    <row r="44" spans="1:9" ht="15">
      <c r="A44" s="470"/>
      <c r="B44" s="472"/>
      <c r="C44" s="470">
        <v>1940</v>
      </c>
      <c r="E44" s="280" t="s">
        <v>456</v>
      </c>
      <c r="G44" s="558">
        <v>4</v>
      </c>
      <c r="H44" s="543"/>
      <c r="I44" s="543"/>
    </row>
    <row r="45" spans="1:9" ht="15">
      <c r="A45" s="470"/>
      <c r="B45" s="472"/>
      <c r="C45" s="470">
        <v>1970</v>
      </c>
      <c r="E45" s="280" t="s">
        <v>459</v>
      </c>
      <c r="G45" s="558">
        <v>6.67</v>
      </c>
      <c r="H45" s="543"/>
      <c r="I45" s="543"/>
    </row>
    <row r="46" spans="1:9" ht="15">
      <c r="A46" s="470"/>
      <c r="B46" s="472"/>
      <c r="C46" s="470">
        <v>1980</v>
      </c>
      <c r="E46" s="687" t="s">
        <v>460</v>
      </c>
      <c r="G46" s="558">
        <v>6.67</v>
      </c>
      <c r="H46" s="543"/>
      <c r="I46" s="543"/>
    </row>
    <row r="47" spans="1:9" ht="15">
      <c r="A47" s="470"/>
      <c r="B47" s="472"/>
      <c r="C47" s="470"/>
      <c r="G47" s="535"/>
      <c r="I47" s="543"/>
    </row>
    <row r="48" spans="1:9" ht="15">
      <c r="A48" s="470"/>
      <c r="B48" s="472"/>
      <c r="C48" s="470"/>
      <c r="G48" s="535"/>
    </row>
    <row r="49" spans="1:7" ht="15">
      <c r="A49" s="470"/>
      <c r="B49" s="472"/>
      <c r="C49" s="470"/>
      <c r="G49" s="535"/>
    </row>
    <row r="50" spans="1:7" ht="15">
      <c r="A50" s="470"/>
      <c r="B50" s="472"/>
      <c r="C50" s="470"/>
      <c r="G50" s="535"/>
    </row>
    <row r="51" spans="1:7" ht="15">
      <c r="A51" s="470"/>
      <c r="B51" s="472"/>
      <c r="C51" s="470"/>
      <c r="G51" s="535"/>
    </row>
    <row r="52" spans="1:7" ht="15">
      <c r="A52" s="470"/>
      <c r="B52" s="472"/>
      <c r="C52" s="470"/>
      <c r="G52" s="535"/>
    </row>
    <row r="53" spans="1:7" ht="15">
      <c r="A53" s="470"/>
      <c r="B53" s="472"/>
      <c r="C53" s="470"/>
      <c r="G53" s="535"/>
    </row>
    <row r="54" spans="1:7" ht="15">
      <c r="A54" s="470"/>
      <c r="B54" s="472"/>
      <c r="C54" s="470"/>
      <c r="G54" s="535"/>
    </row>
    <row r="55" spans="1:7" ht="15">
      <c r="A55" s="470"/>
      <c r="B55" s="472"/>
      <c r="C55" s="470"/>
      <c r="G55" s="535"/>
    </row>
    <row r="56" spans="1:7" ht="15">
      <c r="A56" s="470"/>
      <c r="B56" s="472"/>
      <c r="C56" s="470"/>
      <c r="G56" s="535"/>
    </row>
    <row r="57" spans="1:7" ht="15">
      <c r="A57" s="470"/>
      <c r="B57" s="472"/>
      <c r="C57" s="470"/>
      <c r="G57" s="535"/>
    </row>
    <row r="58" spans="1:7" ht="15">
      <c r="A58" s="470"/>
      <c r="B58" s="472"/>
      <c r="C58" s="470"/>
      <c r="G58" s="535"/>
    </row>
    <row r="59" spans="1:7" ht="15">
      <c r="A59" s="470"/>
      <c r="B59" s="472"/>
      <c r="C59" s="470"/>
    </row>
    <row r="60" spans="1:7" ht="15">
      <c r="A60" s="470"/>
      <c r="B60" s="472"/>
      <c r="C60" s="470"/>
    </row>
    <row r="61" spans="1:7" ht="15">
      <c r="A61" s="470"/>
      <c r="B61" s="472"/>
      <c r="C61" s="470"/>
    </row>
    <row r="62" spans="1:7" ht="15">
      <c r="A62" s="470"/>
      <c r="B62" s="472"/>
      <c r="C62" s="470"/>
    </row>
    <row r="63" spans="1:7" ht="15">
      <c r="A63" s="470"/>
      <c r="B63" s="472"/>
      <c r="C63" s="470"/>
    </row>
    <row r="64" spans="1:7" ht="15">
      <c r="A64" s="470"/>
      <c r="B64" s="472"/>
      <c r="C64" s="470"/>
    </row>
    <row r="65" spans="1:3" ht="15">
      <c r="A65" s="470"/>
      <c r="B65" s="472"/>
      <c r="C65" s="470"/>
    </row>
    <row r="66" spans="1:3" ht="15">
      <c r="A66" s="470"/>
      <c r="B66" s="472"/>
      <c r="C66" s="470"/>
    </row>
    <row r="67" spans="1:3" ht="15">
      <c r="A67" s="470"/>
      <c r="B67" s="472"/>
      <c r="C67" s="470"/>
    </row>
    <row r="68" spans="1:3" ht="15">
      <c r="A68" s="470"/>
      <c r="B68" s="472"/>
      <c r="C68" s="470"/>
    </row>
    <row r="69" spans="1:3" ht="15">
      <c r="A69" s="470"/>
      <c r="B69" s="472"/>
      <c r="C69" s="470"/>
    </row>
    <row r="70" spans="1:3" ht="15">
      <c r="A70" s="470"/>
      <c r="B70" s="472"/>
      <c r="C70" s="470"/>
    </row>
    <row r="71" spans="1:3" ht="15">
      <c r="A71" s="470"/>
      <c r="B71" s="472"/>
      <c r="C71" s="470"/>
    </row>
    <row r="72" spans="1:3" ht="15">
      <c r="A72" s="470"/>
      <c r="B72" s="472"/>
      <c r="C72" s="470"/>
    </row>
    <row r="73" spans="1:3" ht="15">
      <c r="A73" s="470"/>
      <c r="B73" s="472"/>
      <c r="C73" s="470"/>
    </row>
    <row r="74" spans="1:3" ht="15">
      <c r="A74" s="470"/>
      <c r="B74" s="472"/>
      <c r="C74" s="470"/>
    </row>
    <row r="75" spans="1:3" ht="15">
      <c r="A75" s="470"/>
      <c r="B75" s="472"/>
      <c r="C75" s="470"/>
    </row>
    <row r="76" spans="1:3" ht="15">
      <c r="A76" s="470"/>
      <c r="B76" s="472"/>
      <c r="C76" s="470"/>
    </row>
    <row r="77" spans="1:3" ht="15">
      <c r="A77" s="470"/>
      <c r="B77" s="472"/>
      <c r="C77" s="470"/>
    </row>
    <row r="78" spans="1:3" ht="15">
      <c r="A78" s="470"/>
      <c r="B78" s="472"/>
      <c r="C78" s="470"/>
    </row>
    <row r="79" spans="1:3" ht="15">
      <c r="A79" s="470"/>
      <c r="B79" s="472"/>
      <c r="C79" s="470"/>
    </row>
    <row r="80" spans="1:3" ht="15">
      <c r="A80" s="470"/>
      <c r="B80" s="472"/>
      <c r="C80" s="470"/>
    </row>
    <row r="81" spans="1:3" ht="15">
      <c r="A81" s="470"/>
      <c r="B81" s="472"/>
      <c r="C81" s="470"/>
    </row>
    <row r="82" spans="1:3" ht="15">
      <c r="A82" s="470"/>
      <c r="B82" s="472"/>
      <c r="C82" s="470"/>
    </row>
    <row r="83" spans="1:3" ht="15">
      <c r="A83" s="470"/>
      <c r="B83" s="472"/>
      <c r="C83" s="470"/>
    </row>
    <row r="84" spans="1:3" ht="15">
      <c r="A84" s="470"/>
      <c r="B84" s="472"/>
      <c r="C84" s="470"/>
    </row>
    <row r="85" spans="1:3" ht="15">
      <c r="A85" s="470"/>
      <c r="B85" s="472"/>
      <c r="C85" s="470"/>
    </row>
    <row r="86" spans="1:3" ht="15">
      <c r="A86" s="470"/>
      <c r="B86" s="472"/>
      <c r="C86" s="470"/>
    </row>
    <row r="87" spans="1:3" ht="15">
      <c r="A87" s="470"/>
      <c r="B87" s="472"/>
      <c r="C87" s="470"/>
    </row>
    <row r="88" spans="1:3" ht="15">
      <c r="A88" s="470"/>
      <c r="B88" s="472"/>
      <c r="C88" s="470"/>
    </row>
    <row r="89" spans="1:3" ht="15">
      <c r="A89" s="470"/>
      <c r="B89" s="472"/>
      <c r="C89" s="470"/>
    </row>
    <row r="90" spans="1:3" ht="15">
      <c r="A90" s="470"/>
      <c r="B90" s="472"/>
      <c r="C90" s="470"/>
    </row>
    <row r="91" spans="1:3" ht="15">
      <c r="A91" s="470"/>
      <c r="B91" s="472"/>
      <c r="C91" s="470"/>
    </row>
    <row r="92" spans="1:3" ht="15">
      <c r="A92" s="470"/>
      <c r="B92" s="472"/>
      <c r="C92" s="470"/>
    </row>
    <row r="93" spans="1:3" ht="15">
      <c r="A93" s="470"/>
      <c r="B93" s="472"/>
      <c r="C93" s="470"/>
    </row>
    <row r="94" spans="1:3" ht="15">
      <c r="A94" s="470"/>
      <c r="B94" s="472"/>
      <c r="C94" s="470"/>
    </row>
    <row r="95" spans="1:3" ht="15">
      <c r="A95" s="470"/>
      <c r="B95" s="472"/>
      <c r="C95" s="470"/>
    </row>
    <row r="96" spans="1:3" ht="15">
      <c r="A96" s="470"/>
      <c r="B96" s="472"/>
      <c r="C96" s="470"/>
    </row>
    <row r="97" spans="1:3" ht="15">
      <c r="A97" s="470"/>
      <c r="B97" s="472"/>
      <c r="C97" s="470"/>
    </row>
    <row r="98" spans="1:3" ht="15">
      <c r="A98" s="470"/>
      <c r="B98" s="472"/>
      <c r="C98" s="470"/>
    </row>
    <row r="99" spans="1:3" ht="15">
      <c r="A99" s="470"/>
      <c r="B99" s="472"/>
      <c r="C99" s="470"/>
    </row>
    <row r="100" spans="1:3" ht="15">
      <c r="A100" s="470"/>
      <c r="B100" s="472"/>
      <c r="C100" s="470"/>
    </row>
    <row r="101" spans="1:3" ht="15">
      <c r="A101" s="470"/>
      <c r="B101" s="472"/>
      <c r="C101" s="470"/>
    </row>
    <row r="102" spans="1:3">
      <c r="A102" s="281"/>
      <c r="B102" s="281"/>
      <c r="C102" s="281"/>
    </row>
  </sheetData>
  <printOptions horizontalCentered="1"/>
  <pageMargins left="0.75" right="0.75" top="0.75" bottom="0.5" header="0.75" footer="0.3"/>
  <pageSetup scale="91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7212-A59D-4E13-9734-5A8AFE6C88A5}">
  <sheetPr codeName="Sheet28">
    <tabColor rgb="FF0099FF"/>
    <pageSetUpPr fitToPage="1"/>
  </sheetPr>
  <dimension ref="A1:G44"/>
  <sheetViews>
    <sheetView view="pageBreakPreview" topLeftCell="C4" zoomScale="70" zoomScaleNormal="90" zoomScaleSheetLayoutView="70" workbookViewId="0">
      <selection activeCell="E70" sqref="E70"/>
    </sheetView>
  </sheetViews>
  <sheetFormatPr defaultColWidth="8.77734375" defaultRowHeight="12.75"/>
  <cols>
    <col min="1" max="1" width="5.5546875" style="52" customWidth="1"/>
    <col min="2" max="2" width="1.109375" style="52" customWidth="1"/>
    <col min="3" max="3" width="28.77734375" style="52" customWidth="1"/>
    <col min="4" max="4" width="13" style="52" customWidth="1"/>
    <col min="5" max="5" width="13.21875" style="52" customWidth="1"/>
    <col min="6" max="6" width="11.77734375" style="52" customWidth="1"/>
    <col min="7" max="7" width="14.109375" style="52" customWidth="1"/>
    <col min="8" max="8" width="8.77734375" style="52"/>
    <col min="9" max="9" width="5.77734375" style="52" bestFit="1" customWidth="1"/>
    <col min="10" max="10" width="12" style="52" bestFit="1" customWidth="1"/>
    <col min="11" max="11" width="10.77734375" style="52" bestFit="1" customWidth="1"/>
    <col min="12" max="16" width="8.77734375" style="52"/>
    <col min="17" max="17" width="15.77734375" style="52" bestFit="1" customWidth="1"/>
    <col min="18" max="16384" width="8.77734375" style="52"/>
  </cols>
  <sheetData>
    <row r="1" spans="1:7">
      <c r="G1" s="688" t="s">
        <v>299</v>
      </c>
    </row>
    <row r="2" spans="1:7">
      <c r="G2" s="689" t="s">
        <v>880</v>
      </c>
    </row>
    <row r="3" spans="1:7">
      <c r="G3" s="688" t="s">
        <v>863</v>
      </c>
    </row>
    <row r="5" spans="1:7">
      <c r="G5" s="688" t="str">
        <f>"For the 12 months ended: "&amp;TEXT(INPUT!$B$1,"mm/dd/yyyy")</f>
        <v>For the 12 months ended: 12/31/2020</v>
      </c>
    </row>
    <row r="6" spans="1:7" ht="15">
      <c r="G6" s="61"/>
    </row>
    <row r="7" spans="1:7">
      <c r="A7" s="677" t="s">
        <v>883</v>
      </c>
      <c r="B7" s="677"/>
      <c r="C7" s="690"/>
      <c r="D7" s="690"/>
      <c r="E7" s="690"/>
      <c r="F7" s="690"/>
      <c r="G7" s="677"/>
    </row>
    <row r="8" spans="1:7">
      <c r="A8" s="677" t="s">
        <v>878</v>
      </c>
      <c r="B8" s="677"/>
      <c r="C8" s="690"/>
      <c r="D8" s="690"/>
      <c r="E8" s="690"/>
      <c r="F8" s="690"/>
      <c r="G8" s="677"/>
    </row>
    <row r="9" spans="1:7">
      <c r="C9" s="691"/>
      <c r="D9" s="833"/>
      <c r="E9" s="692"/>
      <c r="F9" s="692"/>
      <c r="G9" s="692"/>
    </row>
    <row r="10" spans="1:7">
      <c r="C10" s="691"/>
      <c r="D10" s="692"/>
      <c r="E10" s="692"/>
      <c r="F10" s="692"/>
      <c r="G10" s="693"/>
    </row>
    <row r="11" spans="1:7">
      <c r="C11" s="691"/>
      <c r="D11" s="692"/>
      <c r="E11" s="692"/>
      <c r="F11" s="692"/>
      <c r="G11" s="694"/>
    </row>
    <row r="12" spans="1:7">
      <c r="A12" s="695" t="s">
        <v>8</v>
      </c>
      <c r="B12" s="695"/>
      <c r="C12" s="696" t="s">
        <v>855</v>
      </c>
      <c r="D12" s="697" t="s">
        <v>856</v>
      </c>
      <c r="E12" s="697" t="s">
        <v>856</v>
      </c>
      <c r="F12" s="697" t="s">
        <v>856</v>
      </c>
      <c r="G12" s="697" t="s">
        <v>856</v>
      </c>
    </row>
    <row r="13" spans="1:7">
      <c r="A13" s="698" t="s">
        <v>10</v>
      </c>
      <c r="B13" s="698"/>
      <c r="C13" s="565" t="s">
        <v>902</v>
      </c>
      <c r="D13" s="699">
        <v>190</v>
      </c>
      <c r="E13" s="699">
        <v>282</v>
      </c>
      <c r="F13" s="700">
        <v>283</v>
      </c>
      <c r="G13" s="701" t="s">
        <v>12</v>
      </c>
    </row>
    <row r="14" spans="1:7">
      <c r="A14" s="698"/>
      <c r="B14" s="698"/>
      <c r="C14" s="702" t="s">
        <v>867</v>
      </c>
      <c r="D14" s="703" t="s">
        <v>868</v>
      </c>
      <c r="E14" s="703" t="s">
        <v>869</v>
      </c>
      <c r="F14" s="704" t="s">
        <v>870</v>
      </c>
      <c r="G14" s="702" t="s">
        <v>871</v>
      </c>
    </row>
    <row r="15" spans="1:7">
      <c r="A15" s="698"/>
      <c r="B15" s="698"/>
      <c r="C15" s="702"/>
      <c r="D15" s="703"/>
      <c r="E15" s="703"/>
      <c r="F15" s="704"/>
      <c r="G15" s="702"/>
    </row>
    <row r="16" spans="1:7">
      <c r="A16" s="646">
        <v>1</v>
      </c>
      <c r="B16" s="646"/>
      <c r="C16" s="705">
        <v>182.3</v>
      </c>
      <c r="D16" s="706">
        <v>0</v>
      </c>
      <c r="E16" s="706">
        <v>0</v>
      </c>
      <c r="F16" s="706">
        <v>0</v>
      </c>
      <c r="G16" s="707">
        <f>SUM(D16:F16)</f>
        <v>0</v>
      </c>
    </row>
    <row r="17" spans="1:7" ht="15">
      <c r="A17" s="646">
        <v>2</v>
      </c>
      <c r="B17" s="646"/>
      <c r="C17" s="705">
        <v>253</v>
      </c>
      <c r="D17" s="708">
        <v>0</v>
      </c>
      <c r="E17" s="708">
        <v>0</v>
      </c>
      <c r="F17" s="708">
        <v>0</v>
      </c>
      <c r="G17" s="709">
        <f t="shared" ref="G17:G18" si="0">SUM(D17:F17)</f>
        <v>0</v>
      </c>
    </row>
    <row r="18" spans="1:7">
      <c r="A18" s="646">
        <v>3</v>
      </c>
      <c r="B18" s="646"/>
      <c r="C18" s="710" t="s">
        <v>857</v>
      </c>
      <c r="D18" s="707">
        <f>SUM(D16:D17)</f>
        <v>0</v>
      </c>
      <c r="E18" s="707">
        <f t="shared" ref="E18:F18" si="1">SUM(E16:E17)</f>
        <v>0</v>
      </c>
      <c r="F18" s="707">
        <f t="shared" si="1"/>
        <v>0</v>
      </c>
      <c r="G18" s="707">
        <f t="shared" si="0"/>
        <v>0</v>
      </c>
    </row>
    <row r="19" spans="1:7">
      <c r="A19" s="646"/>
      <c r="B19" s="646"/>
      <c r="C19" s="710"/>
      <c r="D19" s="711"/>
      <c r="E19" s="711"/>
      <c r="F19" s="711"/>
      <c r="G19" s="711"/>
    </row>
    <row r="20" spans="1:7">
      <c r="A20" s="646">
        <v>4</v>
      </c>
      <c r="B20" s="646"/>
      <c r="C20" s="705">
        <v>182.3</v>
      </c>
      <c r="D20" s="706">
        <v>0</v>
      </c>
      <c r="E20" s="706">
        <v>0</v>
      </c>
      <c r="F20" s="706">
        <v>0</v>
      </c>
      <c r="G20" s="707">
        <f t="shared" ref="G20:G25" si="2">SUM(D20:F20)</f>
        <v>0</v>
      </c>
    </row>
    <row r="21" spans="1:7" ht="15">
      <c r="A21" s="646">
        <v>5</v>
      </c>
      <c r="B21" s="646"/>
      <c r="C21" s="705">
        <v>254</v>
      </c>
      <c r="D21" s="708">
        <v>-15303676</v>
      </c>
      <c r="E21" s="708">
        <v>194155847</v>
      </c>
      <c r="F21" s="708">
        <v>0</v>
      </c>
      <c r="G21" s="709">
        <f t="shared" si="2"/>
        <v>178852171</v>
      </c>
    </row>
    <row r="22" spans="1:7">
      <c r="A22" s="646">
        <v>6</v>
      </c>
      <c r="B22" s="646"/>
      <c r="C22" s="710" t="s">
        <v>858</v>
      </c>
      <c r="D22" s="707">
        <f>SUM(D20:D21)</f>
        <v>-15303676</v>
      </c>
      <c r="E22" s="707">
        <f t="shared" ref="E22:G22" si="3">SUM(E20:E21)</f>
        <v>194155847</v>
      </c>
      <c r="F22" s="707">
        <f t="shared" si="3"/>
        <v>0</v>
      </c>
      <c r="G22" s="707">
        <f t="shared" si="3"/>
        <v>178852171</v>
      </c>
    </row>
    <row r="23" spans="1:7">
      <c r="A23" s="646"/>
      <c r="B23" s="646"/>
      <c r="C23" s="710"/>
      <c r="D23" s="711"/>
      <c r="E23" s="711"/>
      <c r="F23" s="711"/>
      <c r="G23" s="711"/>
    </row>
    <row r="24" spans="1:7" ht="15">
      <c r="A24" s="646">
        <v>7</v>
      </c>
      <c r="B24" s="646"/>
      <c r="C24" s="705">
        <v>411.2</v>
      </c>
      <c r="D24" s="712">
        <v>0</v>
      </c>
      <c r="E24" s="712">
        <v>0</v>
      </c>
      <c r="F24" s="712">
        <v>0</v>
      </c>
      <c r="G24" s="713">
        <f t="shared" si="2"/>
        <v>0</v>
      </c>
    </row>
    <row r="25" spans="1:7">
      <c r="A25" s="646">
        <v>8</v>
      </c>
      <c r="B25" s="646"/>
      <c r="C25" s="714" t="s">
        <v>884</v>
      </c>
      <c r="D25" s="707">
        <f>SUM(D24)</f>
        <v>0</v>
      </c>
      <c r="E25" s="707">
        <f t="shared" ref="E25:F25" si="4">SUM(E24)</f>
        <v>0</v>
      </c>
      <c r="F25" s="707">
        <f t="shared" si="4"/>
        <v>0</v>
      </c>
      <c r="G25" s="707">
        <f t="shared" si="2"/>
        <v>0</v>
      </c>
    </row>
    <row r="26" spans="1:7">
      <c r="A26" s="646"/>
      <c r="B26" s="646"/>
      <c r="C26" s="710"/>
      <c r="D26" s="711"/>
      <c r="E26" s="711"/>
      <c r="F26" s="710"/>
      <c r="G26" s="715"/>
    </row>
    <row r="27" spans="1:7" ht="25.5">
      <c r="A27" s="726">
        <v>9</v>
      </c>
      <c r="B27" s="646"/>
      <c r="C27" s="725" t="s">
        <v>888</v>
      </c>
      <c r="D27" s="809">
        <f>D25+D22+D18</f>
        <v>-15303676</v>
      </c>
      <c r="E27" s="809">
        <f t="shared" ref="E27:F27" si="5">E25+E22+E18</f>
        <v>194155847</v>
      </c>
      <c r="F27" s="809">
        <f t="shared" si="5"/>
        <v>0</v>
      </c>
      <c r="G27" s="810">
        <f>SUM(D27:F27)</f>
        <v>178852171</v>
      </c>
    </row>
    <row r="28" spans="1:7">
      <c r="A28" s="646"/>
      <c r="B28" s="646"/>
      <c r="C28" s="692"/>
      <c r="D28" s="692"/>
      <c r="E28" s="716"/>
      <c r="F28" s="692"/>
      <c r="G28" s="692"/>
    </row>
    <row r="29" spans="1:7">
      <c r="A29" s="646"/>
      <c r="B29" s="646"/>
      <c r="C29" s="692"/>
      <c r="D29" s="692"/>
      <c r="E29" s="716"/>
      <c r="F29" s="692"/>
      <c r="G29" s="692"/>
    </row>
    <row r="30" spans="1:7">
      <c r="A30" s="646"/>
      <c r="B30" s="646"/>
      <c r="C30" s="692"/>
      <c r="D30" s="692"/>
      <c r="E30" s="716"/>
      <c r="F30" s="710"/>
      <c r="G30" s="692"/>
    </row>
    <row r="31" spans="1:7" ht="38.25">
      <c r="A31" s="646"/>
      <c r="B31" s="646"/>
      <c r="C31" s="702" t="s">
        <v>867</v>
      </c>
      <c r="D31" s="703" t="s">
        <v>868</v>
      </c>
      <c r="E31" s="703" t="s">
        <v>869</v>
      </c>
      <c r="F31" s="811" t="s">
        <v>898</v>
      </c>
      <c r="G31" s="812" t="s">
        <v>899</v>
      </c>
    </row>
    <row r="32" spans="1:7">
      <c r="A32" s="646"/>
      <c r="B32" s="646"/>
      <c r="C32" s="692"/>
      <c r="D32" s="717" t="s">
        <v>859</v>
      </c>
      <c r="E32" s="718" t="s">
        <v>885</v>
      </c>
      <c r="F32" s="718" t="s">
        <v>886</v>
      </c>
      <c r="G32" s="717" t="s">
        <v>860</v>
      </c>
    </row>
    <row r="33" spans="1:7">
      <c r="A33" s="646"/>
      <c r="B33" s="646"/>
      <c r="C33" s="719" t="s">
        <v>716</v>
      </c>
      <c r="D33" s="719" t="s">
        <v>861</v>
      </c>
      <c r="E33" s="720" t="s">
        <v>862</v>
      </c>
      <c r="F33" s="720" t="s">
        <v>887</v>
      </c>
      <c r="G33" s="719" t="s">
        <v>862</v>
      </c>
    </row>
    <row r="34" spans="1:7">
      <c r="A34" s="646">
        <v>10</v>
      </c>
      <c r="B34" s="646"/>
      <c r="C34" s="646">
        <v>2018</v>
      </c>
      <c r="D34" s="721">
        <f>ROUND(F34/$G$22,4)</f>
        <v>0</v>
      </c>
      <c r="E34" s="722">
        <f>G22</f>
        <v>178852171</v>
      </c>
      <c r="F34" s="706">
        <v>0</v>
      </c>
      <c r="G34" s="723">
        <f>E34-F34</f>
        <v>178852171</v>
      </c>
    </row>
    <row r="35" spans="1:7">
      <c r="A35" s="646">
        <v>11</v>
      </c>
      <c r="B35" s="646"/>
      <c r="C35" s="646">
        <f>C34+1</f>
        <v>2019</v>
      </c>
      <c r="D35" s="721">
        <f t="shared" ref="D35:D36" si="6">ROUND(F35/$G$22,4)</f>
        <v>8.6E-3</v>
      </c>
      <c r="E35" s="722">
        <f>G34</f>
        <v>178852171</v>
      </c>
      <c r="F35" s="706">
        <v>1543209</v>
      </c>
      <c r="G35" s="723">
        <f t="shared" ref="G35" si="7">E35-F35</f>
        <v>177308962</v>
      </c>
    </row>
    <row r="36" spans="1:7">
      <c r="A36" s="808">
        <v>12</v>
      </c>
      <c r="B36" s="808"/>
      <c r="C36" s="808">
        <v>2020</v>
      </c>
      <c r="D36" s="721">
        <f t="shared" si="6"/>
        <v>3.6700000000000003E-2</v>
      </c>
      <c r="E36" s="834">
        <f>G35</f>
        <v>177308962</v>
      </c>
      <c r="F36" s="835">
        <v>6561905</v>
      </c>
      <c r="G36" s="836">
        <f>E36-F36</f>
        <v>170747057</v>
      </c>
    </row>
    <row r="37" spans="1:7">
      <c r="A37" s="808"/>
      <c r="B37" s="808"/>
      <c r="C37" s="808"/>
      <c r="D37" s="721"/>
      <c r="E37" s="834"/>
      <c r="F37" s="835"/>
      <c r="G37" s="836"/>
    </row>
    <row r="38" spans="1:7">
      <c r="A38" s="646"/>
      <c r="B38" s="646"/>
      <c r="C38" s="646"/>
      <c r="D38" s="644"/>
      <c r="E38" s="645"/>
      <c r="F38" s="641"/>
      <c r="G38" s="654"/>
    </row>
    <row r="39" spans="1:7">
      <c r="A39" s="808" t="s">
        <v>895</v>
      </c>
      <c r="B39" s="646"/>
      <c r="C39" s="52" t="s">
        <v>892</v>
      </c>
    </row>
    <row r="40" spans="1:7">
      <c r="A40" s="807" t="s">
        <v>894</v>
      </c>
      <c r="B40" s="646"/>
      <c r="C40" s="52" t="s">
        <v>893</v>
      </c>
    </row>
    <row r="41" spans="1:7">
      <c r="A41" s="646"/>
      <c r="B41" s="646"/>
    </row>
    <row r="42" spans="1:7">
      <c r="A42" s="646"/>
      <c r="B42" s="646"/>
    </row>
    <row r="43" spans="1:7">
      <c r="A43" s="646"/>
      <c r="B43" s="646"/>
    </row>
    <row r="44" spans="1:7">
      <c r="A44" s="646"/>
      <c r="B44" s="646"/>
    </row>
  </sheetData>
  <printOptions horizontalCentered="1"/>
  <pageMargins left="1" right="0.75" top="1" bottom="0.5" header="0.3" footer="0.3"/>
  <pageSetup scale="82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9C2A40CB48BD4DA68B2DC67ADC4D2A" ma:contentTypeVersion="15" ma:contentTypeDescription="Create a new document." ma:contentTypeScope="" ma:versionID="9188e3516279636411379ab1d0d6f60f">
  <xsd:schema xmlns:xsd="http://www.w3.org/2001/XMLSchema" xmlns:xs="http://www.w3.org/2001/XMLSchema" xmlns:p="http://schemas.microsoft.com/office/2006/metadata/properties" xmlns:ns1="http://schemas.microsoft.com/sharepoint/v3" xmlns:ns3="d4642a65-0259-4627-9104-e5163e3bfa7f" xmlns:ns4="c01c7c2d-a1ce-4356-8960-d589ab557c5d" targetNamespace="http://schemas.microsoft.com/office/2006/metadata/properties" ma:root="true" ma:fieldsID="fcf7a3289fe9ec2c1c51c649c29a843d" ns1:_="" ns3:_="" ns4:_="">
    <xsd:import namespace="http://schemas.microsoft.com/sharepoint/v3"/>
    <xsd:import namespace="d4642a65-0259-4627-9104-e5163e3bfa7f"/>
    <xsd:import namespace="c01c7c2d-a1ce-4356-8960-d589ab557c5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42a65-0259-4627-9104-e5163e3bf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c7c2d-a1ce-4356-8960-d589ab557c5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1AB557-CE24-49E3-99FD-BB03122E6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642a65-0259-4627-9104-e5163e3bfa7f"/>
    <ds:schemaRef ds:uri="c01c7c2d-a1ce-4356-8960-d589ab557c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91B44D-873A-45AA-930B-335335E461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896EED-02A9-4DBA-87DA-8B8FFE4DD993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01c7c2d-a1ce-4356-8960-d589ab557c5d"/>
    <ds:schemaRef ds:uri="d4642a65-0259-4627-9104-e5163e3bfa7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124</vt:i4>
      </vt:variant>
    </vt:vector>
  </HeadingPairs>
  <TitlesOfParts>
    <vt:vector size="164" baseType="lpstr">
      <vt:lpstr>Print</vt:lpstr>
      <vt:lpstr>INPUT</vt:lpstr>
      <vt:lpstr>DEOK</vt:lpstr>
      <vt:lpstr>Sch 1A - Appx A</vt:lpstr>
      <vt:lpstr>Appx B - DEOK(RTEP)</vt:lpstr>
      <vt:lpstr>Appx C - DEOK(MTEP)</vt:lpstr>
      <vt:lpstr>Appx D DEO</vt:lpstr>
      <vt:lpstr>Appx D DEK</vt:lpstr>
      <vt:lpstr>DEO DIT Protected</vt:lpstr>
      <vt:lpstr>DEO DIT Unprotected</vt:lpstr>
      <vt:lpstr>DEK DIT Protected</vt:lpstr>
      <vt:lpstr>DEK DIT Unprotected</vt:lpstr>
      <vt:lpstr>DEO</vt:lpstr>
      <vt:lpstr>Appx B - DEO(RTEP)</vt:lpstr>
      <vt:lpstr>Appx B - DEO(RTEP) (2)</vt:lpstr>
      <vt:lpstr>Appx C - DEO(MTEP)</vt:lpstr>
      <vt:lpstr>Appx C - DEO(MTEP) (2)</vt:lpstr>
      <vt:lpstr>DEK</vt:lpstr>
      <vt:lpstr>Appx B - DEK(RTEP)</vt:lpstr>
      <vt:lpstr>Appx B - DEK(RTEP) (2)</vt:lpstr>
      <vt:lpstr>Appx C - DEK(MTEP)</vt:lpstr>
      <vt:lpstr>Appx C - DEK(MTEP) (2)</vt:lpstr>
      <vt:lpstr>P1 ADIT</vt:lpstr>
      <vt:lpstr>P2 Allocate M&amp;S</vt:lpstr>
      <vt:lpstr>P3 Land Held for Future Use</vt:lpstr>
      <vt:lpstr>P4 Advertising - EPRI Adj.</vt:lpstr>
      <vt:lpstr>P5 A&amp;G Adjusments</vt:lpstr>
      <vt:lpstr>P6 Statetax</vt:lpstr>
      <vt:lpstr>P7 Trans Plant In OATT</vt:lpstr>
      <vt:lpstr>P8 Rev Cred Support</vt:lpstr>
      <vt:lpstr>P9 Capital Structure</vt:lpstr>
      <vt:lpstr>P10 KW Demand</vt:lpstr>
      <vt:lpstr>P11 PBOP - DEO</vt:lpstr>
      <vt:lpstr>P12 PBOP - DEK</vt:lpstr>
      <vt:lpstr>P13 Sch 1A Denominator</vt:lpstr>
      <vt:lpstr>P14 Sch 1A Rev Cr</vt:lpstr>
      <vt:lpstr>P15 Pole Counts</vt:lpstr>
      <vt:lpstr>P16 Prior Yr Corr</vt:lpstr>
      <vt:lpstr>P17 LSE Expenses</vt:lpstr>
      <vt:lpstr>P18 Trans Adjusments</vt:lpstr>
      <vt:lpstr>ADIT_DEK_P3</vt:lpstr>
      <vt:lpstr>ADIT_DEK_P4</vt:lpstr>
      <vt:lpstr>ADIT_DEO_P1</vt:lpstr>
      <vt:lpstr>ADIT_DEO_P2</vt:lpstr>
      <vt:lpstr>Appendix_A</vt:lpstr>
      <vt:lpstr>'Appx B - DEK(RTEP) (2)'!AppxB_DEK_Pg1_RTEP</vt:lpstr>
      <vt:lpstr>AppxB_DEK_Pg1_RTEP</vt:lpstr>
      <vt:lpstr>'Appx B - DEK(RTEP) (2)'!AppxB_DEK_Pg2_RTEP</vt:lpstr>
      <vt:lpstr>AppxB_DEK_Pg2_RTEP</vt:lpstr>
      <vt:lpstr>'Appx B - DEO(RTEP) (2)'!AppxB_DEO_Pg1_RTEP</vt:lpstr>
      <vt:lpstr>AppxB_DEO_Pg1_RTEP</vt:lpstr>
      <vt:lpstr>'Appx B - DEO(RTEP) (2)'!AppxB_DEO_Pg2_RTEP</vt:lpstr>
      <vt:lpstr>AppxB_DEO_Pg2_RTEP</vt:lpstr>
      <vt:lpstr>AppxB_DEOK_Pg1_RTEP</vt:lpstr>
      <vt:lpstr>'Appx C - DEK(MTEP) (2)'!AppxC_DEK_Pg1_MTEP</vt:lpstr>
      <vt:lpstr>AppxC_DEK_Pg1_MTEP</vt:lpstr>
      <vt:lpstr>'Appx C - DEK(MTEP) (2)'!AppxC_DEK_Pg2_MTEP</vt:lpstr>
      <vt:lpstr>AppxC_DEK_Pg2_MTEP</vt:lpstr>
      <vt:lpstr>'Appx C - DEO(MTEP) (2)'!AppxC_DEO_Pg1_MTEP</vt:lpstr>
      <vt:lpstr>AppxC_DEO_Pg1_MTEP</vt:lpstr>
      <vt:lpstr>'Appx C - DEO(MTEP) (2)'!AppxC_DEO_Pg2_MTEP</vt:lpstr>
      <vt:lpstr>AppxC_DEO_Pg2_MTEP</vt:lpstr>
      <vt:lpstr>AppxC_DEOK_Pg1_MTEP</vt:lpstr>
      <vt:lpstr>AppxD_DEK</vt:lpstr>
      <vt:lpstr>AppxD_DEO_P1</vt:lpstr>
      <vt:lpstr>AppxD_DEO_P2</vt:lpstr>
      <vt:lpstr>DEK_1of6</vt:lpstr>
      <vt:lpstr>DEK_2of6</vt:lpstr>
      <vt:lpstr>DEK_3of6</vt:lpstr>
      <vt:lpstr>DEK_4of6</vt:lpstr>
      <vt:lpstr>DEK_5of6</vt:lpstr>
      <vt:lpstr>DEK_6of6</vt:lpstr>
      <vt:lpstr>DEK_CE_Alloc</vt:lpstr>
      <vt:lpstr>DEK_GP_Alloc</vt:lpstr>
      <vt:lpstr>DEK_NP_Alloc</vt:lpstr>
      <vt:lpstr>DEK_TE_Alloc</vt:lpstr>
      <vt:lpstr>DEK_TP_Alloc</vt:lpstr>
      <vt:lpstr>DEK_WS_Alloc</vt:lpstr>
      <vt:lpstr>DEO_1of6</vt:lpstr>
      <vt:lpstr>DEO_2of6</vt:lpstr>
      <vt:lpstr>DEO_3of6</vt:lpstr>
      <vt:lpstr>DEO_4of6</vt:lpstr>
      <vt:lpstr>DEO_5of6</vt:lpstr>
      <vt:lpstr>DEO_6of6</vt:lpstr>
      <vt:lpstr>DEO_CE_Alloc</vt:lpstr>
      <vt:lpstr>DEO_GP_Alloc</vt:lpstr>
      <vt:lpstr>DEO_NP_Alloc</vt:lpstr>
      <vt:lpstr>DEO_TE_Alloc</vt:lpstr>
      <vt:lpstr>DEO_TP_Alloc</vt:lpstr>
      <vt:lpstr>DEO_WS_Alloc</vt:lpstr>
      <vt:lpstr>DEOK_1of1</vt:lpstr>
      <vt:lpstr>FERCrefund</vt:lpstr>
      <vt:lpstr>FIT</vt:lpstr>
      <vt:lpstr>PeakKW_DEOK</vt:lpstr>
      <vt:lpstr>'P16 Prior Yr Corr'!PG1_Support_Corrections</vt:lpstr>
      <vt:lpstr>'Appx B - DEK(RTEP)'!Print_Area</vt:lpstr>
      <vt:lpstr>'Appx B - DEK(RTEP) (2)'!Print_Area</vt:lpstr>
      <vt:lpstr>'Appx B - DEO(RTEP)'!Print_Area</vt:lpstr>
      <vt:lpstr>'Appx B - DEO(RTEP) (2)'!Print_Area</vt:lpstr>
      <vt:lpstr>'Appx B - DEOK(RTEP)'!Print_Area</vt:lpstr>
      <vt:lpstr>'Appx C - DEK(MTEP)'!Print_Area</vt:lpstr>
      <vt:lpstr>'Appx C - DEK(MTEP) (2)'!Print_Area</vt:lpstr>
      <vt:lpstr>'Appx C - DEO(MTEP)'!Print_Area</vt:lpstr>
      <vt:lpstr>'Appx C - DEO(MTEP) (2)'!Print_Area</vt:lpstr>
      <vt:lpstr>'Appx C - DEOK(MTEP)'!Print_Area</vt:lpstr>
      <vt:lpstr>'Appx D DEK'!Print_Area</vt:lpstr>
      <vt:lpstr>'Appx D DEO'!Print_Area</vt:lpstr>
      <vt:lpstr>DEK!Print_Area</vt:lpstr>
      <vt:lpstr>'DEK DIT Protected'!Print_Area</vt:lpstr>
      <vt:lpstr>'DEK DIT Unprotected'!Print_Area</vt:lpstr>
      <vt:lpstr>DEO!Print_Area</vt:lpstr>
      <vt:lpstr>'DEO DIT Protected'!Print_Area</vt:lpstr>
      <vt:lpstr>'DEO DIT Unprotected'!Print_Area</vt:lpstr>
      <vt:lpstr>DEOK!Print_Area</vt:lpstr>
      <vt:lpstr>INPUT!Print_Area</vt:lpstr>
      <vt:lpstr>'P1 ADIT'!Print_Area</vt:lpstr>
      <vt:lpstr>'P10 KW Demand'!Print_Area</vt:lpstr>
      <vt:lpstr>'P11 PBOP - DEO'!Print_Area</vt:lpstr>
      <vt:lpstr>'P12 PBOP - DEK'!Print_Area</vt:lpstr>
      <vt:lpstr>'P13 Sch 1A Denominator'!Print_Area</vt:lpstr>
      <vt:lpstr>'P14 Sch 1A Rev Cr'!Print_Area</vt:lpstr>
      <vt:lpstr>'P15 Pole Counts'!Print_Area</vt:lpstr>
      <vt:lpstr>'P16 Prior Yr Corr'!Print_Area</vt:lpstr>
      <vt:lpstr>'P17 LSE Expenses'!Print_Area</vt:lpstr>
      <vt:lpstr>'P18 Trans Adjusments'!Print_Area</vt:lpstr>
      <vt:lpstr>'P2 Allocate M&amp;S'!Print_Area</vt:lpstr>
      <vt:lpstr>'P3 Land Held for Future Use'!Print_Area</vt:lpstr>
      <vt:lpstr>'P4 Advertising - EPRI Adj.'!Print_Area</vt:lpstr>
      <vt:lpstr>'P5 A&amp;G Adjusments'!Print_Area</vt:lpstr>
      <vt:lpstr>'P6 Statetax'!Print_Area</vt:lpstr>
      <vt:lpstr>'P7 Trans Plant In OATT'!Print_Area</vt:lpstr>
      <vt:lpstr>'P8 Rev Cred Support'!Print_Area</vt:lpstr>
      <vt:lpstr>'P9 Capital Structure'!Print_Area</vt:lpstr>
      <vt:lpstr>'Sch 1A - Appx A'!Print_Area</vt:lpstr>
      <vt:lpstr>INPUT!Print_Titles</vt:lpstr>
      <vt:lpstr>PriorYrCorr</vt:lpstr>
      <vt:lpstr>R_DEK</vt:lpstr>
      <vt:lpstr>R_DEO</vt:lpstr>
      <vt:lpstr>ROE</vt:lpstr>
      <vt:lpstr>SCH_1A</vt:lpstr>
      <vt:lpstr>SIT_DEK</vt:lpstr>
      <vt:lpstr>SIT_DEO</vt:lpstr>
      <vt:lpstr>WCLTD_DEK</vt:lpstr>
      <vt:lpstr>WCLTD_DEO</vt:lpstr>
      <vt:lpstr>Workpaper</vt:lpstr>
      <vt:lpstr>Workpaper_P1</vt:lpstr>
      <vt:lpstr>Workpaper_P10</vt:lpstr>
      <vt:lpstr>Workpaper_P11</vt:lpstr>
      <vt:lpstr>Workpaper_P12</vt:lpstr>
      <vt:lpstr>Workpaper_P13</vt:lpstr>
      <vt:lpstr>Workpaper_P14</vt:lpstr>
      <vt:lpstr>Workpaper_P15</vt:lpstr>
      <vt:lpstr>Workpaper_P16</vt:lpstr>
      <vt:lpstr>Workpaper_P17</vt:lpstr>
      <vt:lpstr>Workpaper_P18</vt:lpstr>
      <vt:lpstr>Workpaper_P2</vt:lpstr>
      <vt:lpstr>Workpaper_P3</vt:lpstr>
      <vt:lpstr>Workpaper_P4</vt:lpstr>
      <vt:lpstr>'P18 Trans Adjusments'!Workpaper_P5</vt:lpstr>
      <vt:lpstr>Workpaper_P5</vt:lpstr>
      <vt:lpstr>Workpaper_P6</vt:lpstr>
      <vt:lpstr>Workpaper_P7</vt:lpstr>
      <vt:lpstr>Workpaper_P8</vt:lpstr>
      <vt:lpstr>Workpaper_P9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Miller, Libbie</cp:lastModifiedBy>
  <cp:lastPrinted>2021-05-17T14:04:06Z</cp:lastPrinted>
  <dcterms:created xsi:type="dcterms:W3CDTF">1997-04-03T19:40:56Z</dcterms:created>
  <dcterms:modified xsi:type="dcterms:W3CDTF">2026-07-15T20:07:46Z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ContentTypeId">
    <vt:lpwstr>0x010100A19C2A40CB48BD4DA68B2DC67ADC4D2A</vt:lpwstr>
  </property>
  <property fmtid="{D5CDD505-2E9C-101B-9397-08002B2CF9AE}" pid="5" name="MSIP_Label_662cb729-ddbd-42d6-997e-2658e5557404_Enabled">
    <vt:lpwstr>true</vt:lpwstr>
  </property>
  <property fmtid="{D5CDD505-2E9C-101B-9397-08002B2CF9AE}" pid="6" name="MSIP_Label_662cb729-ddbd-42d6-997e-2658e5557404_SetDate">
    <vt:lpwstr>2026-07-08T17:10:08Z</vt:lpwstr>
  </property>
  <property fmtid="{D5CDD505-2E9C-101B-9397-08002B2CF9AE}" pid="7" name="MSIP_Label_662cb729-ddbd-42d6-997e-2658e5557404_Method">
    <vt:lpwstr>Standard</vt:lpwstr>
  </property>
  <property fmtid="{D5CDD505-2E9C-101B-9397-08002B2CF9AE}" pid="8" name="MSIP_Label_662cb729-ddbd-42d6-997e-2658e5557404_Name">
    <vt:lpwstr>INTERNAL – NO MARKING</vt:lpwstr>
  </property>
  <property fmtid="{D5CDD505-2E9C-101B-9397-08002B2CF9AE}" pid="9" name="MSIP_Label_662cb729-ddbd-42d6-997e-2658e5557404_SiteId">
    <vt:lpwstr>2ede383a-7e1f-4357-a846-85886b2c0c4d</vt:lpwstr>
  </property>
  <property fmtid="{D5CDD505-2E9C-101B-9397-08002B2CF9AE}" pid="10" name="MSIP_Label_662cb729-ddbd-42d6-997e-2658e5557404_ActionId">
    <vt:lpwstr>801993fb-6500-4f68-81b5-4f1974c689a1</vt:lpwstr>
  </property>
  <property fmtid="{D5CDD505-2E9C-101B-9397-08002B2CF9AE}" pid="11" name="MSIP_Label_662cb729-ddbd-42d6-997e-2658e5557404_ContentBits">
    <vt:lpwstr>0</vt:lpwstr>
  </property>
  <property fmtid="{D5CDD505-2E9C-101B-9397-08002B2CF9AE}" pid="12" name="MSIP_Label_662cb729-ddbd-42d6-997e-2658e5557404_Tag">
    <vt:lpwstr>10, 3, 0, 1</vt:lpwstr>
  </property>
</Properties>
</file>